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X:\GRE_PUBLICACIONES\HISTORICOS 2024\Combustibles\"/>
    </mc:Choice>
  </mc:AlternateContent>
  <xr:revisionPtr revIDLastSave="0" documentId="13_ncr:1_{D9A57CB7-2188-4F59-A749-F0CF50F5B8F8}" xr6:coauthVersionLast="47" xr6:coauthVersionMax="47" xr10:uidLastSave="{00000000-0000-0000-0000-000000000000}"/>
  <bookViews>
    <workbookView xWindow="-110" yWindow="-110" windowWidth="19420" windowHeight="10420" tabRatio="938" firstSheet="2" activeTab="7" xr2:uid="{00000000-000D-0000-FFFF-FFFF00000000}"/>
  </bookViews>
  <sheets>
    <sheet name="Resoluciones, leyes" sheetId="122" state="hidden" r:id="rId1"/>
    <sheet name="TARIFAS DE TRANSPORTE" sheetId="61" state="hidden" r:id="rId2"/>
    <sheet name="COMBUSTIBLES " sheetId="1" r:id="rId3"/>
    <sheet name="GASOLINA CORRIENTE " sheetId="46" r:id="rId4"/>
    <sheet name="GASOLINA EXTRA" sheetId="116" r:id="rId5"/>
    <sheet name="BIODIESEL" sheetId="95" r:id="rId6"/>
    <sheet name="SAN-ANDRES + GENERACION" sheetId="4" r:id="rId7"/>
    <sheet name="DIESEL MARINO" sheetId="121" r:id="rId8"/>
    <sheet name="BI ECOPETROL" sheetId="130" state="hidden" r:id="rId9"/>
    <sheet name="GCINI 1 al 5 DE FEBRERO" sheetId="137" r:id="rId10"/>
    <sheet name="GCINI 6 al 12 DE FEBRERO" sheetId="138" r:id="rId11"/>
    <sheet name="GCINI 13 al 19 DE FEBRERO" sheetId="139" r:id="rId12"/>
    <sheet name="GCINI 20 al 23 DE FEBRERO" sheetId="140" r:id="rId13"/>
    <sheet name="BI RCSA" sheetId="1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A" localSheetId="5">#REF!</definedName>
    <definedName name="\A" localSheetId="2">#REF!</definedName>
    <definedName name="\A" localSheetId="7">#REF!</definedName>
    <definedName name="\A" localSheetId="3">#REF!</definedName>
    <definedName name="\A">#REF!</definedName>
    <definedName name="\L" localSheetId="5">#REF!</definedName>
    <definedName name="\L" localSheetId="2">#REF!</definedName>
    <definedName name="\L" localSheetId="7">#REF!</definedName>
    <definedName name="\L" localSheetId="3">#REF!</definedName>
    <definedName name="\L">#REF!</definedName>
    <definedName name="\P" localSheetId="5">#REF!</definedName>
    <definedName name="\P" localSheetId="2">#REF!</definedName>
    <definedName name="\P" localSheetId="7">#REF!</definedName>
    <definedName name="\P" localSheetId="3">#REF!</definedName>
    <definedName name="\P">#REF!</definedName>
    <definedName name="_xlnm._FilterDatabase" localSheetId="8" hidden="1">'BI ECOPETROL'!$A$1:$V$107</definedName>
    <definedName name="_xlnm._FilterDatabase" localSheetId="13" hidden="1">'BI RCSA'!$A$1:$V$63</definedName>
    <definedName name="_xlnm._FilterDatabase" localSheetId="2" hidden="1">'COMBUSTIBLES '!$A$1:$K$21</definedName>
    <definedName name="_xlnm._FilterDatabase" localSheetId="9" hidden="1">'GCINI 1 al 5 DE FEBRERO'!$A$1:$A$9</definedName>
    <definedName name="_xlnm._FilterDatabase" localSheetId="11" hidden="1">'GCINI 13 al 19 DE FEBRERO'!$A$1:$A$9</definedName>
    <definedName name="_xlnm._FilterDatabase" localSheetId="12" hidden="1">'GCINI 20 al 23 DE FEBRERO'!$A$1:$A$9</definedName>
    <definedName name="_xlnm._FilterDatabase" localSheetId="10" hidden="1">'GCINI 6 al 12 DE FEBRERO'!$A$1:$A$9</definedName>
    <definedName name="_xlnm._FilterDatabase" localSheetId="1" hidden="1">'TARIFAS DE TRANSPORTE'!$A$1:$B$9</definedName>
    <definedName name="A_IMPRESIÓN_IM" localSheetId="5">#REF!</definedName>
    <definedName name="A_IMPRESIÓN_IM" localSheetId="2">#REF!</definedName>
    <definedName name="A_IMPRESIÓN_IM" localSheetId="7">#REF!</definedName>
    <definedName name="A_IMPRESIÓN_IM" localSheetId="3">#REF!</definedName>
    <definedName name="A_IMPRESIÓN_IM">#REF!</definedName>
    <definedName name="ADI" localSheetId="5">#REF!</definedName>
    <definedName name="ADI" localSheetId="2">#REF!</definedName>
    <definedName name="ADI" localSheetId="7">#REF!</definedName>
    <definedName name="ADI" localSheetId="3">#REF!</definedName>
    <definedName name="ADI">#REF!</definedName>
    <definedName name="_xlnm.Print_Area" localSheetId="5">BIODIESEL!$A$4:$D$24</definedName>
    <definedName name="_xlnm.Print_Area" localSheetId="2">'COMBUSTIBLES '!$A$2:$G$21</definedName>
    <definedName name="_xlnm.Print_Area" localSheetId="7">'DIESEL MARINO'!$C$25:$H$44</definedName>
    <definedName name="_xlnm.Print_Area" localSheetId="3">'GASOLINA CORRIENTE '!$A$2:$C$25</definedName>
    <definedName name="_xlnm.Print_Area" localSheetId="9">'GCINI 1 al 5 DE FEBRERO'!$A$1:$G$18</definedName>
    <definedName name="_xlnm.Print_Area" localSheetId="11">'GCINI 13 al 19 DE FEBRERO'!$A$1:$G$18</definedName>
    <definedName name="_xlnm.Print_Area" localSheetId="12">'GCINI 20 al 23 DE FEBRERO'!$A$1:$G$18</definedName>
    <definedName name="_xlnm.Print_Area" localSheetId="10">'GCINI 6 al 12 DE FEBRERO'!$A$1:$G$18</definedName>
    <definedName name="_xlnm.Print_Area" localSheetId="6">'SAN-ANDRES + GENERACION'!$B$1:$G$32</definedName>
    <definedName name="_xlnm.Print_Area" localSheetId="1">'TARIFAS DE TRANSPORTE'!$A$1:$C$34</definedName>
    <definedName name="base" localSheetId="7">#REF!</definedName>
    <definedName name="base">#REF!</definedName>
    <definedName name="base_VaR" localSheetId="7">#REF!</definedName>
    <definedName name="base_VaR">#REF!</definedName>
    <definedName name="CONTADO" localSheetId="7">#REF!</definedName>
    <definedName name="CONTADO">#REF!</definedName>
    <definedName name="CREDITO" localSheetId="7">#REF!</definedName>
    <definedName name="CREDITO">#REF!</definedName>
    <definedName name="DAT" localSheetId="5">#REF!</definedName>
    <definedName name="DAT" localSheetId="2">#REF!</definedName>
    <definedName name="DAT" localSheetId="7">#REF!</definedName>
    <definedName name="DAT" localSheetId="3">#REF!</definedName>
    <definedName name="DAT">#REF!</definedName>
    <definedName name="E_03" localSheetId="7">#REF!</definedName>
    <definedName name="E_03">#REF!</definedName>
    <definedName name="ERR" localSheetId="5">[1]TARIF2002!#REF!</definedName>
    <definedName name="ERR" localSheetId="7">[2]TARIF2002!#REF!</definedName>
    <definedName name="ERR" localSheetId="3">[1]TARIF2002!#REF!</definedName>
    <definedName name="ERR">[2]TARIF2002!#REF!</definedName>
    <definedName name="ERROR" localSheetId="5">#REF!</definedName>
    <definedName name="ERROR" localSheetId="7">#REF!</definedName>
    <definedName name="ERROR" localSheetId="3">#REF!</definedName>
    <definedName name="ERROR">#REF!</definedName>
    <definedName name="ERROR1" localSheetId="5">#REF!</definedName>
    <definedName name="ERROR1" localSheetId="7">#REF!</definedName>
    <definedName name="ERROR1" localSheetId="3">#REF!</definedName>
    <definedName name="ERROR1">#REF!</definedName>
    <definedName name="ERROR2" localSheetId="5">#REF!</definedName>
    <definedName name="ERROR2" localSheetId="7">#REF!</definedName>
    <definedName name="ERROR2" localSheetId="3">#REF!</definedName>
    <definedName name="ERROR2">#REF!</definedName>
    <definedName name="ERROR3" localSheetId="5">[1]TARIF2002!#REF!</definedName>
    <definedName name="ERROR3" localSheetId="7">[2]TARIF2002!#REF!</definedName>
    <definedName name="ERROR3" localSheetId="3">[1]TARIF2002!#REF!</definedName>
    <definedName name="ERROR3">[2]TARIF2002!#REF!</definedName>
    <definedName name="ERROR5" localSheetId="5">[1]TARIF2002!#REF!</definedName>
    <definedName name="ERROR5" localSheetId="7">[2]TARIF2002!#REF!</definedName>
    <definedName name="ERROR5" localSheetId="3">[1]TARIF2002!#REF!</definedName>
    <definedName name="ERROR5">[2]TARIF2002!#REF!</definedName>
    <definedName name="j" localSheetId="5">#REF!</definedName>
    <definedName name="j" localSheetId="7">#REF!</definedName>
    <definedName name="j" localSheetId="3">#REF!</definedName>
    <definedName name="j">#REF!</definedName>
    <definedName name="JA" localSheetId="7">#REF!</definedName>
    <definedName name="JA">#REF!</definedName>
    <definedName name="MATRIZRICS" localSheetId="5">'[3]RICS NUEVA HOJA DIARIA'!$A$1:$AB$42</definedName>
    <definedName name="MATRIZRICS" localSheetId="3">'[3]RICS NUEVA HOJA DIARIA'!$A$1:$AB$42</definedName>
    <definedName name="MATRIZRICS">'[4]RICS NUEVA HOJA DIARIA'!$A$1:$AB$42</definedName>
    <definedName name="MES" localSheetId="5">#REF!</definedName>
    <definedName name="MES" localSheetId="2">#REF!</definedName>
    <definedName name="MES" localSheetId="7">#REF!</definedName>
    <definedName name="MES" localSheetId="3">#REF!</definedName>
    <definedName name="MES">#REF!</definedName>
    <definedName name="Q" localSheetId="5">[5]TARIF2002!#REF!</definedName>
    <definedName name="Q" localSheetId="7">[6]TARIF2002!#REF!</definedName>
    <definedName name="Q" localSheetId="3">[5]TARIF2002!#REF!</definedName>
    <definedName name="Q">[6]TARIF2002!#REF!</definedName>
    <definedName name="QE" localSheetId="5">[7]TARIF2002!#REF!</definedName>
    <definedName name="QE" localSheetId="2">[8]TARIF2002!#REF!</definedName>
    <definedName name="QE" localSheetId="7">[2]TARIF2002!#REF!</definedName>
    <definedName name="QE" localSheetId="3">[7]TARIF2002!#REF!</definedName>
    <definedName name="QE">[2]TARIF2002!#REF!</definedName>
    <definedName name="QE_TE" localSheetId="5">[7]TARIF2002!#REF!</definedName>
    <definedName name="QE_TE" localSheetId="2">[8]TARIF2002!#REF!</definedName>
    <definedName name="QE_TE" localSheetId="7">[2]TARIF2002!#REF!</definedName>
    <definedName name="QE_TE" localSheetId="3">[7]TARIF2002!#REF!</definedName>
    <definedName name="QE_TE">[2]TARIF2002!#REF!</definedName>
    <definedName name="QI" localSheetId="5">[7]TARIF2002!#REF!</definedName>
    <definedName name="QI" localSheetId="2">[8]TARIF2002!#REF!</definedName>
    <definedName name="QI" localSheetId="7">[2]TARIF2002!#REF!</definedName>
    <definedName name="QI" localSheetId="3">[7]TARIF2002!#REF!</definedName>
    <definedName name="QI">[2]TARIF2002!#REF!</definedName>
    <definedName name="QI_TI" localSheetId="5">[7]TARIF2002!#REF!</definedName>
    <definedName name="QI_TI" localSheetId="2">[8]TARIF2002!#REF!</definedName>
    <definedName name="QI_TI" localSheetId="7">[2]TARIF2002!#REF!</definedName>
    <definedName name="QI_TI" localSheetId="3">[7]TARIF2002!#REF!</definedName>
    <definedName name="QI_TI">[2]TARIF2002!#REF!</definedName>
    <definedName name="QN" localSheetId="5">[7]TARIF2002!#REF!</definedName>
    <definedName name="QN" localSheetId="2">[8]TARIF2002!#REF!</definedName>
    <definedName name="QN" localSheetId="7">[2]TARIF2002!#REF!</definedName>
    <definedName name="QN" localSheetId="3">[7]TARIF2002!#REF!</definedName>
    <definedName name="QN">[2]TARIF2002!#REF!</definedName>
    <definedName name="QN_QI" localSheetId="5">[7]TARIF2002!#REF!</definedName>
    <definedName name="QN_QI" localSheetId="2">[8]TARIF2002!#REF!</definedName>
    <definedName name="QN_QI" localSheetId="7">[2]TARIF2002!#REF!</definedName>
    <definedName name="QN_QI" localSheetId="3">[7]TARIF2002!#REF!</definedName>
    <definedName name="QN_QI">[2]TARIF2002!#REF!</definedName>
    <definedName name="QNS" localSheetId="5">[5]TARIF2002!#REF!</definedName>
    <definedName name="QNS" localSheetId="7">[6]TARIF2002!#REF!</definedName>
    <definedName name="QNS" localSheetId="3">[5]TARIF2002!#REF!</definedName>
    <definedName name="QNS">[6]TARIF2002!#REF!</definedName>
    <definedName name="REG" localSheetId="5">#REF!</definedName>
    <definedName name="REG" localSheetId="2">#REF!</definedName>
    <definedName name="REG" localSheetId="7">#REF!</definedName>
    <definedName name="REG" localSheetId="3">#REF!</definedName>
    <definedName name="REG">#REF!</definedName>
    <definedName name="REGULAR" localSheetId="5">#REF!</definedName>
    <definedName name="REGULAR" localSheetId="2">#REF!</definedName>
    <definedName name="REGULAR" localSheetId="7">#REF!</definedName>
    <definedName name="REGULAR" localSheetId="3">#REF!</definedName>
    <definedName name="REGULAR">#REF!</definedName>
    <definedName name="SOL" localSheetId="5">#REF!</definedName>
    <definedName name="SOL" localSheetId="2">#REF!</definedName>
    <definedName name="SOL" localSheetId="7">#REF!</definedName>
    <definedName name="SOL" localSheetId="3">#REF!</definedName>
    <definedName name="SOL">#REF!</definedName>
    <definedName name="TABLE" localSheetId="5">BIODIESEL!$A$2:$A$24</definedName>
    <definedName name="TABLE" localSheetId="2">'COMBUSTIBLES '!$A$2:$G$21</definedName>
    <definedName name="TABLE" localSheetId="3">'GASOLINA CORRIENTE '!$A$2:$C$23</definedName>
    <definedName name="TE" localSheetId="5">[7]TARIF2002!#REF!</definedName>
    <definedName name="TE" localSheetId="2">[8]TARIF2002!#REF!</definedName>
    <definedName name="TE" localSheetId="7">[2]TARIF2002!#REF!</definedName>
    <definedName name="TE" localSheetId="3">[7]TARIF2002!#REF!</definedName>
    <definedName name="TE">[2]TARIF2002!#REF!</definedName>
    <definedName name="TI" localSheetId="5">[7]TARIF2002!#REF!</definedName>
    <definedName name="TI" localSheetId="2">[8]TARIF2002!#REF!</definedName>
    <definedName name="TI" localSheetId="7">[2]TARIF2002!#REF!</definedName>
    <definedName name="TI" localSheetId="3">[7]TARIF2002!#REF!</definedName>
    <definedName name="TI">[2]TARIF2002!#REF!</definedName>
    <definedName name="TITU" localSheetId="5">#REF!</definedName>
    <definedName name="TITU" localSheetId="2">#REF!</definedName>
    <definedName name="TITU" localSheetId="7">#REF!</definedName>
    <definedName name="TITU" localSheetId="3">#REF!</definedName>
    <definedName name="TITU">#REF!</definedName>
    <definedName name="TOT" localSheetId="5">#REF!</definedName>
    <definedName name="TOT" localSheetId="2">#REF!</definedName>
    <definedName name="TOT" localSheetId="7">#REF!</definedName>
    <definedName name="TOT" localSheetId="3">#REF!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140" l="1"/>
  <c r="H18" i="140" s="1"/>
  <c r="K18" i="140" s="1"/>
  <c r="D18" i="140"/>
  <c r="G18" i="140" s="1"/>
  <c r="J18" i="140" s="1"/>
  <c r="K15" i="140"/>
  <c r="J15" i="140"/>
  <c r="H15" i="140"/>
  <c r="I15" i="140" s="1"/>
  <c r="F15" i="140"/>
  <c r="G15" i="140" s="1"/>
  <c r="D15" i="140"/>
  <c r="E15" i="140" s="1"/>
  <c r="B15" i="140"/>
  <c r="C15" i="140" s="1"/>
  <c r="K13" i="140"/>
  <c r="J13" i="140"/>
  <c r="I13" i="140"/>
  <c r="H13" i="140"/>
  <c r="G13" i="140"/>
  <c r="F13" i="140"/>
  <c r="E13" i="140"/>
  <c r="D13" i="140"/>
  <c r="C13" i="140"/>
  <c r="B13" i="140"/>
  <c r="A13" i="140"/>
  <c r="V11" i="140"/>
  <c r="U11" i="140"/>
  <c r="T11" i="140"/>
  <c r="S11" i="140"/>
  <c r="I10" i="140"/>
  <c r="H10" i="140"/>
  <c r="G10" i="140"/>
  <c r="D10" i="140"/>
  <c r="E10" i="140" s="1"/>
  <c r="I9" i="140"/>
  <c r="H9" i="140"/>
  <c r="G9" i="140"/>
  <c r="E9" i="140"/>
  <c r="D9" i="140"/>
  <c r="I8" i="140"/>
  <c r="G8" i="140"/>
  <c r="F8" i="140"/>
  <c r="F9" i="140" s="1"/>
  <c r="E8" i="140"/>
  <c r="C8" i="140"/>
  <c r="B8" i="140"/>
  <c r="B9" i="140" s="1"/>
  <c r="J7" i="140"/>
  <c r="A40" i="140" s="1"/>
  <c r="I7" i="140"/>
  <c r="A39" i="140" s="1"/>
  <c r="G7" i="140"/>
  <c r="A38" i="140" s="1"/>
  <c r="E7" i="140"/>
  <c r="A36" i="140" s="1"/>
  <c r="C7" i="140"/>
  <c r="A37" i="140" s="1"/>
  <c r="G7" i="139"/>
  <c r="E18" i="139"/>
  <c r="H18" i="139" s="1"/>
  <c r="K18" i="139" s="1"/>
  <c r="D18" i="139"/>
  <c r="C18" i="139" s="1"/>
  <c r="K15" i="139"/>
  <c r="J15" i="139"/>
  <c r="H15" i="139"/>
  <c r="I15" i="139" s="1"/>
  <c r="F15" i="139"/>
  <c r="G15" i="139" s="1"/>
  <c r="D15" i="139"/>
  <c r="E15" i="139" s="1"/>
  <c r="B15" i="139"/>
  <c r="C15" i="139" s="1"/>
  <c r="K13" i="139"/>
  <c r="J13" i="139"/>
  <c r="I13" i="139"/>
  <c r="H13" i="139"/>
  <c r="G13" i="139"/>
  <c r="F13" i="139"/>
  <c r="E13" i="139"/>
  <c r="D13" i="139"/>
  <c r="C13" i="139"/>
  <c r="B13" i="139"/>
  <c r="A13" i="139"/>
  <c r="V11" i="139"/>
  <c r="U11" i="139"/>
  <c r="T11" i="139"/>
  <c r="S11" i="139"/>
  <c r="I10" i="139"/>
  <c r="H10" i="139"/>
  <c r="G10" i="139"/>
  <c r="D10" i="139"/>
  <c r="E10" i="139" s="1"/>
  <c r="H9" i="139"/>
  <c r="D9" i="139"/>
  <c r="J8" i="139"/>
  <c r="I8" i="139"/>
  <c r="G8" i="139"/>
  <c r="G9" i="139" s="1"/>
  <c r="E8" i="139"/>
  <c r="E9" i="139" s="1"/>
  <c r="C8" i="139"/>
  <c r="C9" i="139" s="1"/>
  <c r="B8" i="139"/>
  <c r="B9" i="139" s="1"/>
  <c r="J7" i="139"/>
  <c r="K7" i="139" s="1"/>
  <c r="K9" i="139" s="1"/>
  <c r="I7" i="139"/>
  <c r="A39" i="139" s="1"/>
  <c r="A38" i="139"/>
  <c r="E7" i="139"/>
  <c r="A36" i="139" s="1"/>
  <c r="C7" i="139"/>
  <c r="A37" i="139" s="1"/>
  <c r="I7" i="138"/>
  <c r="K7" i="140" l="1"/>
  <c r="K9" i="140" s="1"/>
  <c r="C9" i="140"/>
  <c r="A43" i="140"/>
  <c r="B43" i="140" s="1"/>
  <c r="J6" i="140" s="1"/>
  <c r="B40" i="140" s="1"/>
  <c r="F10" i="140"/>
  <c r="B10" i="140"/>
  <c r="B18" i="140"/>
  <c r="J9" i="140"/>
  <c r="C18" i="140"/>
  <c r="K8" i="140"/>
  <c r="C10" i="140"/>
  <c r="F18" i="140"/>
  <c r="I18" i="140" s="1"/>
  <c r="J8" i="140"/>
  <c r="I9" i="139"/>
  <c r="J9" i="139"/>
  <c r="A43" i="139"/>
  <c r="B43" i="139" s="1"/>
  <c r="F10" i="139"/>
  <c r="B10" i="139"/>
  <c r="F8" i="139"/>
  <c r="F9" i="139" s="1"/>
  <c r="B18" i="139"/>
  <c r="K8" i="139"/>
  <c r="C10" i="139"/>
  <c r="F18" i="139"/>
  <c r="I18" i="139" s="1"/>
  <c r="G18" i="139"/>
  <c r="J18" i="139" s="1"/>
  <c r="A40" i="139"/>
  <c r="E18" i="138"/>
  <c r="H18" i="138" s="1"/>
  <c r="K18" i="138" s="1"/>
  <c r="D18" i="138"/>
  <c r="G18" i="138" s="1"/>
  <c r="J18" i="138" s="1"/>
  <c r="C18" i="138"/>
  <c r="B18" i="138"/>
  <c r="K15" i="138"/>
  <c r="J15" i="138"/>
  <c r="H15" i="138"/>
  <c r="I15" i="138" s="1"/>
  <c r="F15" i="138"/>
  <c r="G15" i="138" s="1"/>
  <c r="D15" i="138"/>
  <c r="E15" i="138" s="1"/>
  <c r="C15" i="138"/>
  <c r="B15" i="138"/>
  <c r="K13" i="138"/>
  <c r="J13" i="138"/>
  <c r="I13" i="138"/>
  <c r="H13" i="138"/>
  <c r="G13" i="138"/>
  <c r="F13" i="138"/>
  <c r="E13" i="138"/>
  <c r="D13" i="138"/>
  <c r="C13" i="138"/>
  <c r="B13" i="138"/>
  <c r="A13" i="138"/>
  <c r="V11" i="138"/>
  <c r="U11" i="138"/>
  <c r="T11" i="138"/>
  <c r="S11" i="138"/>
  <c r="I10" i="138"/>
  <c r="H10" i="138"/>
  <c r="G10" i="138"/>
  <c r="D10" i="138"/>
  <c r="E10" i="138" s="1"/>
  <c r="I9" i="138"/>
  <c r="H9" i="138"/>
  <c r="J8" i="138"/>
  <c r="I8" i="138"/>
  <c r="G8" i="138"/>
  <c r="G9" i="138" s="1"/>
  <c r="F8" i="138"/>
  <c r="F9" i="138" s="1"/>
  <c r="E8" i="138"/>
  <c r="C8" i="138"/>
  <c r="B8" i="138"/>
  <c r="B9" i="138" s="1"/>
  <c r="J7" i="138"/>
  <c r="A40" i="138" s="1"/>
  <c r="A39" i="138"/>
  <c r="G7" i="138"/>
  <c r="A38" i="138" s="1"/>
  <c r="D9" i="138"/>
  <c r="C7" i="138"/>
  <c r="A37" i="138" s="1"/>
  <c r="D54" i="121"/>
  <c r="V37" i="122"/>
  <c r="J7" i="121" s="1"/>
  <c r="J31" i="121" s="1"/>
  <c r="D31" i="121"/>
  <c r="U88" i="122"/>
  <c r="U93" i="122"/>
  <c r="U92" i="122"/>
  <c r="U91" i="122"/>
  <c r="U90" i="122"/>
  <c r="U89" i="122"/>
  <c r="U87" i="122"/>
  <c r="D56" i="121"/>
  <c r="J18" i="137"/>
  <c r="I18" i="137"/>
  <c r="H18" i="137"/>
  <c r="K18" i="137" s="1"/>
  <c r="K15" i="137"/>
  <c r="J15" i="137"/>
  <c r="H15" i="137"/>
  <c r="I15" i="137" s="1"/>
  <c r="F15" i="137"/>
  <c r="G15" i="137" s="1"/>
  <c r="D15" i="137"/>
  <c r="E15" i="137" s="1"/>
  <c r="C15" i="137"/>
  <c r="B15" i="137"/>
  <c r="K13" i="137"/>
  <c r="J13" i="137"/>
  <c r="I13" i="137"/>
  <c r="H13" i="137"/>
  <c r="G13" i="137"/>
  <c r="F13" i="137"/>
  <c r="E13" i="137"/>
  <c r="D13" i="137"/>
  <c r="C13" i="137"/>
  <c r="B13" i="137"/>
  <c r="F54" i="121"/>
  <c r="E54" i="121"/>
  <c r="F31" i="121"/>
  <c r="E31" i="121"/>
  <c r="F7" i="121"/>
  <c r="E7" i="121"/>
  <c r="D7" i="121"/>
  <c r="D14" i="95"/>
  <c r="C14" i="95"/>
  <c r="C13" i="95"/>
  <c r="D13" i="95"/>
  <c r="D11" i="1"/>
  <c r="C11" i="1"/>
  <c r="K6" i="140" l="1"/>
  <c r="I6" i="140"/>
  <c r="B39" i="140" s="1"/>
  <c r="D6" i="140"/>
  <c r="B36" i="140" s="1"/>
  <c r="B6" i="140"/>
  <c r="B37" i="140" s="1"/>
  <c r="C6" i="140"/>
  <c r="F6" i="140"/>
  <c r="B38" i="140" s="1"/>
  <c r="G6" i="140"/>
  <c r="H6" i="140"/>
  <c r="E6" i="140"/>
  <c r="A4" i="140"/>
  <c r="D6" i="139"/>
  <c r="B36" i="139" s="1"/>
  <c r="K6" i="139"/>
  <c r="C6" i="139"/>
  <c r="B6" i="139"/>
  <c r="B37" i="139" s="1"/>
  <c r="A4" i="139"/>
  <c r="J6" i="139"/>
  <c r="B40" i="139" s="1"/>
  <c r="I6" i="139"/>
  <c r="B39" i="139" s="1"/>
  <c r="H6" i="139"/>
  <c r="G6" i="139"/>
  <c r="F6" i="139"/>
  <c r="B38" i="139" s="1"/>
  <c r="E6" i="139"/>
  <c r="J9" i="138"/>
  <c r="C9" i="138"/>
  <c r="K7" i="138"/>
  <c r="K9" i="138" s="1"/>
  <c r="F10" i="138"/>
  <c r="B10" i="138"/>
  <c r="E7" i="138"/>
  <c r="K8" i="138"/>
  <c r="C10" i="138"/>
  <c r="F18" i="138"/>
  <c r="I18" i="138" s="1"/>
  <c r="F33" i="121"/>
  <c r="E33" i="121"/>
  <c r="D33" i="121"/>
  <c r="F9" i="121"/>
  <c r="E9" i="121"/>
  <c r="D9" i="121"/>
  <c r="F14" i="4"/>
  <c r="E14" i="4"/>
  <c r="D14" i="4"/>
  <c r="C14" i="4"/>
  <c r="F12" i="4"/>
  <c r="E12" i="4"/>
  <c r="D12" i="4"/>
  <c r="C12" i="4"/>
  <c r="G10" i="4"/>
  <c r="F10" i="4"/>
  <c r="E10" i="4"/>
  <c r="D10" i="4"/>
  <c r="C10" i="4"/>
  <c r="E8" i="1"/>
  <c r="D8" i="1"/>
  <c r="C8" i="1"/>
  <c r="B8" i="1"/>
  <c r="C14" i="46"/>
  <c r="C13" i="46"/>
  <c r="V92" i="122"/>
  <c r="V91" i="122"/>
  <c r="E13" i="1" s="1"/>
  <c r="V90" i="122"/>
  <c r="V89" i="122"/>
  <c r="C13" i="116" s="1"/>
  <c r="V88" i="122"/>
  <c r="V87" i="122"/>
  <c r="V68" i="122"/>
  <c r="V67" i="122"/>
  <c r="V66" i="122"/>
  <c r="V33" i="122"/>
  <c r="B11" i="1" s="1"/>
  <c r="V153" i="122"/>
  <c r="V150" i="122"/>
  <c r="D11" i="95"/>
  <c r="C11" i="95"/>
  <c r="E11" i="1"/>
  <c r="C7" i="116"/>
  <c r="V86" i="122"/>
  <c r="V65" i="122"/>
  <c r="V32" i="122"/>
  <c r="V38" i="122"/>
  <c r="V36" i="122"/>
  <c r="V35" i="122"/>
  <c r="V34" i="122"/>
  <c r="AQ3" i="122"/>
  <c r="AQ4" i="122" s="1"/>
  <c r="AQ5" i="122" s="1"/>
  <c r="AQ6" i="122" s="1"/>
  <c r="AQ7" i="122" s="1"/>
  <c r="AQ8" i="122" s="1"/>
  <c r="AQ9" i="122" s="1"/>
  <c r="AQ10" i="122" s="1"/>
  <c r="AQ11" i="122" s="1"/>
  <c r="AQ12" i="122" s="1"/>
  <c r="AQ13" i="122" s="1"/>
  <c r="AQ2" i="122"/>
  <c r="N94" i="122"/>
  <c r="E9" i="138" l="1"/>
  <c r="A36" i="138"/>
  <c r="A43" i="138" s="1"/>
  <c r="B43" i="138" s="1"/>
  <c r="B13" i="1"/>
  <c r="C13" i="1"/>
  <c r="D13" i="116"/>
  <c r="D13" i="1"/>
  <c r="C11" i="46"/>
  <c r="S27" i="122"/>
  <c r="P113" i="130"/>
  <c r="P112" i="130"/>
  <c r="P111" i="130"/>
  <c r="G6" i="138" l="1"/>
  <c r="F6" i="138"/>
  <c r="B38" i="138" s="1"/>
  <c r="K6" i="138"/>
  <c r="E6" i="138"/>
  <c r="D6" i="138"/>
  <c r="B36" i="138" s="1"/>
  <c r="C6" i="138"/>
  <c r="B6" i="138"/>
  <c r="B37" i="138" s="1"/>
  <c r="J6" i="138"/>
  <c r="B40" i="138" s="1"/>
  <c r="A4" i="138"/>
  <c r="I6" i="138"/>
  <c r="B39" i="138" s="1"/>
  <c r="H6" i="138"/>
  <c r="T93" i="122"/>
  <c r="T89" i="122"/>
  <c r="T91" i="122"/>
  <c r="D7" i="137"/>
  <c r="D9" i="137" s="1"/>
  <c r="C7" i="137"/>
  <c r="E18" i="137"/>
  <c r="F18" i="137" s="1"/>
  <c r="D18" i="137"/>
  <c r="G18" i="137" s="1"/>
  <c r="A13" i="137"/>
  <c r="V11" i="137"/>
  <c r="U11" i="137"/>
  <c r="T11" i="137"/>
  <c r="S11" i="137"/>
  <c r="H9" i="137"/>
  <c r="I8" i="137"/>
  <c r="G8" i="137"/>
  <c r="E8" i="137"/>
  <c r="C8" i="137"/>
  <c r="C9" i="137" s="1"/>
  <c r="B8" i="137"/>
  <c r="B9" i="137" s="1"/>
  <c r="J7" i="137"/>
  <c r="K7" i="137" s="1"/>
  <c r="K9" i="137" s="1"/>
  <c r="I7" i="137"/>
  <c r="A39" i="137" s="1"/>
  <c r="G7" i="137"/>
  <c r="A38" i="137" s="1"/>
  <c r="E7" i="137"/>
  <c r="A37" i="137" s="1"/>
  <c r="E9" i="137" l="1"/>
  <c r="G9" i="137"/>
  <c r="B18" i="137"/>
  <c r="I9" i="137"/>
  <c r="J9" i="137"/>
  <c r="A36" i="137"/>
  <c r="A43" i="137" s="1"/>
  <c r="B43" i="137" s="1"/>
  <c r="F8" i="137"/>
  <c r="F9" i="137" s="1"/>
  <c r="J8" i="137"/>
  <c r="K8" i="137"/>
  <c r="C18" i="137"/>
  <c r="A40" i="137"/>
  <c r="T68" i="122"/>
  <c r="G6" i="137" l="1"/>
  <c r="E6" i="137"/>
  <c r="B6" i="137"/>
  <c r="B37" i="137" s="1"/>
  <c r="J6" i="137"/>
  <c r="B40" i="137" s="1"/>
  <c r="F6" i="137"/>
  <c r="B38" i="137" s="1"/>
  <c r="D6" i="137"/>
  <c r="B36" i="137" s="1"/>
  <c r="C6" i="137"/>
  <c r="A4" i="137"/>
  <c r="K6" i="137"/>
  <c r="I6" i="137"/>
  <c r="B39" i="137" s="1"/>
  <c r="H6" i="137"/>
  <c r="V57" i="131" l="1"/>
  <c r="V58" i="131" s="1"/>
  <c r="F53" i="121" l="1"/>
  <c r="P83" i="130" l="1"/>
  <c r="P82" i="130"/>
  <c r="P81" i="130"/>
  <c r="P80" i="130"/>
  <c r="P62" i="131" l="1"/>
  <c r="P61"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1" i="131"/>
  <c r="P10" i="131"/>
  <c r="P4" i="131"/>
  <c r="P79" i="130"/>
  <c r="P76" i="130"/>
  <c r="P75" i="130"/>
  <c r="P74" i="130"/>
  <c r="P73" i="130"/>
  <c r="P78" i="130" s="1"/>
  <c r="P72" i="130"/>
  <c r="P77" i="130" s="1"/>
  <c r="P71" i="130"/>
  <c r="P70" i="130"/>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38" i="130"/>
  <c r="P37" i="130"/>
  <c r="P22" i="130"/>
  <c r="U50" i="131"/>
  <c r="U51" i="131" s="1"/>
  <c r="V18" i="131"/>
  <c r="V19" i="131" s="1"/>
  <c r="V20" i="131" s="1"/>
  <c r="V21" i="131" s="1"/>
  <c r="V22" i="131" s="1"/>
  <c r="V23" i="131" s="1"/>
  <c r="V24" i="131" s="1"/>
  <c r="V25" i="131" s="1"/>
  <c r="V26" i="131" s="1"/>
  <c r="V27" i="131" s="1"/>
  <c r="V28" i="131" s="1"/>
  <c r="V29" i="131" s="1"/>
  <c r="V30" i="131" s="1"/>
  <c r="V31" i="131" s="1"/>
  <c r="V32" i="131" s="1"/>
  <c r="V33" i="131" s="1"/>
  <c r="V34" i="131" s="1"/>
  <c r="V35" i="131" s="1"/>
  <c r="V36" i="131" s="1"/>
  <c r="V37" i="131" s="1"/>
  <c r="U2" i="131"/>
  <c r="U52" i="131" s="1"/>
  <c r="U85" i="130"/>
  <c r="U86" i="130" s="1"/>
  <c r="U46" i="130"/>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U75" i="130" s="1"/>
  <c r="U76"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U91" i="130" l="1"/>
  <c r="U88" i="130" s="1"/>
  <c r="U89" i="130" s="1"/>
  <c r="U94" i="130"/>
  <c r="V35" i="130"/>
  <c r="V36" i="130" s="1"/>
  <c r="V37" i="130" s="1"/>
  <c r="V38" i="130" s="1"/>
  <c r="V39" i="130" s="1"/>
  <c r="V40" i="130" s="1"/>
  <c r="V41" i="130" s="1"/>
  <c r="V42" i="130" s="1"/>
  <c r="V43" i="130" s="1"/>
  <c r="V34" i="130"/>
  <c r="U35" i="130"/>
  <c r="U36" i="130" s="1"/>
  <c r="U37" i="130" s="1"/>
  <c r="U38" i="130" s="1"/>
  <c r="U39" i="130" s="1"/>
  <c r="U40" i="130" s="1"/>
  <c r="U41" i="130" s="1"/>
  <c r="U42" i="130" s="1"/>
  <c r="U43" i="130" s="1"/>
  <c r="U34" i="130"/>
  <c r="V39" i="131"/>
  <c r="V40" i="131" s="1"/>
  <c r="V41" i="131" s="1"/>
  <c r="V42" i="131" s="1"/>
  <c r="V43" i="131" s="1"/>
  <c r="V44" i="131" s="1"/>
  <c r="V45" i="131" s="1"/>
  <c r="V46" i="131" s="1"/>
  <c r="V47" i="131" s="1"/>
  <c r="V48" i="131" s="1"/>
  <c r="V49" i="131" s="1"/>
  <c r="V38" i="131"/>
  <c r="U77" i="130"/>
  <c r="U78" i="130" s="1"/>
  <c r="U80" i="130"/>
  <c r="U81" i="130" s="1"/>
  <c r="U3" i="131"/>
  <c r="V45" i="130" l="1"/>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V75" i="130" s="1"/>
  <c r="V76" i="130" s="1"/>
  <c r="V77" i="130" s="1"/>
  <c r="V78" i="130" s="1"/>
  <c r="U79" i="130"/>
  <c r="U82" i="130"/>
  <c r="U83" i="130" s="1"/>
  <c r="U53" i="131"/>
  <c r="U4" i="131"/>
  <c r="U90" i="130"/>
  <c r="V52" i="131"/>
  <c r="V53" i="131" s="1"/>
  <c r="V54" i="131" s="1"/>
  <c r="V55" i="131" s="1"/>
  <c r="V56" i="131" s="1"/>
  <c r="V59" i="131" s="1"/>
  <c r="V60" i="131" s="1"/>
  <c r="V61" i="131" s="1"/>
  <c r="V62" i="131" s="1"/>
  <c r="V63" i="131" s="1"/>
  <c r="V50" i="131"/>
  <c r="V51" i="131" s="1"/>
  <c r="V80" i="130" l="1"/>
  <c r="V81" i="130" s="1"/>
  <c r="V85" i="130" s="1"/>
  <c r="V86" i="130" s="1"/>
  <c r="V79" i="130"/>
  <c r="V82" i="130"/>
  <c r="V83" i="130" s="1"/>
  <c r="U92" i="130"/>
  <c r="U93" i="130" s="1"/>
  <c r="U5" i="131"/>
  <c r="U57" i="131" s="1"/>
  <c r="U54" i="131"/>
  <c r="V91" i="130" l="1"/>
  <c r="V88" i="130" s="1"/>
  <c r="V94" i="130"/>
  <c r="U6" i="131"/>
  <c r="U58" i="131" s="1"/>
  <c r="U55" i="131"/>
  <c r="U87" i="130"/>
  <c r="U95" i="130" s="1"/>
  <c r="U96" i="130" s="1"/>
  <c r="U97" i="130" s="1"/>
  <c r="V89" i="130" l="1"/>
  <c r="U56" i="131"/>
  <c r="U7" i="131"/>
  <c r="V90" i="130" l="1"/>
  <c r="U59" i="131"/>
  <c r="U8" i="131"/>
  <c r="U9" i="131" s="1"/>
  <c r="V92" i="130" l="1"/>
  <c r="V93" i="130" s="1"/>
  <c r="U10" i="131"/>
  <c r="U60" i="131"/>
  <c r="V87" i="130" l="1"/>
  <c r="V95" i="130" s="1"/>
  <c r="V96" i="130" s="1"/>
  <c r="V97" i="130" s="1"/>
  <c r="U11" i="131"/>
  <c r="U61" i="131"/>
  <c r="U12" i="131" l="1"/>
  <c r="U62" i="131"/>
  <c r="U13" i="131" l="1"/>
  <c r="U63" i="131"/>
  <c r="U14" i="131" l="1"/>
  <c r="U15" i="131" l="1"/>
  <c r="U16" i="131" l="1"/>
  <c r="U17" i="131" l="1"/>
  <c r="B5" i="4" l="1"/>
  <c r="A2" i="95" l="1"/>
  <c r="A2" i="116" l="1"/>
  <c r="A2" i="46"/>
  <c r="A2" i="1"/>
  <c r="F9" i="4"/>
  <c r="E8" i="4"/>
  <c r="D8" i="4"/>
  <c r="S35" i="122" l="1"/>
  <c r="T35" i="122" s="1"/>
  <c r="S67" i="122"/>
  <c r="T67" i="122" s="1"/>
  <c r="S66" i="122"/>
  <c r="T66" i="122" s="1"/>
  <c r="D9" i="95"/>
  <c r="P107" i="130" l="1"/>
  <c r="P106" i="130"/>
  <c r="P105" i="130"/>
  <c r="P101" i="130"/>
  <c r="P100" i="130"/>
  <c r="P99" i="130"/>
  <c r="P96" i="130"/>
  <c r="P97" i="130"/>
  <c r="P58" i="131"/>
  <c r="P30" i="130"/>
  <c r="P17" i="130"/>
  <c r="P5" i="130"/>
  <c r="P12" i="131"/>
  <c r="P43" i="130"/>
  <c r="P15" i="130"/>
  <c r="P29" i="130"/>
  <c r="P28" i="130"/>
  <c r="P3" i="130"/>
  <c r="P41" i="130"/>
  <c r="P13" i="130"/>
  <c r="P63" i="131"/>
  <c r="P21" i="130"/>
  <c r="P16" i="131"/>
  <c r="P7" i="130"/>
  <c r="P60" i="131"/>
  <c r="P19" i="130"/>
  <c r="P31" i="130"/>
  <c r="P11" i="130"/>
  <c r="P9" i="130"/>
  <c r="P32" i="130"/>
  <c r="P14" i="131"/>
  <c r="O94" i="122" l="1"/>
  <c r="P94" i="122"/>
  <c r="Q94" i="122"/>
  <c r="R94" i="122"/>
  <c r="F8" i="4" l="1"/>
  <c r="E76" i="121" l="1"/>
  <c r="K11" i="95"/>
  <c r="C7" i="46" l="1"/>
  <c r="F7" i="116"/>
  <c r="D13" i="121" l="1"/>
  <c r="D29" i="121" l="1"/>
  <c r="B10" i="1" l="1"/>
  <c r="Q38" i="122" l="1"/>
  <c r="R38" i="122" s="1"/>
  <c r="S38" i="122" s="1"/>
  <c r="T38" i="122" s="1"/>
  <c r="Q37" i="122"/>
  <c r="R37" i="122" s="1"/>
  <c r="S37" i="122" s="1"/>
  <c r="T37" i="122" s="1"/>
  <c r="N153" i="122" l="1"/>
  <c r="O153" i="122" s="1"/>
  <c r="P153" i="122" s="1"/>
  <c r="Q153" i="122" s="1"/>
  <c r="R153" i="122" s="1"/>
  <c r="D30" i="121" l="1"/>
  <c r="C8" i="4"/>
  <c r="P95" i="130" l="1"/>
  <c r="P94" i="130"/>
  <c r="F30" i="121"/>
  <c r="E77" i="121" s="1"/>
  <c r="D77" i="121"/>
  <c r="E30" i="121"/>
  <c r="J30" i="121" l="1"/>
  <c r="N67" i="122" l="1"/>
  <c r="O67" i="122" s="1"/>
  <c r="P67" i="122" s="1"/>
  <c r="Q67" i="122" s="1"/>
  <c r="N68" i="122"/>
  <c r="O68" i="122" s="1"/>
  <c r="P68" i="122" s="1"/>
  <c r="Q68" i="122" s="1"/>
  <c r="N66" i="122"/>
  <c r="O66" i="122" s="1"/>
  <c r="P66" i="122" s="1"/>
  <c r="N36" i="122"/>
  <c r="O36" i="122" s="1"/>
  <c r="P36" i="122" s="1"/>
  <c r="Q36" i="122" s="1"/>
  <c r="R36" i="122" s="1"/>
  <c r="S36" i="122" s="1"/>
  <c r="T36" i="122" s="1"/>
  <c r="N35" i="122"/>
  <c r="O35" i="122" s="1"/>
  <c r="P35" i="122" s="1"/>
  <c r="N34" i="122"/>
  <c r="O34" i="122" s="1"/>
  <c r="P34" i="122" s="1"/>
  <c r="Q34" i="122" s="1"/>
  <c r="R34" i="122" s="1"/>
  <c r="S34" i="122" s="1"/>
  <c r="T34" i="122" s="1"/>
  <c r="N33" i="122"/>
  <c r="O33" i="122" s="1"/>
  <c r="P33" i="122" s="1"/>
  <c r="Q33" i="122" s="1"/>
  <c r="R33" i="122" s="1"/>
  <c r="S33" i="122" s="1"/>
  <c r="T33" i="122" s="1"/>
  <c r="C4" i="121" l="1"/>
  <c r="E58" i="121" l="1"/>
  <c r="F58" i="121" s="1"/>
  <c r="E57" i="121"/>
  <c r="F57" i="121" s="1"/>
  <c r="D55" i="121"/>
  <c r="E55" i="121" s="1"/>
  <c r="F55" i="121" s="1"/>
  <c r="E38" i="121"/>
  <c r="F38" i="121" s="1"/>
  <c r="G38" i="121" s="1"/>
  <c r="H38" i="121" s="1"/>
  <c r="E37" i="121"/>
  <c r="F37" i="121" s="1"/>
  <c r="J37" i="121" s="1"/>
  <c r="J34" i="121"/>
  <c r="G31" i="121"/>
  <c r="F29" i="121"/>
  <c r="E29" i="121"/>
  <c r="J10" i="121"/>
  <c r="D10" i="121"/>
  <c r="D34" i="121" s="1"/>
  <c r="E34" i="121" s="1"/>
  <c r="F34" i="121" s="1"/>
  <c r="G34" i="121" s="1"/>
  <c r="H34" i="121" s="1"/>
  <c r="I9" i="121"/>
  <c r="J9" i="121"/>
  <c r="E8" i="121"/>
  <c r="F8" i="121" s="1"/>
  <c r="I8" i="121" s="1"/>
  <c r="J8" i="121" s="1"/>
  <c r="D8" i="121"/>
  <c r="D6" i="121"/>
  <c r="C28" i="121"/>
  <c r="C51" i="121" s="1"/>
  <c r="E56" i="121" l="1"/>
  <c r="F56" i="121" s="1"/>
  <c r="J33" i="121"/>
  <c r="E6" i="121"/>
  <c r="J38" i="121"/>
  <c r="G37" i="121"/>
  <c r="H37" i="121" s="1"/>
  <c r="I7" i="121"/>
  <c r="E10" i="121"/>
  <c r="F10" i="121" s="1"/>
  <c r="D75" i="121" l="1"/>
  <c r="D73" i="121"/>
  <c r="F6" i="121"/>
  <c r="O75" i="121"/>
  <c r="H31" i="121"/>
  <c r="P88" i="130" l="1"/>
  <c r="P54" i="131"/>
  <c r="P91" i="130"/>
  <c r="P87" i="130"/>
  <c r="P90" i="130"/>
  <c r="P52" i="131"/>
  <c r="P89" i="130"/>
  <c r="P93" i="130"/>
  <c r="P53" i="131"/>
  <c r="P92" i="130"/>
  <c r="E73" i="121"/>
  <c r="F73" i="121" s="1"/>
  <c r="L73" i="121" s="1"/>
  <c r="J6" i="121"/>
  <c r="E74" i="121" s="1"/>
  <c r="E75" i="121"/>
  <c r="F75" i="121" s="1"/>
  <c r="I6" i="121"/>
  <c r="L75" i="121" l="1"/>
  <c r="F77" i="121" l="1"/>
  <c r="L77" i="121" l="1"/>
  <c r="I11" i="4" l="1"/>
  <c r="B6" i="95" l="1"/>
  <c r="D6" i="1" l="1"/>
  <c r="D7" i="116" l="1"/>
  <c r="B7" i="116"/>
  <c r="D18" i="4" l="1"/>
  <c r="D17" i="4"/>
  <c r="F16" i="4"/>
  <c r="G16" i="4" s="1"/>
  <c r="D11" i="4"/>
  <c r="C11" i="4"/>
  <c r="D9" i="4"/>
  <c r="A13" i="95"/>
  <c r="A12" i="95"/>
  <c r="A11" i="95"/>
  <c r="C7" i="95"/>
  <c r="C17" i="46"/>
  <c r="A13" i="46"/>
  <c r="C12" i="46"/>
  <c r="A12" i="46"/>
  <c r="A11" i="46"/>
  <c r="E20" i="1"/>
  <c r="E18" i="1"/>
  <c r="E15" i="1"/>
  <c r="C11" i="116"/>
  <c r="E10" i="1"/>
  <c r="D10" i="1"/>
  <c r="D10" i="116" s="1"/>
  <c r="C10" i="1"/>
  <c r="B6" i="1"/>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F17" i="4" l="1"/>
  <c r="G17" i="4" s="1"/>
  <c r="E17" i="4"/>
  <c r="F18" i="4"/>
  <c r="G18" i="4" s="1"/>
  <c r="E18" i="4"/>
  <c r="P34" i="130"/>
  <c r="P9" i="131"/>
  <c r="P55" i="131"/>
  <c r="C10" i="116"/>
  <c r="E11" i="4"/>
  <c r="F11" i="4"/>
  <c r="G11" i="4" s="1"/>
  <c r="P33" i="130"/>
  <c r="P3" i="131"/>
  <c r="P2" i="131"/>
  <c r="P39" i="130"/>
  <c r="P36" i="130"/>
  <c r="P7" i="131"/>
  <c r="P6" i="131"/>
  <c r="P35" i="130"/>
  <c r="P8" i="131"/>
  <c r="P5" i="131"/>
  <c r="G9" i="4"/>
  <c r="E9" i="4"/>
  <c r="D8" i="95"/>
  <c r="K13" i="95"/>
  <c r="G12" i="4"/>
  <c r="K10"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AI36" i="61"/>
  <c r="AI44" i="61"/>
  <c r="AH55" i="61"/>
  <c r="AI55" i="61" s="1"/>
  <c r="AH59" i="61"/>
  <c r="AI59" i="61" s="1"/>
  <c r="D40" i="121"/>
  <c r="C17" i="95"/>
  <c r="D17" i="95" s="1"/>
  <c r="G8" i="4"/>
  <c r="C15" i="4"/>
  <c r="C7" i="121"/>
  <c r="C31" i="121" s="1"/>
  <c r="C54" i="121" s="1"/>
  <c r="C8" i="121"/>
  <c r="C32" i="121" s="1"/>
  <c r="C55" i="121" s="1"/>
  <c r="C9" i="121"/>
  <c r="C33" i="121" s="1"/>
  <c r="C56" i="121" s="1"/>
  <c r="D16" i="116"/>
  <c r="C16" i="116"/>
  <c r="I12" i="4"/>
  <c r="I13" i="4" s="1"/>
  <c r="C8" i="116"/>
  <c r="D10" i="137"/>
  <c r="C6" i="1"/>
  <c r="B6" i="46"/>
  <c r="B6" i="116" s="1"/>
  <c r="C6" i="116" s="1"/>
  <c r="C6" i="46"/>
  <c r="C7" i="4"/>
  <c r="D11" i="116"/>
  <c r="P104" i="130" l="1"/>
  <c r="P103" i="130"/>
  <c r="P102" i="130"/>
  <c r="E10" i="137"/>
  <c r="C10" i="137"/>
  <c r="P57" i="131"/>
  <c r="P8" i="130"/>
  <c r="P27" i="130"/>
  <c r="P26" i="130"/>
  <c r="P4" i="130"/>
  <c r="P6" i="130"/>
  <c r="P25" i="130"/>
  <c r="P2" i="130"/>
  <c r="P15" i="131"/>
  <c r="P18" i="130"/>
  <c r="P40" i="130"/>
  <c r="P12" i="130"/>
  <c r="P10" i="130"/>
  <c r="P24" i="130"/>
  <c r="P59" i="131"/>
  <c r="P17" i="131"/>
  <c r="P42" i="130"/>
  <c r="P16" i="130"/>
  <c r="P23" i="130"/>
  <c r="P20" i="130"/>
  <c r="P13" i="131"/>
  <c r="P14" i="130"/>
  <c r="D15" i="4"/>
  <c r="E15" i="4"/>
  <c r="D10" i="95"/>
  <c r="D62" i="121"/>
  <c r="D12" i="121"/>
  <c r="D8" i="116"/>
  <c r="D6" i="116"/>
  <c r="D7" i="4"/>
  <c r="E7" i="4" s="1"/>
  <c r="E6" i="1"/>
  <c r="I10" i="137" l="1"/>
  <c r="G10" i="137"/>
  <c r="H10" i="137"/>
  <c r="F10" i="137"/>
  <c r="B10" i="137"/>
  <c r="F15" i="4"/>
  <c r="G14" i="4"/>
  <c r="F6" i="1"/>
  <c r="G6" i="1" s="1"/>
  <c r="H6" i="1"/>
  <c r="I6" i="1" s="1"/>
  <c r="D36" i="121"/>
  <c r="D39" i="121" s="1"/>
  <c r="E12" i="121"/>
  <c r="D74" i="121"/>
  <c r="F74" i="121" s="1"/>
  <c r="L74" i="121" s="1"/>
  <c r="D53" i="121"/>
  <c r="D76" i="121" s="1"/>
  <c r="F7" i="4"/>
  <c r="D6" i="95"/>
  <c r="C6" i="95"/>
  <c r="G7" i="4" l="1"/>
  <c r="E36" i="121"/>
  <c r="E39" i="121" s="1"/>
  <c r="I11" i="121"/>
  <c r="F12" i="121"/>
  <c r="O76" i="121"/>
  <c r="E53" i="121"/>
  <c r="D60" i="121"/>
  <c r="D61" i="121" s="1"/>
  <c r="P86" i="130" l="1"/>
  <c r="P85" i="130"/>
  <c r="P56" i="131"/>
  <c r="F36" i="121"/>
  <c r="F39" i="121" s="1"/>
  <c r="E60" i="121"/>
  <c r="E61" i="121" s="1"/>
  <c r="G36" i="121"/>
  <c r="G39" i="121" s="1"/>
  <c r="I12" i="121"/>
  <c r="F76" i="121"/>
  <c r="G15" i="4" l="1"/>
  <c r="H36" i="121"/>
  <c r="H39" i="121" s="1"/>
  <c r="J12" i="121"/>
  <c r="J36" i="121"/>
  <c r="J39" i="121" s="1"/>
  <c r="F60" i="121"/>
  <c r="F61" i="121" s="1"/>
  <c r="L76"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author>
  </authors>
  <commentList>
    <comment ref="T35" authorId="0" shapeId="0" xr:uid="{3912FD4A-326C-4B71-9C17-9172F84D00A9}">
      <text>
        <r>
          <rPr>
            <b/>
            <sz val="9"/>
            <color indexed="81"/>
            <rFont val="Tahoma"/>
            <family val="2"/>
          </rPr>
          <t>Helbert Martinez Puerto:</t>
        </r>
        <r>
          <rPr>
            <sz val="9"/>
            <color indexed="81"/>
            <rFont val="Tahoma"/>
            <family val="2"/>
          </rPr>
          <t xml:space="preserve">
El calculado dio 693,64 Vs el de resolución de 693,65</t>
        </r>
      </text>
    </comment>
    <comment ref="T37" authorId="0" shapeId="0" xr:uid="{027BAB04-3BC5-4071-9E1F-2E8CE0A0FCB0}">
      <text>
        <r>
          <rPr>
            <b/>
            <sz val="9"/>
            <color indexed="81"/>
            <rFont val="Tahoma"/>
            <family val="2"/>
          </rPr>
          <t>Helbert Martinez Puerto:</t>
        </r>
        <r>
          <rPr>
            <sz val="9"/>
            <color indexed="81"/>
            <rFont val="Tahoma"/>
            <family val="2"/>
          </rPr>
          <t xml:space="preserve">
el calculado dio 679,78 vs el de resolución de 679,77</t>
        </r>
      </text>
    </comment>
    <comment ref="T38" authorId="0" shapeId="0" xr:uid="{41D2E9CE-009F-41E6-ADBA-532C617520AB}">
      <text>
        <r>
          <rPr>
            <b/>
            <sz val="9"/>
            <color indexed="81"/>
            <rFont val="Tahoma"/>
            <family val="2"/>
          </rPr>
          <t>Helbert Martinez Puerto:</t>
        </r>
        <r>
          <rPr>
            <sz val="9"/>
            <color indexed="81"/>
            <rFont val="Tahoma"/>
            <family val="2"/>
          </rPr>
          <t xml:space="preserve">
el calculado dio 884,08 vs el de resolución de 884,07</t>
        </r>
      </text>
    </comment>
    <comment ref="L64" authorId="1" shapeId="0" xr:uid="{00000000-0006-0000-0200-000001000000}">
      <text>
        <r>
          <rPr>
            <b/>
            <sz val="10"/>
            <color indexed="81"/>
            <rFont val="Tahoma"/>
            <family val="2"/>
          </rPr>
          <t>Resolución DIAN 00004 de Feb 2017</t>
        </r>
      </text>
    </comment>
    <comment ref="N67" authorId="1" shapeId="0" xr:uid="{00000000-0006-0000-0200-000002000000}">
      <text>
        <r>
          <rPr>
            <b/>
            <sz val="10"/>
            <color indexed="81"/>
            <rFont val="Tahoma"/>
            <family val="2"/>
          </rPr>
          <t>La resolución dice 1063,09</t>
        </r>
      </text>
    </comment>
    <comment ref="O68" authorId="1" shapeId="0" xr:uid="{00000000-0006-0000-0200-000003000000}">
      <text>
        <r>
          <rPr>
            <sz val="10"/>
            <color indexed="81"/>
            <rFont val="Tahoma"/>
            <family val="2"/>
          </rPr>
          <t>La Resolución DIAN  000009 28 FEB19 indicó 686,84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<sst xmlns="http://schemas.openxmlformats.org/spreadsheetml/2006/main" count="2223" uniqueCount="424">
  <si>
    <t>($/Galón)</t>
  </si>
  <si>
    <t>ITEM</t>
  </si>
  <si>
    <t> </t>
  </si>
  <si>
    <t>Ingreso al productor</t>
  </si>
  <si>
    <t>Margen mayorista</t>
  </si>
  <si>
    <t>Precio de venta en planta de abasto mayorista</t>
  </si>
  <si>
    <t>Margen minorista</t>
  </si>
  <si>
    <t>Pérdida evaporación</t>
  </si>
  <si>
    <t>Sobretasa</t>
  </si>
  <si>
    <t>Precio de venta al público</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</si>
  <si>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</si>
  <si>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</si>
  <si>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</si>
  <si>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</si>
  <si>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</si>
  <si>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</si>
  <si>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</si>
  <si>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</si>
  <si>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</si>
  <si>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</si>
  <si>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</si>
  <si>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</si>
  <si>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</si>
  <si>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</si>
  <si>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</si>
  <si>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</si>
  <si>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</si>
  <si>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</si>
  <si>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</si>
  <si>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</si>
  <si>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</si>
  <si>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</si>
  <si>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</si>
  <si>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</si>
  <si>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</si>
  <si>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</si>
  <si>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</si>
  <si>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</si>
  <si>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</si>
  <si>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</si>
  <si>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</si>
  <si>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</si>
  <si>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</si>
  <si>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</si>
  <si>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</si>
  <si>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</si>
  <si>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</si>
  <si>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</si>
  <si>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</si>
  <si>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</si>
  <si>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</si>
  <si>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</si>
  <si>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</si>
  <si>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</si>
  <si>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</si>
  <si>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</si>
  <si>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</si>
  <si>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</si>
  <si>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</si>
  <si>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</si>
  <si>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</si>
  <si>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</si>
  <si>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</si>
  <si>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</si>
  <si>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</si>
  <si>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</si>
  <si>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</si>
  <si>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</si>
  <si>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</si>
  <si>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</si>
  <si>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</si>
  <si>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</si>
  <si>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</si>
  <si>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</si>
  <si>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</si>
  <si>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</si>
  <si>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</si>
  <si>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</si>
  <si>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</si>
  <si>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</si>
  <si>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</si>
  <si>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</si>
  <si>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</si>
  <si>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</si>
  <si>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</si>
  <si>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</si>
  <si>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</si>
  <si>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</si>
  <si>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</si>
  <si>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</si>
  <si>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</si>
  <si>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</si>
  <si>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</si>
  <si>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</si>
  <si>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</si>
  <si>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</si>
  <si>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</si>
  <si>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</si>
  <si>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</si>
  <si>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</si>
  <si>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</si>
  <si>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</si>
  <si>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</si>
  <si>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</si>
  <si>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</si>
  <si>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</si>
  <si>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</si>
  <si>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</si>
  <si>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</si>
  <si>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</si>
  <si>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</si>
  <si>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</si>
  <si>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</si>
  <si>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</si>
  <si>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</si>
  <si>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</si>
  <si>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</si>
  <si>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</si>
  <si>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</si>
  <si>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</si>
  <si>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</si>
  <si>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</si>
  <si>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</si>
  <si>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</si>
  <si>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</si>
  <si>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</si>
  <si>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</si>
  <si>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</si>
  <si>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</si>
  <si>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</si>
  <si>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</si>
  <si>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</si>
  <si>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</si>
  <si>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</si>
  <si>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</si>
  <si>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</si>
  <si>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</si>
  <si>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</si>
  <si>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</si>
  <si>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 xml:space="preserve"> </t>
  </si>
  <si>
    <t>Ingreso al productor de la mezcla de ACPM- Biocombustible (1) (Diesel y Diesel Marino)</t>
  </si>
  <si>
    <t>BIOCOMBUSTIBLE B100</t>
  </si>
  <si>
    <t>* No aplica para aquellos agentes que estén ubicados en Zonas de Frontera.</t>
  </si>
  <si>
    <t>Año 2011</t>
  </si>
  <si>
    <t>IPC Real 2010 BanRep</t>
  </si>
  <si>
    <t>Tarifa Vigente 1 Ene. a Dic. 31/11</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</si>
  <si>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</si>
  <si>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</si>
  <si>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</si>
  <si>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</si>
  <si>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</si>
  <si>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</si>
  <si>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</si>
  <si>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</si>
  <si>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</si>
  <si>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</si>
  <si>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</si>
  <si>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</si>
  <si>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</si>
  <si>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</si>
  <si>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</si>
  <si>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</si>
  <si>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</si>
  <si>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</si>
  <si>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</si>
  <si>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</si>
  <si>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</si>
  <si>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</si>
  <si>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</si>
  <si>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</si>
  <si>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</si>
  <si>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</si>
  <si>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</si>
  <si>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</si>
  <si>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</si>
  <si>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</si>
  <si>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</si>
  <si>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</si>
  <si>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</si>
  <si>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</si>
  <si>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</si>
  <si>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</si>
  <si>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</si>
  <si>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</si>
  <si>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</si>
  <si>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</si>
  <si>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</si>
  <si>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</si>
  <si>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</si>
  <si>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</si>
  <si>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</si>
  <si>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</si>
  <si>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</si>
  <si>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</si>
  <si>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</si>
  <si>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</si>
  <si>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</si>
  <si>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</si>
  <si>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</si>
  <si>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</si>
  <si>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</si>
  <si>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</si>
  <si>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</si>
  <si>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</si>
  <si>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</si>
  <si>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</si>
  <si>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</si>
  <si>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</si>
  <si>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</si>
  <si>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</si>
  <si>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</si>
  <si>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</si>
  <si>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</si>
  <si>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</si>
  <si>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</si>
  <si>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</si>
  <si>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</si>
  <si>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</si>
  <si>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</si>
  <si>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</si>
  <si>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</si>
  <si>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</si>
  <si>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</si>
  <si>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</si>
  <si>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</si>
  <si>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</si>
  <si>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</si>
  <si>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</si>
  <si>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</si>
  <si>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</si>
  <si>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</si>
  <si>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</si>
  <si>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</si>
  <si>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</si>
  <si>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</si>
  <si>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Año 2016</t>
  </si>
  <si>
    <t>IPC Real 2015 BanRep</t>
  </si>
  <si>
    <t>Ingreso al Productor de DIESEL para Grandes Consumidores Individuales no Intermediarios (GCINI) de Diesel y Diesel Marino</t>
  </si>
  <si>
    <t>Impuesto al carbono</t>
  </si>
  <si>
    <t>Fuel Oil</t>
  </si>
  <si>
    <t>Año 2017</t>
  </si>
  <si>
    <t>IPC Real 2016 BanRep</t>
  </si>
  <si>
    <r>
      <t xml:space="preserve">Impuesto Nacional a la Gasolina y al ACPM </t>
    </r>
    <r>
      <rPr>
        <vertAlign val="superscript"/>
        <sz val="11"/>
        <rFont val="Arial"/>
        <family val="2"/>
      </rPr>
      <t>(*)( c )</t>
    </r>
  </si>
  <si>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</si>
  <si>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</si>
  <si>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</si>
  <si>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</si>
  <si>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B2</t>
  </si>
  <si>
    <t>B2 SIN DESTINO A MEZCLA (B/VENTURA)</t>
  </si>
  <si>
    <t>DIESEL  (B/VENTURA)</t>
  </si>
  <si>
    <t>PRODUCTO</t>
  </si>
  <si>
    <t>Año 2018</t>
  </si>
  <si>
    <t>Año 2019</t>
  </si>
  <si>
    <t>ok</t>
  </si>
  <si>
    <t xml:space="preserve">Gasolina Corriente Base para Oxigenar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</si>
  <si>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</si>
  <si>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</si>
  <si>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</si>
  <si>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</si>
  <si>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</si>
  <si>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 xml:space="preserve"> B2  (con cupo y descuento)</t>
  </si>
  <si>
    <t>(*) Resolución 180324 de marzo 28 de 2003. La tarifa podrá ser consultada en la página de CENIT</t>
  </si>
  <si>
    <t>DMA SAN ANDRES</t>
  </si>
  <si>
    <t>por galón para gasolina motor corriente</t>
  </si>
  <si>
    <t>por galón para ACPM</t>
  </si>
  <si>
    <t>Medida estabilización del ingreso al productor Resolución Ministerio de Hacienda y Crédito Público</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</si>
  <si>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</si>
  <si>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</si>
  <si>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</si>
  <si>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</si>
  <si>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</si>
  <si>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</si>
  <si>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</si>
  <si>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</si>
  <si>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</si>
  <si>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</si>
  <si>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</si>
  <si>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</si>
  <si>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</si>
  <si>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</si>
  <si>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</si>
  <si>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</si>
  <si>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</si>
  <si>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IP B2</t>
  </si>
  <si>
    <t>N/A</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</si>
  <si>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</si>
  <si>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</si>
  <si>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</si>
  <si>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</si>
  <si>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</si>
  <si>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</si>
  <si>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</si>
  <si>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</si>
  <si>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</si>
  <si>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</si>
  <si>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</si>
  <si>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</si>
  <si>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</si>
  <si>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</si>
  <si>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Tarifa $/ton CO2</t>
  </si>
  <si>
    <t>*Se ajusta cada primero de Febrero</t>
  </si>
  <si>
    <t>**** Vigente a partir del 2 de enero de 2014. Resolución 90002 de 2014
**** Resolución 40391 del 15 Diciembre de 2021</t>
  </si>
  <si>
    <t>4. Sobretasa Gasolina ACPM</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</si>
  <si>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</si>
  <si>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</si>
  <si>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</si>
  <si>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</si>
  <si>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</si>
  <si>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</si>
  <si>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</si>
  <si>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</si>
  <si>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</si>
  <si>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</si>
  <si>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</si>
  <si>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</si>
  <si>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</si>
  <si>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</si>
  <si>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</si>
  <si>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</si>
  <si>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</si>
  <si>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</si>
  <si>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</si>
  <si>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</si>
  <si>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</si>
  <si>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</si>
  <si>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</si>
  <si>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</si>
  <si>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</si>
  <si>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</si>
  <si>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https://www.banrep.gov.co/es/junta-directiva-del-banco-republica-mantiene-meta-inflacion-3-para-2022</t>
  </si>
  <si>
    <t>Impuesto Nacional a la Gasolina y al ACPM</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</si>
  <si>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</si>
  <si>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</si>
  <si>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</si>
  <si>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</si>
  <si>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</si>
  <si>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</si>
  <si>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</si>
  <si>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</si>
  <si>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</si>
  <si>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</si>
  <si>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</si>
  <si>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En el año 2023 se ajusto a partir del 1 de Enero 2023 de acuerdo con la Ley 2277 Dic 2022</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</si>
  <si>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</si>
  <si>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</si>
  <si>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</si>
  <si>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</si>
  <si>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</si>
  <si>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</si>
  <si>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</si>
  <si>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</si>
  <si>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</si>
  <si>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</si>
  <si>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</si>
  <si>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</si>
  <si>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</si>
  <si>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</si>
  <si>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</si>
  <si>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</si>
  <si>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</si>
  <si>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</si>
  <si>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</si>
  <si>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</si>
  <si>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</si>
  <si>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</si>
  <si>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</si>
  <si>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</si>
  <si>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</si>
  <si>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</si>
  <si>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</si>
  <si>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</si>
  <si>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</si>
  <si>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</si>
  <si>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</si>
  <si>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</si>
  <si>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</si>
  <si>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</si>
  <si>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</si>
  <si>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</si>
  <si>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</si>
  <si>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</si>
  <si>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</si>
  <si>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</si>
  <si>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</si>
  <si>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</si>
  <si>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</si>
  <si>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</si>
  <si>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</si>
  <si>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</si>
  <si>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</si>
  <si>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</si>
  <si>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</si>
  <si>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</si>
  <si>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</si>
  <si>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</si>
  <si>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</si>
  <si>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</si>
  <si>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</si>
  <si>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</si>
  <si>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</si>
  <si>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01.09.2023</t>
  </si>
  <si>
    <t>C</t>
  </si>
  <si>
    <t>Z62</t>
  </si>
  <si>
    <t>04.11.2023</t>
  </si>
  <si>
    <t>30.11.2023</t>
  </si>
  <si>
    <t>01.11.2023</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</si>
  <si>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</si>
  <si>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10 de Enero de 2024</t>
  </si>
  <si>
    <t>16 de Enero de 2024</t>
  </si>
  <si>
    <t>22 de Enero de 2024</t>
  </si>
  <si>
    <t>( 3 )</t>
  </si>
  <si>
    <t>01.12.2023</t>
  </si>
  <si>
    <t>31.12.2023</t>
  </si>
  <si>
    <t>https://www.dane.gov.co/index.php/estadisticas-por-tema/precios-y-costos/indice-de-precios-al-consumidor-ipc/ipc-informacion-tecnica</t>
  </si>
  <si>
    <t>01 de Febrero de 2024</t>
  </si>
  <si>
    <t>AÑO DE ANALISIS</t>
  </si>
  <si>
    <t>(4)</t>
  </si>
  <si>
    <t xml:space="preserve">RECUPERACION DE COSTOS </t>
  </si>
  <si>
    <t>6 al 12 de febrero de 2024</t>
  </si>
  <si>
    <t>** Aplica para aquellos agentes que estén ubicados en Zonas de Frontera, según las tarifas que designe la UPME para cada sitio de zona de frontera.</t>
  </si>
  <si>
    <t>1 al 5 de Febrero de 2024</t>
  </si>
  <si>
    <t>13 al 19 de febrero de 2024</t>
  </si>
  <si>
    <t xml:space="preserve">(1) Estructura de precio para el ACPM que se utiliza con destino a mezcla con un % de biocombustible para uso de motores diesel. </t>
  </si>
  <si>
    <t>ACPM Base para Mezcla de cualquier porcentaje de Biocombustible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</si>
</sst>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_-;\-* #,##0_-;_-* &quot;-&quot;??_-;_-@_-"/>
    <numFmt numFmtId="179" formatCode="dd\.mm\.yyyy"/>
    <numFmt numFmtId="180" formatCode="[$-240A]d&quot; de &quot;mmmm&quot; de &quot;yyyy;@"/>
    <numFmt numFmtId="181" formatCode="0.000"/>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8"/>
      <color theme="0"/>
      <name val="Arial"/>
      <family val="2"/>
    </font>
    <font>
      <sz val="9"/>
      <color theme="0"/>
      <name val="Arial"/>
      <family val="2"/>
    </font>
    <font>
      <sz val="8"/>
      <color theme="0"/>
      <name val="Arial"/>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sz val="11"/>
      <color theme="1"/>
      <name val="Calibri"/>
      <family val="2"/>
    </font>
    <font>
      <sz val="11"/>
      <color theme="3"/>
      <name val="Arial"/>
      <family val="2"/>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b/>
      <sz val="12"/>
      <color rgb="FFFF0000"/>
      <name val="Calibri"/>
      <family val="2"/>
      <scheme val="minor"/>
    </font>
    <font>
      <sz val="11"/>
      <color rgb="FFC00000"/>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
      <sz val="11"/>
      <color theme="1"/>
      <name val="Arial"/>
      <family val="2"/>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s>
  <borders count="121">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rgb="FF92D050"/>
      </right>
      <top style="dotted">
        <color rgb="FF92D050"/>
      </top>
      <bottom style="dotted">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double">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tted">
        <color rgb="FF92D050"/>
      </left>
      <right style="double">
        <color rgb="FF92D050"/>
      </right>
      <top style="dotted">
        <color rgb="FF92D050"/>
      </top>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right style="double">
        <color rgb="FF92D050"/>
      </right>
      <top style="double">
        <color rgb="FF92D050"/>
      </top>
      <bottom style="dashed">
        <color rgb="FF92D050"/>
      </bottom>
      <diagonal/>
    </border>
    <border>
      <left/>
      <right style="double">
        <color rgb="FF92D050"/>
      </right>
      <top style="dashed">
        <color rgb="FF92D050"/>
      </top>
      <bottom style="dash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s>
  <cellStyleXfs count="37">
    <xf numFmtId="0" fontId="0" fillId="0" borderId="0"/>
    <xf numFmtId="0" fontId="5" fillId="0" borderId="0"/>
    <xf numFmtId="0" fontId="6" fillId="0" borderId="0"/>
    <xf numFmtId="0" fontId="5" fillId="0" borderId="0"/>
    <xf numFmtId="0" fontId="6" fillId="0" borderId="0"/>
    <xf numFmtId="0" fontId="7" fillId="0" borderId="0">
      <protection locked="0"/>
    </xf>
    <xf numFmtId="0" fontId="8" fillId="0" borderId="0">
      <protection locked="0"/>
    </xf>
    <xf numFmtId="0" fontId="8"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43" fontId="4" fillId="0" borderId="0" applyFont="0" applyFill="0" applyBorder="0" applyAlignment="0" applyProtection="0"/>
    <xf numFmtId="0" fontId="4" fillId="0" borderId="0" applyFont="0" applyFill="0" applyBorder="0" applyAlignment="0" applyProtection="0"/>
    <xf numFmtId="0" fontId="7" fillId="0" borderId="0">
      <protection locked="0"/>
    </xf>
    <xf numFmtId="37" fontId="9" fillId="0" borderId="0"/>
    <xf numFmtId="0" fontId="4" fillId="0" borderId="0"/>
    <xf numFmtId="0" fontId="4" fillId="0" borderId="0"/>
    <xf numFmtId="0" fontId="23" fillId="0" borderId="0"/>
    <xf numFmtId="166" fontId="14" fillId="0" borderId="0"/>
    <xf numFmtId="9" fontId="4" fillId="0" borderId="0" applyFont="0" applyFill="0" applyBorder="0" applyAlignment="0" applyProtection="0"/>
    <xf numFmtId="9" fontId="4" fillId="0" borderId="0" applyFont="0" applyFill="0" applyBorder="0" applyAlignment="0" applyProtection="0"/>
    <xf numFmtId="166" fontId="11" fillId="0" borderId="0">
      <alignment horizontal="left"/>
    </xf>
    <xf numFmtId="38" fontId="10" fillId="0" borderId="0"/>
    <xf numFmtId="0" fontId="7" fillId="0" borderId="1">
      <protection locked="0"/>
    </xf>
    <xf numFmtId="0" fontId="3" fillId="0" borderId="0"/>
    <xf numFmtId="41" fontId="63" fillId="0" borderId="0" applyFont="0" applyFill="0" applyBorder="0" applyAlignment="0" applyProtection="0"/>
    <xf numFmtId="42" fontId="67" fillId="0" borderId="0" applyFont="0" applyFill="0" applyBorder="0" applyAlignment="0" applyProtection="0"/>
    <xf numFmtId="0" fontId="73" fillId="0" borderId="0" applyNumberFormat="0" applyFill="0" applyBorder="0" applyAlignment="0" applyProtection="0"/>
    <xf numFmtId="44" fontId="81" fillId="0" borderId="0" applyFont="0" applyFill="0" applyBorder="0" applyAlignment="0" applyProtection="0"/>
    <xf numFmtId="0" fontId="2" fillId="0" borderId="0"/>
    <xf numFmtId="0" fontId="1" fillId="0" borderId="0"/>
  </cellStyleXfs>
  <cellXfs count="774">
    <xf numFmtId="0" fontId="0" fillId="0" borderId="0" xfId="0"/>
    <xf numFmtId="0" fontId="36"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164" fontId="15" fillId="2" borderId="0" xfId="0" applyNumberFormat="1" applyFont="1" applyFill="1" applyAlignment="1" applyProtection="1">
      <alignment vertical="center"/>
      <protection hidden="1"/>
    </xf>
    <xf numFmtId="2" fontId="15" fillId="2" borderId="0" xfId="0" applyNumberFormat="1" applyFont="1" applyFill="1" applyAlignment="1" applyProtection="1">
      <alignment vertical="center"/>
      <protection hidden="1"/>
    </xf>
    <xf numFmtId="0" fontId="15" fillId="0" borderId="0" xfId="0" applyFont="1" applyAlignment="1" applyProtection="1">
      <alignment vertical="center"/>
      <protection hidden="1"/>
    </xf>
    <xf numFmtId="0" fontId="15" fillId="12" borderId="0" xfId="0" applyFont="1" applyFill="1" applyAlignment="1" applyProtection="1">
      <alignment vertical="center"/>
      <protection hidden="1"/>
    </xf>
    <xf numFmtId="0" fontId="16" fillId="2" borderId="0" xfId="0" applyFont="1" applyFill="1" applyAlignment="1" applyProtection="1">
      <alignment vertical="center"/>
      <protection hidden="1"/>
    </xf>
    <xf numFmtId="0" fontId="21" fillId="0" borderId="0" xfId="0" applyFont="1" applyAlignment="1" applyProtection="1">
      <alignment vertical="center"/>
      <protection hidden="1"/>
    </xf>
    <xf numFmtId="0" fontId="16" fillId="0" borderId="0" xfId="0" applyFont="1" applyAlignment="1" applyProtection="1">
      <alignment horizontal="left" vertical="center" wrapText="1"/>
      <protection hidden="1"/>
    </xf>
    <xf numFmtId="43" fontId="16" fillId="2" borderId="0" xfId="17" applyFont="1" applyFill="1" applyBorder="1" applyAlignment="1" applyProtection="1">
      <alignment vertical="center" wrapText="1"/>
      <protection hidden="1"/>
    </xf>
    <xf numFmtId="0" fontId="12" fillId="0" borderId="0" xfId="0" applyFont="1" applyAlignment="1" applyProtection="1">
      <alignment vertical="center"/>
      <protection hidden="1"/>
    </xf>
    <xf numFmtId="0" fontId="34" fillId="0" borderId="0" xfId="0" applyFont="1" applyAlignment="1" applyProtection="1">
      <alignment horizontal="left" vertical="center"/>
      <protection hidden="1"/>
    </xf>
    <xf numFmtId="0" fontId="37" fillId="0" borderId="0" xfId="0" applyFont="1" applyAlignment="1" applyProtection="1">
      <alignment horizontal="center" vertical="center"/>
      <protection hidden="1"/>
    </xf>
    <xf numFmtId="0" fontId="34" fillId="0" borderId="0" xfId="0" applyFont="1" applyAlignment="1" applyProtection="1">
      <alignment vertical="center"/>
      <protection hidden="1"/>
    </xf>
    <xf numFmtId="0" fontId="16" fillId="2" borderId="0" xfId="0" applyFont="1" applyFill="1" applyAlignment="1" applyProtection="1">
      <alignment horizontal="left" vertical="center" wrapText="1"/>
      <protection hidden="1"/>
    </xf>
    <xf numFmtId="0" fontId="36" fillId="2" borderId="0" xfId="0" quotePrefix="1" applyFont="1" applyFill="1" applyAlignment="1" applyProtection="1">
      <alignment horizontal="left" vertical="center"/>
      <protection hidden="1"/>
    </xf>
    <xf numFmtId="4" fontId="35" fillId="2" borderId="0" xfId="0" applyNumberFormat="1" applyFont="1" applyFill="1" applyAlignment="1" applyProtection="1">
      <alignment horizontal="right" vertical="center"/>
      <protection hidden="1"/>
    </xf>
    <xf numFmtId="4" fontId="15" fillId="2" borderId="0" xfId="0" applyNumberFormat="1" applyFont="1" applyFill="1" applyAlignment="1" applyProtection="1">
      <alignment horizontal="right" vertical="center"/>
      <protection hidden="1"/>
    </xf>
    <xf numFmtId="0" fontId="37" fillId="2" borderId="0" xfId="0" applyFont="1" applyFill="1" applyAlignment="1" applyProtection="1">
      <alignment horizontal="centerContinuous" vertical="center"/>
      <protection hidden="1"/>
    </xf>
    <xf numFmtId="0" fontId="34" fillId="2" borderId="0" xfId="0" applyFont="1" applyFill="1" applyAlignment="1" applyProtection="1">
      <alignment horizontal="centerContinuous" vertical="center"/>
      <protection hidden="1"/>
    </xf>
    <xf numFmtId="4" fontId="15" fillId="2" borderId="0" xfId="0" applyNumberFormat="1" applyFont="1" applyFill="1" applyAlignment="1" applyProtection="1">
      <alignment vertical="center"/>
      <protection hidden="1"/>
    </xf>
    <xf numFmtId="0" fontId="34" fillId="2" borderId="0" xfId="0" applyFont="1" applyFill="1" applyAlignment="1" applyProtection="1">
      <alignment horizontal="fill" vertical="center" wrapText="1"/>
      <protection hidden="1"/>
    </xf>
    <xf numFmtId="0" fontId="15" fillId="2" borderId="0" xfId="0" applyFont="1" applyFill="1" applyAlignment="1" applyProtection="1">
      <alignment horizontal="fill" vertical="center" wrapText="1"/>
      <protection hidden="1"/>
    </xf>
    <xf numFmtId="0" fontId="39" fillId="12" borderId="0" xfId="0" applyFont="1" applyFill="1" applyAlignment="1" applyProtection="1">
      <alignment horizontal="left" vertical="center" wrapText="1"/>
      <protection hidden="1"/>
    </xf>
    <xf numFmtId="0" fontId="39" fillId="12" borderId="0" xfId="0" quotePrefix="1" applyFont="1" applyFill="1" applyAlignment="1" applyProtection="1">
      <alignment horizontal="left" vertical="center" wrapText="1"/>
      <protection hidden="1"/>
    </xf>
    <xf numFmtId="0" fontId="39" fillId="12" borderId="0" xfId="0" applyFont="1" applyFill="1" applyAlignment="1" applyProtection="1">
      <alignment vertical="center"/>
      <protection hidden="1"/>
    </xf>
    <xf numFmtId="0" fontId="36" fillId="0" borderId="0" xfId="0" applyFont="1" applyAlignment="1" applyProtection="1">
      <alignment vertical="center"/>
      <protection hidden="1"/>
    </xf>
    <xf numFmtId="0" fontId="36" fillId="12" borderId="0" xfId="0" applyFont="1" applyFill="1" applyAlignment="1" applyProtection="1">
      <alignment vertical="center"/>
      <protection hidden="1"/>
    </xf>
    <xf numFmtId="0" fontId="22" fillId="0" borderId="0" xfId="0" quotePrefix="1" applyFont="1" applyAlignment="1" applyProtection="1">
      <alignment horizontal="left" vertical="center"/>
      <protection hidden="1"/>
    </xf>
    <xf numFmtId="0" fontId="40" fillId="0" borderId="0" xfId="0" applyFont="1" applyAlignment="1" applyProtection="1">
      <alignment vertical="center"/>
      <protection hidden="1"/>
    </xf>
    <xf numFmtId="0" fontId="40"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15" fillId="12" borderId="0" xfId="0" applyFont="1" applyFill="1" applyAlignment="1" applyProtection="1">
      <alignment horizontal="center" vertical="center"/>
      <protection hidden="1"/>
    </xf>
    <xf numFmtId="0" fontId="35" fillId="5" borderId="31" xfId="0" applyFont="1" applyFill="1" applyBorder="1" applyAlignment="1" applyProtection="1">
      <alignment horizontal="center" vertical="center" wrapText="1"/>
      <protection hidden="1"/>
    </xf>
    <xf numFmtId="0" fontId="16" fillId="0" borderId="32" xfId="0" applyFont="1" applyBorder="1" applyAlignment="1" applyProtection="1">
      <alignment horizontal="left" vertical="center" wrapText="1"/>
      <protection hidden="1"/>
    </xf>
    <xf numFmtId="43" fontId="16" fillId="0" borderId="31" xfId="17" applyFont="1" applyFill="1" applyBorder="1" applyAlignment="1" applyProtection="1">
      <alignment vertical="center" wrapText="1"/>
      <protection hidden="1"/>
    </xf>
    <xf numFmtId="2" fontId="16" fillId="0" borderId="31" xfId="0" quotePrefix="1" applyNumberFormat="1" applyFont="1" applyBorder="1" applyAlignment="1" applyProtection="1">
      <alignment horizontal="right" vertical="center" wrapText="1"/>
      <protection hidden="1"/>
    </xf>
    <xf numFmtId="43" fontId="16" fillId="0" borderId="31" xfId="17" applyFont="1" applyFill="1" applyBorder="1" applyAlignment="1" applyProtection="1">
      <alignment horizontal="right" vertical="center" wrapText="1"/>
      <protection hidden="1"/>
    </xf>
    <xf numFmtId="0" fontId="16" fillId="0" borderId="33" xfId="0" applyFont="1" applyBorder="1" applyAlignment="1" applyProtection="1">
      <alignment horizontal="left" vertical="center" wrapText="1"/>
      <protection hidden="1"/>
    </xf>
    <xf numFmtId="43" fontId="16" fillId="0" borderId="35" xfId="17" applyFont="1" applyFill="1" applyBorder="1" applyAlignment="1" applyProtection="1">
      <alignment vertical="center" wrapText="1"/>
      <protection hidden="1"/>
    </xf>
    <xf numFmtId="0" fontId="16" fillId="0" borderId="36" xfId="0" applyFont="1" applyBorder="1" applyAlignment="1" applyProtection="1">
      <alignment horizontal="left" vertical="center" wrapText="1"/>
      <protection hidden="1"/>
    </xf>
    <xf numFmtId="15" fontId="36" fillId="5" borderId="34" xfId="0" quotePrefix="1" applyNumberFormat="1" applyFont="1" applyFill="1" applyBorder="1" applyAlignment="1" applyProtection="1">
      <alignment horizontal="center" vertical="center" wrapText="1"/>
      <protection hidden="1"/>
    </xf>
    <xf numFmtId="15" fontId="36" fillId="5" borderId="37" xfId="0" quotePrefix="1"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right" vertical="center" wrapText="1"/>
      <protection hidden="1"/>
    </xf>
    <xf numFmtId="43" fontId="16" fillId="0" borderId="34" xfId="17" applyFont="1" applyFill="1" applyBorder="1" applyAlignment="1" applyProtection="1">
      <alignment horizontal="right" vertical="center" wrapText="1"/>
      <protection hidden="1"/>
    </xf>
    <xf numFmtId="43" fontId="16" fillId="0" borderId="37" xfId="17" applyFont="1" applyFill="1" applyBorder="1" applyAlignment="1" applyProtection="1">
      <alignment horizontal="right" vertical="center" wrapText="1"/>
      <protection hidden="1"/>
    </xf>
    <xf numFmtId="0" fontId="41" fillId="5" borderId="39" xfId="0" applyFont="1" applyFill="1" applyBorder="1" applyAlignment="1" applyProtection="1">
      <alignment horizontal="center" vertical="center" wrapText="1"/>
      <protection hidden="1"/>
    </xf>
    <xf numFmtId="9" fontId="36" fillId="5" borderId="39" xfId="0" quotePrefix="1" applyNumberFormat="1" applyFont="1" applyFill="1" applyBorder="1" applyAlignment="1" applyProtection="1">
      <alignment horizontal="center" vertical="center" wrapText="1"/>
      <protection hidden="1"/>
    </xf>
    <xf numFmtId="43" fontId="17" fillId="0" borderId="31" xfId="17" applyFont="1" applyFill="1" applyBorder="1" applyAlignment="1" applyProtection="1">
      <alignment vertical="center" wrapText="1"/>
      <protection hidden="1"/>
    </xf>
    <xf numFmtId="0" fontId="26" fillId="0" borderId="0" xfId="0" applyFont="1" applyAlignment="1" applyProtection="1">
      <alignment vertical="center"/>
      <protection hidden="1"/>
    </xf>
    <xf numFmtId="0" fontId="36" fillId="6" borderId="43" xfId="0" applyFont="1" applyFill="1" applyBorder="1" applyAlignment="1" applyProtection="1">
      <alignment horizontal="center" vertical="center" wrapText="1"/>
      <protection hidden="1"/>
    </xf>
    <xf numFmtId="0" fontId="36" fillId="6" borderId="44" xfId="0" applyFont="1" applyFill="1" applyBorder="1" applyAlignment="1" applyProtection="1">
      <alignment horizontal="center" vertical="center" wrapText="1"/>
      <protection hidden="1"/>
    </xf>
    <xf numFmtId="0" fontId="36" fillId="6" borderId="45" xfId="0" applyFont="1" applyFill="1" applyBorder="1" applyAlignment="1" applyProtection="1">
      <alignment horizontal="center" vertical="center" wrapText="1"/>
      <protection hidden="1"/>
    </xf>
    <xf numFmtId="4" fontId="15" fillId="0" borderId="32" xfId="0" applyNumberFormat="1" applyFont="1" applyBorder="1" applyAlignment="1" applyProtection="1">
      <alignment vertical="center"/>
      <protection hidden="1"/>
    </xf>
    <xf numFmtId="4" fontId="15" fillId="0" borderId="31" xfId="0" applyNumberFormat="1" applyFont="1" applyBorder="1" applyAlignment="1" applyProtection="1">
      <alignment horizontal="center" vertical="center"/>
      <protection hidden="1"/>
    </xf>
    <xf numFmtId="4" fontId="15" fillId="0" borderId="35" xfId="0" applyNumberFormat="1" applyFont="1" applyBorder="1" applyAlignment="1" applyProtection="1">
      <alignment horizontal="center" vertical="center"/>
      <protection hidden="1"/>
    </xf>
    <xf numFmtId="0" fontId="15" fillId="0" borderId="32" xfId="0" applyFont="1" applyBorder="1" applyAlignment="1" applyProtection="1">
      <alignment horizontal="left" vertical="center" wrapText="1"/>
      <protection hidden="1"/>
    </xf>
    <xf numFmtId="4" fontId="35" fillId="16" borderId="32" xfId="0" applyNumberFormat="1" applyFont="1" applyFill="1" applyBorder="1" applyAlignment="1" applyProtection="1">
      <alignment horizontal="left" vertical="center" wrapText="1"/>
      <protection hidden="1"/>
    </xf>
    <xf numFmtId="4" fontId="35" fillId="16" borderId="31" xfId="0" applyNumberFormat="1" applyFont="1" applyFill="1" applyBorder="1" applyAlignment="1" applyProtection="1">
      <alignment horizontal="center" vertical="center" wrapText="1"/>
      <protection hidden="1"/>
    </xf>
    <xf numFmtId="4" fontId="35" fillId="16" borderId="35" xfId="0" applyNumberFormat="1" applyFont="1" applyFill="1" applyBorder="1" applyAlignment="1" applyProtection="1">
      <alignment horizontal="center" vertical="center" wrapText="1"/>
      <protection hidden="1"/>
    </xf>
    <xf numFmtId="4" fontId="16" fillId="0" borderId="31" xfId="0" applyNumberFormat="1" applyFont="1" applyBorder="1" applyAlignment="1" applyProtection="1">
      <alignment horizontal="center" vertical="center"/>
      <protection hidden="1"/>
    </xf>
    <xf numFmtId="4" fontId="16" fillId="0" borderId="35" xfId="0" applyNumberFormat="1" applyFont="1" applyBorder="1" applyAlignment="1" applyProtection="1">
      <alignment horizontal="center" vertical="center"/>
      <protection hidden="1"/>
    </xf>
    <xf numFmtId="4" fontId="15" fillId="0" borderId="33" xfId="0" applyNumberFormat="1" applyFont="1" applyBorder="1" applyAlignment="1" applyProtection="1">
      <alignment vertical="center"/>
      <protection hidden="1"/>
    </xf>
    <xf numFmtId="4" fontId="16" fillId="0" borderId="34" xfId="0" applyNumberFormat="1" applyFont="1" applyBorder="1" applyAlignment="1" applyProtection="1">
      <alignment horizontal="center" vertical="center"/>
      <protection hidden="1"/>
    </xf>
    <xf numFmtId="4" fontId="16" fillId="0" borderId="37" xfId="0" applyNumberFormat="1" applyFont="1" applyBorder="1" applyAlignment="1" applyProtection="1">
      <alignment horizontal="center" vertical="center"/>
      <protection hidden="1"/>
    </xf>
    <xf numFmtId="4" fontId="15" fillId="0" borderId="36" xfId="0" applyNumberFormat="1" applyFont="1" applyBorder="1" applyAlignment="1" applyProtection="1">
      <alignment vertical="center"/>
      <protection hidden="1"/>
    </xf>
    <xf numFmtId="4" fontId="15" fillId="0" borderId="42" xfId="0" applyNumberFormat="1" applyFont="1" applyBorder="1" applyAlignment="1" applyProtection="1">
      <alignment horizontal="center" vertical="center"/>
      <protection hidden="1"/>
    </xf>
    <xf numFmtId="4" fontId="15" fillId="0" borderId="38" xfId="0" applyNumberFormat="1" applyFont="1" applyBorder="1" applyAlignment="1" applyProtection="1">
      <alignment horizontal="center" vertical="center"/>
      <protection hidden="1"/>
    </xf>
    <xf numFmtId="15" fontId="36" fillId="5" borderId="33" xfId="0" quotePrefix="1" applyNumberFormat="1" applyFont="1" applyFill="1" applyBorder="1" applyAlignment="1" applyProtection="1">
      <alignment horizontal="center" vertical="center" wrapText="1"/>
      <protection hidden="1"/>
    </xf>
    <xf numFmtId="0" fontId="15" fillId="0" borderId="32" xfId="0" applyFont="1" applyBorder="1" applyAlignment="1" applyProtection="1">
      <alignment vertical="center"/>
      <protection hidden="1"/>
    </xf>
    <xf numFmtId="0" fontId="36" fillId="6" borderId="43" xfId="0" applyFont="1" applyFill="1" applyBorder="1" applyAlignment="1" applyProtection="1">
      <alignment horizontal="center" vertical="center"/>
      <protection hidden="1"/>
    </xf>
    <xf numFmtId="4" fontId="15" fillId="0" borderId="35" xfId="0" applyNumberFormat="1" applyFont="1" applyBorder="1" applyAlignment="1" applyProtection="1">
      <alignment vertical="center"/>
      <protection hidden="1"/>
    </xf>
    <xf numFmtId="0" fontId="15" fillId="12" borderId="32" xfId="0" quotePrefix="1" applyFont="1" applyFill="1" applyBorder="1" applyAlignment="1" applyProtection="1">
      <alignment horizontal="left" vertical="center"/>
      <protection hidden="1"/>
    </xf>
    <xf numFmtId="167" fontId="15" fillId="12" borderId="0" xfId="17" applyNumberFormat="1" applyFont="1" applyFill="1" applyBorder="1" applyAlignment="1" applyProtection="1">
      <alignment horizontal="center" vertical="center"/>
      <protection hidden="1"/>
    </xf>
    <xf numFmtId="167" fontId="15" fillId="0" borderId="0" xfId="17" applyNumberFormat="1" applyFont="1" applyBorder="1" applyAlignment="1" applyProtection="1">
      <alignment horizontal="center" vertical="center"/>
      <protection hidden="1"/>
    </xf>
    <xf numFmtId="43" fontId="15" fillId="12" borderId="0" xfId="17" applyFont="1" applyFill="1" applyBorder="1" applyAlignment="1" applyProtection="1">
      <alignment horizontal="center" vertical="center"/>
      <protection hidden="1"/>
    </xf>
    <xf numFmtId="43" fontId="15" fillId="0" borderId="0" xfId="17" applyFont="1" applyBorder="1" applyAlignment="1" applyProtection="1">
      <alignment horizontal="center" vertical="center"/>
      <protection hidden="1"/>
    </xf>
    <xf numFmtId="4" fontId="15" fillId="12" borderId="32" xfId="0" applyNumberFormat="1" applyFont="1" applyFill="1" applyBorder="1" applyAlignment="1" applyProtection="1">
      <alignment vertical="center" wrapText="1"/>
      <protection hidden="1"/>
    </xf>
    <xf numFmtId="0" fontId="15" fillId="12" borderId="0" xfId="21" applyFont="1" applyFill="1" applyProtection="1">
      <protection hidden="1"/>
    </xf>
    <xf numFmtId="37" fontId="15" fillId="0" borderId="3" xfId="23" applyNumberFormat="1" applyFont="1" applyBorder="1"/>
    <xf numFmtId="37" fontId="15" fillId="0" borderId="4" xfId="23" applyNumberFormat="1" applyFont="1" applyBorder="1"/>
    <xf numFmtId="37" fontId="15" fillId="7" borderId="4" xfId="23" applyNumberFormat="1" applyFont="1" applyFill="1" applyBorder="1"/>
    <xf numFmtId="0" fontId="13" fillId="0" borderId="5" xfId="23" applyFont="1" applyBorder="1" applyAlignment="1">
      <alignment horizontal="center"/>
    </xf>
    <xf numFmtId="4" fontId="4" fillId="3" borderId="5" xfId="21" applyNumberFormat="1" applyFill="1" applyBorder="1"/>
    <xf numFmtId="4" fontId="4" fillId="0" borderId="6" xfId="21" applyNumberFormat="1" applyBorder="1"/>
    <xf numFmtId="4" fontId="4" fillId="0" borderId="3" xfId="21" applyNumberFormat="1" applyBorder="1"/>
    <xf numFmtId="4" fontId="4" fillId="4" borderId="5" xfId="21" applyNumberFormat="1" applyFill="1" applyBorder="1"/>
    <xf numFmtId="4" fontId="4" fillId="0" borderId="5" xfId="21" applyNumberFormat="1" applyBorder="1"/>
    <xf numFmtId="4" fontId="4" fillId="18" borderId="6" xfId="21" applyNumberFormat="1" applyFill="1" applyBorder="1"/>
    <xf numFmtId="0" fontId="13" fillId="0" borderId="7" xfId="23" applyFont="1" applyBorder="1" applyAlignment="1">
      <alignment horizontal="center"/>
    </xf>
    <xf numFmtId="4" fontId="4" fillId="3" borderId="7" xfId="21" applyNumberFormat="1" applyFill="1" applyBorder="1"/>
    <xf numFmtId="4" fontId="4" fillId="0" borderId="0" xfId="21" applyNumberFormat="1"/>
    <xf numFmtId="4" fontId="4" fillId="0" borderId="4" xfId="21" applyNumberFormat="1" applyBorder="1"/>
    <xf numFmtId="4" fontId="4" fillId="4" borderId="7" xfId="21" applyNumberFormat="1" applyFill="1" applyBorder="1"/>
    <xf numFmtId="4" fontId="4" fillId="0" borderId="7" xfId="21" applyNumberFormat="1" applyBorder="1"/>
    <xf numFmtId="4" fontId="4" fillId="18" borderId="0" xfId="21" applyNumberFormat="1" applyFill="1"/>
    <xf numFmtId="0" fontId="13" fillId="7" borderId="7" xfId="23" applyFont="1" applyFill="1" applyBorder="1" applyAlignment="1">
      <alignment horizontal="center"/>
    </xf>
    <xf numFmtId="4" fontId="4" fillId="7" borderId="7" xfId="21" applyNumberFormat="1" applyFill="1" applyBorder="1"/>
    <xf numFmtId="4" fontId="4" fillId="7" borderId="0" xfId="21" applyNumberFormat="1" applyFill="1"/>
    <xf numFmtId="4" fontId="4" fillId="7" borderId="4" xfId="21" applyNumberFormat="1" applyFill="1" applyBorder="1"/>
    <xf numFmtId="4" fontId="4" fillId="3" borderId="0" xfId="21" applyNumberFormat="1" applyFill="1"/>
    <xf numFmtId="0" fontId="4" fillId="7" borderId="0" xfId="21" applyFill="1"/>
    <xf numFmtId="0" fontId="4" fillId="7" borderId="0" xfId="21" applyFill="1" applyAlignment="1">
      <alignment horizontal="left"/>
    </xf>
    <xf numFmtId="0" fontId="4" fillId="8" borderId="0" xfId="21" applyFill="1"/>
    <xf numFmtId="4" fontId="4" fillId="4" borderId="0" xfId="21" applyNumberFormat="1" applyFill="1"/>
    <xf numFmtId="4" fontId="4" fillId="17" borderId="0" xfId="21" applyNumberFormat="1" applyFill="1"/>
    <xf numFmtId="0" fontId="16" fillId="0" borderId="50" xfId="0" applyFont="1" applyBorder="1" applyAlignment="1" applyProtection="1">
      <alignment horizontal="left" vertical="center" wrapText="1"/>
      <protection hidden="1"/>
    </xf>
    <xf numFmtId="0" fontId="16" fillId="0" borderId="51" xfId="0" applyFont="1" applyBorder="1" applyAlignment="1" applyProtection="1">
      <alignment horizontal="left" vertical="center" wrapText="1"/>
      <protection hidden="1"/>
    </xf>
    <xf numFmtId="15" fontId="44" fillId="5" borderId="41" xfId="0" quotePrefix="1" applyNumberFormat="1" applyFont="1" applyFill="1" applyBorder="1" applyAlignment="1" applyProtection="1">
      <alignment horizontal="center" vertical="center" wrapText="1"/>
      <protection hidden="1"/>
    </xf>
    <xf numFmtId="15" fontId="45" fillId="5" borderId="34" xfId="0" applyNumberFormat="1" applyFont="1" applyFill="1" applyBorder="1" applyAlignment="1" applyProtection="1">
      <alignment horizontal="center" vertical="center" wrapText="1"/>
      <protection hidden="1"/>
    </xf>
    <xf numFmtId="15" fontId="45" fillId="5" borderId="34" xfId="0" quotePrefix="1" applyNumberFormat="1" applyFont="1" applyFill="1" applyBorder="1" applyAlignment="1" applyProtection="1">
      <alignment horizontal="center" vertical="center" wrapText="1"/>
      <protection hidden="1"/>
    </xf>
    <xf numFmtId="15" fontId="45" fillId="5" borderId="52" xfId="0" applyNumberFormat="1" applyFont="1" applyFill="1" applyBorder="1" applyAlignment="1" applyProtection="1">
      <alignment horizontal="center" vertical="center" wrapText="1"/>
      <protection hidden="1"/>
    </xf>
    <xf numFmtId="9" fontId="46" fillId="0" borderId="0" xfId="25" applyFont="1" applyFill="1" applyBorder="1" applyAlignment="1" applyProtection="1">
      <alignment horizontal="center" vertical="center"/>
      <protection hidden="1"/>
    </xf>
    <xf numFmtId="168" fontId="12" fillId="2" borderId="7" xfId="23" applyNumberFormat="1" applyFont="1" applyFill="1" applyBorder="1"/>
    <xf numFmtId="0" fontId="12" fillId="2" borderId="0" xfId="23" applyFont="1" applyFill="1"/>
    <xf numFmtId="0" fontId="4" fillId="2" borderId="0" xfId="21" applyFill="1"/>
    <xf numFmtId="0" fontId="4" fillId="12" borderId="0" xfId="21" applyFill="1"/>
    <xf numFmtId="0" fontId="4" fillId="0" borderId="0" xfId="21"/>
    <xf numFmtId="37" fontId="24" fillId="9" borderId="0" xfId="23" applyNumberFormat="1" applyFont="1" applyFill="1" applyAlignment="1">
      <alignment horizontal="centerContinuous"/>
    </xf>
    <xf numFmtId="0" fontId="4" fillId="2" borderId="0" xfId="21" applyFill="1" applyAlignment="1">
      <alignment horizontal="centerContinuous"/>
    </xf>
    <xf numFmtId="0" fontId="29" fillId="10" borderId="5" xfId="21" applyFont="1" applyFill="1" applyBorder="1"/>
    <xf numFmtId="0" fontId="30" fillId="10" borderId="6" xfId="21" applyFont="1" applyFill="1" applyBorder="1" applyAlignment="1">
      <alignment horizontal="right"/>
    </xf>
    <xf numFmtId="10" fontId="30" fillId="10" borderId="3" xfId="26" applyNumberFormat="1" applyFont="1" applyFill="1" applyBorder="1" applyAlignment="1">
      <alignment horizontal="center"/>
    </xf>
    <xf numFmtId="0" fontId="30" fillId="10" borderId="6" xfId="21" quotePrefix="1" applyFont="1" applyFill="1" applyBorder="1" applyAlignment="1">
      <alignment horizontal="right"/>
    </xf>
    <xf numFmtId="0" fontId="4" fillId="0" borderId="8" xfId="21" applyBorder="1"/>
    <xf numFmtId="0" fontId="4" fillId="0" borderId="9" xfId="21" applyBorder="1"/>
    <xf numFmtId="49" fontId="31" fillId="11" borderId="10" xfId="21" applyNumberFormat="1" applyFont="1" applyFill="1" applyBorder="1" applyAlignment="1">
      <alignment horizontal="center" wrapText="1"/>
    </xf>
    <xf numFmtId="49" fontId="31" fillId="0" borderId="10" xfId="21" applyNumberFormat="1" applyFont="1" applyBorder="1" applyAlignment="1">
      <alignment horizontal="center" wrapText="1"/>
    </xf>
    <xf numFmtId="49" fontId="31" fillId="18" borderId="10" xfId="21" applyNumberFormat="1" applyFont="1" applyFill="1" applyBorder="1" applyAlignment="1">
      <alignment horizontal="center" wrapText="1"/>
    </xf>
    <xf numFmtId="168" fontId="12" fillId="0" borderId="5" xfId="23" applyNumberFormat="1" applyFont="1" applyBorder="1"/>
    <xf numFmtId="37" fontId="15" fillId="0" borderId="3" xfId="23" quotePrefix="1" applyNumberFormat="1" applyFont="1" applyBorder="1" applyAlignment="1">
      <alignment horizontal="left"/>
    </xf>
    <xf numFmtId="37" fontId="15" fillId="0" borderId="4" xfId="23" quotePrefix="1" applyNumberFormat="1" applyFont="1" applyBorder="1" applyAlignment="1">
      <alignment horizontal="left"/>
    </xf>
    <xf numFmtId="0" fontId="13" fillId="0" borderId="11" xfId="23" applyFont="1" applyBorder="1" applyAlignment="1">
      <alignment horizontal="center"/>
    </xf>
    <xf numFmtId="37" fontId="15" fillId="0" borderId="12" xfId="23" applyNumberFormat="1" applyFont="1" applyBorder="1"/>
    <xf numFmtId="4" fontId="4" fillId="3" borderId="11" xfId="21" applyNumberFormat="1" applyFill="1" applyBorder="1"/>
    <xf numFmtId="4" fontId="4" fillId="0" borderId="13" xfId="21" applyNumberFormat="1" applyBorder="1"/>
    <xf numFmtId="4" fontId="4" fillId="0" borderId="12" xfId="21" applyNumberFormat="1" applyBorder="1"/>
    <xf numFmtId="4" fontId="4" fillId="4" borderId="11" xfId="21" applyNumberFormat="1" applyFill="1" applyBorder="1"/>
    <xf numFmtId="4" fontId="4" fillId="18" borderId="13" xfId="21" applyNumberFormat="1" applyFill="1" applyBorder="1"/>
    <xf numFmtId="168" fontId="12" fillId="0" borderId="7" xfId="23" applyNumberFormat="1" applyFont="1" applyBorder="1"/>
    <xf numFmtId="168" fontId="12" fillId="0" borderId="11" xfId="23" applyNumberFormat="1" applyFont="1" applyBorder="1"/>
    <xf numFmtId="4" fontId="4" fillId="0" borderId="11" xfId="21" applyNumberFormat="1" applyBorder="1"/>
    <xf numFmtId="0" fontId="13" fillId="7" borderId="11" xfId="23" applyFont="1" applyFill="1" applyBorder="1" applyAlignment="1">
      <alignment horizontal="center"/>
    </xf>
    <xf numFmtId="37" fontId="15" fillId="7" borderId="12" xfId="23" applyNumberFormat="1" applyFont="1" applyFill="1" applyBorder="1"/>
    <xf numFmtId="4" fontId="4" fillId="7" borderId="11" xfId="21" applyNumberFormat="1" applyFill="1" applyBorder="1"/>
    <xf numFmtId="4" fontId="4" fillId="7" borderId="13" xfId="21" applyNumberFormat="1" applyFill="1" applyBorder="1"/>
    <xf numFmtId="4" fontId="4" fillId="7" borderId="12" xfId="21" applyNumberFormat="1" applyFill="1" applyBorder="1"/>
    <xf numFmtId="4" fontId="4" fillId="4" borderId="6" xfId="21" applyNumberFormat="1" applyFill="1" applyBorder="1"/>
    <xf numFmtId="37" fontId="15" fillId="0" borderId="12" xfId="23" quotePrefix="1" applyNumberFormat="1" applyFont="1" applyBorder="1" applyAlignment="1">
      <alignment horizontal="left"/>
    </xf>
    <xf numFmtId="4" fontId="4" fillId="4" borderId="13" xfId="21" applyNumberFormat="1" applyFill="1" applyBorder="1"/>
    <xf numFmtId="4" fontId="4" fillId="2" borderId="0" xfId="21" applyNumberFormat="1" applyFill="1"/>
    <xf numFmtId="37" fontId="15" fillId="2" borderId="0" xfId="23" applyNumberFormat="1" applyFont="1" applyFill="1"/>
    <xf numFmtId="4" fontId="4" fillId="19" borderId="0" xfId="21" applyNumberFormat="1" applyFill="1"/>
    <xf numFmtId="0" fontId="13" fillId="2" borderId="8" xfId="23" applyFont="1" applyFill="1" applyBorder="1" applyAlignment="1">
      <alignment horizontal="center"/>
    </xf>
    <xf numFmtId="37" fontId="16" fillId="2" borderId="9" xfId="23" applyNumberFormat="1" applyFont="1" applyFill="1" applyBorder="1"/>
    <xf numFmtId="0" fontId="4" fillId="2" borderId="9" xfId="21" applyFill="1" applyBorder="1"/>
    <xf numFmtId="10" fontId="32" fillId="2" borderId="0" xfId="26" applyNumberFormat="1" applyFont="1" applyFill="1" applyAlignment="1">
      <alignment horizontal="center"/>
    </xf>
    <xf numFmtId="0" fontId="32" fillId="2" borderId="0" xfId="21" quotePrefix="1" applyFont="1" applyFill="1" applyAlignment="1">
      <alignment horizontal="right"/>
    </xf>
    <xf numFmtId="0" fontId="32" fillId="2" borderId="0" xfId="21" applyFont="1" applyFill="1" applyAlignment="1">
      <alignment horizontal="left"/>
    </xf>
    <xf numFmtId="10" fontId="4" fillId="0" borderId="0" xfId="21" applyNumberFormat="1"/>
    <xf numFmtId="0" fontId="4" fillId="2" borderId="14" xfId="21" applyFill="1" applyBorder="1"/>
    <xf numFmtId="0" fontId="28" fillId="2" borderId="10" xfId="21" applyFont="1" applyFill="1" applyBorder="1" applyAlignment="1">
      <alignment horizontal="center"/>
    </xf>
    <xf numFmtId="0" fontId="26" fillId="2" borderId="10" xfId="21" applyFont="1" applyFill="1" applyBorder="1"/>
    <xf numFmtId="0" fontId="4" fillId="2" borderId="10" xfId="21" applyFill="1" applyBorder="1"/>
    <xf numFmtId="0" fontId="26" fillId="2" borderId="10" xfId="21" applyFont="1" applyFill="1" applyBorder="1" applyAlignment="1">
      <alignment horizontal="centerContinuous"/>
    </xf>
    <xf numFmtId="0" fontId="4" fillId="2" borderId="10" xfId="21" applyFill="1" applyBorder="1" applyAlignment="1">
      <alignment horizontal="centerContinuous"/>
    </xf>
    <xf numFmtId="0" fontId="26" fillId="2" borderId="10" xfId="21" applyFont="1" applyFill="1" applyBorder="1" applyAlignment="1">
      <alignment horizontal="left"/>
    </xf>
    <xf numFmtId="0" fontId="4" fillId="2" borderId="8" xfId="21" applyFill="1" applyBorder="1" applyAlignment="1">
      <alignment horizontal="centerContinuous"/>
    </xf>
    <xf numFmtId="0" fontId="4" fillId="2" borderId="15" xfId="21" applyFill="1" applyBorder="1" applyAlignment="1">
      <alignment horizontal="centerContinuous"/>
    </xf>
    <xf numFmtId="0" fontId="4" fillId="2" borderId="9" xfId="21" applyFill="1" applyBorder="1" applyAlignment="1">
      <alignment horizontal="centerContinuous"/>
    </xf>
    <xf numFmtId="0" fontId="4" fillId="2" borderId="16" xfId="21" applyFill="1" applyBorder="1"/>
    <xf numFmtId="4" fontId="4" fillId="2" borderId="10" xfId="21" applyNumberFormat="1" applyFill="1" applyBorder="1"/>
    <xf numFmtId="0" fontId="4" fillId="2" borderId="8" xfId="21" applyFill="1" applyBorder="1"/>
    <xf numFmtId="4" fontId="4" fillId="2" borderId="15" xfId="21" applyNumberFormat="1" applyFill="1" applyBorder="1"/>
    <xf numFmtId="4" fontId="4" fillId="2" borderId="15" xfId="21" applyNumberFormat="1" applyFill="1" applyBorder="1" applyAlignment="1">
      <alignment horizontal="centerContinuous"/>
    </xf>
    <xf numFmtId="4" fontId="4" fillId="2" borderId="9" xfId="21" applyNumberFormat="1" applyFill="1" applyBorder="1" applyAlignment="1">
      <alignment horizontal="centerContinuous"/>
    </xf>
    <xf numFmtId="0" fontId="4" fillId="2" borderId="15" xfId="21" applyFill="1" applyBorder="1"/>
    <xf numFmtId="0" fontId="4" fillId="2" borderId="17" xfId="21" applyFill="1" applyBorder="1"/>
    <xf numFmtId="0" fontId="28" fillId="2" borderId="17" xfId="21" applyFont="1" applyFill="1" applyBorder="1" applyAlignment="1">
      <alignment horizontal="center"/>
    </xf>
    <xf numFmtId="0" fontId="26" fillId="2" borderId="17" xfId="21" applyFont="1" applyFill="1" applyBorder="1"/>
    <xf numFmtId="4" fontId="4" fillId="2" borderId="17" xfId="21" applyNumberFormat="1" applyFill="1" applyBorder="1"/>
    <xf numFmtId="0" fontId="4" fillId="2" borderId="18" xfId="21" applyFill="1" applyBorder="1" applyAlignment="1">
      <alignment horizontal="centerContinuous"/>
    </xf>
    <xf numFmtId="0" fontId="4" fillId="2" borderId="19" xfId="21" applyFill="1" applyBorder="1" applyAlignment="1">
      <alignment horizontal="centerContinuous"/>
    </xf>
    <xf numFmtId="0" fontId="26" fillId="2" borderId="17" xfId="21" applyFont="1" applyFill="1" applyBorder="1" applyAlignment="1">
      <alignment horizontal="centerContinuous"/>
    </xf>
    <xf numFmtId="0" fontId="4" fillId="2" borderId="17" xfId="21" applyFill="1" applyBorder="1" applyAlignment="1">
      <alignment horizontal="centerContinuous"/>
    </xf>
    <xf numFmtId="2" fontId="4" fillId="12" borderId="0" xfId="21" applyNumberFormat="1" applyFill="1"/>
    <xf numFmtId="0" fontId="4" fillId="2" borderId="20" xfId="21" applyFill="1" applyBorder="1"/>
    <xf numFmtId="0" fontId="4" fillId="2" borderId="21" xfId="21" applyFill="1" applyBorder="1"/>
    <xf numFmtId="4" fontId="4" fillId="2" borderId="21" xfId="21" applyNumberFormat="1" applyFill="1" applyBorder="1"/>
    <xf numFmtId="0" fontId="4" fillId="2" borderId="22" xfId="21" applyFill="1" applyBorder="1"/>
    <xf numFmtId="0" fontId="4" fillId="2" borderId="23" xfId="21" applyFill="1" applyBorder="1"/>
    <xf numFmtId="0" fontId="26" fillId="2" borderId="21" xfId="21" applyFont="1" applyFill="1" applyBorder="1" applyAlignment="1">
      <alignment horizontal="centerContinuous"/>
    </xf>
    <xf numFmtId="4" fontId="4" fillId="2" borderId="24" xfId="21" applyNumberFormat="1" applyFill="1" applyBorder="1" applyAlignment="1">
      <alignment horizontal="centerContinuous"/>
    </xf>
    <xf numFmtId="4" fontId="4" fillId="2" borderId="25" xfId="21" applyNumberFormat="1" applyFill="1" applyBorder="1" applyAlignment="1">
      <alignment horizontal="centerContinuous"/>
    </xf>
    <xf numFmtId="0" fontId="26" fillId="2" borderId="21" xfId="21" applyFont="1" applyFill="1" applyBorder="1" applyAlignment="1">
      <alignment horizontal="left"/>
    </xf>
    <xf numFmtId="0" fontId="4" fillId="2" borderId="26" xfId="21" applyFill="1" applyBorder="1"/>
    <xf numFmtId="0" fontId="4" fillId="2" borderId="27" xfId="21" applyFill="1" applyBorder="1"/>
    <xf numFmtId="0" fontId="4" fillId="2" borderId="28" xfId="21" applyFill="1" applyBorder="1"/>
    <xf numFmtId="4" fontId="4" fillId="2" borderId="28" xfId="21" applyNumberFormat="1" applyFill="1" applyBorder="1"/>
    <xf numFmtId="4" fontId="4" fillId="2" borderId="29" xfId="21" applyNumberFormat="1" applyFill="1" applyBorder="1"/>
    <xf numFmtId="4" fontId="4" fillId="2" borderId="30" xfId="21" applyNumberFormat="1" applyFill="1" applyBorder="1"/>
    <xf numFmtId="0" fontId="28" fillId="2" borderId="0" xfId="21" quotePrefix="1" applyFont="1" applyFill="1" applyAlignment="1">
      <alignment horizontal="left"/>
    </xf>
    <xf numFmtId="0" fontId="4" fillId="2" borderId="0" xfId="21" quotePrefix="1" applyFill="1" applyAlignment="1">
      <alignment horizontal="left"/>
    </xf>
    <xf numFmtId="2" fontId="4" fillId="0" borderId="0" xfId="21" applyNumberFormat="1"/>
    <xf numFmtId="0" fontId="13" fillId="2" borderId="0" xfId="21" applyFont="1" applyFill="1"/>
    <xf numFmtId="169" fontId="4" fillId="2" borderId="0" xfId="21" applyNumberFormat="1" applyFill="1"/>
    <xf numFmtId="170" fontId="4" fillId="2" borderId="0" xfId="21" applyNumberFormat="1" applyFill="1"/>
    <xf numFmtId="9" fontId="4" fillId="12" borderId="0" xfId="25" applyFont="1" applyFill="1"/>
    <xf numFmtId="0" fontId="33" fillId="0" borderId="0" xfId="21" applyFont="1" applyAlignment="1">
      <alignment wrapText="1"/>
    </xf>
    <xf numFmtId="0" fontId="15" fillId="2" borderId="2" xfId="0" applyFont="1" applyFill="1" applyBorder="1" applyAlignment="1" applyProtection="1">
      <alignment vertical="center"/>
      <protection hidden="1"/>
    </xf>
    <xf numFmtId="4" fontId="15" fillId="2" borderId="2" xfId="0" applyNumberFormat="1" applyFont="1" applyFill="1" applyBorder="1" applyAlignment="1" applyProtection="1">
      <alignment vertical="center"/>
      <protection hidden="1"/>
    </xf>
    <xf numFmtId="0" fontId="15" fillId="18" borderId="2" xfId="0" applyFont="1" applyFill="1" applyBorder="1" applyAlignment="1" applyProtection="1">
      <alignment horizontal="center" vertical="center"/>
      <protection hidden="1"/>
    </xf>
    <xf numFmtId="166" fontId="38" fillId="2" borderId="0" xfId="24" applyFont="1" applyFill="1" applyAlignment="1" applyProtection="1">
      <alignment horizontal="left" vertical="center"/>
      <protection hidden="1"/>
    </xf>
    <xf numFmtId="0" fontId="42" fillId="0" borderId="0" xfId="0" applyFont="1" applyAlignment="1" applyProtection="1">
      <alignment horizontal="left" vertical="center" wrapText="1"/>
      <protection hidden="1"/>
    </xf>
    <xf numFmtId="0" fontId="4" fillId="0" borderId="0" xfId="0" applyFont="1" applyAlignment="1" applyProtection="1">
      <alignment vertical="center"/>
      <protection hidden="1"/>
    </xf>
    <xf numFmtId="0" fontId="35" fillId="5" borderId="35" xfId="0" applyFont="1" applyFill="1" applyBorder="1" applyAlignment="1" applyProtection="1">
      <alignment horizontal="center" vertical="center" wrapText="1"/>
      <protection hidden="1"/>
    </xf>
    <xf numFmtId="15" fontId="45" fillId="5" borderId="37" xfId="0"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vertical="center" wrapText="1"/>
      <protection hidden="1"/>
    </xf>
    <xf numFmtId="0" fontId="4" fillId="12" borderId="0" xfId="0" applyFont="1" applyFill="1" applyAlignment="1" applyProtection="1">
      <alignment vertical="center"/>
      <protection hidden="1"/>
    </xf>
    <xf numFmtId="0" fontId="42" fillId="0" borderId="0" xfId="0" applyFont="1" applyAlignment="1" applyProtection="1">
      <alignment horizontal="justify" vertical="center" wrapText="1"/>
      <protection hidden="1"/>
    </xf>
    <xf numFmtId="0" fontId="15" fillId="2" borderId="0" xfId="0" quotePrefix="1" applyFont="1" applyFill="1" applyAlignment="1" applyProtection="1">
      <alignment horizontal="left" vertical="center" wrapText="1"/>
      <protection hidden="1"/>
    </xf>
    <xf numFmtId="4" fontId="15" fillId="2" borderId="31" xfId="0" applyNumberFormat="1" applyFont="1" applyFill="1" applyBorder="1" applyAlignment="1" applyProtection="1">
      <alignment vertical="center"/>
      <protection hidden="1"/>
    </xf>
    <xf numFmtId="4" fontId="15" fillId="20" borderId="31" xfId="0" applyNumberFormat="1" applyFont="1" applyFill="1" applyBorder="1" applyAlignment="1" applyProtection="1">
      <alignment vertical="center"/>
      <protection hidden="1"/>
    </xf>
    <xf numFmtId="4" fontId="15" fillId="0" borderId="31" xfId="0" applyNumberFormat="1" applyFont="1" applyBorder="1" applyAlignment="1" applyProtection="1">
      <alignment horizontal="right" vertical="center"/>
      <protection hidden="1"/>
    </xf>
    <xf numFmtId="4" fontId="15" fillId="0" borderId="31" xfId="0" applyNumberFormat="1" applyFont="1" applyBorder="1" applyAlignment="1" applyProtection="1">
      <alignment vertical="center"/>
      <protection hidden="1"/>
    </xf>
    <xf numFmtId="4" fontId="38" fillId="5" borderId="31" xfId="0" applyNumberFormat="1" applyFont="1" applyFill="1" applyBorder="1" applyAlignment="1" applyProtection="1">
      <alignment vertical="center"/>
      <protection hidden="1"/>
    </xf>
    <xf numFmtId="17" fontId="36" fillId="6" borderId="44" xfId="0" applyNumberFormat="1" applyFont="1" applyFill="1" applyBorder="1" applyAlignment="1" applyProtection="1">
      <alignment horizontal="center" vertical="center" wrapText="1"/>
      <protection hidden="1"/>
    </xf>
    <xf numFmtId="17" fontId="36" fillId="6" borderId="45" xfId="0" applyNumberFormat="1" applyFont="1" applyFill="1" applyBorder="1" applyAlignment="1" applyProtection="1">
      <alignment horizontal="center" vertical="center" wrapText="1"/>
      <protection hidden="1"/>
    </xf>
    <xf numFmtId="0" fontId="15" fillId="2" borderId="32" xfId="0" quotePrefix="1" applyFont="1" applyFill="1" applyBorder="1" applyAlignment="1" applyProtection="1">
      <alignment horizontal="left" vertical="center"/>
      <protection hidden="1"/>
    </xf>
    <xf numFmtId="4" fontId="15" fillId="20" borderId="35" xfId="0" applyNumberFormat="1" applyFont="1" applyFill="1" applyBorder="1" applyAlignment="1" applyProtection="1">
      <alignment vertical="center"/>
      <protection hidden="1"/>
    </xf>
    <xf numFmtId="4" fontId="15" fillId="2" borderId="35" xfId="0" applyNumberFormat="1" applyFont="1" applyFill="1" applyBorder="1" applyAlignment="1" applyProtection="1">
      <alignment vertical="center"/>
      <protection hidden="1"/>
    </xf>
    <xf numFmtId="0" fontId="15" fillId="2" borderId="32" xfId="0" applyFont="1" applyFill="1" applyBorder="1" applyAlignment="1" applyProtection="1">
      <alignment horizontal="left" vertical="center"/>
      <protection hidden="1"/>
    </xf>
    <xf numFmtId="0" fontId="38" fillId="5" borderId="32" xfId="0" quotePrefix="1" applyFont="1" applyFill="1" applyBorder="1" applyAlignment="1" applyProtection="1">
      <alignment horizontal="left" vertical="center" wrapText="1"/>
      <protection hidden="1"/>
    </xf>
    <xf numFmtId="4" fontId="38" fillId="5" borderId="35" xfId="0" applyNumberFormat="1" applyFont="1" applyFill="1" applyBorder="1" applyAlignment="1" applyProtection="1">
      <alignment vertical="center"/>
      <protection hidden="1"/>
    </xf>
    <xf numFmtId="0" fontId="15" fillId="2" borderId="33" xfId="0" quotePrefix="1" applyFont="1" applyFill="1" applyBorder="1" applyAlignment="1" applyProtection="1">
      <alignment horizontal="left" vertical="center" wrapText="1"/>
      <protection hidden="1"/>
    </xf>
    <xf numFmtId="4" fontId="15" fillId="2" borderId="34" xfId="0" applyNumberFormat="1" applyFont="1" applyFill="1" applyBorder="1" applyAlignment="1" applyProtection="1">
      <alignment horizontal="right" vertical="center"/>
      <protection hidden="1"/>
    </xf>
    <xf numFmtId="4" fontId="15" fillId="2" borderId="37" xfId="0" applyNumberFormat="1" applyFont="1" applyFill="1" applyBorder="1" applyAlignment="1" applyProtection="1">
      <alignment horizontal="right" vertical="center"/>
      <protection hidden="1"/>
    </xf>
    <xf numFmtId="0" fontId="34" fillId="2" borderId="0" xfId="0" applyFont="1" applyFill="1" applyAlignment="1" applyProtection="1">
      <alignment horizontal="justify" vertical="center" wrapText="1"/>
      <protection hidden="1"/>
    </xf>
    <xf numFmtId="0" fontId="38" fillId="5" borderId="32" xfId="0" quotePrefix="1" applyFont="1" applyFill="1" applyBorder="1" applyAlignment="1" applyProtection="1">
      <alignment horizontal="left" vertical="center"/>
      <protection hidden="1"/>
    </xf>
    <xf numFmtId="4" fontId="16" fillId="2" borderId="31" xfId="0" applyNumberFormat="1" applyFont="1" applyFill="1" applyBorder="1" applyAlignment="1" applyProtection="1">
      <alignment vertical="center"/>
      <protection hidden="1"/>
    </xf>
    <xf numFmtId="4" fontId="16" fillId="2" borderId="35" xfId="0" applyNumberFormat="1" applyFont="1" applyFill="1" applyBorder="1" applyAlignment="1" applyProtection="1">
      <alignment vertical="center"/>
      <protection hidden="1"/>
    </xf>
    <xf numFmtId="4" fontId="38" fillId="5" borderId="31" xfId="0" applyNumberFormat="1" applyFont="1" applyFill="1" applyBorder="1" applyAlignment="1" applyProtection="1">
      <alignment horizontal="right" vertical="center"/>
      <protection hidden="1"/>
    </xf>
    <xf numFmtId="4" fontId="38" fillId="5" borderId="35" xfId="0" applyNumberFormat="1" applyFont="1" applyFill="1" applyBorder="1" applyAlignment="1" applyProtection="1">
      <alignment horizontal="right" vertical="center"/>
      <protection hidden="1"/>
    </xf>
    <xf numFmtId="0" fontId="35" fillId="14" borderId="43" xfId="0" applyFont="1" applyFill="1" applyBorder="1" applyAlignment="1" applyProtection="1">
      <alignment horizontal="center" vertical="center" wrapText="1"/>
      <protection hidden="1"/>
    </xf>
    <xf numFmtId="17" fontId="35" fillId="14" borderId="44" xfId="0" applyNumberFormat="1" applyFont="1" applyFill="1" applyBorder="1" applyAlignment="1" applyProtection="1">
      <alignment horizontal="center" vertical="center" wrapText="1"/>
      <protection hidden="1"/>
    </xf>
    <xf numFmtId="43" fontId="15" fillId="2" borderId="31" xfId="17" applyFont="1" applyFill="1" applyBorder="1" applyAlignment="1" applyProtection="1">
      <alignment horizontal="right" vertical="center"/>
      <protection hidden="1"/>
    </xf>
    <xf numFmtId="4" fontId="15" fillId="2" borderId="31" xfId="0" applyNumberFormat="1" applyFont="1" applyFill="1" applyBorder="1" applyAlignment="1" applyProtection="1">
      <alignment horizontal="right" vertical="center"/>
      <protection hidden="1"/>
    </xf>
    <xf numFmtId="0" fontId="16" fillId="2" borderId="32" xfId="0" applyFont="1" applyFill="1" applyBorder="1" applyAlignment="1" applyProtection="1">
      <alignment horizontal="left" vertical="center" wrapText="1"/>
      <protection hidden="1"/>
    </xf>
    <xf numFmtId="4" fontId="15" fillId="12" borderId="31" xfId="0" applyNumberFormat="1" applyFont="1" applyFill="1" applyBorder="1" applyAlignment="1" applyProtection="1">
      <alignment horizontal="right" vertical="center"/>
      <protection hidden="1"/>
    </xf>
    <xf numFmtId="0" fontId="15" fillId="2" borderId="33" xfId="0" quotePrefix="1" applyFont="1" applyFill="1" applyBorder="1" applyAlignment="1" applyProtection="1">
      <alignment horizontal="left" vertical="center"/>
      <protection hidden="1"/>
    </xf>
    <xf numFmtId="0" fontId="4" fillId="12" borderId="0" xfId="0" applyFont="1" applyFill="1" applyAlignment="1" applyProtection="1">
      <alignment vertical="top"/>
      <protection hidden="1"/>
    </xf>
    <xf numFmtId="4" fontId="15" fillId="0" borderId="32" xfId="0" applyNumberFormat="1" applyFont="1" applyBorder="1" applyAlignment="1" applyProtection="1">
      <alignment vertical="center" wrapText="1"/>
      <protection hidden="1"/>
    </xf>
    <xf numFmtId="37" fontId="15" fillId="12" borderId="3" xfId="23" quotePrefix="1" applyNumberFormat="1" applyFont="1" applyFill="1" applyBorder="1" applyAlignment="1">
      <alignment horizontal="left"/>
    </xf>
    <xf numFmtId="37" fontId="15" fillId="12" borderId="4" xfId="23" quotePrefix="1" applyNumberFormat="1" applyFont="1" applyFill="1" applyBorder="1" applyAlignment="1">
      <alignment horizontal="left"/>
    </xf>
    <xf numFmtId="37" fontId="15" fillId="12" borderId="12" xfId="23" applyNumberFormat="1" applyFont="1" applyFill="1" applyBorder="1"/>
    <xf numFmtId="37" fontId="15" fillId="12" borderId="4" xfId="23" applyNumberFormat="1" applyFont="1" applyFill="1" applyBorder="1"/>
    <xf numFmtId="37" fontId="15" fillId="12" borderId="12" xfId="23" applyNumberFormat="1" applyFont="1" applyFill="1" applyBorder="1" applyAlignment="1">
      <alignment horizontal="left" indent="1"/>
    </xf>
    <xf numFmtId="37" fontId="15" fillId="12" borderId="12" xfId="23" quotePrefix="1" applyNumberFormat="1" applyFont="1" applyFill="1" applyBorder="1" applyAlignment="1">
      <alignment horizontal="left"/>
    </xf>
    <xf numFmtId="37" fontId="15" fillId="12" borderId="3" xfId="23" applyNumberFormat="1" applyFont="1" applyFill="1" applyBorder="1"/>
    <xf numFmtId="37" fontId="15" fillId="12" borderId="15" xfId="23" applyNumberFormat="1" applyFont="1" applyFill="1" applyBorder="1"/>
    <xf numFmtId="4" fontId="4" fillId="23" borderId="0" xfId="21" applyNumberFormat="1" applyFill="1"/>
    <xf numFmtId="37" fontId="55" fillId="2" borderId="10" xfId="23" applyNumberFormat="1" applyFont="1" applyFill="1" applyBorder="1" applyAlignment="1">
      <alignment wrapText="1"/>
    </xf>
    <xf numFmtId="0" fontId="28" fillId="2" borderId="71" xfId="21" applyFont="1" applyFill="1" applyBorder="1" applyAlignment="1">
      <alignment horizontal="center"/>
    </xf>
    <xf numFmtId="0" fontId="4" fillId="2" borderId="72" xfId="21" applyFill="1" applyBorder="1"/>
    <xf numFmtId="0" fontId="28" fillId="2" borderId="72" xfId="21" applyFont="1" applyFill="1" applyBorder="1" applyAlignment="1">
      <alignment horizontal="center"/>
    </xf>
    <xf numFmtId="0" fontId="4" fillId="2" borderId="73" xfId="21" quotePrefix="1" applyFill="1" applyBorder="1" applyAlignment="1">
      <alignment horizontal="left"/>
    </xf>
    <xf numFmtId="37" fontId="54" fillId="22" borderId="3" xfId="23" applyNumberFormat="1" applyFont="1" applyFill="1" applyBorder="1" applyAlignment="1">
      <alignment vertical="center" wrapText="1"/>
    </xf>
    <xf numFmtId="37" fontId="54" fillId="22" borderId="4" xfId="23" applyNumberFormat="1" applyFont="1" applyFill="1" applyBorder="1" applyAlignment="1">
      <alignment vertical="center" wrapText="1"/>
    </xf>
    <xf numFmtId="37" fontId="54" fillId="22" borderId="12" xfId="23" applyNumberFormat="1" applyFont="1" applyFill="1" applyBorder="1" applyAlignment="1">
      <alignment vertical="center" wrapText="1"/>
    </xf>
    <xf numFmtId="49" fontId="55" fillId="22" borderId="16" xfId="21" applyNumberFormat="1" applyFont="1" applyFill="1" applyBorder="1" applyAlignment="1">
      <alignment horizontal="center" vertical="center" wrapText="1"/>
    </xf>
    <xf numFmtId="4" fontId="4" fillId="12" borderId="5" xfId="21" applyNumberFormat="1" applyFill="1" applyBorder="1"/>
    <xf numFmtId="4" fontId="4" fillId="12" borderId="6" xfId="21" applyNumberFormat="1" applyFill="1" applyBorder="1"/>
    <xf numFmtId="4" fontId="4" fillId="12" borderId="3" xfId="21" applyNumberFormat="1" applyFill="1" applyBorder="1"/>
    <xf numFmtId="4" fontId="4" fillId="12" borderId="7" xfId="21" applyNumberFormat="1" applyFill="1" applyBorder="1"/>
    <xf numFmtId="4" fontId="4" fillId="12" borderId="0" xfId="21" applyNumberFormat="1" applyFill="1"/>
    <xf numFmtId="4" fontId="4" fillId="12" borderId="4" xfId="21" applyNumberFormat="1" applyFill="1" applyBorder="1"/>
    <xf numFmtId="4" fontId="4" fillId="12" borderId="11" xfId="21" applyNumberFormat="1" applyFill="1" applyBorder="1"/>
    <xf numFmtId="4" fontId="4" fillId="12" borderId="13" xfId="21" applyNumberFormat="1" applyFill="1" applyBorder="1"/>
    <xf numFmtId="4" fontId="4" fillId="12" borderId="12" xfId="21" applyNumberFormat="1" applyFill="1" applyBorder="1"/>
    <xf numFmtId="165" fontId="4" fillId="12" borderId="13" xfId="21" applyNumberFormat="1" applyFill="1" applyBorder="1"/>
    <xf numFmtId="4" fontId="4" fillId="12" borderId="8" xfId="21" applyNumberFormat="1" applyFill="1" applyBorder="1"/>
    <xf numFmtId="4" fontId="4" fillId="12" borderId="9" xfId="21" applyNumberFormat="1" applyFill="1" applyBorder="1"/>
    <xf numFmtId="0" fontId="55" fillId="2" borderId="8" xfId="21" applyFont="1" applyFill="1" applyBorder="1" applyAlignment="1">
      <alignment horizontal="left" vertical="center"/>
    </xf>
    <xf numFmtId="0" fontId="55" fillId="0" borderId="9" xfId="21" applyFont="1" applyBorder="1" applyAlignment="1">
      <alignment vertical="center"/>
    </xf>
    <xf numFmtId="10" fontId="55" fillId="0" borderId="15" xfId="21" applyNumberFormat="1" applyFont="1" applyBorder="1" applyAlignment="1">
      <alignment vertical="center"/>
    </xf>
    <xf numFmtId="4" fontId="4" fillId="2" borderId="2" xfId="21" applyNumberFormat="1" applyFill="1" applyBorder="1"/>
    <xf numFmtId="4" fontId="4" fillId="2" borderId="76" xfId="21" applyNumberFormat="1" applyFill="1" applyBorder="1"/>
    <xf numFmtId="4" fontId="4" fillId="21" borderId="0" xfId="21" applyNumberFormat="1" applyFill="1"/>
    <xf numFmtId="2" fontId="4" fillId="21" borderId="0" xfId="21" applyNumberFormat="1" applyFill="1"/>
    <xf numFmtId="2" fontId="4" fillId="21" borderId="84" xfId="21" applyNumberFormat="1" applyFill="1" applyBorder="1"/>
    <xf numFmtId="4" fontId="15" fillId="0" borderId="35" xfId="0" applyNumberFormat="1" applyFont="1" applyBorder="1" applyAlignment="1" applyProtection="1">
      <alignment horizontal="right" vertical="center"/>
      <protection hidden="1"/>
    </xf>
    <xf numFmtId="43" fontId="0" fillId="0" borderId="0" xfId="0" applyNumberFormat="1"/>
    <xf numFmtId="4" fontId="39" fillId="2" borderId="0" xfId="0" applyNumberFormat="1" applyFont="1" applyFill="1" applyAlignment="1" applyProtection="1">
      <alignment vertical="center"/>
      <protection hidden="1"/>
    </xf>
    <xf numFmtId="4" fontId="36" fillId="0" borderId="0" xfId="0" applyNumberFormat="1" applyFont="1" applyAlignment="1" applyProtection="1">
      <alignment horizontal="right" vertical="center"/>
      <protection hidden="1"/>
    </xf>
    <xf numFmtId="37" fontId="54" fillId="21" borderId="3" xfId="23" applyNumberFormat="1" applyFont="1" applyFill="1" applyBorder="1" applyAlignment="1">
      <alignment vertical="center" wrapText="1"/>
    </xf>
    <xf numFmtId="37" fontId="54" fillId="21" borderId="4" xfId="23" applyNumberFormat="1" applyFont="1" applyFill="1" applyBorder="1" applyAlignment="1">
      <alignment vertical="center" wrapText="1"/>
    </xf>
    <xf numFmtId="37" fontId="54" fillId="21" borderId="12" xfId="23" applyNumberFormat="1" applyFont="1" applyFill="1" applyBorder="1" applyAlignment="1">
      <alignment vertical="center" wrapText="1"/>
    </xf>
    <xf numFmtId="49" fontId="55" fillId="21" borderId="16" xfId="21" applyNumberFormat="1" applyFont="1" applyFill="1" applyBorder="1" applyAlignment="1">
      <alignment horizontal="center" vertical="center" wrapText="1"/>
    </xf>
    <xf numFmtId="43" fontId="16" fillId="0" borderId="31" xfId="17" applyFont="1" applyFill="1" applyBorder="1" applyAlignment="1" applyProtection="1">
      <alignment horizontal="center" vertical="center" wrapText="1"/>
      <protection hidden="1"/>
    </xf>
    <xf numFmtId="4" fontId="15" fillId="24" borderId="31" xfId="0" applyNumberFormat="1" applyFont="1" applyFill="1" applyBorder="1" applyAlignment="1" applyProtection="1">
      <alignment vertical="center"/>
      <protection hidden="1"/>
    </xf>
    <xf numFmtId="0" fontId="60" fillId="2" borderId="0" xfId="0" quotePrefix="1" applyFont="1" applyFill="1" applyAlignment="1" applyProtection="1">
      <alignment horizontal="left" vertical="center"/>
      <protection hidden="1"/>
    </xf>
    <xf numFmtId="172" fontId="15" fillId="0" borderId="0" xfId="0" applyNumberFormat="1" applyFont="1" applyAlignment="1" applyProtection="1">
      <alignment vertical="center"/>
      <protection hidden="1"/>
    </xf>
    <xf numFmtId="4" fontId="15" fillId="2" borderId="31" xfId="0" applyNumberFormat="1"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4" fontId="15" fillId="2" borderId="35" xfId="0" applyNumberFormat="1" applyFont="1" applyFill="1" applyBorder="1" applyAlignment="1" applyProtection="1">
      <alignment horizontal="center" vertical="center"/>
      <protection hidden="1"/>
    </xf>
    <xf numFmtId="4" fontId="15" fillId="0" borderId="2" xfId="0" applyNumberFormat="1" applyFont="1" applyBorder="1" applyAlignment="1" applyProtection="1">
      <alignment vertical="center"/>
      <protection hidden="1"/>
    </xf>
    <xf numFmtId="0" fontId="62" fillId="2" borderId="2" xfId="0" applyFont="1" applyFill="1" applyBorder="1" applyAlignment="1" applyProtection="1">
      <alignment vertical="center"/>
      <protection hidden="1"/>
    </xf>
    <xf numFmtId="4" fontId="62" fillId="2" borderId="2" xfId="0" applyNumberFormat="1" applyFont="1" applyFill="1" applyBorder="1" applyAlignment="1" applyProtection="1">
      <alignment vertical="center"/>
      <protection hidden="1"/>
    </xf>
    <xf numFmtId="0" fontId="0" fillId="21" borderId="0" xfId="0" applyFill="1"/>
    <xf numFmtId="167" fontId="26" fillId="12" borderId="0" xfId="17" applyNumberFormat="1" applyFont="1" applyFill="1" applyBorder="1" applyAlignment="1" applyProtection="1">
      <alignment horizontal="center" vertical="center"/>
      <protection hidden="1"/>
    </xf>
    <xf numFmtId="4" fontId="15" fillId="0" borderId="0" xfId="0" applyNumberFormat="1" applyFont="1" applyAlignment="1" applyProtection="1">
      <alignment vertical="center"/>
      <protection hidden="1"/>
    </xf>
    <xf numFmtId="10" fontId="15" fillId="13" borderId="0" xfId="25" applyNumberFormat="1" applyFont="1" applyFill="1" applyAlignment="1" applyProtection="1">
      <alignment vertical="center"/>
      <protection hidden="1"/>
    </xf>
    <xf numFmtId="0" fontId="42" fillId="2" borderId="0" xfId="0" applyFont="1" applyFill="1" applyAlignment="1" applyProtection="1">
      <alignment horizontal="center" vertical="center"/>
      <protection hidden="1"/>
    </xf>
    <xf numFmtId="0" fontId="34" fillId="2" borderId="0" xfId="0" quotePrefix="1" applyFont="1" applyFill="1" applyAlignment="1" applyProtection="1">
      <alignment horizontal="center" vertical="center"/>
      <protection hidden="1"/>
    </xf>
    <xf numFmtId="0" fontId="42" fillId="0" borderId="0" xfId="0" applyFont="1" applyAlignment="1" applyProtection="1">
      <alignment horizontal="center" vertical="top"/>
      <protection hidden="1"/>
    </xf>
    <xf numFmtId="0" fontId="42" fillId="0" borderId="0" xfId="0" applyFont="1" applyAlignment="1" applyProtection="1">
      <alignment horizontal="center" vertical="top" wrapText="1"/>
      <protection hidden="1"/>
    </xf>
    <xf numFmtId="0" fontId="34" fillId="0" borderId="0" xfId="0" applyFont="1" applyAlignment="1" applyProtection="1">
      <alignment horizontal="center" vertical="center"/>
      <protection hidden="1"/>
    </xf>
    <xf numFmtId="0" fontId="34" fillId="0" borderId="0" xfId="0" quotePrefix="1" applyFont="1" applyAlignment="1" applyProtection="1">
      <alignment horizontal="center" vertical="center"/>
      <protection hidden="1"/>
    </xf>
    <xf numFmtId="4" fontId="15" fillId="0" borderId="50" xfId="0" applyNumberFormat="1" applyFont="1" applyBorder="1" applyAlignment="1" applyProtection="1">
      <alignment horizontal="right" vertical="center"/>
      <protection hidden="1"/>
    </xf>
    <xf numFmtId="4" fontId="15" fillId="2" borderId="51" xfId="0" applyNumberFormat="1" applyFont="1" applyFill="1" applyBorder="1" applyAlignment="1" applyProtection="1">
      <alignment horizontal="right" vertical="center"/>
      <protection hidden="1"/>
    </xf>
    <xf numFmtId="4" fontId="15" fillId="20" borderId="50" xfId="0" applyNumberFormat="1" applyFont="1" applyFill="1" applyBorder="1" applyAlignment="1" applyProtection="1">
      <alignment vertical="center"/>
      <protection hidden="1"/>
    </xf>
    <xf numFmtId="4" fontId="15" fillId="12"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vertical="center"/>
      <protection hidden="1"/>
    </xf>
    <xf numFmtId="4" fontId="15" fillId="2" borderId="50" xfId="0" applyNumberFormat="1" applyFont="1" applyFill="1" applyBorder="1" applyAlignment="1" applyProtection="1">
      <alignment vertical="center"/>
      <protection hidden="1"/>
    </xf>
    <xf numFmtId="4" fontId="38" fillId="5"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horizontal="center" vertical="center"/>
      <protection hidden="1"/>
    </xf>
    <xf numFmtId="4" fontId="15" fillId="24" borderId="31" xfId="0" applyNumberFormat="1" applyFont="1" applyFill="1" applyBorder="1" applyAlignment="1" applyProtection="1">
      <alignment horizontal="center" vertical="center"/>
      <protection hidden="1"/>
    </xf>
    <xf numFmtId="43" fontId="36" fillId="0" borderId="0" xfId="0" applyNumberFormat="1" applyFont="1" applyAlignment="1" applyProtection="1">
      <alignment vertical="center"/>
      <protection hidden="1"/>
    </xf>
    <xf numFmtId="43" fontId="15" fillId="2" borderId="0" xfId="0" applyNumberFormat="1" applyFont="1" applyFill="1" applyAlignment="1" applyProtection="1">
      <alignment vertical="center"/>
      <protection hidden="1"/>
    </xf>
    <xf numFmtId="9" fontId="15" fillId="0" borderId="0" xfId="25" applyFont="1" applyAlignment="1" applyProtection="1">
      <alignment vertical="center"/>
      <protection hidden="1"/>
    </xf>
    <xf numFmtId="9" fontId="36" fillId="0" borderId="0" xfId="25" applyFont="1" applyAlignment="1" applyProtection="1">
      <alignment vertical="center"/>
      <protection hidden="1"/>
    </xf>
    <xf numFmtId="164" fontId="15" fillId="0" borderId="0" xfId="0" applyNumberFormat="1" applyFont="1" applyAlignment="1" applyProtection="1">
      <alignment vertical="center"/>
      <protection hidden="1"/>
    </xf>
    <xf numFmtId="43" fontId="15" fillId="0" borderId="0" xfId="0" applyNumberFormat="1" applyFont="1" applyAlignment="1" applyProtection="1">
      <alignment vertical="center"/>
      <protection hidden="1"/>
    </xf>
    <xf numFmtId="173" fontId="15" fillId="0" borderId="0" xfId="0" applyNumberFormat="1" applyFont="1" applyAlignment="1" applyProtection="1">
      <alignment vertical="center"/>
      <protection hidden="1"/>
    </xf>
    <xf numFmtId="43" fontId="15" fillId="0" borderId="0" xfId="25" applyNumberFormat="1" applyFont="1" applyFill="1" applyBorder="1" applyAlignment="1" applyProtection="1">
      <alignment vertical="center"/>
      <protection hidden="1"/>
    </xf>
    <xf numFmtId="41" fontId="15" fillId="0" borderId="0" xfId="31" applyFont="1" applyFill="1" applyBorder="1" applyAlignment="1" applyProtection="1">
      <alignment vertical="center"/>
      <protection hidden="1"/>
    </xf>
    <xf numFmtId="174" fontId="15" fillId="0" borderId="0" xfId="0" applyNumberFormat="1" applyFont="1" applyAlignment="1" applyProtection="1">
      <alignment vertical="center"/>
      <protection hidden="1"/>
    </xf>
    <xf numFmtId="0" fontId="68" fillId="0" borderId="0" xfId="0" applyFont="1" applyAlignment="1" applyProtection="1">
      <alignment vertical="center" wrapText="1"/>
      <protection hidden="1"/>
    </xf>
    <xf numFmtId="0" fontId="59" fillId="0" borderId="0" xfId="0" applyFont="1" applyAlignment="1" applyProtection="1">
      <alignment vertical="center"/>
      <protection hidden="1"/>
    </xf>
    <xf numFmtId="4" fontId="39" fillId="2" borderId="2" xfId="0" applyNumberFormat="1" applyFont="1" applyFill="1" applyBorder="1" applyAlignment="1" applyProtection="1">
      <alignment vertical="center"/>
      <protection hidden="1"/>
    </xf>
    <xf numFmtId="43" fontId="15" fillId="2" borderId="0" xfId="17" applyFont="1" applyFill="1" applyAlignment="1" applyProtection="1">
      <alignment vertical="center"/>
      <protection hidden="1"/>
    </xf>
    <xf numFmtId="9" fontId="15" fillId="0" borderId="0" xfId="0" applyNumberFormat="1" applyFont="1" applyAlignment="1" applyProtection="1">
      <alignment vertical="center"/>
      <protection hidden="1"/>
    </xf>
    <xf numFmtId="0" fontId="69" fillId="0" borderId="0" xfId="0" applyFont="1" applyAlignment="1" applyProtection="1">
      <alignment vertical="center"/>
      <protection hidden="1"/>
    </xf>
    <xf numFmtId="0" fontId="17" fillId="2" borderId="0" xfId="0" quotePrefix="1" applyFont="1" applyFill="1" applyAlignment="1" applyProtection="1">
      <alignment horizontal="left" vertical="center" wrapText="1"/>
      <protection hidden="1"/>
    </xf>
    <xf numFmtId="0" fontId="42" fillId="12" borderId="0" xfId="0" applyFont="1" applyFill="1" applyAlignment="1" applyProtection="1">
      <alignment horizontal="left" vertical="top" wrapText="1"/>
      <protection hidden="1"/>
    </xf>
    <xf numFmtId="4" fontId="62" fillId="22" borderId="2" xfId="0" applyNumberFormat="1" applyFont="1" applyFill="1" applyBorder="1" applyAlignment="1" applyProtection="1">
      <alignment vertical="center"/>
      <protection hidden="1"/>
    </xf>
    <xf numFmtId="0" fontId="15" fillId="13" borderId="0" xfId="0" applyFont="1" applyFill="1" applyAlignment="1" applyProtection="1">
      <alignment vertical="center"/>
      <protection hidden="1"/>
    </xf>
    <xf numFmtId="0" fontId="15" fillId="26" borderId="0" xfId="0" applyFont="1" applyFill="1" applyAlignment="1" applyProtection="1">
      <alignment vertical="center"/>
      <protection hidden="1"/>
    </xf>
    <xf numFmtId="167" fontId="15" fillId="12" borderId="0" xfId="17" applyNumberFormat="1" applyFont="1" applyFill="1" applyBorder="1" applyAlignment="1" applyProtection="1">
      <alignment horizontal="left" vertical="center"/>
      <protection hidden="1"/>
    </xf>
    <xf numFmtId="43" fontId="15" fillId="0" borderId="31" xfId="17" applyFont="1" applyFill="1" applyBorder="1" applyAlignment="1" applyProtection="1">
      <alignment horizontal="right" vertical="center"/>
      <protection hidden="1"/>
    </xf>
    <xf numFmtId="0" fontId="73" fillId="0" borderId="0" xfId="33"/>
    <xf numFmtId="0" fontId="4" fillId="0" borderId="0" xfId="0" applyFont="1"/>
    <xf numFmtId="0" fontId="0" fillId="28" borderId="2" xfId="0" applyFill="1" applyBorder="1" applyAlignment="1">
      <alignment horizontal="center"/>
    </xf>
    <xf numFmtId="0" fontId="28" fillId="28" borderId="2" xfId="0" applyFont="1" applyFill="1" applyBorder="1" applyAlignment="1">
      <alignment horizontal="center" vertical="center"/>
    </xf>
    <xf numFmtId="10" fontId="0" fillId="31" borderId="2" xfId="25" applyNumberFormat="1" applyFont="1" applyFill="1" applyBorder="1" applyAlignment="1">
      <alignment horizontal="center" vertical="center"/>
    </xf>
    <xf numFmtId="0" fontId="28" fillId="0" borderId="0" xfId="0" applyFont="1"/>
    <xf numFmtId="0" fontId="28" fillId="0" borderId="93" xfId="0" applyFont="1" applyBorder="1"/>
    <xf numFmtId="0" fontId="0" fillId="0" borderId="93" xfId="0" applyBorder="1"/>
    <xf numFmtId="0" fontId="4" fillId="0" borderId="93" xfId="0" applyFont="1" applyBorder="1"/>
    <xf numFmtId="0" fontId="28" fillId="28" borderId="89" xfId="0" applyFont="1" applyFill="1" applyBorder="1" applyAlignment="1">
      <alignment vertical="center"/>
    </xf>
    <xf numFmtId="0" fontId="4" fillId="0" borderId="94" xfId="0" applyFont="1" applyBorder="1"/>
    <xf numFmtId="0" fontId="28" fillId="28" borderId="89" xfId="0" applyFont="1" applyFill="1" applyBorder="1" applyAlignment="1">
      <alignment horizontal="center"/>
    </xf>
    <xf numFmtId="0" fontId="0" fillId="0" borderId="94" xfId="0" applyBorder="1"/>
    <xf numFmtId="2" fontId="0" fillId="0" borderId="94" xfId="0" applyNumberFormat="1" applyBorder="1" applyAlignment="1">
      <alignment horizontal="center"/>
    </xf>
    <xf numFmtId="0" fontId="28" fillId="28" borderId="89" xfId="0" applyFont="1" applyFill="1" applyBorder="1" applyAlignment="1">
      <alignment horizontal="center" vertical="center"/>
    </xf>
    <xf numFmtId="0" fontId="0" fillId="0" borderId="94" xfId="0" applyBorder="1" applyAlignment="1">
      <alignment horizontal="center"/>
    </xf>
    <xf numFmtId="0" fontId="28" fillId="28" borderId="87" xfId="0" applyFont="1" applyFill="1" applyBorder="1" applyAlignment="1">
      <alignment horizontal="center"/>
    </xf>
    <xf numFmtId="0" fontId="28" fillId="28" borderId="92" xfId="0" applyFont="1" applyFill="1" applyBorder="1" applyAlignment="1">
      <alignment vertical="center"/>
    </xf>
    <xf numFmtId="0" fontId="4" fillId="30" borderId="94" xfId="0" applyFont="1" applyFill="1" applyBorder="1"/>
    <xf numFmtId="0" fontId="28" fillId="28" borderId="77" xfId="0" applyFont="1" applyFill="1" applyBorder="1" applyAlignment="1">
      <alignment horizontal="center"/>
    </xf>
    <xf numFmtId="0" fontId="28" fillId="28" borderId="78" xfId="0" applyFont="1" applyFill="1" applyBorder="1" applyAlignment="1">
      <alignment horizontal="center"/>
    </xf>
    <xf numFmtId="41" fontId="4" fillId="27" borderId="94" xfId="31" applyFont="1" applyFill="1" applyBorder="1"/>
    <xf numFmtId="41" fontId="0" fillId="27" borderId="94" xfId="31" applyFont="1" applyFill="1" applyBorder="1" applyAlignment="1">
      <alignment horizontal="center"/>
    </xf>
    <xf numFmtId="2" fontId="0" fillId="29" borderId="94" xfId="0" applyNumberFormat="1" applyFill="1" applyBorder="1"/>
    <xf numFmtId="1" fontId="0" fillId="29" borderId="94" xfId="0" applyNumberFormat="1" applyFill="1" applyBorder="1"/>
    <xf numFmtId="2" fontId="0" fillId="0" borderId="94" xfId="0" applyNumberFormat="1" applyBorder="1"/>
    <xf numFmtId="0" fontId="28" fillId="28" borderId="87" xfId="0" applyFont="1" applyFill="1" applyBorder="1" applyAlignment="1">
      <alignment horizontal="right" indent="1"/>
    </xf>
    <xf numFmtId="0" fontId="28" fillId="28" borderId="89" xfId="0" applyFont="1" applyFill="1" applyBorder="1" applyAlignment="1">
      <alignment horizontal="right" indent="1"/>
    </xf>
    <xf numFmtId="2" fontId="64" fillId="0" borderId="94" xfId="0" applyNumberFormat="1" applyFont="1" applyBorder="1" applyAlignment="1">
      <alignment horizontal="center"/>
    </xf>
    <xf numFmtId="10" fontId="0" fillId="0" borderId="0" xfId="25" applyNumberFormat="1" applyFont="1"/>
    <xf numFmtId="43" fontId="39" fillId="0" borderId="0" xfId="0" applyNumberFormat="1" applyFont="1" applyAlignment="1" applyProtection="1">
      <alignment vertical="center"/>
      <protection hidden="1"/>
    </xf>
    <xf numFmtId="43" fontId="76" fillId="0" borderId="0" xfId="0" applyNumberFormat="1" applyFont="1" applyAlignment="1" applyProtection="1">
      <alignment vertical="center"/>
      <protection hidden="1"/>
    </xf>
    <xf numFmtId="2" fontId="15" fillId="26" borderId="0" xfId="0" applyNumberFormat="1" applyFont="1" applyFill="1" applyAlignment="1" applyProtection="1">
      <alignment vertical="center"/>
      <protection hidden="1"/>
    </xf>
    <xf numFmtId="0" fontId="64" fillId="0" borderId="0" xfId="0" applyFont="1"/>
    <xf numFmtId="167" fontId="15" fillId="32" borderId="0" xfId="17" applyNumberFormat="1" applyFont="1" applyFill="1" applyBorder="1" applyAlignment="1" applyProtection="1">
      <alignment horizontal="left" vertical="center"/>
      <protection hidden="1"/>
    </xf>
    <xf numFmtId="0" fontId="0" fillId="29" borderId="94" xfId="0" applyFill="1" applyBorder="1" applyAlignment="1">
      <alignment horizontal="center"/>
    </xf>
    <xf numFmtId="2" fontId="0" fillId="29" borderId="94" xfId="0" applyNumberFormat="1" applyFill="1" applyBorder="1" applyAlignment="1">
      <alignment horizontal="center"/>
    </xf>
    <xf numFmtId="1" fontId="0" fillId="29" borderId="94" xfId="0" applyNumberFormat="1" applyFill="1" applyBorder="1" applyAlignment="1">
      <alignment horizontal="center"/>
    </xf>
    <xf numFmtId="2" fontId="0" fillId="0" borderId="0" xfId="0" applyNumberFormat="1"/>
    <xf numFmtId="172" fontId="0" fillId="29" borderId="94" xfId="0" applyNumberFormat="1" applyFill="1" applyBorder="1" applyAlignment="1">
      <alignment horizontal="center"/>
    </xf>
    <xf numFmtId="0" fontId="0" fillId="26" borderId="0" xfId="0" applyFill="1"/>
    <xf numFmtId="0" fontId="4" fillId="26" borderId="0" xfId="0" applyFont="1" applyFill="1"/>
    <xf numFmtId="2" fontId="4" fillId="0" borderId="94" xfId="0" applyNumberFormat="1" applyFont="1" applyBorder="1" applyAlignment="1">
      <alignment horizontal="center"/>
    </xf>
    <xf numFmtId="43" fontId="39" fillId="2" borderId="0" xfId="0" applyNumberFormat="1" applyFont="1" applyFill="1" applyAlignment="1" applyProtection="1">
      <alignment vertical="center"/>
      <protection hidden="1"/>
    </xf>
    <xf numFmtId="0" fontId="42" fillId="12" borderId="0" xfId="0" applyFont="1" applyFill="1" applyAlignment="1" applyProtection="1">
      <alignment horizontal="justify" vertical="top" wrapText="1"/>
      <protection hidden="1"/>
    </xf>
    <xf numFmtId="167" fontId="15" fillId="26" borderId="0" xfId="17" applyNumberFormat="1" applyFont="1" applyFill="1" applyBorder="1" applyAlignment="1" applyProtection="1">
      <alignment horizontal="center" vertical="center"/>
      <protection hidden="1"/>
    </xf>
    <xf numFmtId="166" fontId="77" fillId="2" borderId="0" xfId="24" applyFont="1" applyFill="1" applyAlignment="1" applyProtection="1">
      <alignment horizontal="centerContinuous" vertical="center"/>
      <protection hidden="1"/>
    </xf>
    <xf numFmtId="0" fontId="78" fillId="2" borderId="0" xfId="0" applyFont="1" applyFill="1" applyAlignment="1" applyProtection="1">
      <alignment horizontal="centerContinuous" vertical="center"/>
      <protection hidden="1"/>
    </xf>
    <xf numFmtId="0" fontId="79" fillId="2" borderId="0" xfId="0" applyFont="1" applyFill="1" applyAlignment="1" applyProtection="1">
      <alignment horizontal="centerContinuous" vertical="center"/>
      <protection hidden="1"/>
    </xf>
    <xf numFmtId="0" fontId="12" fillId="2" borderId="0" xfId="0" applyFont="1" applyFill="1" applyAlignment="1" applyProtection="1">
      <alignment horizontal="centerContinuous" vertical="center"/>
      <protection hidden="1"/>
    </xf>
    <xf numFmtId="0" fontId="80" fillId="0" borderId="0" xfId="0" applyFont="1"/>
    <xf numFmtId="0" fontId="28" fillId="12" borderId="0" xfId="0" applyFont="1" applyFill="1" applyAlignment="1" applyProtection="1">
      <alignment horizontal="left" vertical="center" wrapText="1"/>
      <protection hidden="1"/>
    </xf>
    <xf numFmtId="43" fontId="28" fillId="12" borderId="0" xfId="17" applyFont="1" applyFill="1" applyBorder="1" applyAlignment="1" applyProtection="1">
      <alignment horizontal="right" vertical="center" wrapText="1"/>
      <protection hidden="1"/>
    </xf>
    <xf numFmtId="167" fontId="0" fillId="0" borderId="0" xfId="0" applyNumberFormat="1"/>
    <xf numFmtId="0" fontId="39" fillId="0" borderId="0" xfId="0" applyFont="1" applyAlignment="1" applyProtection="1">
      <alignment vertical="center"/>
      <protection hidden="1"/>
    </xf>
    <xf numFmtId="172" fontId="76" fillId="0" borderId="0" xfId="0" applyNumberFormat="1" applyFont="1" applyAlignment="1" applyProtection="1">
      <alignment vertical="center"/>
      <protection hidden="1"/>
    </xf>
    <xf numFmtId="167" fontId="15" fillId="12" borderId="0" xfId="0" applyNumberFormat="1" applyFont="1" applyFill="1" applyAlignment="1" applyProtection="1">
      <alignment vertical="center"/>
      <protection hidden="1"/>
    </xf>
    <xf numFmtId="0" fontId="16" fillId="0" borderId="0" xfId="0" applyFont="1" applyAlignment="1" applyProtection="1">
      <alignment vertical="center"/>
      <protection hidden="1"/>
    </xf>
    <xf numFmtId="44" fontId="15" fillId="0" borderId="0" xfId="34" applyFont="1" applyFill="1" applyBorder="1" applyAlignment="1" applyProtection="1">
      <alignment vertical="center"/>
      <protection hidden="1"/>
    </xf>
    <xf numFmtId="2" fontId="15" fillId="12" borderId="0" xfId="0" applyNumberFormat="1" applyFont="1" applyFill="1" applyAlignment="1" applyProtection="1">
      <alignment vertical="center"/>
      <protection hidden="1"/>
    </xf>
    <xf numFmtId="3" fontId="15" fillId="2" borderId="34" xfId="0" applyNumberFormat="1" applyFont="1" applyFill="1" applyBorder="1" applyAlignment="1" applyProtection="1">
      <alignment horizontal="right" vertical="center"/>
      <protection hidden="1"/>
    </xf>
    <xf numFmtId="3" fontId="15" fillId="0" borderId="34" xfId="0" applyNumberFormat="1" applyFont="1" applyBorder="1" applyAlignment="1" applyProtection="1">
      <alignment horizontal="right" vertical="center"/>
      <protection hidden="1"/>
    </xf>
    <xf numFmtId="177" fontId="15" fillId="0" borderId="0" xfId="34" applyNumberFormat="1" applyFont="1" applyBorder="1" applyAlignment="1" applyProtection="1">
      <alignment vertical="center"/>
      <protection hidden="1"/>
    </xf>
    <xf numFmtId="0" fontId="82" fillId="0" borderId="0" xfId="0" applyFont="1" applyAlignment="1" applyProtection="1">
      <alignment vertical="center"/>
      <protection hidden="1"/>
    </xf>
    <xf numFmtId="43" fontId="82" fillId="0" borderId="0" xfId="0" applyNumberFormat="1" applyFont="1" applyAlignment="1" applyProtection="1">
      <alignment vertical="center"/>
      <protection hidden="1"/>
    </xf>
    <xf numFmtId="43" fontId="64" fillId="0" borderId="0" xfId="0" applyNumberFormat="1" applyFont="1" applyAlignment="1" applyProtection="1">
      <alignment vertical="center"/>
      <protection hidden="1"/>
    </xf>
    <xf numFmtId="43" fontId="72" fillId="26" borderId="0" xfId="17" applyFont="1" applyFill="1" applyBorder="1" applyAlignment="1" applyProtection="1">
      <alignment horizontal="center" vertical="center"/>
      <protection hidden="1"/>
    </xf>
    <xf numFmtId="0" fontId="42" fillId="2" borderId="0" xfId="0" applyFont="1" applyFill="1" applyAlignment="1" applyProtection="1">
      <alignment horizontal="left" vertical="center"/>
      <protection hidden="1"/>
    </xf>
    <xf numFmtId="0" fontId="84" fillId="12" borderId="0" xfId="0" applyFont="1" applyFill="1" applyAlignment="1" applyProtection="1">
      <alignment vertical="center"/>
      <protection hidden="1"/>
    </xf>
    <xf numFmtId="167" fontId="15" fillId="34" borderId="0" xfId="17" applyNumberFormat="1" applyFont="1" applyFill="1" applyBorder="1" applyAlignment="1" applyProtection="1">
      <alignment horizontal="center" vertical="center"/>
      <protection hidden="1"/>
    </xf>
    <xf numFmtId="43" fontId="15" fillId="2" borderId="2" xfId="0" applyNumberFormat="1" applyFont="1" applyFill="1" applyBorder="1" applyAlignment="1" applyProtection="1">
      <alignment vertical="center"/>
      <protection hidden="1"/>
    </xf>
    <xf numFmtId="43" fontId="16" fillId="0" borderId="42" xfId="17" applyFont="1" applyFill="1" applyBorder="1" applyAlignment="1" applyProtection="1">
      <alignment vertical="center" wrapText="1"/>
      <protection hidden="1"/>
    </xf>
    <xf numFmtId="2" fontId="0" fillId="33" borderId="94" xfId="0" applyNumberFormat="1" applyFill="1" applyBorder="1" applyAlignment="1">
      <alignment horizontal="center"/>
    </xf>
    <xf numFmtId="1" fontId="0" fillId="33" borderId="94" xfId="0" applyNumberFormat="1" applyFill="1" applyBorder="1"/>
    <xf numFmtId="1" fontId="0" fillId="33" borderId="94" xfId="0" applyNumberFormat="1" applyFill="1" applyBorder="1" applyAlignment="1">
      <alignment horizontal="center"/>
    </xf>
    <xf numFmtId="176" fontId="15" fillId="12" borderId="0" xfId="0" applyNumberFormat="1" applyFont="1" applyFill="1" applyAlignment="1" applyProtection="1">
      <alignment vertical="center"/>
      <protection hidden="1"/>
    </xf>
    <xf numFmtId="0" fontId="34" fillId="12" borderId="0" xfId="0" applyFont="1" applyFill="1" applyAlignment="1" applyProtection="1">
      <alignment horizontal="centerContinuous" vertical="center"/>
      <protection hidden="1"/>
    </xf>
    <xf numFmtId="0" fontId="0" fillId="12" borderId="0" xfId="0" applyFill="1"/>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175" fontId="59" fillId="0" borderId="0" xfId="32" applyNumberFormat="1" applyFont="1" applyFill="1" applyAlignment="1" applyProtection="1">
      <alignment vertical="center"/>
      <protection hidden="1"/>
    </xf>
    <xf numFmtId="0" fontId="34" fillId="2" borderId="0" xfId="0" quotePrefix="1" applyFont="1" applyFill="1" applyAlignment="1" applyProtection="1">
      <alignment horizontal="left" vertical="center"/>
      <protection hidden="1"/>
    </xf>
    <xf numFmtId="0" fontId="28" fillId="28" borderId="0" xfId="0" applyFont="1" applyFill="1" applyAlignment="1">
      <alignment horizontal="center"/>
    </xf>
    <xf numFmtId="1" fontId="0" fillId="33" borderId="0" xfId="0" applyNumberFormat="1" applyFill="1"/>
    <xf numFmtId="1" fontId="0" fillId="33" borderId="0" xfId="0" applyNumberFormat="1" applyFill="1" applyAlignment="1">
      <alignment horizontal="center"/>
    </xf>
    <xf numFmtId="2" fontId="0" fillId="26" borderId="94" xfId="0" applyNumberFormat="1" applyFill="1" applyBorder="1" applyAlignment="1">
      <alignment horizontal="center"/>
    </xf>
    <xf numFmtId="0" fontId="42" fillId="0" borderId="0" xfId="0" applyFont="1" applyAlignment="1" applyProtection="1">
      <alignment horizontal="left" wrapText="1"/>
      <protection hidden="1"/>
    </xf>
    <xf numFmtId="178" fontId="16" fillId="0" borderId="42" xfId="17" applyNumberFormat="1" applyFont="1" applyFill="1" applyBorder="1" applyAlignment="1" applyProtection="1">
      <alignment vertical="center" wrapText="1"/>
      <protection hidden="1"/>
    </xf>
    <xf numFmtId="0" fontId="91" fillId="0" borderId="2" xfId="0" applyFont="1" applyBorder="1"/>
    <xf numFmtId="0" fontId="91" fillId="0" borderId="89" xfId="0" applyFont="1" applyBorder="1"/>
    <xf numFmtId="179" fontId="91" fillId="0" borderId="89" xfId="0" applyNumberFormat="1" applyFont="1" applyBorder="1"/>
    <xf numFmtId="0" fontId="92" fillId="0" borderId="0" xfId="0" applyFont="1"/>
    <xf numFmtId="1" fontId="92" fillId="0" borderId="0" xfId="0" applyNumberFormat="1" applyFont="1"/>
    <xf numFmtId="0" fontId="93" fillId="0" borderId="95" xfId="0" applyFont="1" applyBorder="1"/>
    <xf numFmtId="4" fontId="93" fillId="0" borderId="0" xfId="0" applyNumberFormat="1" applyFont="1"/>
    <xf numFmtId="0" fontId="93" fillId="0" borderId="0" xfId="0" applyFont="1"/>
    <xf numFmtId="0" fontId="93" fillId="0" borderId="96" xfId="0" applyFont="1" applyBorder="1"/>
    <xf numFmtId="0" fontId="0" fillId="0" borderId="96" xfId="0" applyBorder="1"/>
    <xf numFmtId="1" fontId="92" fillId="13" borderId="0" xfId="0" applyNumberFormat="1" applyFont="1" applyFill="1"/>
    <xf numFmtId="0" fontId="0" fillId="0" borderId="95" xfId="0" applyBorder="1"/>
    <xf numFmtId="0" fontId="93" fillId="0" borderId="97" xfId="0" applyFont="1" applyBorder="1"/>
    <xf numFmtId="0" fontId="93" fillId="0" borderId="98" xfId="0" applyFont="1" applyBorder="1"/>
    <xf numFmtId="0" fontId="0" fillId="0" borderId="98" xfId="0" applyBorder="1"/>
    <xf numFmtId="0" fontId="93" fillId="0" borderId="99" xfId="0" applyFont="1" applyBorder="1"/>
    <xf numFmtId="0" fontId="93" fillId="0" borderId="100" xfId="0" applyFont="1" applyBorder="1"/>
    <xf numFmtId="1" fontId="92" fillId="0" borderId="100" xfId="0" applyNumberFormat="1" applyFont="1" applyBorder="1"/>
    <xf numFmtId="4" fontId="93" fillId="0" borderId="100" xfId="0" applyNumberFormat="1" applyFont="1" applyBorder="1"/>
    <xf numFmtId="0" fontId="0" fillId="0" borderId="100" xfId="0" applyBorder="1"/>
    <xf numFmtId="180" fontId="94" fillId="0" borderId="0" xfId="0" applyNumberFormat="1" applyFont="1" applyAlignment="1" applyProtection="1">
      <alignment horizontal="left" vertical="center"/>
      <protection hidden="1"/>
    </xf>
    <xf numFmtId="179" fontId="93" fillId="0" borderId="0" xfId="0" applyNumberFormat="1" applyFont="1" applyAlignment="1">
      <alignment horizontal="center"/>
    </xf>
    <xf numFmtId="179" fontId="98" fillId="0" borderId="0" xfId="0" applyNumberFormat="1" applyFont="1" applyAlignment="1">
      <alignment horizontal="center"/>
    </xf>
    <xf numFmtId="0" fontId="92" fillId="13" borderId="0" xfId="0" applyFont="1" applyFill="1"/>
    <xf numFmtId="0" fontId="93" fillId="13" borderId="0" xfId="0" applyFont="1" applyFill="1"/>
    <xf numFmtId="0" fontId="0" fillId="13" borderId="0" xfId="0" applyFill="1" applyAlignment="1">
      <alignment vertical="center"/>
    </xf>
    <xf numFmtId="0" fontId="99" fillId="13" borderId="0" xfId="0" applyFont="1" applyFill="1"/>
    <xf numFmtId="3" fontId="93" fillId="13" borderId="0" xfId="0" applyNumberFormat="1" applyFont="1" applyFill="1"/>
    <xf numFmtId="179" fontId="93" fillId="13" borderId="0" xfId="0" applyNumberFormat="1" applyFont="1" applyFill="1"/>
    <xf numFmtId="0" fontId="93" fillId="13" borderId="101" xfId="0" applyFont="1" applyFill="1" applyBorder="1"/>
    <xf numFmtId="1" fontId="92" fillId="13" borderId="101" xfId="0" applyNumberFormat="1" applyFont="1" applyFill="1" applyBorder="1"/>
    <xf numFmtId="0" fontId="0" fillId="13" borderId="101" xfId="0" applyFill="1" applyBorder="1"/>
    <xf numFmtId="0" fontId="99" fillId="13" borderId="101" xfId="0" applyFont="1" applyFill="1" applyBorder="1"/>
    <xf numFmtId="0" fontId="93" fillId="13" borderId="82" xfId="0" applyFont="1" applyFill="1" applyBorder="1"/>
    <xf numFmtId="1" fontId="92" fillId="13" borderId="82" xfId="0" applyNumberFormat="1" applyFont="1" applyFill="1" applyBorder="1"/>
    <xf numFmtId="0" fontId="0" fillId="13" borderId="82" xfId="0" applyFill="1" applyBorder="1"/>
    <xf numFmtId="0" fontId="99" fillId="13" borderId="82" xfId="0" applyFont="1" applyFill="1" applyBorder="1"/>
    <xf numFmtId="0" fontId="93" fillId="13" borderId="100" xfId="0" applyFont="1" applyFill="1" applyBorder="1"/>
    <xf numFmtId="1" fontId="92" fillId="13" borderId="100" xfId="0" applyNumberFormat="1" applyFont="1" applyFill="1" applyBorder="1"/>
    <xf numFmtId="0" fontId="0" fillId="13" borderId="100" xfId="0" applyFill="1" applyBorder="1"/>
    <xf numFmtId="0" fontId="99" fillId="13" borderId="100" xfId="0" applyFont="1" applyFill="1" applyBorder="1"/>
    <xf numFmtId="0" fontId="92" fillId="13" borderId="100" xfId="0" applyFont="1" applyFill="1" applyBorder="1"/>
    <xf numFmtId="0" fontId="96" fillId="13" borderId="0" xfId="0" applyFont="1" applyFill="1"/>
    <xf numFmtId="0" fontId="91" fillId="13" borderId="0" xfId="0" applyFont="1" applyFill="1"/>
    <xf numFmtId="0" fontId="95" fillId="13" borderId="0" xfId="0" applyFont="1" applyFill="1"/>
    <xf numFmtId="0" fontId="73" fillId="13" borderId="0" xfId="33" applyFill="1"/>
    <xf numFmtId="0" fontId="93" fillId="13" borderId="95" xfId="0" applyFont="1" applyFill="1" applyBorder="1"/>
    <xf numFmtId="0" fontId="91" fillId="13" borderId="0" xfId="0" applyFont="1" applyFill="1" applyAlignment="1">
      <alignment horizontal="center"/>
    </xf>
    <xf numFmtId="0" fontId="91" fillId="13" borderId="100" xfId="0" applyFont="1" applyFill="1" applyBorder="1"/>
    <xf numFmtId="179" fontId="93" fillId="0" borderId="0" xfId="0" applyNumberFormat="1" applyFont="1" applyAlignment="1">
      <alignment horizontal="right"/>
    </xf>
    <xf numFmtId="179" fontId="93" fillId="13" borderId="0" xfId="0" applyNumberFormat="1" applyFont="1" applyFill="1" applyAlignment="1">
      <alignment horizontal="right"/>
    </xf>
    <xf numFmtId="0" fontId="92" fillId="25" borderId="0" xfId="0" applyFont="1" applyFill="1"/>
    <xf numFmtId="1" fontId="92" fillId="25" borderId="0" xfId="0" applyNumberFormat="1" applyFont="1" applyFill="1"/>
    <xf numFmtId="0" fontId="93" fillId="25" borderId="0" xfId="0" applyFont="1" applyFill="1"/>
    <xf numFmtId="4" fontId="93" fillId="25" borderId="0" xfId="0" applyNumberFormat="1" applyFont="1" applyFill="1"/>
    <xf numFmtId="179" fontId="93" fillId="25" borderId="0" xfId="0" applyNumberFormat="1" applyFont="1" applyFill="1" applyAlignment="1">
      <alignment horizontal="right"/>
    </xf>
    <xf numFmtId="179" fontId="93" fillId="25" borderId="0" xfId="0" applyNumberFormat="1" applyFont="1" applyFill="1"/>
    <xf numFmtId="0" fontId="92" fillId="25" borderId="102" xfId="0" applyFont="1" applyFill="1" applyBorder="1"/>
    <xf numFmtId="1" fontId="92" fillId="25" borderId="102" xfId="0" applyNumberFormat="1" applyFont="1" applyFill="1" applyBorder="1"/>
    <xf numFmtId="0" fontId="93" fillId="25" borderId="102" xfId="0" applyFont="1" applyFill="1" applyBorder="1"/>
    <xf numFmtId="0" fontId="93" fillId="25" borderId="100" xfId="0" applyFont="1" applyFill="1" applyBorder="1"/>
    <xf numFmtId="0" fontId="96" fillId="25" borderId="0" xfId="0" applyFont="1" applyFill="1"/>
    <xf numFmtId="43" fontId="93" fillId="13" borderId="0" xfId="17" applyFont="1" applyFill="1"/>
    <xf numFmtId="0" fontId="61" fillId="25" borderId="0" xfId="0" applyFont="1" applyFill="1"/>
    <xf numFmtId="179" fontId="91" fillId="13" borderId="0" xfId="0" applyNumberFormat="1" applyFont="1" applyFill="1" applyAlignment="1">
      <alignment horizontal="right"/>
    </xf>
    <xf numFmtId="0" fontId="91" fillId="25" borderId="0" xfId="0" applyFont="1" applyFill="1"/>
    <xf numFmtId="0" fontId="0" fillId="25" borderId="0" xfId="0" applyFill="1" applyAlignment="1">
      <alignment vertical="center"/>
    </xf>
    <xf numFmtId="0" fontId="99" fillId="25" borderId="0" xfId="0" applyFont="1" applyFill="1"/>
    <xf numFmtId="43" fontId="91" fillId="25" borderId="0" xfId="17" applyFont="1" applyFill="1" applyBorder="1"/>
    <xf numFmtId="179" fontId="91" fillId="25" borderId="0" xfId="0" applyNumberFormat="1" applyFont="1" applyFill="1" applyAlignment="1">
      <alignment horizontal="right"/>
    </xf>
    <xf numFmtId="0" fontId="96" fillId="25" borderId="101" xfId="0" applyFont="1" applyFill="1" applyBorder="1"/>
    <xf numFmtId="0" fontId="91" fillId="25" borderId="101" xfId="0" applyFont="1" applyFill="1" applyBorder="1"/>
    <xf numFmtId="0" fontId="97" fillId="25" borderId="101" xfId="0" applyFont="1" applyFill="1" applyBorder="1"/>
    <xf numFmtId="0" fontId="99" fillId="25" borderId="101" xfId="0" applyFont="1" applyFill="1" applyBorder="1"/>
    <xf numFmtId="0" fontId="96" fillId="25" borderId="100" xfId="0" applyFont="1" applyFill="1" applyBorder="1"/>
    <xf numFmtId="0" fontId="91" fillId="25" borderId="100" xfId="0" applyFont="1" applyFill="1" applyBorder="1"/>
    <xf numFmtId="0" fontId="99" fillId="25" borderId="100" xfId="0" applyFont="1" applyFill="1" applyBorder="1"/>
    <xf numFmtId="43" fontId="61" fillId="25" borderId="0" xfId="17" applyFont="1" applyFill="1"/>
    <xf numFmtId="0" fontId="61" fillId="25" borderId="100" xfId="0" applyFont="1" applyFill="1" applyBorder="1"/>
    <xf numFmtId="0" fontId="96" fillId="21" borderId="0" xfId="0" applyFont="1" applyFill="1"/>
    <xf numFmtId="0" fontId="91" fillId="21" borderId="0" xfId="0" applyFont="1" applyFill="1"/>
    <xf numFmtId="0" fontId="93" fillId="21" borderId="0" xfId="0" applyFont="1" applyFill="1"/>
    <xf numFmtId="4" fontId="93" fillId="21" borderId="0" xfId="0" applyNumberFormat="1" applyFont="1" applyFill="1"/>
    <xf numFmtId="0" fontId="61" fillId="21" borderId="0" xfId="0" applyFont="1" applyFill="1"/>
    <xf numFmtId="179" fontId="91" fillId="21" borderId="0" xfId="0" applyNumberFormat="1" applyFont="1" applyFill="1" applyAlignment="1">
      <alignment horizontal="right"/>
    </xf>
    <xf numFmtId="0" fontId="95" fillId="21" borderId="0" xfId="0" applyFont="1" applyFill="1"/>
    <xf numFmtId="0" fontId="95" fillId="21" borderId="102" xfId="0" applyFont="1" applyFill="1" applyBorder="1"/>
    <xf numFmtId="0" fontId="96" fillId="21" borderId="102" xfId="0" applyFont="1" applyFill="1" applyBorder="1"/>
    <xf numFmtId="0" fontId="91" fillId="21" borderId="102" xfId="0" applyFont="1" applyFill="1" applyBorder="1"/>
    <xf numFmtId="0" fontId="93" fillId="21" borderId="102" xfId="0" applyFont="1" applyFill="1" applyBorder="1"/>
    <xf numFmtId="43" fontId="93" fillId="21" borderId="0" xfId="17" applyFont="1" applyFill="1"/>
    <xf numFmtId="0" fontId="73" fillId="21" borderId="0" xfId="33" applyFill="1"/>
    <xf numFmtId="0" fontId="93" fillId="21" borderId="95" xfId="0" applyFont="1" applyFill="1" applyBorder="1"/>
    <xf numFmtId="43" fontId="93" fillId="21" borderId="95" xfId="17" applyFont="1" applyFill="1" applyBorder="1"/>
    <xf numFmtId="0" fontId="91" fillId="21" borderId="95" xfId="0" applyFont="1" applyFill="1" applyBorder="1"/>
    <xf numFmtId="43" fontId="98" fillId="21" borderId="0" xfId="17" applyFont="1" applyFill="1"/>
    <xf numFmtId="4" fontId="15" fillId="2" borderId="50" xfId="0" applyNumberFormat="1" applyFont="1" applyFill="1" applyBorder="1" applyAlignment="1" applyProtection="1">
      <alignment horizontal="right" vertical="center"/>
      <protection hidden="1"/>
    </xf>
    <xf numFmtId="181" fontId="15" fillId="2" borderId="0" xfId="0" applyNumberFormat="1" applyFont="1" applyFill="1" applyAlignment="1" applyProtection="1">
      <alignment vertical="center"/>
      <protection hidden="1"/>
    </xf>
    <xf numFmtId="0" fontId="28" fillId="28" borderId="92" xfId="0" applyFont="1" applyFill="1" applyBorder="1" applyAlignment="1">
      <alignment horizontal="center" vertical="center"/>
    </xf>
    <xf numFmtId="17" fontId="15" fillId="0" borderId="0" xfId="0" applyNumberFormat="1" applyFont="1" applyAlignment="1" applyProtection="1">
      <alignment vertical="center"/>
      <protection hidden="1"/>
    </xf>
    <xf numFmtId="43" fontId="15" fillId="0" borderId="35" xfId="17" applyFont="1" applyFill="1" applyBorder="1" applyAlignment="1" applyProtection="1">
      <alignment horizontal="right" vertical="center"/>
      <protection hidden="1"/>
    </xf>
    <xf numFmtId="49" fontId="15" fillId="2" borderId="31" xfId="0" applyNumberFormat="1" applyFont="1" applyFill="1" applyBorder="1" applyAlignment="1" applyProtection="1">
      <alignment horizontal="center" vertical="center"/>
      <protection hidden="1"/>
    </xf>
    <xf numFmtId="0" fontId="91" fillId="0" borderId="2" xfId="0" applyFont="1" applyBorder="1" applyAlignment="1">
      <alignment horizontal="center" vertical="top" wrapText="1"/>
    </xf>
    <xf numFmtId="0" fontId="91" fillId="0" borderId="89" xfId="0" applyFont="1" applyBorder="1" applyAlignment="1">
      <alignment horizontal="center" vertical="top" wrapText="1"/>
    </xf>
    <xf numFmtId="0" fontId="0" fillId="0" borderId="0" xfId="0" applyAlignment="1">
      <alignment horizontal="center" vertical="top" wrapText="1"/>
    </xf>
    <xf numFmtId="179" fontId="91" fillId="0" borderId="89" xfId="0" applyNumberFormat="1" applyFont="1" applyBorder="1" applyAlignment="1">
      <alignment horizontal="center" vertical="top" wrapText="1"/>
    </xf>
    <xf numFmtId="0" fontId="93" fillId="0" borderId="5" xfId="0" applyFont="1" applyBorder="1"/>
    <xf numFmtId="1" fontId="92" fillId="0" borderId="6" xfId="0" applyNumberFormat="1" applyFont="1" applyBorder="1"/>
    <xf numFmtId="0" fontId="93" fillId="0" borderId="6" xfId="0" applyFont="1" applyBorder="1"/>
    <xf numFmtId="4" fontId="93" fillId="0" borderId="3" xfId="0" applyNumberFormat="1" applyFont="1" applyBorder="1"/>
    <xf numFmtId="179" fontId="93" fillId="0" borderId="6" xfId="0" applyNumberFormat="1" applyFont="1" applyBorder="1" applyAlignment="1">
      <alignment horizontal="right"/>
    </xf>
    <xf numFmtId="179" fontId="93" fillId="0" borderId="3" xfId="0" applyNumberFormat="1" applyFont="1" applyBorder="1"/>
    <xf numFmtId="0" fontId="93" fillId="0" borderId="7" xfId="0" applyFont="1" applyBorder="1"/>
    <xf numFmtId="4" fontId="93" fillId="0" borderId="4" xfId="0" applyNumberFormat="1" applyFont="1" applyBorder="1"/>
    <xf numFmtId="179" fontId="93" fillId="0" borderId="4" xfId="0" applyNumberFormat="1" applyFont="1" applyBorder="1"/>
    <xf numFmtId="0" fontId="93" fillId="0" borderId="11" xfId="0" applyFont="1" applyBorder="1"/>
    <xf numFmtId="1" fontId="92" fillId="0" borderId="13" xfId="0" applyNumberFormat="1" applyFont="1" applyBorder="1"/>
    <xf numFmtId="0" fontId="93" fillId="0" borderId="13" xfId="0" applyFont="1" applyBorder="1"/>
    <xf numFmtId="4" fontId="93" fillId="0" borderId="12" xfId="0" applyNumberFormat="1" applyFont="1" applyBorder="1"/>
    <xf numFmtId="179" fontId="93" fillId="0" borderId="13" xfId="0" applyNumberFormat="1" applyFont="1" applyBorder="1" applyAlignment="1">
      <alignment horizontal="right"/>
    </xf>
    <xf numFmtId="179" fontId="93" fillId="0" borderId="12" xfId="0" applyNumberFormat="1" applyFont="1" applyBorder="1"/>
    <xf numFmtId="0" fontId="28" fillId="28" borderId="77" xfId="0" applyFont="1" applyFill="1" applyBorder="1" applyAlignment="1">
      <alignment horizontal="center" vertical="center"/>
    </xf>
    <xf numFmtId="2" fontId="0" fillId="0" borderId="103" xfId="0" applyNumberFormat="1" applyBorder="1" applyAlignment="1">
      <alignment horizontal="center"/>
    </xf>
    <xf numFmtId="0" fontId="28" fillId="28" borderId="14" xfId="0" applyFont="1" applyFill="1" applyBorder="1" applyAlignment="1">
      <alignment horizontal="center" vertical="center"/>
    </xf>
    <xf numFmtId="2" fontId="0" fillId="0" borderId="0" xfId="0" applyNumberFormat="1" applyAlignment="1">
      <alignment horizontal="center"/>
    </xf>
    <xf numFmtId="9" fontId="0" fillId="0" borderId="0" xfId="25" applyFont="1"/>
    <xf numFmtId="2" fontId="97" fillId="0" borderId="104" xfId="0" applyNumberFormat="1" applyFont="1" applyBorder="1" applyAlignment="1">
      <alignment horizontal="center"/>
    </xf>
    <xf numFmtId="2" fontId="97" fillId="0" borderId="105" xfId="0" applyNumberFormat="1" applyFont="1" applyBorder="1" applyAlignment="1">
      <alignment horizontal="center"/>
    </xf>
    <xf numFmtId="0" fontId="0" fillId="24" borderId="10" xfId="0" applyFill="1" applyBorder="1" applyAlignment="1">
      <alignment horizontal="center"/>
    </xf>
    <xf numFmtId="2" fontId="0" fillId="0" borderId="2" xfId="0" applyNumberFormat="1" applyBorder="1" applyAlignment="1">
      <alignment horizontal="center"/>
    </xf>
    <xf numFmtId="2" fontId="0" fillId="0" borderId="71" xfId="0" applyNumberFormat="1" applyBorder="1" applyAlignment="1">
      <alignment horizontal="center"/>
    </xf>
    <xf numFmtId="2" fontId="0" fillId="0" borderId="72" xfId="0" applyNumberFormat="1" applyBorder="1" applyAlignment="1">
      <alignment horizontal="center"/>
    </xf>
    <xf numFmtId="2" fontId="0" fillId="0" borderId="73" xfId="0" applyNumberFormat="1" applyBorder="1" applyAlignment="1">
      <alignment horizontal="center"/>
    </xf>
    <xf numFmtId="0" fontId="4" fillId="26" borderId="0" xfId="0" applyFont="1" applyFill="1" applyAlignment="1">
      <alignment horizontal="center"/>
    </xf>
    <xf numFmtId="2" fontId="0" fillId="26" borderId="94" xfId="0" applyNumberFormat="1" applyFill="1" applyBorder="1"/>
    <xf numFmtId="0" fontId="35" fillId="5" borderId="90" xfId="0" applyFont="1" applyFill="1" applyBorder="1" applyAlignment="1" applyProtection="1">
      <alignment horizontal="center" vertical="center" wrapText="1"/>
      <protection hidden="1"/>
    </xf>
    <xf numFmtId="15" fontId="45" fillId="5" borderId="106" xfId="0"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center" vertical="center" wrapText="1"/>
      <protection hidden="1"/>
    </xf>
    <xf numFmtId="43" fontId="90" fillId="0" borderId="35" xfId="17" applyFont="1" applyFill="1" applyBorder="1" applyAlignment="1" applyProtection="1">
      <alignment horizontal="center" vertical="center" wrapText="1"/>
      <protection hidden="1"/>
    </xf>
    <xf numFmtId="15" fontId="45" fillId="5" borderId="37" xfId="0" quotePrefix="1" applyNumberFormat="1" applyFont="1" applyFill="1" applyBorder="1" applyAlignment="1" applyProtection="1">
      <alignment horizontal="center" vertical="center" wrapText="1"/>
      <protection hidden="1"/>
    </xf>
    <xf numFmtId="0" fontId="15" fillId="0" borderId="35" xfId="0" applyFont="1" applyBorder="1" applyAlignment="1" applyProtection="1">
      <alignment vertical="center"/>
      <protection hidden="1"/>
    </xf>
    <xf numFmtId="43" fontId="16" fillId="0" borderId="35" xfId="17" quotePrefix="1" applyFont="1" applyFill="1" applyBorder="1" applyAlignment="1" applyProtection="1">
      <alignment horizontal="center" vertical="center" wrapText="1"/>
      <protection hidden="1"/>
    </xf>
    <xf numFmtId="178" fontId="16" fillId="0" borderId="45" xfId="17" applyNumberFormat="1" applyFont="1" applyFill="1" applyBorder="1" applyAlignment="1" applyProtection="1">
      <alignment vertical="center" wrapText="1"/>
      <protection hidden="1"/>
    </xf>
    <xf numFmtId="2" fontId="16" fillId="0" borderId="35" xfId="0" quotePrefix="1" applyNumberFormat="1" applyFont="1" applyBorder="1" applyAlignment="1" applyProtection="1">
      <alignment horizontal="right" vertical="center" wrapText="1"/>
      <protection hidden="1"/>
    </xf>
    <xf numFmtId="167" fontId="16" fillId="0" borderId="47" xfId="17" applyNumberFormat="1" applyFont="1" applyFill="1" applyBorder="1" applyAlignment="1" applyProtection="1">
      <alignment horizontal="left" vertical="center" wrapText="1"/>
      <protection hidden="1"/>
    </xf>
    <xf numFmtId="43" fontId="16" fillId="0" borderId="47" xfId="17" applyFont="1" applyFill="1" applyBorder="1" applyAlignment="1" applyProtection="1">
      <alignment horizontal="left" vertical="center" wrapText="1"/>
      <protection hidden="1"/>
    </xf>
    <xf numFmtId="0" fontId="16" fillId="0" borderId="40" xfId="0" applyFont="1" applyBorder="1" applyAlignment="1" applyProtection="1">
      <alignment horizontal="left" vertical="center" wrapText="1"/>
      <protection hidden="1"/>
    </xf>
    <xf numFmtId="167" fontId="16" fillId="0" borderId="111" xfId="17" applyNumberFormat="1" applyFont="1" applyFill="1" applyBorder="1" applyAlignment="1" applyProtection="1">
      <alignment horizontal="left" vertical="center" wrapText="1"/>
      <protection hidden="1"/>
    </xf>
    <xf numFmtId="167" fontId="16" fillId="0" borderId="113" xfId="17" applyNumberFormat="1" applyFont="1" applyFill="1" applyBorder="1" applyAlignment="1" applyProtection="1">
      <alignment horizontal="center" vertical="center" wrapText="1"/>
      <protection hidden="1"/>
    </xf>
    <xf numFmtId="0" fontId="35" fillId="15" borderId="114" xfId="0" applyFont="1" applyFill="1" applyBorder="1" applyAlignment="1" applyProtection="1">
      <alignment horizontal="center" vertical="center" wrapText="1"/>
      <protection hidden="1"/>
    </xf>
    <xf numFmtId="9" fontId="36" fillId="15" borderId="114" xfId="0" quotePrefix="1" applyNumberFormat="1" applyFont="1" applyFill="1" applyBorder="1" applyAlignment="1" applyProtection="1">
      <alignment horizontal="center" vertical="center" wrapText="1"/>
      <protection hidden="1"/>
    </xf>
    <xf numFmtId="15" fontId="44" fillId="15" borderId="115" xfId="0" quotePrefix="1" applyNumberFormat="1" applyFont="1" applyFill="1" applyBorder="1" applyAlignment="1" applyProtection="1">
      <alignment horizontal="center" vertical="center" wrapText="1"/>
      <protection hidden="1"/>
    </xf>
    <xf numFmtId="0" fontId="40" fillId="6" borderId="107" xfId="0" applyFont="1" applyFill="1" applyBorder="1" applyAlignment="1" applyProtection="1">
      <alignment horizontal="centerContinuous" vertical="center"/>
      <protection hidden="1"/>
    </xf>
    <xf numFmtId="0" fontId="40" fillId="6" borderId="108" xfId="0" applyFont="1" applyFill="1" applyBorder="1" applyAlignment="1" applyProtection="1">
      <alignment horizontal="centerContinuous" vertical="center"/>
      <protection hidden="1"/>
    </xf>
    <xf numFmtId="0" fontId="40" fillId="6" borderId="109" xfId="0" applyFont="1" applyFill="1" applyBorder="1" applyAlignment="1" applyProtection="1">
      <alignment horizontal="centerContinuous" vertical="center"/>
      <protection hidden="1"/>
    </xf>
    <xf numFmtId="0" fontId="40" fillId="6" borderId="118" xfId="0" applyFont="1" applyFill="1" applyBorder="1" applyAlignment="1" applyProtection="1">
      <alignment horizontal="centerContinuous" vertical="center"/>
      <protection hidden="1"/>
    </xf>
    <xf numFmtId="0" fontId="40" fillId="6" borderId="119" xfId="0" applyFont="1" applyFill="1" applyBorder="1" applyAlignment="1" applyProtection="1">
      <alignment horizontal="centerContinuous" vertical="center"/>
      <protection hidden="1"/>
    </xf>
    <xf numFmtId="0" fontId="40" fillId="6" borderId="120" xfId="0" applyFont="1" applyFill="1" applyBorder="1" applyAlignment="1" applyProtection="1">
      <alignment horizontal="centerContinuous" vertical="center"/>
      <protection hidden="1"/>
    </xf>
    <xf numFmtId="0" fontId="16" fillId="0" borderId="43" xfId="0" applyFont="1" applyBorder="1" applyAlignment="1" applyProtection="1">
      <alignment horizontal="left" vertical="center" wrapText="1"/>
      <protection hidden="1"/>
    </xf>
    <xf numFmtId="43" fontId="16" fillId="0" borderId="44" xfId="17" applyFont="1" applyFill="1" applyBorder="1" applyAlignment="1" applyProtection="1">
      <alignment horizontal="center" vertical="center" wrapText="1"/>
      <protection hidden="1"/>
    </xf>
    <xf numFmtId="171" fontId="65" fillId="0" borderId="44" xfId="17" applyNumberFormat="1" applyFont="1" applyFill="1" applyBorder="1" applyAlignment="1" applyProtection="1">
      <alignment horizontal="center" vertical="center" wrapText="1"/>
      <protection hidden="1"/>
    </xf>
    <xf numFmtId="171" fontId="65" fillId="0" borderId="45" xfId="17" applyNumberFormat="1" applyFont="1" applyFill="1" applyBorder="1" applyAlignment="1" applyProtection="1">
      <alignment horizontal="center" vertical="center" wrapText="1"/>
      <protection hidden="1"/>
    </xf>
    <xf numFmtId="2" fontId="15" fillId="0" borderId="31" xfId="0" applyNumberFormat="1" applyFont="1" applyBorder="1" applyAlignment="1" applyProtection="1">
      <alignment horizontal="center" vertical="center" wrapText="1"/>
      <protection hidden="1"/>
    </xf>
    <xf numFmtId="2" fontId="15" fillId="0" borderId="35" xfId="0" applyNumberFormat="1" applyFont="1" applyBorder="1" applyAlignment="1" applyProtection="1">
      <alignment horizontal="center" vertical="center" wrapText="1"/>
      <protection hidden="1"/>
    </xf>
    <xf numFmtId="2" fontId="20" fillId="0" borderId="31" xfId="0" applyNumberFormat="1" applyFont="1" applyBorder="1" applyAlignment="1" applyProtection="1">
      <alignment horizontal="center" vertical="center" wrapText="1"/>
      <protection hidden="1"/>
    </xf>
    <xf numFmtId="2" fontId="20" fillId="0" borderId="35" xfId="0" applyNumberFormat="1" applyFont="1" applyBorder="1" applyAlignment="1" applyProtection="1">
      <alignment horizontal="center" vertical="center" wrapText="1"/>
      <protection hidden="1"/>
    </xf>
    <xf numFmtId="43" fontId="26" fillId="12" borderId="0" xfId="17" applyFont="1" applyFill="1" applyBorder="1" applyAlignment="1" applyProtection="1">
      <alignment horizontal="center" vertical="center"/>
      <protection hidden="1"/>
    </xf>
    <xf numFmtId="0" fontId="16" fillId="0" borderId="48"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5" fillId="0" borderId="49" xfId="0" applyFont="1" applyBorder="1" applyAlignment="1" applyProtection="1">
      <alignment vertical="center"/>
      <protection hidden="1"/>
    </xf>
    <xf numFmtId="15" fontId="38" fillId="0" borderId="48" xfId="0" quotePrefix="1" applyNumberFormat="1" applyFont="1" applyBorder="1" applyAlignment="1" applyProtection="1">
      <alignment horizontal="left" vertical="center"/>
      <protection hidden="1"/>
    </xf>
    <xf numFmtId="43" fontId="15" fillId="0" borderId="31" xfId="17" applyFont="1" applyFill="1" applyBorder="1" applyAlignment="1" applyProtection="1">
      <alignment horizontal="center" vertical="center" wrapText="1"/>
      <protection hidden="1"/>
    </xf>
    <xf numFmtId="43" fontId="15" fillId="0" borderId="35" xfId="17" applyFont="1" applyFill="1" applyBorder="1" applyAlignment="1" applyProtection="1">
      <alignment horizontal="center" vertical="center" wrapText="1"/>
      <protection hidden="1"/>
    </xf>
    <xf numFmtId="178" fontId="15" fillId="0" borderId="31" xfId="17" applyNumberFormat="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right" vertical="center" wrapText="1"/>
      <protection hidden="1"/>
    </xf>
    <xf numFmtId="2" fontId="34" fillId="0" borderId="35" xfId="0" applyNumberFormat="1" applyFont="1" applyBorder="1" applyAlignment="1" applyProtection="1">
      <alignment horizontal="right" vertical="center" wrapText="1"/>
      <protection hidden="1"/>
    </xf>
    <xf numFmtId="43" fontId="15" fillId="0" borderId="31" xfId="17" applyFont="1" applyFill="1" applyBorder="1" applyAlignment="1" applyProtection="1">
      <alignment vertical="center" wrapText="1"/>
      <protection hidden="1"/>
    </xf>
    <xf numFmtId="49" fontId="15" fillId="0" borderId="31" xfId="17" applyNumberFormat="1" applyFont="1" applyFill="1" applyBorder="1" applyAlignment="1" applyProtection="1">
      <alignment horizontal="center" vertical="center" wrapText="1"/>
      <protection hidden="1"/>
    </xf>
    <xf numFmtId="49" fontId="15" fillId="0" borderId="35" xfId="0" applyNumberFormat="1" applyFont="1" applyBorder="1" applyAlignment="1" applyProtection="1">
      <alignment horizontal="center" vertical="center" wrapText="1"/>
      <protection hidden="1"/>
    </xf>
    <xf numFmtId="43" fontId="15" fillId="0" borderId="31" xfId="17" quotePrefix="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center" vertical="center" wrapText="1"/>
      <protection hidden="1"/>
    </xf>
    <xf numFmtId="2" fontId="34" fillId="0" borderId="35" xfId="0" applyNumberFormat="1" applyFont="1" applyBorder="1" applyAlignment="1" applyProtection="1">
      <alignment horizontal="center" vertical="center" wrapText="1"/>
      <protection hidden="1"/>
    </xf>
    <xf numFmtId="0" fontId="15" fillId="0" borderId="33" xfId="0" applyFont="1" applyBorder="1" applyAlignment="1" applyProtection="1">
      <alignment horizontal="left" vertical="center" wrapText="1"/>
      <protection hidden="1"/>
    </xf>
    <xf numFmtId="2" fontId="34" fillId="0" borderId="34" xfId="0" applyNumberFormat="1" applyFont="1" applyBorder="1" applyAlignment="1" applyProtection="1">
      <alignment horizontal="right" vertical="center" wrapText="1"/>
      <protection hidden="1"/>
    </xf>
    <xf numFmtId="2" fontId="34" fillId="0" borderId="37" xfId="0" applyNumberFormat="1" applyFont="1" applyBorder="1" applyAlignment="1" applyProtection="1">
      <alignment horizontal="right" vertical="center" wrapText="1"/>
      <protection hidden="1"/>
    </xf>
    <xf numFmtId="43" fontId="15" fillId="0" borderId="39" xfId="17" applyFont="1" applyFill="1" applyBorder="1" applyAlignment="1" applyProtection="1">
      <alignment horizontal="center" wrapText="1"/>
      <protection hidden="1"/>
    </xf>
    <xf numFmtId="43" fontId="15" fillId="0" borderId="39" xfId="17" applyFont="1" applyFill="1" applyBorder="1" applyAlignment="1" applyProtection="1">
      <alignment horizontal="center" vertical="center" wrapText="1"/>
      <protection hidden="1"/>
    </xf>
    <xf numFmtId="43" fontId="15" fillId="0" borderId="114" xfId="17" applyFont="1" applyFill="1" applyBorder="1" applyAlignment="1" applyProtection="1">
      <alignment horizontal="center" vertical="center" wrapText="1"/>
      <protection hidden="1"/>
    </xf>
    <xf numFmtId="49" fontId="15" fillId="0" borderId="39" xfId="17" applyNumberFormat="1" applyFont="1" applyFill="1" applyBorder="1" applyAlignment="1" applyProtection="1">
      <alignment horizontal="center" vertical="center" wrapText="1"/>
      <protection hidden="1"/>
    </xf>
    <xf numFmtId="49" fontId="15" fillId="0" borderId="114" xfId="17" applyNumberFormat="1" applyFont="1" applyFill="1" applyBorder="1" applyAlignment="1" applyProtection="1">
      <alignment horizontal="center" vertical="center" wrapText="1"/>
      <protection hidden="1"/>
    </xf>
    <xf numFmtId="167" fontId="15" fillId="0" borderId="39" xfId="17" applyNumberFormat="1" applyFont="1" applyFill="1" applyBorder="1" applyAlignment="1" applyProtection="1">
      <alignment horizontal="center" vertical="center" wrapText="1"/>
      <protection hidden="1"/>
    </xf>
    <xf numFmtId="167" fontId="15" fillId="0" borderId="114" xfId="17" applyNumberFormat="1" applyFont="1" applyFill="1" applyBorder="1" applyAlignment="1" applyProtection="1">
      <alignment horizontal="center" vertical="center" wrapText="1"/>
      <protection hidden="1"/>
    </xf>
    <xf numFmtId="43" fontId="15" fillId="0" borderId="41" xfId="17" applyFont="1" applyFill="1" applyBorder="1" applyAlignment="1" applyProtection="1">
      <alignment horizontal="center" vertical="center" wrapText="1"/>
      <protection hidden="1"/>
    </xf>
    <xf numFmtId="43" fontId="15" fillId="0" borderId="115" xfId="17" applyFont="1" applyFill="1" applyBorder="1" applyAlignment="1" applyProtection="1">
      <alignment horizontal="center" vertical="center" wrapText="1"/>
      <protection hidden="1"/>
    </xf>
    <xf numFmtId="43" fontId="65" fillId="0" borderId="112" xfId="17" applyFont="1" applyFill="1" applyBorder="1" applyAlignment="1" applyProtection="1">
      <alignment horizontal="center" vertical="center" wrapText="1"/>
      <protection hidden="1"/>
    </xf>
    <xf numFmtId="0" fontId="12" fillId="0" borderId="108" xfId="0" applyFont="1" applyBorder="1" applyAlignment="1" applyProtection="1">
      <alignment vertical="center"/>
      <protection hidden="1"/>
    </xf>
    <xf numFmtId="0" fontId="12" fillId="0" borderId="109" xfId="0" applyFont="1" applyBorder="1" applyAlignment="1" applyProtection="1">
      <alignment vertical="center"/>
      <protection hidden="1"/>
    </xf>
    <xf numFmtId="0" fontId="12" fillId="0" borderId="49" xfId="0" applyFont="1" applyBorder="1" applyAlignment="1" applyProtection="1">
      <alignment vertical="center"/>
      <protection hidden="1"/>
    </xf>
    <xf numFmtId="4" fontId="15" fillId="0" borderId="49" xfId="0" applyNumberFormat="1" applyFont="1" applyBorder="1" applyAlignment="1" applyProtection="1">
      <alignment vertical="center"/>
      <protection hidden="1"/>
    </xf>
    <xf numFmtId="0" fontId="16" fillId="0" borderId="48" xfId="0" applyFont="1" applyBorder="1" applyAlignment="1" applyProtection="1">
      <alignment horizontal="left" vertical="center"/>
      <protection hidden="1"/>
    </xf>
    <xf numFmtId="180" fontId="38" fillId="0" borderId="48" xfId="0" quotePrefix="1" applyNumberFormat="1" applyFont="1" applyBorder="1" applyAlignment="1" applyProtection="1">
      <alignment horizontal="left" vertical="center"/>
      <protection hidden="1"/>
    </xf>
    <xf numFmtId="9" fontId="46" fillId="0" borderId="0" xfId="0" applyNumberFormat="1" applyFont="1" applyAlignment="1" applyProtection="1">
      <alignment horizontal="center" vertical="center"/>
      <protection hidden="1"/>
    </xf>
    <xf numFmtId="9" fontId="46" fillId="0" borderId="49" xfId="0" applyNumberFormat="1" applyFont="1" applyBorder="1" applyAlignment="1" applyProtection="1">
      <alignment horizontal="center" vertical="center"/>
      <protection hidden="1"/>
    </xf>
    <xf numFmtId="17" fontId="35" fillId="14" borderId="45" xfId="0" applyNumberFormat="1" applyFont="1" applyFill="1" applyBorder="1" applyAlignment="1" applyProtection="1">
      <alignment horizontal="center" vertical="center" wrapText="1"/>
      <protection hidden="1"/>
    </xf>
    <xf numFmtId="0" fontId="15" fillId="0" borderId="48" xfId="0" applyFont="1" applyBorder="1" applyAlignment="1" applyProtection="1">
      <alignment vertical="center"/>
      <protection hidden="1"/>
    </xf>
    <xf numFmtId="3" fontId="15" fillId="0" borderId="37" xfId="0" applyNumberFormat="1" applyFont="1" applyBorder="1" applyAlignment="1" applyProtection="1">
      <alignment horizontal="right" vertical="center"/>
      <protection hidden="1"/>
    </xf>
    <xf numFmtId="4" fontId="65" fillId="0" borderId="31" xfId="0" applyNumberFormat="1" applyFont="1" applyBorder="1" applyAlignment="1" applyProtection="1">
      <alignment horizontal="right" vertical="center"/>
      <protection hidden="1"/>
    </xf>
    <xf numFmtId="4" fontId="15" fillId="2" borderId="35" xfId="0" applyNumberFormat="1" applyFont="1" applyFill="1" applyBorder="1" applyAlignment="1" applyProtection="1">
      <alignment horizontal="right" vertical="center"/>
      <protection hidden="1"/>
    </xf>
    <xf numFmtId="4" fontId="100" fillId="0" borderId="35" xfId="0" applyNumberFormat="1" applyFont="1" applyBorder="1" applyAlignment="1" applyProtection="1">
      <alignment horizontal="right" vertical="center"/>
      <protection hidden="1"/>
    </xf>
    <xf numFmtId="4" fontId="100" fillId="0" borderId="31" xfId="0" applyNumberFormat="1" applyFont="1" applyBorder="1" applyAlignment="1" applyProtection="1">
      <alignment horizontal="right" vertical="center"/>
      <protection hidden="1"/>
    </xf>
    <xf numFmtId="0" fontId="28" fillId="28" borderId="0" xfId="0" applyFont="1" applyFill="1" applyAlignment="1">
      <alignment horizontal="center"/>
    </xf>
    <xf numFmtId="0" fontId="28" fillId="28" borderId="91" xfId="0" applyFont="1" applyFill="1" applyBorder="1" applyAlignment="1">
      <alignment horizontal="center"/>
    </xf>
    <xf numFmtId="0" fontId="28" fillId="28" borderId="2" xfId="0" applyFont="1" applyFill="1" applyBorder="1" applyAlignment="1">
      <alignment horizontal="center"/>
    </xf>
    <xf numFmtId="0" fontId="28" fillId="0" borderId="0" xfId="0" applyFont="1" applyAlignment="1">
      <alignment horizontal="center"/>
    </xf>
    <xf numFmtId="0" fontId="28" fillId="28" borderId="88" xfId="0" applyFont="1" applyFill="1" applyBorder="1" applyAlignment="1">
      <alignment horizontal="center"/>
    </xf>
    <xf numFmtId="0" fontId="4" fillId="0" borderId="77" xfId="21" applyBorder="1" applyAlignment="1">
      <alignment horizontal="center"/>
    </xf>
    <xf numFmtId="0" fontId="4" fillId="0" borderId="78" xfId="21" applyBorder="1" applyAlignment="1">
      <alignment horizontal="center"/>
    </xf>
    <xf numFmtId="0" fontId="4" fillId="0" borderId="79" xfId="21" applyBorder="1" applyAlignment="1">
      <alignment horizontal="center"/>
    </xf>
    <xf numFmtId="0" fontId="4" fillId="0" borderId="80" xfId="21" applyBorder="1" applyAlignment="1">
      <alignment horizontal="center"/>
    </xf>
    <xf numFmtId="0" fontId="4" fillId="0" borderId="0" xfId="21" applyAlignment="1">
      <alignment horizontal="center"/>
    </xf>
    <xf numFmtId="0" fontId="4" fillId="0" borderId="4" xfId="21" applyBorder="1" applyAlignment="1">
      <alignment horizontal="center"/>
    </xf>
    <xf numFmtId="0" fontId="4" fillId="0" borderId="81" xfId="21" applyBorder="1" applyAlignment="1">
      <alignment horizontal="center"/>
    </xf>
    <xf numFmtId="0" fontId="4" fillId="0" borderId="82" xfId="21" applyBorder="1" applyAlignment="1">
      <alignment horizontal="center"/>
    </xf>
    <xf numFmtId="0" fontId="4" fillId="0" borderId="83" xfId="21" applyBorder="1" applyAlignment="1">
      <alignment horizontal="center"/>
    </xf>
    <xf numFmtId="0" fontId="26" fillId="2" borderId="2" xfId="21" applyFont="1" applyFill="1" applyBorder="1" applyAlignment="1">
      <alignment horizontal="center"/>
    </xf>
    <xf numFmtId="0" fontId="26" fillId="2" borderId="76" xfId="21" applyFont="1" applyFill="1" applyBorder="1" applyAlignment="1">
      <alignment horizontal="center"/>
    </xf>
    <xf numFmtId="0" fontId="4" fillId="0" borderId="85" xfId="21" applyBorder="1" applyAlignment="1">
      <alignment horizontal="center"/>
    </xf>
    <xf numFmtId="0" fontId="4" fillId="0" borderId="86" xfId="21" applyBorder="1" applyAlignment="1">
      <alignment horizontal="center"/>
    </xf>
    <xf numFmtId="0" fontId="28" fillId="21" borderId="8" xfId="21" applyFont="1" applyFill="1" applyBorder="1" applyAlignment="1">
      <alignment horizontal="center"/>
    </xf>
    <xf numFmtId="0" fontId="28" fillId="21" borderId="9" xfId="21" applyFont="1" applyFill="1" applyBorder="1" applyAlignment="1">
      <alignment horizontal="center"/>
    </xf>
    <xf numFmtId="0" fontId="28" fillId="21" borderId="15" xfId="21" applyFont="1" applyFill="1" applyBorder="1" applyAlignment="1">
      <alignment horizontal="center"/>
    </xf>
    <xf numFmtId="0" fontId="28" fillId="21" borderId="5" xfId="21" applyFont="1" applyFill="1" applyBorder="1" applyAlignment="1">
      <alignment horizontal="center" vertical="center" wrapText="1"/>
    </xf>
    <xf numFmtId="0" fontId="28" fillId="21" borderId="6" xfId="21" applyFont="1" applyFill="1" applyBorder="1" applyAlignment="1">
      <alignment horizontal="center" vertical="center" wrapText="1"/>
    </xf>
    <xf numFmtId="0" fontId="28" fillId="21" borderId="11" xfId="21" applyFont="1" applyFill="1" applyBorder="1" applyAlignment="1">
      <alignment horizontal="center" vertical="center" wrapText="1"/>
    </xf>
    <xf numFmtId="0" fontId="28" fillId="21" borderId="13" xfId="21" applyFont="1" applyFill="1" applyBorder="1" applyAlignment="1">
      <alignment horizontal="center" vertical="center" wrapText="1"/>
    </xf>
    <xf numFmtId="10" fontId="28" fillId="21" borderId="3" xfId="26" applyNumberFormat="1" applyFont="1" applyFill="1" applyBorder="1" applyAlignment="1">
      <alignment horizontal="center" vertical="center"/>
    </xf>
    <xf numFmtId="10" fontId="28" fillId="21" borderId="12" xfId="26" applyNumberFormat="1" applyFont="1" applyFill="1" applyBorder="1" applyAlignment="1">
      <alignment horizontal="center" vertical="center"/>
    </xf>
    <xf numFmtId="0" fontId="26" fillId="2" borderId="74" xfId="21" applyFont="1" applyFill="1" applyBorder="1" applyAlignment="1">
      <alignment horizontal="center"/>
    </xf>
    <xf numFmtId="0" fontId="26" fillId="2" borderId="75" xfId="21" applyFont="1" applyFill="1" applyBorder="1" applyAlignment="1">
      <alignment horizontal="center"/>
    </xf>
    <xf numFmtId="49" fontId="27" fillId="10" borderId="11" xfId="23" quotePrefix="1" applyNumberFormat="1" applyFont="1" applyFill="1" applyBorder="1" applyAlignment="1">
      <alignment horizontal="center" vertical="center" wrapText="1"/>
    </xf>
    <xf numFmtId="49" fontId="27" fillId="10" borderId="13" xfId="23" quotePrefix="1" applyNumberFormat="1" applyFont="1" applyFill="1" applyBorder="1" applyAlignment="1">
      <alignment horizontal="center" vertical="center" wrapText="1"/>
    </xf>
    <xf numFmtId="49" fontId="27" fillId="10" borderId="12" xfId="23" quotePrefix="1" applyNumberFormat="1" applyFont="1" applyFill="1" applyBorder="1" applyAlignment="1">
      <alignment horizontal="center" vertical="center" wrapText="1"/>
    </xf>
    <xf numFmtId="37" fontId="24" fillId="9" borderId="5" xfId="23" applyNumberFormat="1" applyFont="1" applyFill="1" applyBorder="1" applyAlignment="1">
      <alignment horizontal="center" vertical="center" wrapText="1"/>
    </xf>
    <xf numFmtId="37" fontId="24" fillId="9" borderId="3" xfId="23" applyNumberFormat="1" applyFont="1" applyFill="1" applyBorder="1" applyAlignment="1">
      <alignment horizontal="center" vertical="center" wrapText="1"/>
    </xf>
    <xf numFmtId="37" fontId="24" fillId="9" borderId="11" xfId="23" applyNumberFormat="1" applyFont="1" applyFill="1" applyBorder="1" applyAlignment="1">
      <alignment horizontal="center" vertical="center" wrapText="1"/>
    </xf>
    <xf numFmtId="37" fontId="24" fillId="9" borderId="12" xfId="23" applyNumberFormat="1" applyFont="1" applyFill="1" applyBorder="1" applyAlignment="1">
      <alignment horizontal="center" vertical="center" wrapText="1"/>
    </xf>
    <xf numFmtId="0" fontId="49" fillId="0" borderId="0" xfId="21" applyFont="1" applyAlignment="1">
      <alignment horizontal="justify" wrapText="1"/>
    </xf>
    <xf numFmtId="0" fontId="28" fillId="12" borderId="13" xfId="21" applyFont="1" applyFill="1" applyBorder="1" applyAlignment="1">
      <alignment horizontal="center"/>
    </xf>
    <xf numFmtId="0" fontId="50" fillId="0" borderId="0" xfId="21" applyFont="1" applyAlignment="1">
      <alignment horizontal="left" wrapText="1"/>
    </xf>
    <xf numFmtId="0" fontId="28" fillId="12" borderId="0" xfId="21" applyFont="1" applyFill="1" applyAlignment="1">
      <alignment horizontal="center"/>
    </xf>
    <xf numFmtId="0" fontId="28" fillId="22" borderId="5" xfId="21" applyFont="1" applyFill="1" applyBorder="1" applyAlignment="1">
      <alignment horizontal="center" vertical="center" wrapText="1"/>
    </xf>
    <xf numFmtId="0" fontId="28" fillId="22" borderId="6" xfId="21" applyFont="1" applyFill="1" applyBorder="1" applyAlignment="1">
      <alignment horizontal="center" vertical="center" wrapText="1"/>
    </xf>
    <xf numFmtId="0" fontId="28" fillId="22" borderId="11" xfId="21" applyFont="1" applyFill="1" applyBorder="1" applyAlignment="1">
      <alignment horizontal="center" vertical="center" wrapText="1"/>
    </xf>
    <xf numFmtId="0" fontId="28" fillId="22" borderId="13" xfId="21" applyFont="1" applyFill="1" applyBorder="1" applyAlignment="1">
      <alignment horizontal="center" vertical="center" wrapText="1"/>
    </xf>
    <xf numFmtId="10" fontId="28" fillId="22" borderId="3" xfId="26" applyNumberFormat="1" applyFont="1" applyFill="1" applyBorder="1" applyAlignment="1">
      <alignment horizontal="center" vertical="center"/>
    </xf>
    <xf numFmtId="10" fontId="28" fillId="22" borderId="12" xfId="26" applyNumberFormat="1" applyFont="1" applyFill="1" applyBorder="1" applyAlignment="1">
      <alignment horizontal="center" vertical="center"/>
    </xf>
    <xf numFmtId="0" fontId="42" fillId="0" borderId="0" xfId="0" applyFont="1" applyAlignment="1" applyProtection="1">
      <alignment horizontal="left" vertical="center" wrapText="1"/>
      <protection hidden="1"/>
    </xf>
    <xf numFmtId="0" fontId="17" fillId="2" borderId="0" xfId="0" applyFont="1" applyFill="1" applyAlignment="1" applyProtection="1">
      <alignment horizontal="center" vertical="center" wrapText="1"/>
      <protection hidden="1"/>
    </xf>
    <xf numFmtId="0" fontId="17" fillId="2" borderId="0" xfId="0" applyFont="1" applyFill="1" applyAlignment="1" applyProtection="1">
      <alignment vertical="center" wrapText="1"/>
      <protection hidden="1"/>
    </xf>
    <xf numFmtId="0" fontId="42" fillId="0" borderId="0" xfId="0" applyFont="1" applyAlignment="1" applyProtection="1">
      <alignment horizontal="left" vertical="top" wrapText="1"/>
      <protection hidden="1"/>
    </xf>
    <xf numFmtId="0" fontId="88" fillId="0" borderId="0" xfId="21" applyFont="1" applyAlignment="1" applyProtection="1">
      <alignment horizontal="center" vertical="center" wrapText="1"/>
      <protection hidden="1"/>
    </xf>
    <xf numFmtId="0" fontId="17" fillId="2" borderId="0" xfId="0" applyFont="1" applyFill="1" applyAlignment="1" applyProtection="1">
      <alignment horizontal="left" vertical="center" wrapText="1"/>
      <protection hidden="1"/>
    </xf>
    <xf numFmtId="0" fontId="17" fillId="2" borderId="0" xfId="0" quotePrefix="1" applyFont="1" applyFill="1" applyAlignment="1" applyProtection="1">
      <alignment horizontal="left" vertical="center" wrapText="1"/>
      <protection hidden="1"/>
    </xf>
    <xf numFmtId="0" fontId="42" fillId="0" borderId="0" xfId="0" applyFont="1" applyAlignment="1" applyProtection="1">
      <alignment vertical="top" wrapText="1"/>
      <protection hidden="1"/>
    </xf>
    <xf numFmtId="0" fontId="35" fillId="5" borderId="56" xfId="0" applyFont="1" applyFill="1" applyBorder="1" applyAlignment="1" applyProtection="1">
      <alignment horizontal="center" vertical="center" wrapText="1"/>
      <protection hidden="1"/>
    </xf>
    <xf numFmtId="0" fontId="35" fillId="5" borderId="57" xfId="0" applyFont="1" applyFill="1" applyBorder="1" applyAlignment="1" applyProtection="1">
      <alignment horizontal="center" vertical="center" wrapText="1"/>
      <protection hidden="1"/>
    </xf>
    <xf numFmtId="0" fontId="35" fillId="5" borderId="53" xfId="0" quotePrefix="1" applyFont="1" applyFill="1" applyBorder="1" applyAlignment="1" applyProtection="1">
      <alignment horizontal="center" vertical="center" wrapText="1"/>
      <protection hidden="1"/>
    </xf>
    <xf numFmtId="0" fontId="35" fillId="5" borderId="42" xfId="0" quotePrefix="1" applyFont="1" applyFill="1" applyBorder="1" applyAlignment="1" applyProtection="1">
      <alignment horizontal="center" vertical="center" wrapText="1"/>
      <protection hidden="1"/>
    </xf>
    <xf numFmtId="0" fontId="35" fillId="5" borderId="54" xfId="0" applyFont="1" applyFill="1" applyBorder="1" applyAlignment="1" applyProtection="1">
      <alignment horizontal="center" vertical="center" wrapText="1"/>
      <protection hidden="1"/>
    </xf>
    <xf numFmtId="0" fontId="35" fillId="5" borderId="55" xfId="0" applyFont="1" applyFill="1" applyBorder="1" applyAlignment="1" applyProtection="1">
      <alignment horizontal="center" vertical="center" wrapText="1"/>
      <protection hidden="1"/>
    </xf>
    <xf numFmtId="0" fontId="35" fillId="5" borderId="62" xfId="0" applyFont="1" applyFill="1" applyBorder="1" applyAlignment="1" applyProtection="1">
      <alignment horizontal="center" vertical="center" wrapText="1"/>
      <protection hidden="1"/>
    </xf>
    <xf numFmtId="0" fontId="35" fillId="5" borderId="61" xfId="0" applyFont="1" applyFill="1" applyBorder="1" applyAlignment="1" applyProtection="1">
      <alignment horizontal="center" vertical="center" wrapText="1"/>
      <protection hidden="1"/>
    </xf>
    <xf numFmtId="0" fontId="42" fillId="12" borderId="0" xfId="0" applyFont="1" applyFill="1" applyAlignment="1" applyProtection="1">
      <alignment horizontal="left" vertical="center" wrapText="1"/>
      <protection hidden="1"/>
    </xf>
    <xf numFmtId="0" fontId="42" fillId="12" borderId="0" xfId="0" applyFont="1" applyFill="1" applyAlignment="1" applyProtection="1">
      <alignment horizontal="left" vertical="top" wrapText="1"/>
      <protection hidden="1"/>
    </xf>
    <xf numFmtId="0" fontId="42" fillId="12" borderId="0" xfId="0" applyFont="1" applyFill="1" applyAlignment="1" applyProtection="1">
      <alignment horizontal="justify" vertical="center" wrapText="1"/>
      <protection hidden="1"/>
    </xf>
    <xf numFmtId="0" fontId="53" fillId="14" borderId="107" xfId="0" applyFont="1" applyFill="1" applyBorder="1" applyAlignment="1" applyProtection="1">
      <alignment horizontal="center" vertical="center" wrapText="1"/>
      <protection hidden="1"/>
    </xf>
    <xf numFmtId="0" fontId="53" fillId="14" borderId="108" xfId="0" applyFont="1" applyFill="1" applyBorder="1" applyAlignment="1" applyProtection="1">
      <alignment horizontal="center" vertical="center" wrapText="1"/>
      <protection hidden="1"/>
    </xf>
    <xf numFmtId="0" fontId="53" fillId="14" borderId="109" xfId="0" applyFont="1" applyFill="1" applyBorder="1" applyAlignment="1" applyProtection="1">
      <alignment horizontal="center" vertical="center" wrapText="1"/>
      <protection hidden="1"/>
    </xf>
    <xf numFmtId="0" fontId="40" fillId="6" borderId="60" xfId="0" applyFont="1" applyFill="1" applyBorder="1" applyAlignment="1" applyProtection="1">
      <alignment horizontal="center" vertical="center"/>
      <protection hidden="1"/>
    </xf>
    <xf numFmtId="0" fontId="40" fillId="6" borderId="61" xfId="0" applyFont="1" applyFill="1" applyBorder="1" applyAlignment="1" applyProtection="1">
      <alignment horizontal="center" vertical="center"/>
      <protection hidden="1"/>
    </xf>
    <xf numFmtId="0" fontId="40" fillId="6" borderId="62" xfId="0" applyFont="1" applyFill="1" applyBorder="1" applyAlignment="1" applyProtection="1">
      <alignment horizontal="center" vertical="center"/>
      <protection hidden="1"/>
    </xf>
    <xf numFmtId="0" fontId="35" fillId="5" borderId="58" xfId="0" quotePrefix="1" applyFont="1" applyFill="1" applyBorder="1" applyAlignment="1" applyProtection="1">
      <alignment horizontal="center" vertical="center" wrapText="1"/>
      <protection hidden="1"/>
    </xf>
    <xf numFmtId="0" fontId="35" fillId="5" borderId="59" xfId="0" applyFont="1" applyFill="1" applyBorder="1" applyAlignment="1" applyProtection="1">
      <alignment horizontal="center" vertical="center" wrapText="1"/>
      <protection hidden="1"/>
    </xf>
    <xf numFmtId="0" fontId="35" fillId="5" borderId="110" xfId="0" quotePrefix="1" applyFont="1" applyFill="1" applyBorder="1" applyAlignment="1" applyProtection="1">
      <alignment horizontal="center" vertical="center" wrapText="1"/>
      <protection hidden="1"/>
    </xf>
    <xf numFmtId="0" fontId="35" fillId="5" borderId="38" xfId="0" quotePrefix="1" applyFont="1" applyFill="1" applyBorder="1" applyAlignment="1" applyProtection="1">
      <alignment horizontal="center" vertical="center" wrapText="1"/>
      <protection hidden="1"/>
    </xf>
    <xf numFmtId="0" fontId="47" fillId="14" borderId="107" xfId="0" quotePrefix="1" applyFont="1" applyFill="1" applyBorder="1" applyAlignment="1" applyProtection="1">
      <alignment horizontal="center" vertical="center" wrapText="1"/>
      <protection hidden="1"/>
    </xf>
    <xf numFmtId="0" fontId="47" fillId="14" borderId="108" xfId="0" quotePrefix="1" applyFont="1" applyFill="1" applyBorder="1" applyAlignment="1" applyProtection="1">
      <alignment horizontal="center" vertical="center" wrapText="1"/>
      <protection hidden="1"/>
    </xf>
    <xf numFmtId="0" fontId="47" fillId="14" borderId="109" xfId="0" quotePrefix="1" applyFont="1" applyFill="1" applyBorder="1" applyAlignment="1" applyProtection="1">
      <alignment horizontal="center" vertical="center" wrapText="1"/>
      <protection hidden="1"/>
    </xf>
    <xf numFmtId="0" fontId="47" fillId="14" borderId="60" xfId="0" applyFont="1" applyFill="1" applyBorder="1" applyAlignment="1" applyProtection="1">
      <alignment horizontal="center" vertical="center" wrapText="1"/>
      <protection hidden="1"/>
    </xf>
    <xf numFmtId="0" fontId="47" fillId="14" borderId="61" xfId="0" applyFont="1" applyFill="1" applyBorder="1" applyAlignment="1" applyProtection="1">
      <alignment horizontal="center" vertical="center" wrapText="1"/>
      <protection hidden="1"/>
    </xf>
    <xf numFmtId="0" fontId="47" fillId="14" borderId="62" xfId="0" applyFont="1" applyFill="1" applyBorder="1" applyAlignment="1" applyProtection="1">
      <alignment horizontal="center" vertical="center" wrapText="1"/>
      <protection hidden="1"/>
    </xf>
    <xf numFmtId="0" fontId="86" fillId="0" borderId="0" xfId="21" applyFont="1" applyAlignment="1" applyProtection="1">
      <alignment horizontal="center" vertical="center" wrapText="1"/>
      <protection hidden="1"/>
    </xf>
    <xf numFmtId="0" fontId="42" fillId="12" borderId="0" xfId="0" applyFont="1" applyFill="1" applyAlignment="1" applyProtection="1">
      <alignment horizontal="center" vertical="top" wrapText="1"/>
      <protection hidden="1"/>
    </xf>
    <xf numFmtId="0" fontId="42" fillId="0" borderId="0" xfId="0" applyFont="1" applyAlignment="1" applyProtection="1">
      <alignment horizontal="left" vertical="top"/>
      <protection hidden="1"/>
    </xf>
    <xf numFmtId="0" fontId="42" fillId="0" borderId="0" xfId="0" quotePrefix="1" applyFont="1" applyAlignment="1" applyProtection="1">
      <alignment horizontal="left" vertical="top" wrapText="1"/>
      <protection hidden="1"/>
    </xf>
    <xf numFmtId="0" fontId="42" fillId="0" borderId="0" xfId="0" applyFont="1" applyAlignment="1" applyProtection="1">
      <alignment horizontal="justify" vertical="top" wrapText="1"/>
      <protection hidden="1"/>
    </xf>
    <xf numFmtId="0" fontId="40" fillId="6" borderId="63" xfId="0" applyFont="1" applyFill="1" applyBorder="1" applyAlignment="1" applyProtection="1">
      <alignment horizontal="center" vertical="center" wrapText="1"/>
      <protection hidden="1"/>
    </xf>
    <xf numFmtId="0" fontId="40" fillId="6" borderId="64" xfId="0" applyFont="1" applyFill="1" applyBorder="1" applyAlignment="1" applyProtection="1">
      <alignment horizontal="center" vertical="center" wrapText="1"/>
      <protection hidden="1"/>
    </xf>
    <xf numFmtId="0" fontId="40" fillId="6" borderId="116" xfId="0" applyFont="1" applyFill="1" applyBorder="1" applyAlignment="1" applyProtection="1">
      <alignment horizontal="center" vertical="center" wrapText="1"/>
      <protection hidden="1"/>
    </xf>
    <xf numFmtId="0" fontId="47" fillId="6" borderId="68" xfId="0" applyFont="1" applyFill="1" applyBorder="1" applyAlignment="1" applyProtection="1">
      <alignment horizontal="center" vertical="center" wrapText="1"/>
      <protection hidden="1"/>
    </xf>
    <xf numFmtId="0" fontId="47" fillId="6" borderId="69" xfId="0" applyFont="1" applyFill="1" applyBorder="1" applyAlignment="1" applyProtection="1">
      <alignment horizontal="center" vertical="center" wrapText="1"/>
      <protection hidden="1"/>
    </xf>
    <xf numFmtId="0" fontId="47" fillId="6" borderId="117" xfId="0" applyFont="1" applyFill="1" applyBorder="1" applyAlignment="1" applyProtection="1">
      <alignment horizontal="center" vertical="center" wrapText="1"/>
      <protection hidden="1"/>
    </xf>
    <xf numFmtId="0" fontId="35" fillId="5" borderId="65" xfId="0" applyFont="1" applyFill="1" applyBorder="1" applyAlignment="1" applyProtection="1">
      <alignment horizontal="center" vertical="center" wrapText="1"/>
      <protection hidden="1"/>
    </xf>
    <xf numFmtId="0" fontId="35" fillId="5" borderId="66" xfId="0" applyFont="1" applyFill="1" applyBorder="1" applyAlignment="1" applyProtection="1">
      <alignment horizontal="center" vertical="center" wrapText="1"/>
      <protection hidden="1"/>
    </xf>
    <xf numFmtId="0" fontId="35" fillId="5" borderId="67" xfId="0" applyFont="1" applyFill="1" applyBorder="1" applyAlignment="1" applyProtection="1">
      <alignment horizontal="center" vertical="center" wrapText="1"/>
      <protection hidden="1"/>
    </xf>
    <xf numFmtId="0" fontId="35" fillId="5" borderId="70" xfId="0" applyFont="1" applyFill="1" applyBorder="1" applyAlignment="1" applyProtection="1">
      <alignment horizontal="center" vertical="center" wrapText="1"/>
      <protection hidden="1"/>
    </xf>
    <xf numFmtId="0" fontId="35" fillId="5" borderId="46" xfId="0" applyFont="1" applyFill="1" applyBorder="1" applyAlignment="1" applyProtection="1">
      <alignment horizontal="center" vertical="center" wrapText="1"/>
      <protection hidden="1"/>
    </xf>
    <xf numFmtId="0" fontId="42" fillId="0" borderId="0" xfId="0" applyFont="1" applyAlignment="1" applyProtection="1">
      <alignment horizontal="justify" vertical="center"/>
      <protection hidden="1"/>
    </xf>
    <xf numFmtId="0" fontId="40" fillId="6" borderId="48" xfId="0" applyFont="1" applyFill="1" applyBorder="1" applyAlignment="1" applyProtection="1">
      <alignment horizontal="center" vertical="center" wrapText="1"/>
      <protection hidden="1"/>
    </xf>
    <xf numFmtId="0" fontId="40" fillId="6" borderId="0" xfId="0" applyFont="1" applyFill="1" applyAlignment="1" applyProtection="1">
      <alignment horizontal="center" vertical="center" wrapText="1"/>
      <protection hidden="1"/>
    </xf>
    <xf numFmtId="0" fontId="40" fillId="6" borderId="49"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40" fillId="6" borderId="107" xfId="0" applyFont="1" applyFill="1" applyBorder="1" applyAlignment="1" applyProtection="1">
      <alignment horizontal="center" vertical="center" wrapText="1"/>
      <protection hidden="1"/>
    </xf>
    <xf numFmtId="0" fontId="40" fillId="6" borderId="108" xfId="0" applyFont="1" applyFill="1" applyBorder="1" applyAlignment="1" applyProtection="1">
      <alignment horizontal="center" vertical="center" wrapText="1"/>
      <protection hidden="1"/>
    </xf>
    <xf numFmtId="0" fontId="40" fillId="6" borderId="109" xfId="0" applyFont="1" applyFill="1" applyBorder="1" applyAlignment="1" applyProtection="1">
      <alignment horizontal="center" vertical="center" wrapText="1"/>
      <protection hidden="1"/>
    </xf>
    <xf numFmtId="0" fontId="83" fillId="0" borderId="0" xfId="21" applyFont="1" applyAlignment="1" applyProtection="1">
      <alignment horizontal="center" vertical="center" wrapText="1"/>
      <protection hidden="1"/>
    </xf>
    <xf numFmtId="0" fontId="86" fillId="0" borderId="0" xfId="21" applyFont="1" applyAlignment="1" applyProtection="1">
      <alignment horizontal="left" vertical="center" wrapText="1"/>
      <protection hidden="1"/>
    </xf>
    <xf numFmtId="0" fontId="34" fillId="12" borderId="0" xfId="0" applyFont="1" applyFill="1" applyAlignment="1" applyProtection="1">
      <alignment horizontal="fill" vertical="center" wrapText="1"/>
      <protection hidden="1"/>
    </xf>
    <xf numFmtId="0" fontId="15" fillId="12" borderId="0" xfId="0" applyFont="1" applyFill="1" applyAlignment="1" applyProtection="1">
      <alignment vertical="center" wrapText="1"/>
      <protection hidden="1"/>
    </xf>
    <xf numFmtId="0" fontId="34" fillId="2" borderId="0" xfId="0" applyFont="1" applyFill="1" applyAlignment="1" applyProtection="1">
      <alignment horizontal="left" vertical="center" wrapText="1"/>
      <protection hidden="1"/>
    </xf>
    <xf numFmtId="0" fontId="42" fillId="12" borderId="0" xfId="0" applyFont="1" applyFill="1" applyAlignment="1" applyProtection="1">
      <alignment horizontal="justify" vertical="top" wrapText="1"/>
      <protection hidden="1"/>
    </xf>
    <xf numFmtId="166" fontId="77" fillId="2" borderId="0" xfId="24" applyFont="1" applyFill="1" applyAlignment="1" applyProtection="1">
      <alignment horizontal="center" vertical="center"/>
      <protection hidden="1"/>
    </xf>
    <xf numFmtId="0" fontId="42" fillId="2" borderId="0" xfId="0" applyFont="1" applyFill="1" applyAlignment="1" applyProtection="1">
      <alignment horizontal="justify" vertical="center" wrapText="1"/>
      <protection hidden="1"/>
    </xf>
    <xf numFmtId="0" fontId="44" fillId="0" borderId="0" xfId="0" applyFont="1" applyAlignment="1" applyProtection="1">
      <alignment horizontal="center" vertical="center" wrapText="1"/>
      <protection hidden="1"/>
    </xf>
    <xf numFmtId="0" fontId="42" fillId="2" borderId="0" xfId="0" quotePrefix="1" applyFont="1" applyFill="1" applyAlignment="1" applyProtection="1">
      <alignment horizontal="left" vertical="center" wrapText="1"/>
      <protection hidden="1"/>
    </xf>
    <xf numFmtId="0" fontId="34" fillId="0" borderId="0" xfId="0" applyFont="1" applyAlignment="1" applyProtection="1">
      <alignment horizontal="left" wrapText="1"/>
      <protection hidden="1"/>
    </xf>
    <xf numFmtId="0" fontId="87" fillId="0" borderId="0" xfId="21" applyFont="1" applyAlignment="1" applyProtection="1">
      <alignment horizontal="left" vertical="center" wrapText="1"/>
      <protection hidden="1"/>
    </xf>
    <xf numFmtId="166" fontId="48" fillId="2" borderId="107" xfId="24" applyFont="1" applyFill="1" applyBorder="1" applyAlignment="1" applyProtection="1">
      <alignment horizontal="center" vertical="center"/>
      <protection hidden="1"/>
    </xf>
    <xf numFmtId="166" fontId="48" fillId="2" borderId="108" xfId="24" applyFont="1" applyFill="1" applyBorder="1" applyAlignment="1" applyProtection="1">
      <alignment horizontal="center" vertical="center"/>
      <protection hidden="1"/>
    </xf>
    <xf numFmtId="166" fontId="48" fillId="2" borderId="48" xfId="24" applyFont="1" applyFill="1" applyBorder="1" applyAlignment="1" applyProtection="1">
      <alignment horizontal="center" vertical="center" wrapText="1"/>
      <protection hidden="1"/>
    </xf>
    <xf numFmtId="166" fontId="48" fillId="2" borderId="0" xfId="24" applyFont="1" applyFill="1" applyAlignment="1" applyProtection="1">
      <alignment horizontal="center" vertical="center" wrapText="1"/>
      <protection hidden="1"/>
    </xf>
    <xf numFmtId="0" fontId="34" fillId="0" borderId="0" xfId="0" applyFont="1" applyAlignment="1" applyProtection="1">
      <alignment horizontal="left" vertical="center" wrapText="1"/>
      <protection hidden="1"/>
    </xf>
    <xf numFmtId="0" fontId="34" fillId="0" borderId="0" xfId="0" applyFont="1" applyAlignment="1" applyProtection="1">
      <alignment horizontal="justify"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29">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124658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17</xdr:row>
      <xdr:rowOff>0</xdr:rowOff>
    </xdr:from>
    <xdr:to>
      <xdr:col>9</xdr:col>
      <xdr:colOff>334292</xdr:colOff>
      <xdr:row>37</xdr:row>
      <xdr:rowOff>157868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66</xdr:row>
      <xdr:rowOff>123825</xdr:rowOff>
    </xdr:from>
    <xdr:to>
      <xdr:col>9</xdr:col>
      <xdr:colOff>496241</xdr:colOff>
      <xdr:row>113</xdr:row>
      <xdr:rowOff>145184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152</xdr:row>
      <xdr:rowOff>76200</xdr:rowOff>
    </xdr:from>
    <xdr:to>
      <xdr:col>9</xdr:col>
      <xdr:colOff>458125</xdr:colOff>
      <xdr:row>187</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24937</xdr:colOff>
      <xdr:row>129</xdr:row>
      <xdr:rowOff>107005</xdr:rowOff>
    </xdr:from>
    <xdr:to>
      <xdr:col>15</xdr:col>
      <xdr:colOff>111713</xdr:colOff>
      <xdr:row>141</xdr:row>
      <xdr:rowOff>108036</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5"/>
        <a:stretch>
          <a:fillRect/>
        </a:stretch>
      </xdr:blipFill>
      <xdr:spPr>
        <a:xfrm>
          <a:off x="8071657" y="13324241"/>
          <a:ext cx="4592274" cy="1896334"/>
        </a:xfrm>
        <a:prstGeom prst="rect">
          <a:avLst/>
        </a:prstGeom>
      </xdr:spPr>
    </xdr:pic>
    <xdr:clientData/>
  </xdr:twoCellAnchor>
  <xdr:twoCellAnchor editAs="oneCell">
    <xdr:from>
      <xdr:col>16</xdr:col>
      <xdr:colOff>758577</xdr:colOff>
      <xdr:row>128</xdr:row>
      <xdr:rowOff>97883</xdr:rowOff>
    </xdr:from>
    <xdr:to>
      <xdr:col>21</xdr:col>
      <xdr:colOff>188259</xdr:colOff>
      <xdr:row>143</xdr:row>
      <xdr:rowOff>8847</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6"/>
        <a:stretch>
          <a:fillRect/>
        </a:stretch>
      </xdr:blipFill>
      <xdr:spPr>
        <a:xfrm>
          <a:off x="14967636" y="13984212"/>
          <a:ext cx="3535517" cy="2465907"/>
        </a:xfrm>
        <a:prstGeom prst="rect">
          <a:avLst/>
        </a:prstGeom>
      </xdr:spPr>
    </xdr:pic>
    <xdr:clientData/>
  </xdr:twoCellAnchor>
  <xdr:twoCellAnchor editAs="oneCell">
    <xdr:from>
      <xdr:col>30</xdr:col>
      <xdr:colOff>205811</xdr:colOff>
      <xdr:row>12</xdr:row>
      <xdr:rowOff>13062</xdr:rowOff>
    </xdr:from>
    <xdr:to>
      <xdr:col>38</xdr:col>
      <xdr:colOff>122374</xdr:colOff>
      <xdr:row>48</xdr:row>
      <xdr:rowOff>149138</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7"/>
        <a:stretch>
          <a:fillRect/>
        </a:stretch>
      </xdr:blipFill>
      <xdr:spPr>
        <a:xfrm>
          <a:off x="18199897" y="2788919"/>
          <a:ext cx="6273820" cy="6137365"/>
        </a:xfrm>
        <a:prstGeom prst="rect">
          <a:avLst/>
        </a:prstGeom>
      </xdr:spPr>
    </xdr:pic>
    <xdr:clientData/>
  </xdr:twoCellAnchor>
  <xdr:twoCellAnchor editAs="oneCell">
    <xdr:from>
      <xdr:col>30</xdr:col>
      <xdr:colOff>250372</xdr:colOff>
      <xdr:row>80</xdr:row>
      <xdr:rowOff>0</xdr:rowOff>
    </xdr:from>
    <xdr:to>
      <xdr:col>37</xdr:col>
      <xdr:colOff>489857</xdr:colOff>
      <xdr:row>120</xdr:row>
      <xdr:rowOff>79359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8"/>
        <a:stretch>
          <a:fillRect/>
        </a:stretch>
      </xdr:blipFill>
      <xdr:spPr>
        <a:xfrm>
          <a:off x="18244458" y="9181170"/>
          <a:ext cx="5802085" cy="6616705"/>
        </a:xfrm>
        <a:prstGeom prst="rect">
          <a:avLst/>
        </a:prstGeom>
      </xdr:spPr>
    </xdr:pic>
    <xdr:clientData/>
  </xdr:twoCellAnchor>
  <xdr:twoCellAnchor editAs="oneCell">
    <xdr:from>
      <xdr:col>11</xdr:col>
      <xdr:colOff>646042</xdr:colOff>
      <xdr:row>3</xdr:row>
      <xdr:rowOff>0</xdr:rowOff>
    </xdr:from>
    <xdr:to>
      <xdr:col>18</xdr:col>
      <xdr:colOff>720585</xdr:colOff>
      <xdr:row>24</xdr:row>
      <xdr:rowOff>41589</xdr:rowOff>
    </xdr:to>
    <xdr:pic>
      <xdr:nvPicPr>
        <xdr:cNvPr id="6" name="Imagen 5">
          <a:extLst>
            <a:ext uri="{FF2B5EF4-FFF2-40B4-BE49-F238E27FC236}">
              <a16:creationId xmlns:a16="http://schemas.microsoft.com/office/drawing/2014/main" id="{943A8C67-9F70-4506-0E92-FEE0D09EEABE}"/>
            </a:ext>
          </a:extLst>
        </xdr:cNvPr>
        <xdr:cNvPicPr>
          <a:picLocks noChangeAspect="1"/>
        </xdr:cNvPicPr>
      </xdr:nvPicPr>
      <xdr:blipFill>
        <a:blip xmlns:r="http://schemas.openxmlformats.org/officeDocument/2006/relationships" r:embed="rId9"/>
        <a:stretch>
          <a:fillRect/>
        </a:stretch>
      </xdr:blipFill>
      <xdr:spPr>
        <a:xfrm>
          <a:off x="9028042" y="1300194"/>
          <a:ext cx="6957391" cy="3520284"/>
        </a:xfrm>
        <a:prstGeom prst="rect">
          <a:avLst/>
        </a:prstGeom>
      </xdr:spPr>
    </xdr:pic>
    <xdr:clientData/>
  </xdr:twoCellAnchor>
  <xdr:twoCellAnchor editAs="oneCell">
    <xdr:from>
      <xdr:col>23</xdr:col>
      <xdr:colOff>447260</xdr:colOff>
      <xdr:row>18</xdr:row>
      <xdr:rowOff>84023</xdr:rowOff>
    </xdr:from>
    <xdr:to>
      <xdr:col>29</xdr:col>
      <xdr:colOff>538370</xdr:colOff>
      <xdr:row>46</xdr:row>
      <xdr:rowOff>74542</xdr:rowOff>
    </xdr:to>
    <xdr:pic>
      <xdr:nvPicPr>
        <xdr:cNvPr id="19" name="Imagen 18">
          <a:extLst>
            <a:ext uri="{FF2B5EF4-FFF2-40B4-BE49-F238E27FC236}">
              <a16:creationId xmlns:a16="http://schemas.microsoft.com/office/drawing/2014/main" id="{6CB1C1CA-75DE-7493-80B7-4F1BDDF2964F}"/>
            </a:ext>
          </a:extLst>
        </xdr:cNvPr>
        <xdr:cNvPicPr>
          <a:picLocks noChangeAspect="1"/>
        </xdr:cNvPicPr>
      </xdr:nvPicPr>
      <xdr:blipFill>
        <a:blip xmlns:r="http://schemas.openxmlformats.org/officeDocument/2006/relationships" r:embed="rId10"/>
        <a:stretch>
          <a:fillRect/>
        </a:stretch>
      </xdr:blipFill>
      <xdr:spPr>
        <a:xfrm>
          <a:off x="19853412" y="3065762"/>
          <a:ext cx="5160066" cy="4802715"/>
        </a:xfrm>
        <a:prstGeom prst="rect">
          <a:avLst/>
        </a:prstGeom>
      </xdr:spPr>
    </xdr:pic>
    <xdr:clientData/>
  </xdr:twoCellAnchor>
  <xdr:twoCellAnchor editAs="oneCell">
    <xdr:from>
      <xdr:col>11</xdr:col>
      <xdr:colOff>124239</xdr:colOff>
      <xdr:row>38</xdr:row>
      <xdr:rowOff>132522</xdr:rowOff>
    </xdr:from>
    <xdr:to>
      <xdr:col>14</xdr:col>
      <xdr:colOff>704022</xdr:colOff>
      <xdr:row>45</xdr:row>
      <xdr:rowOff>125337</xdr:rowOff>
    </xdr:to>
    <xdr:pic>
      <xdr:nvPicPr>
        <xdr:cNvPr id="21" name="Imagen 20">
          <a:extLst>
            <a:ext uri="{FF2B5EF4-FFF2-40B4-BE49-F238E27FC236}">
              <a16:creationId xmlns:a16="http://schemas.microsoft.com/office/drawing/2014/main" id="{1FF1731F-A13B-DBF8-2714-34B20A4184C7}"/>
            </a:ext>
          </a:extLst>
        </xdr:cNvPr>
        <xdr:cNvPicPr>
          <a:picLocks noChangeAspect="1"/>
        </xdr:cNvPicPr>
      </xdr:nvPicPr>
      <xdr:blipFill>
        <a:blip xmlns:r="http://schemas.openxmlformats.org/officeDocument/2006/relationships" r:embed="rId11"/>
        <a:stretch>
          <a:fillRect/>
        </a:stretch>
      </xdr:blipFill>
      <xdr:spPr>
        <a:xfrm>
          <a:off x="8506239" y="7421218"/>
          <a:ext cx="4414631" cy="1152381"/>
        </a:xfrm>
        <a:prstGeom prst="rect">
          <a:avLst/>
        </a:prstGeom>
      </xdr:spPr>
    </xdr:pic>
    <xdr:clientData/>
  </xdr:twoCellAnchor>
  <xdr:twoCellAnchor editAs="oneCell">
    <xdr:from>
      <xdr:col>15</xdr:col>
      <xdr:colOff>546653</xdr:colOff>
      <xdr:row>39</xdr:row>
      <xdr:rowOff>75646</xdr:rowOff>
    </xdr:from>
    <xdr:to>
      <xdr:col>20</xdr:col>
      <xdr:colOff>339587</xdr:colOff>
      <xdr:row>47</xdr:row>
      <xdr:rowOff>132520</xdr:rowOff>
    </xdr:to>
    <xdr:pic>
      <xdr:nvPicPr>
        <xdr:cNvPr id="22" name="Imagen 21">
          <a:extLst>
            <a:ext uri="{FF2B5EF4-FFF2-40B4-BE49-F238E27FC236}">
              <a16:creationId xmlns:a16="http://schemas.microsoft.com/office/drawing/2014/main" id="{75DAE573-14F9-96E7-6D9F-692FB570AC68}"/>
            </a:ext>
          </a:extLst>
        </xdr:cNvPr>
        <xdr:cNvPicPr>
          <a:picLocks noChangeAspect="1"/>
        </xdr:cNvPicPr>
      </xdr:nvPicPr>
      <xdr:blipFill>
        <a:blip xmlns:r="http://schemas.openxmlformats.org/officeDocument/2006/relationships" r:embed="rId12"/>
        <a:stretch>
          <a:fillRect/>
        </a:stretch>
      </xdr:blipFill>
      <xdr:spPr>
        <a:xfrm>
          <a:off x="14420023" y="6710016"/>
          <a:ext cx="3685760" cy="1382091"/>
        </a:xfrm>
        <a:prstGeom prst="rect">
          <a:avLst/>
        </a:prstGeom>
      </xdr:spPr>
    </xdr:pic>
    <xdr:clientData/>
  </xdr:twoCellAnchor>
  <xdr:twoCellAnchor editAs="oneCell">
    <xdr:from>
      <xdr:col>11</xdr:col>
      <xdr:colOff>190499</xdr:colOff>
      <xdr:row>48</xdr:row>
      <xdr:rowOff>149087</xdr:rowOff>
    </xdr:from>
    <xdr:to>
      <xdr:col>15</xdr:col>
      <xdr:colOff>486240</xdr:colOff>
      <xdr:row>54</xdr:row>
      <xdr:rowOff>145650</xdr:rowOff>
    </xdr:to>
    <xdr:pic>
      <xdr:nvPicPr>
        <xdr:cNvPr id="23" name="Imagen 22">
          <a:extLst>
            <a:ext uri="{FF2B5EF4-FFF2-40B4-BE49-F238E27FC236}">
              <a16:creationId xmlns:a16="http://schemas.microsoft.com/office/drawing/2014/main" id="{0AA2D5C3-0B2F-5D13-4FF4-27D04C6196BD}"/>
            </a:ext>
          </a:extLst>
        </xdr:cNvPr>
        <xdr:cNvPicPr>
          <a:picLocks noChangeAspect="1"/>
        </xdr:cNvPicPr>
      </xdr:nvPicPr>
      <xdr:blipFill>
        <a:blip xmlns:r="http://schemas.openxmlformats.org/officeDocument/2006/relationships" r:embed="rId13"/>
        <a:stretch>
          <a:fillRect/>
        </a:stretch>
      </xdr:blipFill>
      <xdr:spPr>
        <a:xfrm>
          <a:off x="8572499" y="9094304"/>
          <a:ext cx="4892589" cy="990476"/>
        </a:xfrm>
        <a:prstGeom prst="rect">
          <a:avLst/>
        </a:prstGeom>
      </xdr:spPr>
    </xdr:pic>
    <xdr:clientData/>
  </xdr:twoCellAnchor>
  <xdr:twoCellAnchor editAs="oneCell">
    <xdr:from>
      <xdr:col>11</xdr:col>
      <xdr:colOff>24848</xdr:colOff>
      <xdr:row>69</xdr:row>
      <xdr:rowOff>33131</xdr:rowOff>
    </xdr:from>
    <xdr:to>
      <xdr:col>17</xdr:col>
      <xdr:colOff>227809</xdr:colOff>
      <xdr:row>77</xdr:row>
      <xdr:rowOff>107913</xdr:rowOff>
    </xdr:to>
    <xdr:pic>
      <xdr:nvPicPr>
        <xdr:cNvPr id="24" name="Imagen 23">
          <a:extLst>
            <a:ext uri="{FF2B5EF4-FFF2-40B4-BE49-F238E27FC236}">
              <a16:creationId xmlns:a16="http://schemas.microsoft.com/office/drawing/2014/main" id="{4FA81475-DF79-F2AC-0BC2-77B64EEB0258}"/>
            </a:ext>
          </a:extLst>
        </xdr:cNvPr>
        <xdr:cNvPicPr>
          <a:picLocks noChangeAspect="1"/>
        </xdr:cNvPicPr>
      </xdr:nvPicPr>
      <xdr:blipFill>
        <a:blip xmlns:r="http://schemas.openxmlformats.org/officeDocument/2006/relationships" r:embed="rId14"/>
        <a:stretch>
          <a:fillRect/>
        </a:stretch>
      </xdr:blipFill>
      <xdr:spPr>
        <a:xfrm>
          <a:off x="8406848" y="12457044"/>
          <a:ext cx="6323809" cy="1400000"/>
        </a:xfrm>
        <a:prstGeom prst="rect">
          <a:avLst/>
        </a:prstGeom>
      </xdr:spPr>
    </xdr:pic>
    <xdr:clientData/>
  </xdr:twoCellAnchor>
  <xdr:twoCellAnchor editAs="oneCell">
    <xdr:from>
      <xdr:col>17</xdr:col>
      <xdr:colOff>455543</xdr:colOff>
      <xdr:row>95</xdr:row>
      <xdr:rowOff>124240</xdr:rowOff>
    </xdr:from>
    <xdr:to>
      <xdr:col>25</xdr:col>
      <xdr:colOff>757777</xdr:colOff>
      <xdr:row>115</xdr:row>
      <xdr:rowOff>144530</xdr:rowOff>
    </xdr:to>
    <xdr:pic>
      <xdr:nvPicPr>
        <xdr:cNvPr id="27" name="Imagen 26">
          <a:extLst>
            <a:ext uri="{FF2B5EF4-FFF2-40B4-BE49-F238E27FC236}">
              <a16:creationId xmlns:a16="http://schemas.microsoft.com/office/drawing/2014/main" id="{E998C820-1AC1-EFEE-EFE4-449FE7554020}"/>
            </a:ext>
          </a:extLst>
        </xdr:cNvPr>
        <xdr:cNvPicPr>
          <a:picLocks noChangeAspect="1"/>
        </xdr:cNvPicPr>
      </xdr:nvPicPr>
      <xdr:blipFill>
        <a:blip xmlns:r="http://schemas.openxmlformats.org/officeDocument/2006/relationships" r:embed="rId15"/>
        <a:stretch>
          <a:fillRect/>
        </a:stretch>
      </xdr:blipFill>
      <xdr:spPr>
        <a:xfrm>
          <a:off x="14958391" y="16068262"/>
          <a:ext cx="7276190" cy="3333333"/>
        </a:xfrm>
        <a:prstGeom prst="rect">
          <a:avLst/>
        </a:prstGeom>
      </xdr:spPr>
    </xdr:pic>
    <xdr:clientData/>
  </xdr:twoCellAnchor>
  <xdr:twoCellAnchor editAs="oneCell">
    <xdr:from>
      <xdr:col>10</xdr:col>
      <xdr:colOff>637761</xdr:colOff>
      <xdr:row>95</xdr:row>
      <xdr:rowOff>91109</xdr:rowOff>
    </xdr:from>
    <xdr:to>
      <xdr:col>15</xdr:col>
      <xdr:colOff>679629</xdr:colOff>
      <xdr:row>118</xdr:row>
      <xdr:rowOff>90633</xdr:rowOff>
    </xdr:to>
    <xdr:pic>
      <xdr:nvPicPr>
        <xdr:cNvPr id="28" name="Imagen 27">
          <a:extLst>
            <a:ext uri="{FF2B5EF4-FFF2-40B4-BE49-F238E27FC236}">
              <a16:creationId xmlns:a16="http://schemas.microsoft.com/office/drawing/2014/main" id="{C9F257D8-D822-F687-9A5E-C3730C1DB4E0}"/>
            </a:ext>
          </a:extLst>
        </xdr:cNvPr>
        <xdr:cNvPicPr>
          <a:picLocks noChangeAspect="1"/>
        </xdr:cNvPicPr>
      </xdr:nvPicPr>
      <xdr:blipFill>
        <a:blip xmlns:r="http://schemas.openxmlformats.org/officeDocument/2006/relationships" r:embed="rId16"/>
        <a:stretch>
          <a:fillRect/>
        </a:stretch>
      </xdr:blipFill>
      <xdr:spPr>
        <a:xfrm>
          <a:off x="8257761" y="16035131"/>
          <a:ext cx="6295238" cy="3809524"/>
        </a:xfrm>
        <a:prstGeom prst="rect">
          <a:avLst/>
        </a:prstGeom>
      </xdr:spPr>
    </xdr:pic>
    <xdr:clientData/>
  </xdr:twoCellAnchor>
  <xdr:twoCellAnchor editAs="oneCell">
    <xdr:from>
      <xdr:col>14</xdr:col>
      <xdr:colOff>513522</xdr:colOff>
      <xdr:row>172</xdr:row>
      <xdr:rowOff>149087</xdr:rowOff>
    </xdr:from>
    <xdr:to>
      <xdr:col>22</xdr:col>
      <xdr:colOff>270574</xdr:colOff>
      <xdr:row>188</xdr:row>
      <xdr:rowOff>140934</xdr:rowOff>
    </xdr:to>
    <xdr:pic>
      <xdr:nvPicPr>
        <xdr:cNvPr id="29" name="Imagen 28">
          <a:extLst>
            <a:ext uri="{FF2B5EF4-FFF2-40B4-BE49-F238E27FC236}">
              <a16:creationId xmlns:a16="http://schemas.microsoft.com/office/drawing/2014/main" id="{7B1BFB02-F3CF-413E-8C4C-550380576229}"/>
            </a:ext>
          </a:extLst>
        </xdr:cNvPr>
        <xdr:cNvPicPr>
          <a:picLocks noChangeAspect="1"/>
        </xdr:cNvPicPr>
      </xdr:nvPicPr>
      <xdr:blipFill>
        <a:blip xmlns:r="http://schemas.openxmlformats.org/officeDocument/2006/relationships" r:embed="rId17"/>
        <a:stretch>
          <a:fillRect/>
        </a:stretch>
      </xdr:blipFill>
      <xdr:spPr>
        <a:xfrm>
          <a:off x="13624892" y="28840044"/>
          <a:ext cx="6482530" cy="2642281"/>
        </a:xfrm>
        <a:prstGeom prst="rect">
          <a:avLst/>
        </a:prstGeom>
      </xdr:spPr>
    </xdr:pic>
    <xdr:clientData/>
  </xdr:twoCellAnchor>
  <xdr:twoCellAnchor editAs="oneCell">
    <xdr:from>
      <xdr:col>15</xdr:col>
      <xdr:colOff>340262</xdr:colOff>
      <xdr:row>189</xdr:row>
      <xdr:rowOff>80597</xdr:rowOff>
    </xdr:from>
    <xdr:to>
      <xdr:col>22</xdr:col>
      <xdr:colOff>546054</xdr:colOff>
      <xdr:row>217</xdr:row>
      <xdr:rowOff>65085</xdr:rowOff>
    </xdr:to>
    <xdr:pic>
      <xdr:nvPicPr>
        <xdr:cNvPr id="30" name="Imagen 29">
          <a:extLst>
            <a:ext uri="{FF2B5EF4-FFF2-40B4-BE49-F238E27FC236}">
              <a16:creationId xmlns:a16="http://schemas.microsoft.com/office/drawing/2014/main" id="{C088BFA0-EA4B-4B14-AC73-7E9A31C3D594}"/>
            </a:ext>
          </a:extLst>
        </xdr:cNvPr>
        <xdr:cNvPicPr>
          <a:picLocks noChangeAspect="1"/>
        </xdr:cNvPicPr>
      </xdr:nvPicPr>
      <xdr:blipFill>
        <a:blip xmlns:r="http://schemas.openxmlformats.org/officeDocument/2006/relationships" r:embed="rId18"/>
        <a:stretch>
          <a:fillRect/>
        </a:stretch>
      </xdr:blipFill>
      <xdr:spPr>
        <a:xfrm>
          <a:off x="14213632" y="31587640"/>
          <a:ext cx="6169270" cy="4622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425076</xdr:colOff>
      <xdr:row>4</xdr:row>
      <xdr:rowOff>77290</xdr:rowOff>
    </xdr:from>
    <xdr:to>
      <xdr:col>37</xdr:col>
      <xdr:colOff>530266</xdr:colOff>
      <xdr:row>14</xdr:row>
      <xdr:rowOff>149702</xdr:rowOff>
    </xdr:to>
    <xdr:pic>
      <xdr:nvPicPr>
        <xdr:cNvPr id="2" name="Imagen 1">
          <a:extLst>
            <a:ext uri="{FF2B5EF4-FFF2-40B4-BE49-F238E27FC236}">
              <a16:creationId xmlns:a16="http://schemas.microsoft.com/office/drawing/2014/main" id="{B1406896-6E13-E2EF-E82A-3AF51D20B092}"/>
            </a:ext>
          </a:extLst>
        </xdr:cNvPr>
        <xdr:cNvPicPr>
          <a:picLocks noChangeAspect="1"/>
        </xdr:cNvPicPr>
      </xdr:nvPicPr>
      <xdr:blipFill>
        <a:blip xmlns:r="http://schemas.openxmlformats.org/officeDocument/2006/relationships" r:embed="rId1"/>
        <a:stretch>
          <a:fillRect/>
        </a:stretch>
      </xdr:blipFill>
      <xdr:spPr>
        <a:xfrm>
          <a:off x="24372047" y="1108231"/>
          <a:ext cx="8363925" cy="322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rep.gov.co/es/junta-directiva-del-banco-republica-mantiene-meta-inflacion-3-para-20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K1:AQ167"/>
  <sheetViews>
    <sheetView showGridLines="0" topLeftCell="J32" zoomScale="115" zoomScaleNormal="115" workbookViewId="0">
      <selection activeCell="V37" sqref="V37"/>
    </sheetView>
  </sheetViews>
  <sheetFormatPr baseColWidth="10" defaultRowHeight="12.5"/>
  <cols>
    <col min="11" max="11" width="24.81640625" bestFit="1" customWidth="1"/>
    <col min="12" max="12" width="34.7265625" customWidth="1"/>
    <col min="20" max="21" width="12.7265625" customWidth="1"/>
    <col min="22" max="22" width="18.453125" bestFit="1" customWidth="1"/>
    <col min="23" max="30" width="12.7265625" customWidth="1"/>
  </cols>
  <sheetData>
    <row r="1" spans="12:43">
      <c r="AQ1">
        <v>2018</v>
      </c>
    </row>
    <row r="2" spans="12:43">
      <c r="L2" s="352" t="s">
        <v>413</v>
      </c>
      <c r="AQ2">
        <f>+AQ1+1</f>
        <v>2019</v>
      </c>
    </row>
    <row r="3" spans="12:43">
      <c r="AQ3">
        <f t="shared" ref="AQ3:AQ13" si="0">+AQ2+1</f>
        <v>2020</v>
      </c>
    </row>
    <row r="4" spans="12:43">
      <c r="AQ4">
        <f t="shared" si="0"/>
        <v>2021</v>
      </c>
    </row>
    <row r="5" spans="12:43">
      <c r="AQ5">
        <f t="shared" si="0"/>
        <v>2022</v>
      </c>
    </row>
    <row r="6" spans="12:43">
      <c r="AQ6">
        <f t="shared" si="0"/>
        <v>2023</v>
      </c>
    </row>
    <row r="7" spans="12:43">
      <c r="AQ7">
        <f t="shared" si="0"/>
        <v>2024</v>
      </c>
    </row>
    <row r="8" spans="12:43" ht="13">
      <c r="AF8" s="357">
        <v>2022</v>
      </c>
      <c r="AQ8">
        <f t="shared" si="0"/>
        <v>2025</v>
      </c>
    </row>
    <row r="9" spans="12:43">
      <c r="AQ9">
        <f t="shared" si="0"/>
        <v>2026</v>
      </c>
    </row>
    <row r="10" spans="12:43">
      <c r="AQ10">
        <f t="shared" si="0"/>
        <v>2027</v>
      </c>
    </row>
    <row r="11" spans="12:43">
      <c r="AQ11">
        <f t="shared" si="0"/>
        <v>2028</v>
      </c>
    </row>
    <row r="12" spans="12:43">
      <c r="AQ12">
        <f t="shared" si="0"/>
        <v>2029</v>
      </c>
    </row>
    <row r="13" spans="12:43">
      <c r="AQ13">
        <f t="shared" si="0"/>
        <v>2030</v>
      </c>
    </row>
    <row r="26" spans="12:22" ht="18" customHeight="1">
      <c r="M26" s="355">
        <v>2017</v>
      </c>
      <c r="N26" s="355">
        <v>2018</v>
      </c>
      <c r="O26" s="355">
        <v>2019</v>
      </c>
      <c r="P26" s="355">
        <v>2020</v>
      </c>
      <c r="Q26" s="355">
        <v>2021</v>
      </c>
      <c r="R26" s="355">
        <v>2022</v>
      </c>
      <c r="S26" s="355">
        <v>2023</v>
      </c>
    </row>
    <row r="27" spans="12:22" ht="15" customHeight="1" thickBot="1">
      <c r="L27" s="354" t="s">
        <v>285</v>
      </c>
      <c r="M27" s="356">
        <v>4.0899999999999999E-2</v>
      </c>
      <c r="N27" s="356">
        <v>3.1800000000000002E-2</v>
      </c>
      <c r="O27" s="356">
        <v>3.7999999999999999E-2</v>
      </c>
      <c r="P27" s="356">
        <v>1.61E-2</v>
      </c>
      <c r="Q27" s="356">
        <v>5.62E-2</v>
      </c>
      <c r="R27" s="356">
        <v>0.13120000000000001</v>
      </c>
      <c r="S27" s="356">
        <f>9.28%</f>
        <v>9.2799999999999994E-2</v>
      </c>
      <c r="V27" s="573" t="s">
        <v>415</v>
      </c>
    </row>
    <row r="28" spans="12:22" ht="13" thickBot="1">
      <c r="V28" s="568">
        <v>2024</v>
      </c>
    </row>
    <row r="29" spans="12:22" ht="13">
      <c r="L29" s="358" t="s">
        <v>296</v>
      </c>
      <c r="M29" s="359"/>
      <c r="N29" s="359"/>
      <c r="O29" s="359"/>
      <c r="P29" s="359"/>
      <c r="Q29" s="385" t="s">
        <v>300</v>
      </c>
    </row>
    <row r="30" spans="12:22" ht="13">
      <c r="L30" s="357"/>
    </row>
    <row r="31" spans="12:22" ht="13.5" thickBot="1">
      <c r="L31" s="653"/>
      <c r="M31" s="653"/>
      <c r="N31" s="652" t="s">
        <v>289</v>
      </c>
      <c r="O31" s="652"/>
      <c r="P31" s="652"/>
    </row>
    <row r="32" spans="12:22" ht="14.25" customHeight="1" thickBot="1">
      <c r="L32" s="361" t="s">
        <v>291</v>
      </c>
      <c r="M32" s="366" t="s">
        <v>290</v>
      </c>
      <c r="N32" s="366">
        <v>2018</v>
      </c>
      <c r="O32" s="366">
        <v>2019</v>
      </c>
      <c r="P32" s="366">
        <v>2020</v>
      </c>
      <c r="Q32" s="366">
        <v>2021</v>
      </c>
      <c r="R32" s="366">
        <v>2022</v>
      </c>
      <c r="S32" s="561">
        <v>2023</v>
      </c>
      <c r="T32" s="563">
        <v>2024</v>
      </c>
      <c r="V32" s="563">
        <f t="shared" ref="V32:V38" si="1">+_xlfn.XLOOKUP($V$28,$N$32:$T$32,N32:T32,"-",0)</f>
        <v>2024</v>
      </c>
    </row>
    <row r="33" spans="12:22" ht="13.75" customHeight="1">
      <c r="L33" s="362" t="s">
        <v>286</v>
      </c>
      <c r="M33" s="367">
        <v>490</v>
      </c>
      <c r="N33" s="365">
        <f>+M33*(1+$M$27)</f>
        <v>510.041</v>
      </c>
      <c r="O33" s="365">
        <f>+N33*(1+$N$27)</f>
        <v>526.26030379999997</v>
      </c>
      <c r="P33" s="394">
        <f>+O33*(1+$O$27)</f>
        <v>546.25819534439995</v>
      </c>
      <c r="Q33" s="365">
        <f t="shared" ref="Q33:Q38" si="2">+P33*(1+$P$27)</f>
        <v>555.05295228944476</v>
      </c>
      <c r="R33" s="365">
        <f t="shared" ref="R33:R37" si="3">+Q33*(1+$Q$27)</f>
        <v>586.24692820811163</v>
      </c>
      <c r="S33" s="562">
        <f>+ROUND(R33*(1+$R$27),2)</f>
        <v>663.16</v>
      </c>
      <c r="T33" s="566">
        <f>+ROUND(S33*(1+$S$27),2)</f>
        <v>724.7</v>
      </c>
      <c r="V33" s="570">
        <f t="shared" si="1"/>
        <v>724.7</v>
      </c>
    </row>
    <row r="34" spans="12:22" ht="13.75" customHeight="1">
      <c r="L34" s="362" t="s">
        <v>287</v>
      </c>
      <c r="M34" s="367">
        <v>930</v>
      </c>
      <c r="N34" s="365">
        <f>+M34*(1+$M$27)</f>
        <v>968.03699999999992</v>
      </c>
      <c r="O34" s="365">
        <f>+N34*(1+$N$27)</f>
        <v>998.82057659999998</v>
      </c>
      <c r="P34" s="394">
        <f>+O34*(1+$O$27)</f>
        <v>1036.7757585108</v>
      </c>
      <c r="Q34" s="365">
        <f t="shared" si="2"/>
        <v>1053.4678482228239</v>
      </c>
      <c r="R34" s="365">
        <f t="shared" si="3"/>
        <v>1112.6727412929467</v>
      </c>
      <c r="S34" s="562">
        <f>+ROUND(R34*(1+$R$27),2)</f>
        <v>1258.6600000000001</v>
      </c>
      <c r="T34" s="566">
        <f t="shared" ref="T34:T36" si="4">+ROUND(S34*(1+$S$27),2)</f>
        <v>1375.46</v>
      </c>
      <c r="V34" s="571">
        <f t="shared" si="1"/>
        <v>1375.46</v>
      </c>
    </row>
    <row r="35" spans="12:22" ht="13.75" customHeight="1">
      <c r="L35" s="362" t="s">
        <v>16</v>
      </c>
      <c r="M35" s="367">
        <v>469</v>
      </c>
      <c r="N35" s="365">
        <f>+M35*(1+$M$27)</f>
        <v>488.18209999999999</v>
      </c>
      <c r="O35" s="365">
        <f>+N35*(1+$N$27)</f>
        <v>503.70629078000002</v>
      </c>
      <c r="P35" s="394">
        <f>+O35*(1+$O$27)</f>
        <v>522.84712982964004</v>
      </c>
      <c r="Q35" s="365">
        <v>531.27</v>
      </c>
      <c r="R35" s="365">
        <v>561.12</v>
      </c>
      <c r="S35" s="562">
        <f>+ROUND(R35*(1+R27),2)</f>
        <v>634.74</v>
      </c>
      <c r="T35" s="566">
        <f>+ROUND(S35*(1+$S$27)+0.01,2)</f>
        <v>693.65</v>
      </c>
      <c r="V35" s="571">
        <f t="shared" si="1"/>
        <v>693.65</v>
      </c>
    </row>
    <row r="36" spans="12:22" ht="13.75" customHeight="1">
      <c r="L36" s="362" t="s">
        <v>288</v>
      </c>
      <c r="M36" s="367">
        <v>490</v>
      </c>
      <c r="N36" s="365">
        <f>+M36*(1+$M$27)</f>
        <v>510.041</v>
      </c>
      <c r="O36" s="365">
        <f>+N36*(1+$N$27)</f>
        <v>526.26030379999997</v>
      </c>
      <c r="P36" s="394">
        <f>+O36*(1+$O$27)</f>
        <v>546.25819534439995</v>
      </c>
      <c r="Q36" s="365">
        <f t="shared" si="2"/>
        <v>555.05295228944476</v>
      </c>
      <c r="R36" s="365">
        <f t="shared" si="3"/>
        <v>586.24692820811163</v>
      </c>
      <c r="S36" s="562">
        <f>+ROUND(R36*(1+$R$27),2)</f>
        <v>663.16</v>
      </c>
      <c r="T36" s="566">
        <f t="shared" si="4"/>
        <v>724.7</v>
      </c>
      <c r="V36" s="571">
        <f t="shared" si="1"/>
        <v>724.7</v>
      </c>
    </row>
    <row r="37" spans="12:22" ht="13.75" customHeight="1">
      <c r="L37" s="362" t="s">
        <v>247</v>
      </c>
      <c r="M37" s="367"/>
      <c r="N37" s="365">
        <v>478.42</v>
      </c>
      <c r="O37" s="365">
        <v>493.63</v>
      </c>
      <c r="P37" s="394">
        <v>512.39</v>
      </c>
      <c r="Q37" s="365">
        <f t="shared" si="2"/>
        <v>520.63947899999994</v>
      </c>
      <c r="R37" s="365">
        <f t="shared" si="3"/>
        <v>549.8994177198</v>
      </c>
      <c r="S37" s="562">
        <f>+ROUND(R37*(1+$R$27),2)</f>
        <v>622.04999999999995</v>
      </c>
      <c r="T37" s="566">
        <f>+ROUND(S37*(1+$S$27)-0.01,2)</f>
        <v>679.77</v>
      </c>
      <c r="V37" s="571">
        <f t="shared" si="1"/>
        <v>679.77</v>
      </c>
    </row>
    <row r="38" spans="12:22" ht="13.75" customHeight="1" thickBot="1">
      <c r="L38" s="362" t="s">
        <v>293</v>
      </c>
      <c r="M38" s="367"/>
      <c r="N38" s="365">
        <v>622.20000000000005</v>
      </c>
      <c r="O38" s="365">
        <v>641.99</v>
      </c>
      <c r="P38" s="394">
        <v>666.38</v>
      </c>
      <c r="Q38" s="365">
        <f t="shared" si="2"/>
        <v>677.10871799999995</v>
      </c>
      <c r="R38" s="365">
        <f>+Q38*(1+$Q$27)+0.01</f>
        <v>715.17222795160001</v>
      </c>
      <c r="S38" s="562">
        <f>+ROUND(R38*(1+$R$27),0)</f>
        <v>809</v>
      </c>
      <c r="T38" s="567">
        <f>+ROUND(S38*(1+$S$27)-0.01,2)</f>
        <v>884.07</v>
      </c>
      <c r="V38" s="572">
        <f t="shared" si="1"/>
        <v>884.07</v>
      </c>
    </row>
    <row r="39" spans="12:22">
      <c r="O39" s="365"/>
    </row>
    <row r="40" spans="12:22">
      <c r="O40" s="564"/>
    </row>
    <row r="41" spans="12:22">
      <c r="O41" s="564"/>
    </row>
    <row r="42" spans="12:22">
      <c r="O42" s="564"/>
    </row>
    <row r="43" spans="12:22">
      <c r="O43" s="564"/>
    </row>
    <row r="44" spans="12:22">
      <c r="O44" s="564"/>
    </row>
    <row r="45" spans="12:22">
      <c r="O45" s="564"/>
    </row>
    <row r="46" spans="12:22">
      <c r="O46" s="564"/>
    </row>
    <row r="47" spans="12:22">
      <c r="O47" s="564"/>
    </row>
    <row r="48" spans="12:22">
      <c r="O48" s="564"/>
    </row>
    <row r="49" spans="12:17">
      <c r="O49" s="564"/>
    </row>
    <row r="50" spans="12:17">
      <c r="O50" s="564"/>
    </row>
    <row r="51" spans="12:17">
      <c r="O51" s="564"/>
    </row>
    <row r="52" spans="12:17">
      <c r="O52" s="564"/>
    </row>
    <row r="53" spans="12:17">
      <c r="O53" s="564"/>
    </row>
    <row r="54" spans="12:17">
      <c r="O54" s="564"/>
    </row>
    <row r="55" spans="12:17">
      <c r="O55" s="564"/>
    </row>
    <row r="56" spans="12:17">
      <c r="O56" s="564"/>
    </row>
    <row r="57" spans="12:17">
      <c r="O57" s="564"/>
    </row>
    <row r="58" spans="12:17">
      <c r="O58" s="564"/>
    </row>
    <row r="59" spans="12:17">
      <c r="O59" s="564"/>
    </row>
    <row r="60" spans="12:17">
      <c r="L60" s="392"/>
      <c r="M60" s="392"/>
      <c r="N60" s="392"/>
      <c r="O60" s="392"/>
      <c r="P60" s="393"/>
    </row>
    <row r="61" spans="12:17">
      <c r="P61" s="353"/>
    </row>
    <row r="62" spans="12:17" ht="13">
      <c r="L62" s="358" t="s">
        <v>298</v>
      </c>
      <c r="M62" s="359"/>
      <c r="N62" s="359"/>
      <c r="O62" s="359"/>
      <c r="P62" s="360"/>
      <c r="Q62" s="385" t="s">
        <v>300</v>
      </c>
    </row>
    <row r="63" spans="12:17">
      <c r="P63" s="353"/>
    </row>
    <row r="64" spans="12:17" ht="13.5" thickBot="1">
      <c r="L64" s="370" t="s">
        <v>292</v>
      </c>
      <c r="M64" s="654" t="s">
        <v>289</v>
      </c>
      <c r="N64" s="652"/>
      <c r="O64" s="652"/>
      <c r="P64" s="652"/>
    </row>
    <row r="65" spans="12:22" ht="13">
      <c r="L65" s="369" t="s">
        <v>291</v>
      </c>
      <c r="M65" s="363">
        <v>2017</v>
      </c>
      <c r="N65" s="363">
        <v>2018</v>
      </c>
      <c r="O65" s="363">
        <v>2019</v>
      </c>
      <c r="P65" s="363">
        <v>2020</v>
      </c>
      <c r="Q65" s="366">
        <v>2021</v>
      </c>
      <c r="R65" s="366">
        <v>2022</v>
      </c>
      <c r="S65" s="366">
        <v>2023</v>
      </c>
      <c r="T65" s="366">
        <v>2024</v>
      </c>
      <c r="V65" s="563">
        <f>+_xlfn.XLOOKUP($V$28,$N$32:$T$32,N65:T65,"-",0)</f>
        <v>2024</v>
      </c>
    </row>
    <row r="66" spans="12:22">
      <c r="L66" s="362" t="s">
        <v>286</v>
      </c>
      <c r="M66" s="364">
        <v>965.24</v>
      </c>
      <c r="N66" s="365">
        <f>+M66*(1+$M$27)</f>
        <v>1004.718316</v>
      </c>
      <c r="O66" s="365">
        <f>+N66*(1+$N$27)</f>
        <v>1036.6683584488001</v>
      </c>
      <c r="P66" s="365">
        <f>+O66*(1+$O$27)</f>
        <v>1076.0617560698545</v>
      </c>
      <c r="Q66" s="365">
        <v>1093.3800000000001</v>
      </c>
      <c r="R66" s="365">
        <v>1154.83</v>
      </c>
      <c r="S66" s="365">
        <f>+R66*(1+$R$27)</f>
        <v>1306.3436959999999</v>
      </c>
      <c r="T66" s="437">
        <f>+S66*(1+$S$27)</f>
        <v>1427.5723909888</v>
      </c>
      <c r="V66" s="569">
        <f>+_xlfn.XLOOKUP($V$28,$N$65:$T$65,N66:T66,"-",0)</f>
        <v>1427.5723909888</v>
      </c>
    </row>
    <row r="67" spans="12:22">
      <c r="L67" s="362" t="s">
        <v>287</v>
      </c>
      <c r="M67" s="364">
        <v>1021.31</v>
      </c>
      <c r="N67" s="380">
        <f>+M67*(1+$M$27)</f>
        <v>1063.0815789999999</v>
      </c>
      <c r="O67" s="365">
        <f>+N67*(1+$N$27)</f>
        <v>1096.8875732121999</v>
      </c>
      <c r="P67" s="365">
        <f>+O67*(1+$O$27)</f>
        <v>1138.5693009942636</v>
      </c>
      <c r="Q67" s="365">
        <f>+P67*(1+$P$27)</f>
        <v>1156.9002667402713</v>
      </c>
      <c r="R67" s="365">
        <v>1221.92</v>
      </c>
      <c r="S67" s="365">
        <f>+R67*(1+$R$27)</f>
        <v>1382.2359040000001</v>
      </c>
      <c r="T67" s="437">
        <f t="shared" ref="T67:T68" si="5">+S67*(1+$S$27)</f>
        <v>1510.5073958912001</v>
      </c>
      <c r="V67" s="569">
        <f t="shared" ref="V67:V68" si="6">+_xlfn.XLOOKUP($V$28,$N$65:$T$65,N67:T67,"-",0)</f>
        <v>1510.5073958912001</v>
      </c>
    </row>
    <row r="68" spans="12:22">
      <c r="L68" s="362" t="s">
        <v>16</v>
      </c>
      <c r="M68" s="364">
        <v>639.51</v>
      </c>
      <c r="N68" s="365">
        <f>+M68*(1+$M$27)</f>
        <v>665.66595899999993</v>
      </c>
      <c r="O68" s="365">
        <f>+N68*(1+$N$27)+0.006</f>
        <v>686.84013649619999</v>
      </c>
      <c r="P68" s="365">
        <f>+O68*(1+$O$27)</f>
        <v>712.94006168305566</v>
      </c>
      <c r="Q68" s="365">
        <f>+P68*(1+$P$27)</f>
        <v>724.41839667615284</v>
      </c>
      <c r="R68" s="365">
        <v>765.13</v>
      </c>
      <c r="S68" s="365">
        <v>865.51</v>
      </c>
      <c r="T68" s="437">
        <f t="shared" si="5"/>
        <v>945.82932800000003</v>
      </c>
      <c r="V68" s="569">
        <f t="shared" si="6"/>
        <v>945.82932800000003</v>
      </c>
    </row>
    <row r="82" spans="12:22" ht="13">
      <c r="L82" s="358" t="s">
        <v>297</v>
      </c>
      <c r="M82" s="359"/>
      <c r="N82" s="359"/>
      <c r="O82" s="359"/>
      <c r="P82" s="359"/>
      <c r="Q82" s="385" t="s">
        <v>308</v>
      </c>
    </row>
    <row r="83" spans="12:22">
      <c r="L83" t="s">
        <v>342</v>
      </c>
    </row>
    <row r="84" spans="12:22" ht="13">
      <c r="M84" s="650" t="s">
        <v>289</v>
      </c>
      <c r="N84" s="650"/>
      <c r="O84" s="650"/>
      <c r="P84" s="651"/>
    </row>
    <row r="85" spans="12:22" ht="13.5" thickBot="1">
      <c r="N85" s="371"/>
      <c r="O85" s="372"/>
      <c r="P85" s="368"/>
    </row>
    <row r="86" spans="12:22" ht="13">
      <c r="L86" s="361" t="s">
        <v>291</v>
      </c>
      <c r="M86" s="378">
        <v>2017</v>
      </c>
      <c r="N86" s="379">
        <v>2018</v>
      </c>
      <c r="O86" s="379">
        <v>2019</v>
      </c>
      <c r="P86" s="379">
        <v>2020</v>
      </c>
      <c r="Q86" s="366">
        <v>2021</v>
      </c>
      <c r="R86" s="366">
        <v>2022</v>
      </c>
      <c r="S86" s="366">
        <v>2023</v>
      </c>
      <c r="T86" s="538">
        <v>2024</v>
      </c>
      <c r="V86" s="563">
        <f>+_xlfn.XLOOKUP($V$28,$N$32:$T$32,N86:T86,"-",0)</f>
        <v>2024</v>
      </c>
    </row>
    <row r="87" spans="12:22">
      <c r="L87" s="362" t="s">
        <v>294</v>
      </c>
      <c r="M87" s="375">
        <v>29</v>
      </c>
      <c r="N87" s="375">
        <v>30</v>
      </c>
      <c r="O87" s="375">
        <v>32</v>
      </c>
      <c r="P87" s="375">
        <v>33</v>
      </c>
      <c r="Q87" s="375">
        <v>34</v>
      </c>
      <c r="R87" s="375">
        <v>36</v>
      </c>
      <c r="S87" s="375"/>
      <c r="T87" s="375"/>
      <c r="U87" t="str">
        <f>+L87</f>
        <v>Gas Natural</v>
      </c>
      <c r="V87" s="569">
        <f>+_xlfn.XLOOKUP($V$28,$M$86:$T$86,M87:T87,"-",0)</f>
        <v>0</v>
      </c>
    </row>
    <row r="88" spans="12:22">
      <c r="L88" s="362" t="s">
        <v>295</v>
      </c>
      <c r="M88" s="375">
        <v>95</v>
      </c>
      <c r="N88" s="375">
        <v>100</v>
      </c>
      <c r="O88" s="375">
        <v>104</v>
      </c>
      <c r="P88" s="375">
        <v>109</v>
      </c>
      <c r="Q88" s="375">
        <v>112</v>
      </c>
      <c r="R88" s="375">
        <v>119</v>
      </c>
      <c r="S88" s="375">
        <v>152.91999999999999</v>
      </c>
      <c r="T88" s="375"/>
      <c r="U88" t="str">
        <f>+L88</f>
        <v>GLP</v>
      </c>
      <c r="V88" s="569">
        <f t="shared" ref="V88:V92" si="7">+_xlfn.XLOOKUP($V$28,$M$86:$T$86,M88:T88,"-",0)</f>
        <v>0</v>
      </c>
    </row>
    <row r="89" spans="12:22">
      <c r="L89" s="362" t="s">
        <v>286</v>
      </c>
      <c r="M89" s="377">
        <v>135</v>
      </c>
      <c r="N89" s="377">
        <v>142</v>
      </c>
      <c r="O89" s="377">
        <v>148</v>
      </c>
      <c r="P89" s="377">
        <v>155</v>
      </c>
      <c r="Q89" s="377">
        <v>159</v>
      </c>
      <c r="R89" s="574">
        <v>169</v>
      </c>
      <c r="S89" s="574">
        <v>169</v>
      </c>
      <c r="T89" s="574">
        <f>+ROUND(S89*(1+$S$27+1%),2)</f>
        <v>186.37</v>
      </c>
      <c r="U89" t="str">
        <f t="shared" ref="U89:U93" si="8">+L89</f>
        <v>GMC</v>
      </c>
      <c r="V89" s="569">
        <f t="shared" si="7"/>
        <v>186.37</v>
      </c>
    </row>
    <row r="90" spans="12:22">
      <c r="L90" s="362" t="s">
        <v>343</v>
      </c>
      <c r="M90" s="375">
        <v>148</v>
      </c>
      <c r="N90" s="375">
        <v>156</v>
      </c>
      <c r="O90" s="375">
        <v>162</v>
      </c>
      <c r="P90" s="375">
        <v>170</v>
      </c>
      <c r="Q90" s="375">
        <v>174</v>
      </c>
      <c r="R90" s="375">
        <v>186</v>
      </c>
      <c r="S90" s="375">
        <v>230.52</v>
      </c>
      <c r="T90" s="375">
        <v>254.22</v>
      </c>
      <c r="U90" t="str">
        <f t="shared" si="8"/>
        <v>Jet</v>
      </c>
      <c r="V90" s="569">
        <f t="shared" si="7"/>
        <v>254.22</v>
      </c>
    </row>
    <row r="91" spans="12:22">
      <c r="L91" s="362" t="s">
        <v>16</v>
      </c>
      <c r="M91" s="377">
        <v>152</v>
      </c>
      <c r="N91" s="377">
        <v>160</v>
      </c>
      <c r="O91" s="377">
        <v>166</v>
      </c>
      <c r="P91" s="377">
        <v>174</v>
      </c>
      <c r="Q91" s="377">
        <v>179</v>
      </c>
      <c r="R91" s="574">
        <v>191</v>
      </c>
      <c r="S91" s="574">
        <v>191</v>
      </c>
      <c r="T91" s="574">
        <f>+ROUND(S91*(1+$S$27+1%),2)</f>
        <v>210.63</v>
      </c>
      <c r="U91" t="str">
        <f t="shared" si="8"/>
        <v>ACPM</v>
      </c>
      <c r="V91" s="569">
        <f t="shared" si="7"/>
        <v>210.63</v>
      </c>
    </row>
    <row r="92" spans="12:22">
      <c r="L92" s="362" t="s">
        <v>239</v>
      </c>
      <c r="M92" s="375">
        <v>177</v>
      </c>
      <c r="N92" s="375">
        <v>186</v>
      </c>
      <c r="O92" s="375">
        <v>194</v>
      </c>
      <c r="P92" s="375">
        <v>203</v>
      </c>
      <c r="Q92" s="375">
        <v>208</v>
      </c>
      <c r="R92" s="375">
        <v>222</v>
      </c>
      <c r="S92" s="375">
        <v>271.61</v>
      </c>
      <c r="T92" s="375">
        <v>299.52999999999997</v>
      </c>
      <c r="U92" t="str">
        <f t="shared" si="8"/>
        <v>Fuel Oil</v>
      </c>
      <c r="V92" s="569">
        <f t="shared" si="7"/>
        <v>299.52999999999997</v>
      </c>
    </row>
    <row r="93" spans="12:22">
      <c r="L93" s="373" t="s">
        <v>299</v>
      </c>
      <c r="M93" s="374">
        <v>15000</v>
      </c>
      <c r="N93" s="374">
        <v>15764</v>
      </c>
      <c r="O93" s="374">
        <v>16422</v>
      </c>
      <c r="P93" s="374">
        <v>17211</v>
      </c>
      <c r="Q93" s="374">
        <v>17660</v>
      </c>
      <c r="R93" s="374">
        <v>18829</v>
      </c>
      <c r="S93" s="374">
        <v>23394.6</v>
      </c>
      <c r="T93" s="374">
        <f>+ROUND(S93*(1+$S$27+1%),2)</f>
        <v>25799.56</v>
      </c>
      <c r="U93" t="str">
        <f t="shared" si="8"/>
        <v>Tarifa $/ton CO2</v>
      </c>
      <c r="V93" s="569"/>
    </row>
    <row r="94" spans="12:22">
      <c r="N94" s="381">
        <f>+N93/M93</f>
        <v>1.0509333333333333</v>
      </c>
      <c r="O94" s="381">
        <f>+O93/N93</f>
        <v>1.0417406749555951</v>
      </c>
      <c r="P94" s="381">
        <f>+P93/O93</f>
        <v>1.0480453050785532</v>
      </c>
      <c r="Q94" s="381">
        <f>+Q93/P93</f>
        <v>1.0260879669978502</v>
      </c>
      <c r="R94" s="381">
        <f>+R93/Q93</f>
        <v>1.0661947904869762</v>
      </c>
      <c r="T94" s="381"/>
      <c r="U94" s="390"/>
    </row>
    <row r="95" spans="12:22">
      <c r="N95" s="565"/>
      <c r="O95" s="565"/>
      <c r="P95" s="565"/>
      <c r="Q95" s="565"/>
      <c r="R95" s="381"/>
      <c r="S95" s="381"/>
      <c r="T95" s="381"/>
    </row>
    <row r="96" spans="12:22">
      <c r="L96" s="353"/>
      <c r="S96" s="381"/>
    </row>
    <row r="97" spans="12:12">
      <c r="L97" s="353"/>
    </row>
    <row r="98" spans="12:12">
      <c r="L98" s="353"/>
    </row>
    <row r="99" spans="12:12">
      <c r="L99" s="353"/>
    </row>
    <row r="100" spans="12:12">
      <c r="L100" s="353"/>
    </row>
    <row r="126" spans="12:16" ht="13">
      <c r="L126" s="358" t="s">
        <v>302</v>
      </c>
      <c r="M126" s="359"/>
      <c r="N126" s="359"/>
      <c r="O126" s="359"/>
      <c r="P126" s="359"/>
    </row>
    <row r="128" spans="12:16">
      <c r="L128" s="353" t="s">
        <v>322</v>
      </c>
    </row>
    <row r="145" spans="11:22" ht="13">
      <c r="L145" s="358" t="s">
        <v>303</v>
      </c>
      <c r="M145" s="359"/>
      <c r="N145" s="359"/>
      <c r="O145" s="359"/>
      <c r="P145" s="359"/>
    </row>
    <row r="147" spans="11:22">
      <c r="L147" s="353" t="s">
        <v>304</v>
      </c>
    </row>
    <row r="149" spans="11:22" ht="13" thickBot="1"/>
    <row r="150" spans="11:22" ht="13">
      <c r="K150" s="361" t="s">
        <v>291</v>
      </c>
      <c r="L150" s="378">
        <v>2014</v>
      </c>
      <c r="M150" s="379">
        <v>2017</v>
      </c>
      <c r="N150" s="379">
        <v>2018</v>
      </c>
      <c r="O150" s="379">
        <v>2019</v>
      </c>
      <c r="P150" s="363">
        <v>2020</v>
      </c>
      <c r="Q150" s="363">
        <v>2021</v>
      </c>
      <c r="R150" s="363">
        <v>2022</v>
      </c>
      <c r="S150" s="363">
        <v>2023</v>
      </c>
      <c r="T150" s="434">
        <v>2024</v>
      </c>
      <c r="V150" s="563">
        <f>+_xlfn.XLOOKUP($V$28,$N$32:$T$32,N150:T150,"-",0)</f>
        <v>2024</v>
      </c>
    </row>
    <row r="151" spans="11:22">
      <c r="K151" s="362" t="s">
        <v>305</v>
      </c>
      <c r="L151" s="387">
        <v>6.82</v>
      </c>
      <c r="M151" s="375"/>
      <c r="N151" s="375"/>
      <c r="O151" s="376"/>
      <c r="P151" s="376"/>
      <c r="Q151" s="376"/>
      <c r="R151" s="376"/>
      <c r="S151" s="425"/>
      <c r="T151" s="435"/>
      <c r="V151" s="569"/>
    </row>
    <row r="152" spans="11:22">
      <c r="K152" s="362" t="s">
        <v>306</v>
      </c>
      <c r="L152" s="387">
        <v>3.7</v>
      </c>
      <c r="M152" s="388"/>
      <c r="N152" s="388"/>
      <c r="O152" s="389"/>
      <c r="P152" s="389"/>
      <c r="Q152" s="389"/>
      <c r="R152" s="389"/>
      <c r="S152" s="426"/>
      <c r="T152" s="436"/>
      <c r="V152" s="569"/>
    </row>
    <row r="153" spans="11:22">
      <c r="K153" s="362" t="s">
        <v>307</v>
      </c>
      <c r="L153" s="388"/>
      <c r="M153" s="388">
        <v>7.45</v>
      </c>
      <c r="N153" s="388">
        <f>7.45*(1+3%)</f>
        <v>7.6735000000000007</v>
      </c>
      <c r="O153" s="388">
        <f>+N153*(1+3%)</f>
        <v>7.9037050000000013</v>
      </c>
      <c r="P153" s="391">
        <f>+O153*(1+3%)</f>
        <v>8.1408161500000009</v>
      </c>
      <c r="Q153" s="388">
        <f>+ROUND(ROUND(P153,2)*(1+3%),4)</f>
        <v>8.3841999999999999</v>
      </c>
      <c r="R153" s="388">
        <f>+ROUND(Q153,2)*(1+3%)</f>
        <v>8.6314000000000011</v>
      </c>
      <c r="S153" s="424">
        <v>8.89</v>
      </c>
      <c r="T153" s="424">
        <v>9.16</v>
      </c>
      <c r="V153" s="569">
        <f>+_xlfn.XLOOKUP($V$28,$L$150:$T$150,L153:T153,"-",0)</f>
        <v>9.16</v>
      </c>
    </row>
    <row r="154" spans="11:22">
      <c r="K154" s="362"/>
      <c r="L154" s="387"/>
      <c r="M154" s="388"/>
      <c r="N154" s="388"/>
      <c r="O154" s="388"/>
      <c r="P154" s="389"/>
      <c r="Q154" s="389"/>
      <c r="R154" s="389"/>
      <c r="S154" s="426"/>
      <c r="T154" s="424"/>
    </row>
    <row r="155" spans="11:22">
      <c r="Q155" s="390"/>
    </row>
    <row r="156" spans="11:22">
      <c r="L156" s="352" t="s">
        <v>329</v>
      </c>
      <c r="N156" s="390"/>
    </row>
    <row r="159" spans="11:22" ht="13">
      <c r="L159" s="357" t="s">
        <v>311</v>
      </c>
    </row>
    <row r="160" spans="11:22">
      <c r="L160" s="402" t="s">
        <v>310</v>
      </c>
    </row>
    <row r="167" spans="11:11">
      <c r="K167" s="353" t="s">
        <v>417</v>
      </c>
    </row>
  </sheetData>
  <mergeCells count="4">
    <mergeCell ref="M84:P84"/>
    <mergeCell ref="N31:P31"/>
    <mergeCell ref="L31:M31"/>
    <mergeCell ref="M64:P64"/>
  </mergeCells>
  <dataValidations count="1">
    <dataValidation type="list" allowBlank="1" showInputMessage="1" showErrorMessage="1" sqref="V28" xr:uid="{AB220424-2014-4962-871E-63662D2B12E0}">
      <formula1>$AQ$1:$AQ$13</formula1>
    </dataValidation>
  </dataValidations>
  <hyperlinks>
    <hyperlink ref="L156" r:id="rId1" xr:uid="{2ACC0BBF-1320-49F0-94C1-0D77CE3EE7A3}"/>
  </hyperlinks>
  <pageMargins left="0.7" right="0.7" top="0.75" bottom="0.75" header="0.3" footer="0.3"/>
  <pageSetup orientation="portrait" verticalDpi="300" r:id="rId2"/>
  <ignoredErrors>
    <ignoredError sqref="V86" formulaRange="1"/>
  </ignoredError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2ABF-AA60-4D0A-8C2F-BE089978F599}">
  <dimension ref="A1:Z46"/>
  <sheetViews>
    <sheetView showGridLines="0" zoomScale="115" zoomScaleNormal="115" workbookViewId="0">
      <selection activeCell="A5" sqref="A5"/>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68" t="s">
        <v>25</v>
      </c>
      <c r="B1" s="769"/>
      <c r="C1" s="769"/>
      <c r="D1" s="769"/>
      <c r="E1" s="769"/>
      <c r="F1" s="769"/>
      <c r="G1" s="769"/>
      <c r="H1" s="769"/>
      <c r="I1" s="769"/>
      <c r="J1" s="635"/>
      <c r="K1" s="636"/>
    </row>
    <row r="2" spans="1:26" s="11" customFormat="1" ht="56.15" customHeight="1">
      <c r="A2" s="770" t="s">
        <v>237</v>
      </c>
      <c r="B2" s="771"/>
      <c r="C2" s="771"/>
      <c r="D2" s="771"/>
      <c r="E2" s="771"/>
      <c r="F2" s="771"/>
      <c r="G2" s="771"/>
      <c r="H2" s="771"/>
      <c r="I2" s="771"/>
      <c r="K2" s="637"/>
      <c r="L2" s="5"/>
      <c r="M2" s="5"/>
      <c r="N2" s="5"/>
      <c r="O2" s="5"/>
      <c r="P2" s="5"/>
      <c r="Q2" s="5"/>
    </row>
    <row r="3" spans="1:26" ht="24.75" customHeight="1">
      <c r="A3" s="770" t="s">
        <v>21</v>
      </c>
      <c r="B3" s="771"/>
      <c r="C3" s="771"/>
      <c r="D3" s="771"/>
      <c r="E3" s="771"/>
      <c r="F3" s="771"/>
      <c r="G3" s="771"/>
      <c r="H3" s="771"/>
      <c r="I3" s="771"/>
      <c r="J3" s="312"/>
      <c r="K3" s="638"/>
      <c r="L3" s="312"/>
      <c r="M3" s="312"/>
      <c r="N3" s="312"/>
    </row>
    <row r="4" spans="1:26">
      <c r="A4" s="639" t="str">
        <f>+B43</f>
        <v>.</v>
      </c>
      <c r="K4" s="609"/>
    </row>
    <row r="5" spans="1:26" ht="14.5" thickBot="1">
      <c r="A5" s="640"/>
      <c r="B5" s="114">
        <v>0</v>
      </c>
      <c r="C5" s="114">
        <v>0.02</v>
      </c>
      <c r="D5" s="114">
        <v>0</v>
      </c>
      <c r="E5" s="114">
        <v>0.02</v>
      </c>
      <c r="F5" s="114">
        <v>0</v>
      </c>
      <c r="G5" s="641">
        <v>0.02</v>
      </c>
      <c r="H5" s="641">
        <v>0</v>
      </c>
      <c r="I5" s="641">
        <v>0.02</v>
      </c>
      <c r="J5" s="114">
        <v>0</v>
      </c>
      <c r="K5" s="642">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3" t="str">
        <f>+CONCATENATE("Cartagena Diesel Marino (B0) con cupo",$B$43)</f>
        <v>Cartagena Diesel Marino (B0) con cupo.</v>
      </c>
    </row>
    <row r="7" spans="1:26" ht="27.65" customHeight="1">
      <c r="A7" s="71" t="s">
        <v>201</v>
      </c>
      <c r="B7" s="646">
        <v>10681.27</v>
      </c>
      <c r="C7" s="649">
        <f>+B7</f>
        <v>10681.27</v>
      </c>
      <c r="D7" s="646">
        <f>+B7</f>
        <v>10681.27</v>
      </c>
      <c r="E7" s="649">
        <f>+D7</f>
        <v>10681.27</v>
      </c>
      <c r="F7" s="646">
        <v>10767.29</v>
      </c>
      <c r="G7" s="649">
        <f>+F7</f>
        <v>10767.29</v>
      </c>
      <c r="H7" s="646">
        <v>11230.85</v>
      </c>
      <c r="I7" s="649">
        <f>+H7</f>
        <v>11230.85</v>
      </c>
      <c r="J7" s="649">
        <f>+B7</f>
        <v>10681.27</v>
      </c>
      <c r="K7" s="648">
        <f>+J7</f>
        <v>10681.27</v>
      </c>
      <c r="N7" s="343"/>
    </row>
    <row r="8" spans="1:26" ht="27.65" customHeight="1">
      <c r="A8" s="233" t="s">
        <v>48</v>
      </c>
      <c r="B8" s="351">
        <f>+D8</f>
        <v>0</v>
      </c>
      <c r="C8" s="225">
        <f>+BIODIESEL!$B$7</f>
        <v>16033.62</v>
      </c>
      <c r="D8" s="247">
        <v>0</v>
      </c>
      <c r="E8" s="225">
        <f>+BIODIESEL!$B$7</f>
        <v>16033.62</v>
      </c>
      <c r="F8" s="351">
        <f>+B8</f>
        <v>0</v>
      </c>
      <c r="G8" s="225">
        <f>+BIODIESEL!$B$7</f>
        <v>16033.62</v>
      </c>
      <c r="H8" s="351">
        <v>0</v>
      </c>
      <c r="I8" s="225">
        <f>+BIODIESEL!$B$7</f>
        <v>16033.62</v>
      </c>
      <c r="J8" s="351">
        <f>+B8</f>
        <v>0</v>
      </c>
      <c r="K8" s="540">
        <f>+B8</f>
        <v>0</v>
      </c>
      <c r="N8" s="344"/>
      <c r="O8" s="344"/>
      <c r="P8" s="344"/>
      <c r="Q8" s="344"/>
      <c r="R8" s="344"/>
      <c r="S8" s="27"/>
      <c r="T8" s="27"/>
      <c r="U8" s="27"/>
      <c r="V8" s="27"/>
      <c r="W8" s="27"/>
      <c r="X8" s="27"/>
      <c r="Y8" s="27"/>
      <c r="Z8" s="27"/>
    </row>
    <row r="9" spans="1:26" ht="35.5" customHeight="1">
      <c r="A9" s="249" t="s">
        <v>140</v>
      </c>
      <c r="B9" s="225">
        <f>+ROUND(B8*B5,2)+B7*(1-B5)</f>
        <v>10681.27</v>
      </c>
      <c r="C9" s="225">
        <f>+ROUND(C8*C5,2)+C7*(1-C5)</f>
        <v>10788.3146</v>
      </c>
      <c r="D9" s="248">
        <f>+D8*D5+D7*(1-D5)</f>
        <v>10681.27</v>
      </c>
      <c r="E9" s="225">
        <f>+ROUND(E8*E5,2)+E7*(1-E5)</f>
        <v>10788.3146</v>
      </c>
      <c r="F9" s="225">
        <f>+ROUND(F8*F5,2)+F7*(1-F5)</f>
        <v>10767.29</v>
      </c>
      <c r="G9" s="225">
        <f>ROUND((G8*G5),2)+ROUND(G7*(1-G5),2)</f>
        <v>10872.61</v>
      </c>
      <c r="H9" s="225">
        <f>+ROUND(H8*H5,2)+H7*(1-H5)</f>
        <v>11230.85</v>
      </c>
      <c r="I9" s="225">
        <f>+ROUND(I8*I5,2)+I7*(1-I5)</f>
        <v>11326.903</v>
      </c>
      <c r="J9" s="320">
        <f>+J7</f>
        <v>10681.27</v>
      </c>
      <c r="K9" s="292">
        <f>+K7</f>
        <v>10681.27</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7"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410</v>
      </c>
      <c r="C14" s="304" t="s">
        <v>410</v>
      </c>
      <c r="D14" s="304" t="s">
        <v>410</v>
      </c>
      <c r="E14" s="304" t="s">
        <v>410</v>
      </c>
      <c r="F14" s="304" t="s">
        <v>410</v>
      </c>
      <c r="G14" s="304" t="s">
        <v>410</v>
      </c>
      <c r="H14" s="304" t="s">
        <v>410</v>
      </c>
      <c r="I14" s="304" t="s">
        <v>410</v>
      </c>
      <c r="J14" s="304" t="s">
        <v>410</v>
      </c>
      <c r="K14" s="306" t="s">
        <v>410</v>
      </c>
    </row>
    <row r="15" spans="1:26" ht="27.65" customHeight="1">
      <c r="A15" s="644"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5"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419</v>
      </c>
      <c r="B24" s="13"/>
      <c r="C24" s="13"/>
      <c r="J24" s="14" t="s">
        <v>139</v>
      </c>
    </row>
    <row r="25" spans="1:11" s="14" customFormat="1" ht="11.25" customHeight="1">
      <c r="A25" s="12"/>
      <c r="B25" s="13"/>
      <c r="C25" s="13"/>
    </row>
    <row r="26" spans="1:11" s="14" customFormat="1" ht="32.25" customHeight="1">
      <c r="A26" s="772" t="s">
        <v>200</v>
      </c>
      <c r="B26" s="772"/>
      <c r="C26" s="772"/>
      <c r="D26" s="772"/>
      <c r="E26" s="772"/>
      <c r="F26" s="772"/>
      <c r="G26" s="772"/>
      <c r="H26" s="772"/>
      <c r="I26" s="772"/>
    </row>
    <row r="27" spans="1:11" s="14" customFormat="1" ht="8.5" customHeight="1">
      <c r="A27" s="12"/>
      <c r="B27" s="13"/>
      <c r="C27" s="13"/>
    </row>
    <row r="28" spans="1:11" s="14" customFormat="1" ht="30.75" customHeight="1">
      <c r="A28" s="772" t="s">
        <v>204</v>
      </c>
      <c r="B28" s="772"/>
      <c r="C28" s="772"/>
      <c r="D28" s="772"/>
      <c r="E28" s="772"/>
      <c r="F28" s="772"/>
      <c r="G28" s="772"/>
      <c r="H28" s="772"/>
      <c r="I28" s="772"/>
    </row>
    <row r="29" spans="1:11" s="14" customFormat="1" ht="9.65" customHeight="1">
      <c r="A29" s="12"/>
      <c r="B29" s="13"/>
      <c r="C29" s="13"/>
    </row>
    <row r="30" spans="1:11" s="14" customFormat="1" ht="14.25" customHeight="1">
      <c r="A30" s="773" t="s">
        <v>257</v>
      </c>
      <c r="B30" s="773"/>
      <c r="C30" s="773"/>
      <c r="D30" s="773"/>
      <c r="E30" s="773"/>
      <c r="F30" s="773"/>
      <c r="G30" s="773"/>
      <c r="H30" s="773"/>
      <c r="I30" s="773"/>
    </row>
    <row r="31" spans="1:11" ht="70.900000000000006" customHeight="1">
      <c r="A31" s="773"/>
      <c r="B31" s="773"/>
      <c r="C31" s="773"/>
      <c r="D31" s="773"/>
      <c r="E31" s="773"/>
      <c r="F31" s="773"/>
      <c r="G31" s="773"/>
      <c r="H31" s="773"/>
      <c r="I31" s="773"/>
    </row>
    <row r="32" spans="1:11" ht="23.65" customHeight="1">
      <c r="A32" s="766" t="s">
        <v>319</v>
      </c>
      <c r="B32" s="766"/>
      <c r="C32" s="766"/>
      <c r="D32" s="766"/>
      <c r="E32" s="766"/>
      <c r="F32" s="766"/>
      <c r="G32" s="766"/>
      <c r="H32" s="766"/>
    </row>
    <row r="34" spans="1:11" ht="203.25" customHeight="1">
      <c r="A34" s="767" t="s">
        <v>406</v>
      </c>
      <c r="B34" s="757"/>
      <c r="C34" s="757"/>
      <c r="D34" s="757"/>
      <c r="E34" s="757"/>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ILFDjxXkB84EplknYcVDL2ApuArUi0eecqj/yMlgQUkGk1UbPMpClsSN5urbmPWLvtiHwPuymbC9PyeYIBsgRw==" saltValue="aR0V8zDa1wIp71khxp7MgA=="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D70E0-801B-4BAC-A64A-234E08FA76B3}">
  <dimension ref="A1:Z46"/>
  <sheetViews>
    <sheetView showGridLines="0" topLeftCell="A3" zoomScale="115" zoomScaleNormal="115" workbookViewId="0">
      <selection activeCell="A5" sqref="A5"/>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68" t="s">
        <v>25</v>
      </c>
      <c r="B1" s="769"/>
      <c r="C1" s="769"/>
      <c r="D1" s="769"/>
      <c r="E1" s="769"/>
      <c r="F1" s="769"/>
      <c r="G1" s="769"/>
      <c r="H1" s="769"/>
      <c r="I1" s="769"/>
      <c r="J1" s="635"/>
      <c r="K1" s="636"/>
    </row>
    <row r="2" spans="1:26" s="11" customFormat="1" ht="56.15" customHeight="1">
      <c r="A2" s="770" t="s">
        <v>237</v>
      </c>
      <c r="B2" s="771"/>
      <c r="C2" s="771"/>
      <c r="D2" s="771"/>
      <c r="E2" s="771"/>
      <c r="F2" s="771"/>
      <c r="G2" s="771"/>
      <c r="H2" s="771"/>
      <c r="I2" s="771"/>
      <c r="K2" s="637"/>
      <c r="L2" s="5"/>
      <c r="M2" s="5"/>
      <c r="N2" s="5"/>
      <c r="O2" s="5"/>
      <c r="P2" s="5"/>
      <c r="Q2" s="5"/>
    </row>
    <row r="3" spans="1:26" ht="24.75" customHeight="1">
      <c r="A3" s="770" t="s">
        <v>21</v>
      </c>
      <c r="B3" s="771"/>
      <c r="C3" s="771"/>
      <c r="D3" s="771"/>
      <c r="E3" s="771"/>
      <c r="F3" s="771"/>
      <c r="G3" s="771"/>
      <c r="H3" s="771"/>
      <c r="I3" s="771"/>
      <c r="J3" s="312"/>
      <c r="K3" s="638"/>
      <c r="L3" s="312"/>
      <c r="M3" s="312"/>
      <c r="N3" s="312"/>
    </row>
    <row r="4" spans="1:26">
      <c r="A4" s="639" t="str">
        <f>+B43</f>
        <v>.</v>
      </c>
      <c r="K4" s="609"/>
    </row>
    <row r="5" spans="1:26" ht="14.5" thickBot="1">
      <c r="A5" s="640"/>
      <c r="B5" s="114">
        <v>0</v>
      </c>
      <c r="C5" s="114">
        <v>0.02</v>
      </c>
      <c r="D5" s="114">
        <v>0</v>
      </c>
      <c r="E5" s="114">
        <v>0.02</v>
      </c>
      <c r="F5" s="114">
        <v>0</v>
      </c>
      <c r="G5" s="641">
        <v>0.02</v>
      </c>
      <c r="H5" s="641">
        <v>0</v>
      </c>
      <c r="I5" s="641">
        <v>0.02</v>
      </c>
      <c r="J5" s="114">
        <v>0</v>
      </c>
      <c r="K5" s="642">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3" t="str">
        <f>+CONCATENATE("Cartagena Diesel Marino (B0) con cupo",$B$43)</f>
        <v>Cartagena Diesel Marino (B0) con cupo.</v>
      </c>
    </row>
    <row r="7" spans="1:26" ht="27.65" customHeight="1">
      <c r="A7" s="71" t="s">
        <v>201</v>
      </c>
      <c r="B7" s="646">
        <v>10862.84</v>
      </c>
      <c r="C7" s="649">
        <f>+B7</f>
        <v>10862.84</v>
      </c>
      <c r="D7" s="646">
        <v>10862.84</v>
      </c>
      <c r="E7" s="649">
        <f>+D7</f>
        <v>10862.84</v>
      </c>
      <c r="F7" s="646">
        <v>10948.86</v>
      </c>
      <c r="G7" s="649">
        <f>+F7</f>
        <v>10948.86</v>
      </c>
      <c r="H7" s="646">
        <v>11411.76</v>
      </c>
      <c r="I7" s="649">
        <f>+H7</f>
        <v>11411.76</v>
      </c>
      <c r="J7" s="649">
        <f>+B7</f>
        <v>10862.84</v>
      </c>
      <c r="K7" s="648">
        <f>+J7</f>
        <v>10862.84</v>
      </c>
      <c r="N7" s="343"/>
    </row>
    <row r="8" spans="1:26" ht="27.65" customHeight="1">
      <c r="A8" s="233" t="s">
        <v>48</v>
      </c>
      <c r="B8" s="351">
        <f>+D8</f>
        <v>0</v>
      </c>
      <c r="C8" s="225">
        <f>+BIODIESEL!$B$7</f>
        <v>16033.62</v>
      </c>
      <c r="D8" s="247">
        <v>0</v>
      </c>
      <c r="E8" s="225">
        <f>+BIODIESEL!$B$7</f>
        <v>16033.62</v>
      </c>
      <c r="F8" s="351">
        <f>+B8</f>
        <v>0</v>
      </c>
      <c r="G8" s="225">
        <f>+BIODIESEL!$B$7</f>
        <v>16033.62</v>
      </c>
      <c r="H8" s="351">
        <v>0</v>
      </c>
      <c r="I8" s="225">
        <f>+BIODIESEL!$B$7</f>
        <v>16033.62</v>
      </c>
      <c r="J8" s="351">
        <f>+B8</f>
        <v>0</v>
      </c>
      <c r="K8" s="540">
        <f>+B8</f>
        <v>0</v>
      </c>
      <c r="N8" s="344"/>
      <c r="O8" s="344"/>
      <c r="P8" s="344"/>
      <c r="Q8" s="344"/>
      <c r="R8" s="344"/>
      <c r="S8" s="27"/>
      <c r="T8" s="27"/>
      <c r="U8" s="27"/>
      <c r="V8" s="27"/>
      <c r="W8" s="27"/>
      <c r="X8" s="27"/>
      <c r="Y8" s="27"/>
      <c r="Z8" s="27"/>
    </row>
    <row r="9" spans="1:26" ht="35.5" customHeight="1">
      <c r="A9" s="249" t="s">
        <v>140</v>
      </c>
      <c r="B9" s="225">
        <f>+ROUND(B8*B5,2)+B7*(1-B5)</f>
        <v>10862.84</v>
      </c>
      <c r="C9" s="225">
        <f>+ROUND(C8*C5,2)+C7*(1-C5)</f>
        <v>10966.253199999999</v>
      </c>
      <c r="D9" s="248">
        <f>+D8*D5+D7*(1-D5)</f>
        <v>10862.84</v>
      </c>
      <c r="E9" s="225">
        <f>+ROUND(E8*E5,2)+E7*(1-E5)</f>
        <v>10966.253199999999</v>
      </c>
      <c r="F9" s="225">
        <f>+ROUND(F8*F5,2)+F7*(1-F5)</f>
        <v>10948.86</v>
      </c>
      <c r="G9" s="225">
        <f>ROUND((G8*G5),2)+ROUND(G7*(1-G5),2)</f>
        <v>11050.55</v>
      </c>
      <c r="H9" s="225">
        <f>+ROUND(H8*H5,2)+H7*(1-H5)</f>
        <v>11411.76</v>
      </c>
      <c r="I9" s="225">
        <f>+ROUND(I8*I5,2)+I7*(1-I5)</f>
        <v>11504.194799999999</v>
      </c>
      <c r="J9" s="320">
        <f>+J7</f>
        <v>10862.84</v>
      </c>
      <c r="K9" s="292">
        <f>+K7</f>
        <v>10862.84</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7"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410</v>
      </c>
      <c r="C14" s="304" t="s">
        <v>410</v>
      </c>
      <c r="D14" s="304" t="s">
        <v>410</v>
      </c>
      <c r="E14" s="304" t="s">
        <v>410</v>
      </c>
      <c r="F14" s="304" t="s">
        <v>410</v>
      </c>
      <c r="G14" s="304" t="s">
        <v>410</v>
      </c>
      <c r="H14" s="304" t="s">
        <v>410</v>
      </c>
      <c r="I14" s="304" t="s">
        <v>410</v>
      </c>
      <c r="J14" s="304" t="s">
        <v>410</v>
      </c>
      <c r="K14" s="306" t="s">
        <v>410</v>
      </c>
    </row>
    <row r="15" spans="1:26" ht="27.65" customHeight="1">
      <c r="A15" s="644"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5"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419</v>
      </c>
      <c r="B24" s="13"/>
      <c r="C24" s="13"/>
      <c r="J24" s="14" t="s">
        <v>139</v>
      </c>
    </row>
    <row r="25" spans="1:11" s="14" customFormat="1" ht="11.25" customHeight="1">
      <c r="A25" s="12"/>
      <c r="B25" s="13"/>
      <c r="C25" s="13"/>
    </row>
    <row r="26" spans="1:11" s="14" customFormat="1" ht="32.25" customHeight="1">
      <c r="A26" s="772" t="s">
        <v>200</v>
      </c>
      <c r="B26" s="772"/>
      <c r="C26" s="772"/>
      <c r="D26" s="772"/>
      <c r="E26" s="772"/>
      <c r="F26" s="772"/>
      <c r="G26" s="772"/>
      <c r="H26" s="772"/>
      <c r="I26" s="772"/>
    </row>
    <row r="27" spans="1:11" s="14" customFormat="1" ht="8.5" customHeight="1">
      <c r="A27" s="12"/>
      <c r="B27" s="13"/>
      <c r="C27" s="13"/>
    </row>
    <row r="28" spans="1:11" s="14" customFormat="1" ht="30.75" customHeight="1">
      <c r="A28" s="772" t="s">
        <v>204</v>
      </c>
      <c r="B28" s="772"/>
      <c r="C28" s="772"/>
      <c r="D28" s="772"/>
      <c r="E28" s="772"/>
      <c r="F28" s="772"/>
      <c r="G28" s="772"/>
      <c r="H28" s="772"/>
      <c r="I28" s="772"/>
    </row>
    <row r="29" spans="1:11" s="14" customFormat="1" ht="9.65" customHeight="1">
      <c r="A29" s="12"/>
      <c r="B29" s="13"/>
      <c r="C29" s="13"/>
    </row>
    <row r="30" spans="1:11" s="14" customFormat="1" ht="14.25" customHeight="1">
      <c r="A30" s="773" t="s">
        <v>257</v>
      </c>
      <c r="B30" s="773"/>
      <c r="C30" s="773"/>
      <c r="D30" s="773"/>
      <c r="E30" s="773"/>
      <c r="F30" s="773"/>
      <c r="G30" s="773"/>
      <c r="H30" s="773"/>
      <c r="I30" s="773"/>
    </row>
    <row r="31" spans="1:11" ht="70.900000000000006" customHeight="1">
      <c r="A31" s="773"/>
      <c r="B31" s="773"/>
      <c r="C31" s="773"/>
      <c r="D31" s="773"/>
      <c r="E31" s="773"/>
      <c r="F31" s="773"/>
      <c r="G31" s="773"/>
      <c r="H31" s="773"/>
      <c r="I31" s="773"/>
    </row>
    <row r="32" spans="1:11" ht="23.65" customHeight="1">
      <c r="A32" s="766" t="s">
        <v>319</v>
      </c>
      <c r="B32" s="766"/>
      <c r="C32" s="766"/>
      <c r="D32" s="766"/>
      <c r="E32" s="766"/>
      <c r="F32" s="766"/>
      <c r="G32" s="766"/>
      <c r="H32" s="766"/>
    </row>
    <row r="34" spans="1:11" ht="203.25" customHeight="1">
      <c r="A34" s="767" t="s">
        <v>406</v>
      </c>
      <c r="B34" s="757"/>
      <c r="C34" s="757"/>
      <c r="D34" s="757"/>
      <c r="E34" s="757"/>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eMzcZmzO70WCWPClxpruJh2c2SjJPwDyrS+2JHcDF1o5lxAQhU2ChfL1dLE7hHV/sYIix1yAqawnBugH6tfFQ==" saltValue="D+tTb5LP5wVcy/gPrXIcyQ=="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8589-3CAD-4F00-9266-36A3A06A41DE}">
  <dimension ref="A1:Z46"/>
  <sheetViews>
    <sheetView showGridLines="0" zoomScale="115" zoomScaleNormal="115" workbookViewId="0">
      <selection activeCell="A5" sqref="A5"/>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68" t="s">
        <v>25</v>
      </c>
      <c r="B1" s="769"/>
      <c r="C1" s="769"/>
      <c r="D1" s="769"/>
      <c r="E1" s="769"/>
      <c r="F1" s="769"/>
      <c r="G1" s="769"/>
      <c r="H1" s="769"/>
      <c r="I1" s="769"/>
      <c r="J1" s="635"/>
      <c r="K1" s="636"/>
    </row>
    <row r="2" spans="1:26" s="11" customFormat="1" ht="56.15" customHeight="1">
      <c r="A2" s="770" t="s">
        <v>237</v>
      </c>
      <c r="B2" s="771"/>
      <c r="C2" s="771"/>
      <c r="D2" s="771"/>
      <c r="E2" s="771"/>
      <c r="F2" s="771"/>
      <c r="G2" s="771"/>
      <c r="H2" s="771"/>
      <c r="I2" s="771"/>
      <c r="K2" s="637"/>
      <c r="L2" s="5"/>
      <c r="M2" s="5"/>
      <c r="N2" s="5"/>
      <c r="O2" s="5"/>
      <c r="P2" s="5"/>
      <c r="Q2" s="5"/>
    </row>
    <row r="3" spans="1:26" ht="24.75" customHeight="1">
      <c r="A3" s="770" t="s">
        <v>21</v>
      </c>
      <c r="B3" s="771"/>
      <c r="C3" s="771"/>
      <c r="D3" s="771"/>
      <c r="E3" s="771"/>
      <c r="F3" s="771"/>
      <c r="G3" s="771"/>
      <c r="H3" s="771"/>
      <c r="I3" s="771"/>
      <c r="J3" s="312"/>
      <c r="K3" s="638"/>
      <c r="L3" s="312"/>
      <c r="M3" s="312"/>
      <c r="N3" s="312"/>
    </row>
    <row r="4" spans="1:26">
      <c r="A4" s="639" t="str">
        <f>+B43</f>
        <v>.</v>
      </c>
      <c r="K4" s="609"/>
    </row>
    <row r="5" spans="1:26" ht="14.5" thickBot="1">
      <c r="A5" s="640"/>
      <c r="B5" s="114">
        <v>0</v>
      </c>
      <c r="C5" s="114">
        <v>0.02</v>
      </c>
      <c r="D5" s="114">
        <v>0</v>
      </c>
      <c r="E5" s="114">
        <v>0.02</v>
      </c>
      <c r="F5" s="114">
        <v>0</v>
      </c>
      <c r="G5" s="641">
        <v>0.02</v>
      </c>
      <c r="H5" s="641">
        <v>0</v>
      </c>
      <c r="I5" s="641">
        <v>0.02</v>
      </c>
      <c r="J5" s="114">
        <v>0</v>
      </c>
      <c r="K5" s="642">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3" t="str">
        <f>+CONCATENATE("Cartagena Diesel Marino (B0) con cupo",$B$43)</f>
        <v>Cartagena Diesel Marino (B0) con cupo.</v>
      </c>
    </row>
    <row r="7" spans="1:26" ht="27.65" customHeight="1">
      <c r="A7" s="71" t="s">
        <v>201</v>
      </c>
      <c r="B7" s="646">
        <v>11390.43</v>
      </c>
      <c r="C7" s="649">
        <f>+B7</f>
        <v>11390.43</v>
      </c>
      <c r="D7" s="646">
        <v>11390.43</v>
      </c>
      <c r="E7" s="649">
        <f>+D7</f>
        <v>11390.43</v>
      </c>
      <c r="F7" s="646">
        <v>11476.45</v>
      </c>
      <c r="G7" s="649">
        <f>+F7</f>
        <v>11476.45</v>
      </c>
      <c r="H7" s="646">
        <v>11944.29</v>
      </c>
      <c r="I7" s="649">
        <f>+H7</f>
        <v>11944.29</v>
      </c>
      <c r="J7" s="649">
        <f>+B7</f>
        <v>11390.43</v>
      </c>
      <c r="K7" s="648">
        <f>+J7</f>
        <v>11390.43</v>
      </c>
      <c r="N7" s="343"/>
    </row>
    <row r="8" spans="1:26" ht="27.65" customHeight="1">
      <c r="A8" s="233" t="s">
        <v>48</v>
      </c>
      <c r="B8" s="351">
        <f>+D8</f>
        <v>0</v>
      </c>
      <c r="C8" s="225">
        <f>+BIODIESEL!$B$7</f>
        <v>16033.62</v>
      </c>
      <c r="D8" s="247">
        <v>0</v>
      </c>
      <c r="E8" s="225">
        <f>+BIODIESEL!$B$7</f>
        <v>16033.62</v>
      </c>
      <c r="F8" s="351">
        <f>+B8</f>
        <v>0</v>
      </c>
      <c r="G8" s="225">
        <f>+BIODIESEL!$B$7</f>
        <v>16033.62</v>
      </c>
      <c r="H8" s="351">
        <v>0</v>
      </c>
      <c r="I8" s="225">
        <f>+BIODIESEL!$B$7</f>
        <v>16033.62</v>
      </c>
      <c r="J8" s="351">
        <f>+B8</f>
        <v>0</v>
      </c>
      <c r="K8" s="540">
        <f>+B8</f>
        <v>0</v>
      </c>
      <c r="N8" s="344"/>
      <c r="O8" s="344"/>
      <c r="P8" s="344"/>
      <c r="Q8" s="344"/>
      <c r="R8" s="344"/>
      <c r="S8" s="27"/>
      <c r="T8" s="27"/>
      <c r="U8" s="27"/>
      <c r="V8" s="27"/>
      <c r="W8" s="27"/>
      <c r="X8" s="27"/>
      <c r="Y8" s="27"/>
      <c r="Z8" s="27"/>
    </row>
    <row r="9" spans="1:26" ht="35.5" customHeight="1">
      <c r="A9" s="249" t="s">
        <v>140</v>
      </c>
      <c r="B9" s="225">
        <f>+ROUND(B8*B5,2)+B7*(1-B5)</f>
        <v>11390.43</v>
      </c>
      <c r="C9" s="225">
        <f>+ROUND(C8*C5,2)+C7*(1-C5)</f>
        <v>11483.2914</v>
      </c>
      <c r="D9" s="248">
        <f>+D8*D5+D7*(1-D5)</f>
        <v>11390.43</v>
      </c>
      <c r="E9" s="225">
        <f>+ROUND(E8*E5,2)+E7*(1-E5)</f>
        <v>11483.2914</v>
      </c>
      <c r="F9" s="225">
        <f>+ROUND(F8*F5,2)+F7*(1-F5)</f>
        <v>11476.45</v>
      </c>
      <c r="G9" s="225">
        <f>ROUND((G8*G5),2)+ROUND(G7*(1-G5),2)</f>
        <v>11567.59</v>
      </c>
      <c r="H9" s="225">
        <f>+ROUND(H8*H5,2)+H7*(1-H5)</f>
        <v>11944.29</v>
      </c>
      <c r="I9" s="225">
        <f>+ROUND(I8*I5,2)+I7*(1-I5)</f>
        <v>12026.074200000001</v>
      </c>
      <c r="J9" s="320">
        <f>+J7</f>
        <v>11390.43</v>
      </c>
      <c r="K9" s="292">
        <f>+K7</f>
        <v>11390.43</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7"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410</v>
      </c>
      <c r="C14" s="304" t="s">
        <v>410</v>
      </c>
      <c r="D14" s="304" t="s">
        <v>410</v>
      </c>
      <c r="E14" s="304" t="s">
        <v>410</v>
      </c>
      <c r="F14" s="304" t="s">
        <v>410</v>
      </c>
      <c r="G14" s="304" t="s">
        <v>410</v>
      </c>
      <c r="H14" s="304" t="s">
        <v>410</v>
      </c>
      <c r="I14" s="304" t="s">
        <v>410</v>
      </c>
      <c r="J14" s="304" t="s">
        <v>410</v>
      </c>
      <c r="K14" s="306" t="s">
        <v>410</v>
      </c>
    </row>
    <row r="15" spans="1:26" ht="27.65" customHeight="1">
      <c r="A15" s="644"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5"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419</v>
      </c>
      <c r="B24" s="13"/>
      <c r="C24" s="13"/>
      <c r="J24" s="14" t="s">
        <v>139</v>
      </c>
    </row>
    <row r="25" spans="1:11" s="14" customFormat="1" ht="11.25" customHeight="1">
      <c r="A25" s="12"/>
      <c r="B25" s="13"/>
      <c r="C25" s="13"/>
    </row>
    <row r="26" spans="1:11" s="14" customFormat="1" ht="32.25" customHeight="1">
      <c r="A26" s="772" t="s">
        <v>200</v>
      </c>
      <c r="B26" s="772"/>
      <c r="C26" s="772"/>
      <c r="D26" s="772"/>
      <c r="E26" s="772"/>
      <c r="F26" s="772"/>
      <c r="G26" s="772"/>
      <c r="H26" s="772"/>
      <c r="I26" s="772"/>
    </row>
    <row r="27" spans="1:11" s="14" customFormat="1" ht="8.5" customHeight="1">
      <c r="A27" s="12"/>
      <c r="B27" s="13"/>
      <c r="C27" s="13"/>
    </row>
    <row r="28" spans="1:11" s="14" customFormat="1" ht="30.75" customHeight="1">
      <c r="A28" s="772" t="s">
        <v>204</v>
      </c>
      <c r="B28" s="772"/>
      <c r="C28" s="772"/>
      <c r="D28" s="772"/>
      <c r="E28" s="772"/>
      <c r="F28" s="772"/>
      <c r="G28" s="772"/>
      <c r="H28" s="772"/>
      <c r="I28" s="772"/>
    </row>
    <row r="29" spans="1:11" s="14" customFormat="1" ht="9.65" customHeight="1">
      <c r="A29" s="12"/>
      <c r="B29" s="13"/>
      <c r="C29" s="13"/>
    </row>
    <row r="30" spans="1:11" s="14" customFormat="1" ht="14.25" customHeight="1">
      <c r="A30" s="773" t="s">
        <v>257</v>
      </c>
      <c r="B30" s="773"/>
      <c r="C30" s="773"/>
      <c r="D30" s="773"/>
      <c r="E30" s="773"/>
      <c r="F30" s="773"/>
      <c r="G30" s="773"/>
      <c r="H30" s="773"/>
      <c r="I30" s="773"/>
    </row>
    <row r="31" spans="1:11" ht="70.900000000000006" customHeight="1">
      <c r="A31" s="773"/>
      <c r="B31" s="773"/>
      <c r="C31" s="773"/>
      <c r="D31" s="773"/>
      <c r="E31" s="773"/>
      <c r="F31" s="773"/>
      <c r="G31" s="773"/>
      <c r="H31" s="773"/>
      <c r="I31" s="773"/>
    </row>
    <row r="32" spans="1:11" ht="23.65" customHeight="1">
      <c r="A32" s="766" t="s">
        <v>319</v>
      </c>
      <c r="B32" s="766"/>
      <c r="C32" s="766"/>
      <c r="D32" s="766"/>
      <c r="E32" s="766"/>
      <c r="F32" s="766"/>
      <c r="G32" s="766"/>
      <c r="H32" s="766"/>
    </row>
    <row r="34" spans="1:11" ht="203.25" customHeight="1">
      <c r="A34" s="767" t="s">
        <v>406</v>
      </c>
      <c r="B34" s="757"/>
      <c r="C34" s="757"/>
      <c r="D34" s="757"/>
      <c r="E34" s="757"/>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aaJ8HwbkPk183ZaN4qxyBCaT7LI3woGENmQWKslL4OKIZcgBhR0lHlCOVTQFWSfn5M9ZRP/WGHmFzU85cScsnw==" saltValue="CIfprD/EmV+rGlocBKd63Q=="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8AC9E-0E3A-478C-82B2-8BC3CDAD0EF2}">
  <dimension ref="A1:Z46"/>
  <sheetViews>
    <sheetView showGridLines="0" topLeftCell="A2" zoomScale="115" zoomScaleNormal="115" workbookViewId="0">
      <selection activeCell="A5" sqref="A5"/>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68" t="s">
        <v>25</v>
      </c>
      <c r="B1" s="769"/>
      <c r="C1" s="769"/>
      <c r="D1" s="769"/>
      <c r="E1" s="769"/>
      <c r="F1" s="769"/>
      <c r="G1" s="769"/>
      <c r="H1" s="769"/>
      <c r="I1" s="769"/>
      <c r="J1" s="635"/>
      <c r="K1" s="636"/>
    </row>
    <row r="2" spans="1:26" s="11" customFormat="1" ht="56.15" customHeight="1">
      <c r="A2" s="770" t="s">
        <v>237</v>
      </c>
      <c r="B2" s="771"/>
      <c r="C2" s="771"/>
      <c r="D2" s="771"/>
      <c r="E2" s="771"/>
      <c r="F2" s="771"/>
      <c r="G2" s="771"/>
      <c r="H2" s="771"/>
      <c r="I2" s="771"/>
      <c r="K2" s="637"/>
      <c r="L2" s="5"/>
      <c r="M2" s="5"/>
      <c r="N2" s="5"/>
      <c r="O2" s="5"/>
      <c r="P2" s="5"/>
      <c r="Q2" s="5"/>
    </row>
    <row r="3" spans="1:26" ht="24.75" customHeight="1">
      <c r="A3" s="770" t="s">
        <v>21</v>
      </c>
      <c r="B3" s="771"/>
      <c r="C3" s="771"/>
      <c r="D3" s="771"/>
      <c r="E3" s="771"/>
      <c r="F3" s="771"/>
      <c r="G3" s="771"/>
      <c r="H3" s="771"/>
      <c r="I3" s="771"/>
      <c r="J3" s="312"/>
      <c r="K3" s="638"/>
      <c r="L3" s="312"/>
      <c r="M3" s="312"/>
      <c r="N3" s="312"/>
    </row>
    <row r="4" spans="1:26">
      <c r="A4" s="639" t="str">
        <f>+B43</f>
        <v>.</v>
      </c>
      <c r="K4" s="609"/>
    </row>
    <row r="5" spans="1:26" ht="14.5" thickBot="1">
      <c r="A5" s="640"/>
      <c r="B5" s="114">
        <v>0</v>
      </c>
      <c r="C5" s="114">
        <v>0.02</v>
      </c>
      <c r="D5" s="114">
        <v>0</v>
      </c>
      <c r="E5" s="114">
        <v>0.02</v>
      </c>
      <c r="F5" s="114">
        <v>0</v>
      </c>
      <c r="G5" s="641">
        <v>0.02</v>
      </c>
      <c r="H5" s="641">
        <v>0</v>
      </c>
      <c r="I5" s="641">
        <v>0.02</v>
      </c>
      <c r="J5" s="114">
        <v>0</v>
      </c>
      <c r="K5" s="642">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3" t="str">
        <f>+CONCATENATE("Cartagena Diesel Marino (B0) con cupo",$B$43)</f>
        <v>Cartagena Diesel Marino (B0) con cupo.</v>
      </c>
    </row>
    <row r="7" spans="1:26" ht="27.65" customHeight="1">
      <c r="A7" s="71" t="s">
        <v>201</v>
      </c>
      <c r="B7" s="646">
        <v>11337.9</v>
      </c>
      <c r="C7" s="649">
        <f>+B7</f>
        <v>11337.9</v>
      </c>
      <c r="D7" s="646">
        <v>11337.9</v>
      </c>
      <c r="E7" s="649">
        <f>+D7</f>
        <v>11337.9</v>
      </c>
      <c r="F7" s="646">
        <v>11423.92</v>
      </c>
      <c r="G7" s="649">
        <f>+F7</f>
        <v>11423.92</v>
      </c>
      <c r="H7" s="646">
        <v>11888.01</v>
      </c>
      <c r="I7" s="649">
        <f>+H7</f>
        <v>11888.01</v>
      </c>
      <c r="J7" s="649">
        <f>+B7</f>
        <v>11337.9</v>
      </c>
      <c r="K7" s="648">
        <f>+J7</f>
        <v>11337.9</v>
      </c>
      <c r="N7" s="343"/>
    </row>
    <row r="8" spans="1:26" ht="27.65" customHeight="1">
      <c r="A8" s="233" t="s">
        <v>48</v>
      </c>
      <c r="B8" s="351">
        <f>+D8</f>
        <v>0</v>
      </c>
      <c r="C8" s="225">
        <f>+BIODIESEL!$B$7</f>
        <v>16033.62</v>
      </c>
      <c r="D8" s="247">
        <v>0</v>
      </c>
      <c r="E8" s="225">
        <f>+BIODIESEL!$B$7</f>
        <v>16033.62</v>
      </c>
      <c r="F8" s="351">
        <f>+B8</f>
        <v>0</v>
      </c>
      <c r="G8" s="225">
        <f>+BIODIESEL!$B$7</f>
        <v>16033.62</v>
      </c>
      <c r="H8" s="351">
        <v>0</v>
      </c>
      <c r="I8" s="225">
        <f>+BIODIESEL!$B$7</f>
        <v>16033.62</v>
      </c>
      <c r="J8" s="351">
        <f>+B8</f>
        <v>0</v>
      </c>
      <c r="K8" s="540">
        <f>+B8</f>
        <v>0</v>
      </c>
      <c r="N8" s="344"/>
      <c r="O8" s="344"/>
      <c r="P8" s="344"/>
      <c r="Q8" s="344"/>
      <c r="R8" s="344"/>
      <c r="S8" s="27"/>
      <c r="T8" s="27"/>
      <c r="U8" s="27"/>
      <c r="V8" s="27"/>
      <c r="W8" s="27"/>
      <c r="X8" s="27"/>
      <c r="Y8" s="27"/>
      <c r="Z8" s="27"/>
    </row>
    <row r="9" spans="1:26" ht="35.5" customHeight="1">
      <c r="A9" s="249" t="s">
        <v>140</v>
      </c>
      <c r="B9" s="225">
        <f>+ROUND(B8*B5,2)+B7*(1-B5)</f>
        <v>11337.9</v>
      </c>
      <c r="C9" s="225">
        <f>+ROUND(C8*C5,2)+C7*(1-C5)</f>
        <v>11431.812</v>
      </c>
      <c r="D9" s="248">
        <f>+D8*D5+D7*(1-D5)</f>
        <v>11337.9</v>
      </c>
      <c r="E9" s="225">
        <f>+ROUND(E8*E5,2)+E7*(1-E5)</f>
        <v>11431.812</v>
      </c>
      <c r="F9" s="225">
        <f>+ROUND(F8*F5,2)+F7*(1-F5)</f>
        <v>11423.92</v>
      </c>
      <c r="G9" s="225">
        <f>ROUND((G8*G5),2)+ROUND(G7*(1-G5),2)</f>
        <v>11516.11</v>
      </c>
      <c r="H9" s="225">
        <f>+ROUND(H8*H5,2)+H7*(1-H5)</f>
        <v>11888.01</v>
      </c>
      <c r="I9" s="225">
        <f>+ROUND(I8*I5,2)+I7*(1-I5)</f>
        <v>11970.9198</v>
      </c>
      <c r="J9" s="320">
        <f>+J7</f>
        <v>11337.9</v>
      </c>
      <c r="K9" s="292">
        <f>+K7</f>
        <v>11337.9</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7"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410</v>
      </c>
      <c r="C14" s="304" t="s">
        <v>410</v>
      </c>
      <c r="D14" s="304" t="s">
        <v>410</v>
      </c>
      <c r="E14" s="304" t="s">
        <v>410</v>
      </c>
      <c r="F14" s="304" t="s">
        <v>410</v>
      </c>
      <c r="G14" s="304" t="s">
        <v>410</v>
      </c>
      <c r="H14" s="304" t="s">
        <v>410</v>
      </c>
      <c r="I14" s="304" t="s">
        <v>410</v>
      </c>
      <c r="J14" s="304" t="s">
        <v>410</v>
      </c>
      <c r="K14" s="306" t="s">
        <v>410</v>
      </c>
    </row>
    <row r="15" spans="1:26" ht="27.65" customHeight="1">
      <c r="A15" s="644"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5"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419</v>
      </c>
      <c r="B24" s="13"/>
      <c r="C24" s="13"/>
      <c r="J24" s="14" t="s">
        <v>139</v>
      </c>
    </row>
    <row r="25" spans="1:11" s="14" customFormat="1" ht="11.25" customHeight="1">
      <c r="A25" s="12"/>
      <c r="B25" s="13"/>
      <c r="C25" s="13"/>
    </row>
    <row r="26" spans="1:11" s="14" customFormat="1" ht="32.25" customHeight="1">
      <c r="A26" s="772" t="s">
        <v>200</v>
      </c>
      <c r="B26" s="772"/>
      <c r="C26" s="772"/>
      <c r="D26" s="772"/>
      <c r="E26" s="772"/>
      <c r="F26" s="772"/>
      <c r="G26" s="772"/>
      <c r="H26" s="772"/>
      <c r="I26" s="772"/>
    </row>
    <row r="27" spans="1:11" s="14" customFormat="1" ht="8.5" customHeight="1">
      <c r="A27" s="12"/>
      <c r="B27" s="13"/>
      <c r="C27" s="13"/>
    </row>
    <row r="28" spans="1:11" s="14" customFormat="1" ht="30.75" customHeight="1">
      <c r="A28" s="772" t="s">
        <v>204</v>
      </c>
      <c r="B28" s="772"/>
      <c r="C28" s="772"/>
      <c r="D28" s="772"/>
      <c r="E28" s="772"/>
      <c r="F28" s="772"/>
      <c r="G28" s="772"/>
      <c r="H28" s="772"/>
      <c r="I28" s="772"/>
    </row>
    <row r="29" spans="1:11" s="14" customFormat="1" ht="9.65" customHeight="1">
      <c r="A29" s="12"/>
      <c r="B29" s="13"/>
      <c r="C29" s="13"/>
    </row>
    <row r="30" spans="1:11" s="14" customFormat="1" ht="14.25" customHeight="1">
      <c r="A30" s="773" t="s">
        <v>257</v>
      </c>
      <c r="B30" s="773"/>
      <c r="C30" s="773"/>
      <c r="D30" s="773"/>
      <c r="E30" s="773"/>
      <c r="F30" s="773"/>
      <c r="G30" s="773"/>
      <c r="H30" s="773"/>
      <c r="I30" s="773"/>
    </row>
    <row r="31" spans="1:11" ht="70.900000000000006" customHeight="1">
      <c r="A31" s="773"/>
      <c r="B31" s="773"/>
      <c r="C31" s="773"/>
      <c r="D31" s="773"/>
      <c r="E31" s="773"/>
      <c r="F31" s="773"/>
      <c r="G31" s="773"/>
      <c r="H31" s="773"/>
      <c r="I31" s="773"/>
    </row>
    <row r="32" spans="1:11" ht="23.65" customHeight="1">
      <c r="A32" s="766" t="s">
        <v>319</v>
      </c>
      <c r="B32" s="766"/>
      <c r="C32" s="766"/>
      <c r="D32" s="766"/>
      <c r="E32" s="766"/>
      <c r="F32" s="766"/>
      <c r="G32" s="766"/>
      <c r="H32" s="766"/>
    </row>
    <row r="34" spans="1:11" ht="203.25" customHeight="1">
      <c r="A34" s="767" t="s">
        <v>406</v>
      </c>
      <c r="B34" s="757"/>
      <c r="C34" s="757"/>
      <c r="D34" s="757"/>
      <c r="E34" s="757"/>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WjHbc+MwxPsGW55A15yP2Dr7th4TCVXr6aOYs9cUVTD2otk3uoXSKQ+3dNCqEHxORHIGCIswcWywAN1+9Y9W6A==" saltValue="iJfOUYqAoUyorlC3xOSS9g=="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3"/>
  <sheetViews>
    <sheetView topLeftCell="A30" zoomScale="85" zoomScaleNormal="85" workbookViewId="0">
      <selection activeCell="J52" sqref="J52"/>
    </sheetView>
  </sheetViews>
  <sheetFormatPr baseColWidth="10" defaultRowHeight="12.5"/>
  <cols>
    <col min="15" max="15" width="12.26953125" bestFit="1" customWidth="1"/>
    <col min="21" max="21" width="21.54296875" bestFit="1" customWidth="1"/>
  </cols>
  <sheetData>
    <row r="1" spans="1:22" ht="14.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4.5">
      <c r="A2" s="484" t="s">
        <v>384</v>
      </c>
      <c r="B2" s="482">
        <v>587</v>
      </c>
      <c r="C2" s="483" t="s">
        <v>386</v>
      </c>
      <c r="D2" s="483"/>
      <c r="E2" s="483"/>
      <c r="F2" s="483"/>
      <c r="G2" s="483"/>
      <c r="H2" s="483"/>
      <c r="I2" s="483"/>
      <c r="J2" s="483"/>
      <c r="K2" s="483"/>
      <c r="L2" s="483"/>
      <c r="M2" s="483"/>
      <c r="N2" s="483"/>
      <c r="O2" s="483">
        <v>30000000002</v>
      </c>
      <c r="P2" s="502">
        <f>+BIODIESEL!$C$7</f>
        <v>4743.38</v>
      </c>
      <c r="Q2" s="464" t="s">
        <v>379</v>
      </c>
      <c r="R2" s="487">
        <v>1</v>
      </c>
      <c r="S2" s="483" t="s">
        <v>380</v>
      </c>
      <c r="T2" s="503" t="s">
        <v>401</v>
      </c>
      <c r="U2" s="504" t="str">
        <f>+'BI ECOPETROL'!$U$2</f>
        <v>04.11.2023</v>
      </c>
      <c r="V2" s="504" t="s">
        <v>404</v>
      </c>
    </row>
    <row r="3" spans="1:22" ht="14.5">
      <c r="A3" s="464" t="s">
        <v>384</v>
      </c>
      <c r="B3" s="482">
        <v>587</v>
      </c>
      <c r="C3" s="483" t="s">
        <v>386</v>
      </c>
      <c r="D3" s="464"/>
      <c r="E3" s="464"/>
      <c r="F3" s="464"/>
      <c r="G3" s="464"/>
      <c r="H3" s="464"/>
      <c r="I3" s="464"/>
      <c r="J3" s="464"/>
      <c r="K3" s="464"/>
      <c r="L3" s="464"/>
      <c r="M3" s="464"/>
      <c r="N3" s="464"/>
      <c r="O3" s="483">
        <v>30000000003</v>
      </c>
      <c r="P3" s="502">
        <f>+BIODIESEL!$C$7</f>
        <v>4743.38</v>
      </c>
      <c r="Q3" s="464" t="s">
        <v>379</v>
      </c>
      <c r="R3" s="487">
        <v>1</v>
      </c>
      <c r="S3" s="483" t="s">
        <v>380</v>
      </c>
      <c r="T3" s="503" t="s">
        <v>401</v>
      </c>
      <c r="U3" s="504" t="str">
        <f t="shared" ref="U3:U17" si="0">+U2</f>
        <v>04.11.2023</v>
      </c>
      <c r="V3" s="504" t="s">
        <v>404</v>
      </c>
    </row>
    <row r="4" spans="1:22" ht="14.5">
      <c r="A4" s="477" t="s">
        <v>387</v>
      </c>
      <c r="B4" s="450">
        <v>587</v>
      </c>
      <c r="C4" s="488" t="s">
        <v>386</v>
      </c>
      <c r="D4" s="477"/>
      <c r="E4" s="477"/>
      <c r="F4" s="477"/>
      <c r="G4" s="477"/>
      <c r="H4" s="477"/>
      <c r="I4" s="477"/>
      <c r="J4" s="477"/>
      <c r="K4" s="477"/>
      <c r="L4" s="477"/>
      <c r="M4" s="477"/>
      <c r="N4" s="477"/>
      <c r="O4" s="488">
        <v>30000000003</v>
      </c>
      <c r="P4" s="502">
        <f>+'COMBUSTIBLES '!$B$8</f>
        <v>9.16</v>
      </c>
      <c r="Q4" s="464" t="s">
        <v>379</v>
      </c>
      <c r="R4" s="487">
        <v>1</v>
      </c>
      <c r="S4" s="483" t="s">
        <v>380</v>
      </c>
      <c r="T4" s="503" t="s">
        <v>401</v>
      </c>
      <c r="U4" s="504" t="str">
        <f t="shared" si="0"/>
        <v>04.11.2023</v>
      </c>
      <c r="V4" s="504" t="s">
        <v>404</v>
      </c>
    </row>
    <row r="5" spans="1:22" ht="14.5">
      <c r="A5" s="464" t="s">
        <v>384</v>
      </c>
      <c r="B5" s="482">
        <v>587</v>
      </c>
      <c r="C5" s="483" t="s">
        <v>386</v>
      </c>
      <c r="D5" s="464"/>
      <c r="E5" s="464"/>
      <c r="F5" s="464"/>
      <c r="G5" s="464"/>
      <c r="H5" s="464"/>
      <c r="I5" s="464"/>
      <c r="J5" s="464"/>
      <c r="K5" s="464"/>
      <c r="L5" s="464"/>
      <c r="M5" s="464"/>
      <c r="N5" s="464"/>
      <c r="O5" s="483">
        <v>30000000004</v>
      </c>
      <c r="P5" s="502">
        <f>+BIODIESEL!$C$7</f>
        <v>4743.38</v>
      </c>
      <c r="Q5" s="464" t="s">
        <v>379</v>
      </c>
      <c r="R5" s="487">
        <v>1</v>
      </c>
      <c r="S5" s="483" t="s">
        <v>380</v>
      </c>
      <c r="T5" s="503" t="s">
        <v>401</v>
      </c>
      <c r="U5" s="504" t="str">
        <f t="shared" si="0"/>
        <v>04.11.2023</v>
      </c>
      <c r="V5" s="504" t="s">
        <v>404</v>
      </c>
    </row>
    <row r="6" spans="1:22" ht="14.5">
      <c r="A6" s="484" t="s">
        <v>384</v>
      </c>
      <c r="B6" s="482">
        <v>567</v>
      </c>
      <c r="C6" s="483" t="s">
        <v>386</v>
      </c>
      <c r="D6" s="483"/>
      <c r="E6" s="483"/>
      <c r="F6" s="483"/>
      <c r="G6" s="483"/>
      <c r="H6" s="483"/>
      <c r="I6" s="483"/>
      <c r="J6" s="483"/>
      <c r="K6" s="483"/>
      <c r="L6" s="483"/>
      <c r="M6" s="483" t="s">
        <v>388</v>
      </c>
      <c r="N6" s="483"/>
      <c r="O6" s="483">
        <v>30000000004</v>
      </c>
      <c r="P6" s="502">
        <f>+BIODIESEL!$C$7</f>
        <v>4743.38</v>
      </c>
      <c r="Q6" s="464" t="s">
        <v>379</v>
      </c>
      <c r="R6" s="487">
        <v>1</v>
      </c>
      <c r="S6" s="483" t="s">
        <v>380</v>
      </c>
      <c r="T6" s="503" t="s">
        <v>401</v>
      </c>
      <c r="U6" s="504" t="str">
        <f t="shared" si="0"/>
        <v>04.11.2023</v>
      </c>
      <c r="V6" s="504" t="s">
        <v>404</v>
      </c>
    </row>
    <row r="7" spans="1:22" ht="14.5">
      <c r="A7" s="484" t="s">
        <v>384</v>
      </c>
      <c r="B7" s="482">
        <v>567</v>
      </c>
      <c r="C7" s="483" t="s">
        <v>386</v>
      </c>
      <c r="D7" s="483"/>
      <c r="E7" s="483"/>
      <c r="F7" s="483"/>
      <c r="G7" s="483"/>
      <c r="H7" s="483"/>
      <c r="I7" s="483"/>
      <c r="J7" s="483"/>
      <c r="K7" s="483"/>
      <c r="L7" s="483"/>
      <c r="M7" s="464" t="s">
        <v>389</v>
      </c>
      <c r="N7" s="483"/>
      <c r="O7" s="483">
        <v>30000000004</v>
      </c>
      <c r="P7" s="502">
        <f>+BIODIESEL!$C$7</f>
        <v>4743.38</v>
      </c>
      <c r="Q7" s="464" t="s">
        <v>379</v>
      </c>
      <c r="R7" s="487">
        <v>1</v>
      </c>
      <c r="S7" s="483" t="s">
        <v>380</v>
      </c>
      <c r="T7" s="503" t="s">
        <v>401</v>
      </c>
      <c r="U7" s="504" t="str">
        <f t="shared" si="0"/>
        <v>04.11.2023</v>
      </c>
      <c r="V7" s="504" t="s">
        <v>404</v>
      </c>
    </row>
    <row r="8" spans="1:22" ht="14.5">
      <c r="A8" s="464" t="s">
        <v>384</v>
      </c>
      <c r="B8" s="482">
        <v>567</v>
      </c>
      <c r="C8" s="483" t="s">
        <v>386</v>
      </c>
      <c r="D8" s="464"/>
      <c r="E8" s="464"/>
      <c r="F8" s="464"/>
      <c r="G8" s="464"/>
      <c r="H8" s="464"/>
      <c r="I8" s="464"/>
      <c r="J8" s="464"/>
      <c r="K8" s="464"/>
      <c r="L8" s="464"/>
      <c r="M8" s="464" t="s">
        <v>390</v>
      </c>
      <c r="N8" s="464"/>
      <c r="O8" s="483">
        <v>30000000004</v>
      </c>
      <c r="P8" s="502">
        <f>+BIODIESEL!$C$7</f>
        <v>4743.38</v>
      </c>
      <c r="Q8" s="464" t="s">
        <v>379</v>
      </c>
      <c r="R8" s="487">
        <v>1</v>
      </c>
      <c r="S8" s="483" t="s">
        <v>380</v>
      </c>
      <c r="T8" s="503" t="s">
        <v>401</v>
      </c>
      <c r="U8" s="504" t="str">
        <f t="shared" si="0"/>
        <v>04.11.2023</v>
      </c>
      <c r="V8" s="504" t="s">
        <v>404</v>
      </c>
    </row>
    <row r="9" spans="1:22" ht="14.5">
      <c r="A9" s="464" t="s">
        <v>384</v>
      </c>
      <c r="B9" s="482">
        <v>567</v>
      </c>
      <c r="C9" s="483" t="s">
        <v>386</v>
      </c>
      <c r="D9" s="464"/>
      <c r="E9" s="464"/>
      <c r="F9" s="464"/>
      <c r="G9" s="464"/>
      <c r="H9" s="464"/>
      <c r="I9" s="464"/>
      <c r="J9" s="464"/>
      <c r="K9" s="464"/>
      <c r="L9" s="464"/>
      <c r="M9" s="464" t="s">
        <v>383</v>
      </c>
      <c r="N9" s="464"/>
      <c r="O9" s="483">
        <v>30000000004</v>
      </c>
      <c r="P9" s="502">
        <f>+BIODIESEL!$C$7</f>
        <v>4743.38</v>
      </c>
      <c r="Q9" s="464" t="s">
        <v>379</v>
      </c>
      <c r="R9" s="487">
        <v>1</v>
      </c>
      <c r="S9" s="483" t="s">
        <v>380</v>
      </c>
      <c r="T9" s="503" t="s">
        <v>401</v>
      </c>
      <c r="U9" s="504" t="str">
        <f t="shared" si="0"/>
        <v>04.11.2023</v>
      </c>
      <c r="V9" s="504" t="s">
        <v>404</v>
      </c>
    </row>
    <row r="10" spans="1:22" ht="14.5">
      <c r="A10" s="464" t="s">
        <v>384</v>
      </c>
      <c r="B10" s="482">
        <v>587</v>
      </c>
      <c r="C10" s="483" t="s">
        <v>386</v>
      </c>
      <c r="D10" s="464"/>
      <c r="E10" s="464"/>
      <c r="F10" s="464"/>
      <c r="G10" s="464"/>
      <c r="H10" s="464"/>
      <c r="I10" s="464"/>
      <c r="J10" s="464"/>
      <c r="K10" s="464"/>
      <c r="L10" s="464"/>
      <c r="M10" s="464"/>
      <c r="N10" s="464"/>
      <c r="O10" s="483">
        <v>30000000070</v>
      </c>
      <c r="P10" s="502">
        <f>+'COMBUSTIBLES '!$B$7</f>
        <v>10304.700000000001</v>
      </c>
      <c r="Q10" s="464" t="s">
        <v>379</v>
      </c>
      <c r="R10" s="487">
        <v>1</v>
      </c>
      <c r="S10" s="483" t="s">
        <v>380</v>
      </c>
      <c r="T10" s="503" t="s">
        <v>401</v>
      </c>
      <c r="U10" s="504" t="str">
        <f>+U8</f>
        <v>04.11.2023</v>
      </c>
      <c r="V10" s="504" t="s">
        <v>404</v>
      </c>
    </row>
    <row r="11" spans="1:22" ht="14.5">
      <c r="A11" s="464" t="s">
        <v>384</v>
      </c>
      <c r="B11" s="482">
        <v>567</v>
      </c>
      <c r="C11" s="483" t="s">
        <v>386</v>
      </c>
      <c r="D11" s="464"/>
      <c r="E11" s="464"/>
      <c r="F11" s="464"/>
      <c r="G11" s="464"/>
      <c r="H11" s="464"/>
      <c r="I11" s="464"/>
      <c r="J11" s="464"/>
      <c r="K11" s="464"/>
      <c r="L11" s="464"/>
      <c r="M11" s="486" t="s">
        <v>389</v>
      </c>
      <c r="N11" s="464"/>
      <c r="O11" s="483">
        <v>30000000070</v>
      </c>
      <c r="P11" s="502">
        <f>+'COMBUSTIBLES '!$B$7</f>
        <v>10304.700000000001</v>
      </c>
      <c r="Q11" s="464" t="s">
        <v>379</v>
      </c>
      <c r="R11" s="487">
        <v>1</v>
      </c>
      <c r="S11" s="483" t="s">
        <v>380</v>
      </c>
      <c r="T11" s="503" t="s">
        <v>401</v>
      </c>
      <c r="U11" s="504" t="str">
        <f t="shared" si="0"/>
        <v>04.11.2023</v>
      </c>
      <c r="V11" s="504" t="s">
        <v>404</v>
      </c>
    </row>
    <row r="12" spans="1:22" ht="14.5">
      <c r="A12" s="484" t="s">
        <v>381</v>
      </c>
      <c r="B12" s="450">
        <v>587</v>
      </c>
      <c r="C12" s="464" t="s">
        <v>386</v>
      </c>
      <c r="D12" s="464"/>
      <c r="E12" s="464"/>
      <c r="F12" s="464"/>
      <c r="G12" s="464"/>
      <c r="H12" s="464"/>
      <c r="I12" s="464"/>
      <c r="J12" s="464"/>
      <c r="K12" s="464"/>
      <c r="L12" s="464"/>
      <c r="M12" s="464"/>
      <c r="N12" s="464"/>
      <c r="O12" s="483">
        <v>30000002129</v>
      </c>
      <c r="P12" s="502">
        <f>+BIODIESEL!$D$9</f>
        <v>320.67</v>
      </c>
      <c r="Q12" s="464" t="s">
        <v>379</v>
      </c>
      <c r="R12" s="487">
        <v>1</v>
      </c>
      <c r="S12" s="483" t="s">
        <v>380</v>
      </c>
      <c r="T12" s="503" t="s">
        <v>401</v>
      </c>
      <c r="U12" s="504" t="str">
        <f t="shared" si="0"/>
        <v>04.11.2023</v>
      </c>
      <c r="V12" s="504" t="s">
        <v>404</v>
      </c>
    </row>
    <row r="13" spans="1:22" ht="14.5">
      <c r="A13" s="484" t="s">
        <v>377</v>
      </c>
      <c r="B13" s="482">
        <v>567</v>
      </c>
      <c r="C13" s="483" t="s">
        <v>386</v>
      </c>
      <c r="D13" s="464"/>
      <c r="E13" s="464"/>
      <c r="F13" s="464"/>
      <c r="G13" s="464"/>
      <c r="H13" s="464"/>
      <c r="I13" s="464"/>
      <c r="J13" s="464"/>
      <c r="K13" s="464"/>
      <c r="L13" s="464"/>
      <c r="M13" s="464" t="s">
        <v>389</v>
      </c>
      <c r="N13" s="464"/>
      <c r="O13" s="483">
        <v>30000002129</v>
      </c>
      <c r="P13" s="502">
        <f>+BIODIESEL!$D$8</f>
        <v>4648.51</v>
      </c>
      <c r="Q13" s="464" t="s">
        <v>379</v>
      </c>
      <c r="R13" s="487">
        <v>1</v>
      </c>
      <c r="S13" s="483" t="s">
        <v>380</v>
      </c>
      <c r="T13" s="503" t="s">
        <v>401</v>
      </c>
      <c r="U13" s="504" t="str">
        <f t="shared" si="0"/>
        <v>04.11.2023</v>
      </c>
      <c r="V13" s="504" t="s">
        <v>404</v>
      </c>
    </row>
    <row r="14" spans="1:22" ht="14.5">
      <c r="A14" s="484" t="s">
        <v>381</v>
      </c>
      <c r="B14" s="482">
        <v>567</v>
      </c>
      <c r="C14" s="483" t="s">
        <v>386</v>
      </c>
      <c r="D14" s="464"/>
      <c r="E14" s="464"/>
      <c r="F14" s="464"/>
      <c r="G14" s="464"/>
      <c r="H14" s="464"/>
      <c r="I14" s="464"/>
      <c r="J14" s="464"/>
      <c r="K14" s="464"/>
      <c r="L14" s="464"/>
      <c r="M14" s="464" t="s">
        <v>389</v>
      </c>
      <c r="N14" s="464"/>
      <c r="O14" s="483">
        <v>30000002129</v>
      </c>
      <c r="P14" s="502">
        <f>+BIODIESEL!$D$9</f>
        <v>320.67</v>
      </c>
      <c r="Q14" s="464" t="s">
        <v>379</v>
      </c>
      <c r="R14" s="487">
        <v>1</v>
      </c>
      <c r="S14" s="483" t="s">
        <v>380</v>
      </c>
      <c r="T14" s="503" t="s">
        <v>401</v>
      </c>
      <c r="U14" s="504" t="str">
        <f t="shared" si="0"/>
        <v>04.11.2023</v>
      </c>
      <c r="V14" s="504" t="s">
        <v>404</v>
      </c>
    </row>
    <row r="15" spans="1:22" ht="14.5">
      <c r="A15" s="485" t="s">
        <v>377</v>
      </c>
      <c r="B15" s="450">
        <v>587</v>
      </c>
      <c r="C15" s="483" t="s">
        <v>386</v>
      </c>
      <c r="D15" s="464"/>
      <c r="E15" s="464"/>
      <c r="F15" s="464"/>
      <c r="G15" s="464"/>
      <c r="H15" s="464"/>
      <c r="I15" s="464"/>
      <c r="J15" s="464"/>
      <c r="K15" s="464"/>
      <c r="L15" s="464"/>
      <c r="M15" s="464"/>
      <c r="N15" s="464"/>
      <c r="O15" s="483">
        <v>30000002129</v>
      </c>
      <c r="P15" s="502">
        <f>+BIODIESEL!$D$8</f>
        <v>4648.51</v>
      </c>
      <c r="Q15" s="464" t="s">
        <v>379</v>
      </c>
      <c r="R15" s="487">
        <v>1</v>
      </c>
      <c r="S15" s="483" t="s">
        <v>380</v>
      </c>
      <c r="T15" s="503" t="s">
        <v>401</v>
      </c>
      <c r="U15" s="504" t="str">
        <f t="shared" si="0"/>
        <v>04.11.2023</v>
      </c>
      <c r="V15" s="504" t="s">
        <v>404</v>
      </c>
    </row>
    <row r="16" spans="1:22" ht="14.5">
      <c r="A16" s="484" t="s">
        <v>381</v>
      </c>
      <c r="B16" s="450">
        <v>567</v>
      </c>
      <c r="C16" s="464" t="s">
        <v>386</v>
      </c>
      <c r="D16" s="464"/>
      <c r="E16" s="464"/>
      <c r="F16" s="464"/>
      <c r="G16" s="464"/>
      <c r="H16" s="464"/>
      <c r="I16" s="464"/>
      <c r="J16" s="464"/>
      <c r="K16" s="464"/>
      <c r="L16" s="464"/>
      <c r="M16" s="464" t="s">
        <v>385</v>
      </c>
      <c r="N16" s="464"/>
      <c r="O16" s="483">
        <v>30000002129</v>
      </c>
      <c r="P16" s="502">
        <f>+BIODIESEL!$D$9</f>
        <v>320.67</v>
      </c>
      <c r="Q16" s="464" t="s">
        <v>379</v>
      </c>
      <c r="R16" s="487">
        <v>1</v>
      </c>
      <c r="S16" s="483" t="s">
        <v>380</v>
      </c>
      <c r="T16" s="503" t="s">
        <v>401</v>
      </c>
      <c r="U16" s="504" t="str">
        <f t="shared" si="0"/>
        <v>04.11.2023</v>
      </c>
      <c r="V16" s="504" t="s">
        <v>404</v>
      </c>
    </row>
    <row r="17" spans="1:22" ht="14.5">
      <c r="A17" s="485" t="s">
        <v>377</v>
      </c>
      <c r="B17" s="450">
        <v>567</v>
      </c>
      <c r="C17" s="483" t="s">
        <v>386</v>
      </c>
      <c r="D17" s="464"/>
      <c r="E17" s="464"/>
      <c r="F17" s="464"/>
      <c r="G17" s="464"/>
      <c r="H17" s="464"/>
      <c r="I17" s="464"/>
      <c r="J17" s="464"/>
      <c r="K17" s="464"/>
      <c r="L17" s="464"/>
      <c r="M17" s="464" t="s">
        <v>385</v>
      </c>
      <c r="N17" s="464"/>
      <c r="O17" s="483">
        <v>30000002129</v>
      </c>
      <c r="P17" s="502">
        <f>+BIODIESEL!$D$8</f>
        <v>4648.51</v>
      </c>
      <c r="Q17" s="464" t="s">
        <v>379</v>
      </c>
      <c r="R17" s="487">
        <v>1</v>
      </c>
      <c r="S17" s="483" t="s">
        <v>380</v>
      </c>
      <c r="T17" s="503" t="s">
        <v>401</v>
      </c>
      <c r="U17" s="504" t="str">
        <f t="shared" si="0"/>
        <v>04.11.2023</v>
      </c>
      <c r="V17" s="504" t="s">
        <v>404</v>
      </c>
    </row>
    <row r="18" spans="1:22" ht="14.5">
      <c r="A18" s="501" t="s">
        <v>384</v>
      </c>
      <c r="B18" s="501">
        <v>931</v>
      </c>
      <c r="C18" s="505" t="s">
        <v>386</v>
      </c>
      <c r="D18" s="505"/>
      <c r="E18" s="505"/>
      <c r="F18" s="505"/>
      <c r="G18" s="505"/>
      <c r="H18" s="505"/>
      <c r="I18" s="506">
        <v>90005606</v>
      </c>
      <c r="J18" s="505"/>
      <c r="K18" s="505"/>
      <c r="L18" s="505"/>
      <c r="M18" s="505" t="s">
        <v>382</v>
      </c>
      <c r="N18" s="505"/>
      <c r="O18" s="507">
        <v>30000000074</v>
      </c>
      <c r="P18" s="508">
        <f>+'COMBUSTIBLES '!$C$7</f>
        <v>13220</v>
      </c>
      <c r="Q18" s="505" t="s">
        <v>379</v>
      </c>
      <c r="R18" s="505">
        <v>1</v>
      </c>
      <c r="S18" s="505" t="s">
        <v>380</v>
      </c>
      <c r="T18" s="503" t="s">
        <v>401</v>
      </c>
      <c r="U18" s="509" t="s">
        <v>400</v>
      </c>
      <c r="V18" s="509" t="str">
        <f t="shared" ref="V18:V38" si="1">+V17</f>
        <v>30.11.2023</v>
      </c>
    </row>
    <row r="19" spans="1:22" ht="14.5">
      <c r="A19" s="501" t="s">
        <v>384</v>
      </c>
      <c r="B19" s="501">
        <v>931</v>
      </c>
      <c r="C19" s="505" t="s">
        <v>386</v>
      </c>
      <c r="D19" s="505"/>
      <c r="E19" s="505"/>
      <c r="F19" s="505"/>
      <c r="G19" s="505"/>
      <c r="H19" s="505"/>
      <c r="I19" s="506">
        <v>90005603</v>
      </c>
      <c r="J19" s="505"/>
      <c r="K19" s="505"/>
      <c r="L19" s="505"/>
      <c r="M19" s="505" t="s">
        <v>382</v>
      </c>
      <c r="N19" s="505"/>
      <c r="O19" s="507">
        <v>30000000074</v>
      </c>
      <c r="P19" s="508">
        <f>+'COMBUSTIBLES '!$C$7</f>
        <v>13220</v>
      </c>
      <c r="Q19" s="505" t="s">
        <v>379</v>
      </c>
      <c r="R19" s="505">
        <v>1</v>
      </c>
      <c r="S19" s="505" t="s">
        <v>380</v>
      </c>
      <c r="T19" s="503" t="s">
        <v>401</v>
      </c>
      <c r="U19" s="509" t="s">
        <v>400</v>
      </c>
      <c r="V19" s="509" t="str">
        <f t="shared" si="1"/>
        <v>30.11.2023</v>
      </c>
    </row>
    <row r="20" spans="1:22" ht="14.5">
      <c r="A20" s="501" t="s">
        <v>384</v>
      </c>
      <c r="B20" s="501">
        <v>931</v>
      </c>
      <c r="C20" s="505" t="s">
        <v>386</v>
      </c>
      <c r="D20" s="493"/>
      <c r="E20" s="493"/>
      <c r="F20" s="493"/>
      <c r="G20" s="493"/>
      <c r="H20" s="493"/>
      <c r="I20" s="506">
        <v>90005600</v>
      </c>
      <c r="J20" s="493"/>
      <c r="K20" s="493"/>
      <c r="L20" s="493"/>
      <c r="M20" s="505" t="s">
        <v>382</v>
      </c>
      <c r="N20" s="493"/>
      <c r="O20" s="507">
        <v>30000000074</v>
      </c>
      <c r="P20" s="508">
        <f>+'COMBUSTIBLES '!$C$7</f>
        <v>13220</v>
      </c>
      <c r="Q20" s="505" t="s">
        <v>379</v>
      </c>
      <c r="R20" s="505">
        <v>1</v>
      </c>
      <c r="S20" s="505" t="s">
        <v>380</v>
      </c>
      <c r="T20" s="503" t="s">
        <v>401</v>
      </c>
      <c r="U20" s="509" t="s">
        <v>400</v>
      </c>
      <c r="V20" s="509" t="str">
        <f t="shared" si="1"/>
        <v>30.11.2023</v>
      </c>
    </row>
    <row r="21" spans="1:22" ht="14.5">
      <c r="A21" s="501" t="s">
        <v>384</v>
      </c>
      <c r="B21" s="501">
        <v>931</v>
      </c>
      <c r="C21" s="505" t="s">
        <v>386</v>
      </c>
      <c r="D21" s="493"/>
      <c r="E21" s="493"/>
      <c r="F21" s="493"/>
      <c r="G21" s="493"/>
      <c r="H21" s="493"/>
      <c r="I21" s="506">
        <v>90005628</v>
      </c>
      <c r="J21" s="493"/>
      <c r="K21" s="493"/>
      <c r="L21" s="493"/>
      <c r="M21" s="505" t="s">
        <v>382</v>
      </c>
      <c r="N21" s="493"/>
      <c r="O21" s="507">
        <v>30000000074</v>
      </c>
      <c r="P21" s="508">
        <f>+'COMBUSTIBLES '!$C$7</f>
        <v>13220</v>
      </c>
      <c r="Q21" s="505" t="s">
        <v>379</v>
      </c>
      <c r="R21" s="505">
        <v>1</v>
      </c>
      <c r="S21" s="505" t="s">
        <v>380</v>
      </c>
      <c r="T21" s="503" t="s">
        <v>401</v>
      </c>
      <c r="U21" s="509" t="s">
        <v>400</v>
      </c>
      <c r="V21" s="509" t="str">
        <f t="shared" si="1"/>
        <v>30.11.2023</v>
      </c>
    </row>
    <row r="22" spans="1:22" ht="14.5">
      <c r="A22" s="501" t="s">
        <v>384</v>
      </c>
      <c r="B22" s="501">
        <v>931</v>
      </c>
      <c r="C22" s="505" t="s">
        <v>386</v>
      </c>
      <c r="D22" s="493"/>
      <c r="E22" s="493"/>
      <c r="F22" s="493"/>
      <c r="G22" s="493"/>
      <c r="H22" s="493"/>
      <c r="I22" s="506">
        <v>90005617</v>
      </c>
      <c r="J22" s="493"/>
      <c r="K22" s="493"/>
      <c r="L22" s="493"/>
      <c r="M22" s="505" t="s">
        <v>382</v>
      </c>
      <c r="N22" s="493"/>
      <c r="O22" s="507">
        <v>30000000074</v>
      </c>
      <c r="P22" s="508">
        <f>+'COMBUSTIBLES '!$C$7</f>
        <v>13220</v>
      </c>
      <c r="Q22" s="505" t="s">
        <v>379</v>
      </c>
      <c r="R22" s="505">
        <v>1</v>
      </c>
      <c r="S22" s="505" t="s">
        <v>380</v>
      </c>
      <c r="T22" s="503" t="s">
        <v>401</v>
      </c>
      <c r="U22" s="509" t="s">
        <v>400</v>
      </c>
      <c r="V22" s="509" t="str">
        <f t="shared" si="1"/>
        <v>30.11.2023</v>
      </c>
    </row>
    <row r="23" spans="1:22" ht="14.5">
      <c r="A23" s="510" t="s">
        <v>384</v>
      </c>
      <c r="B23" s="501">
        <v>931</v>
      </c>
      <c r="C23" s="511" t="s">
        <v>386</v>
      </c>
      <c r="D23" s="511"/>
      <c r="E23" s="511"/>
      <c r="F23" s="511"/>
      <c r="G23" s="511"/>
      <c r="H23" s="511"/>
      <c r="I23" s="512">
        <v>90005598</v>
      </c>
      <c r="J23" s="511"/>
      <c r="K23" s="511"/>
      <c r="L23" s="511"/>
      <c r="M23" s="505" t="s">
        <v>382</v>
      </c>
      <c r="N23" s="511"/>
      <c r="O23" s="513">
        <v>30000000074</v>
      </c>
      <c r="P23" s="508">
        <f>+'COMBUSTIBLES '!$C$7</f>
        <v>13220</v>
      </c>
      <c r="Q23" s="505" t="s">
        <v>379</v>
      </c>
      <c r="R23" s="505">
        <v>1</v>
      </c>
      <c r="S23" s="505" t="s">
        <v>380</v>
      </c>
      <c r="T23" s="503" t="s">
        <v>401</v>
      </c>
      <c r="U23" s="509" t="s">
        <v>400</v>
      </c>
      <c r="V23" s="509" t="str">
        <f t="shared" si="1"/>
        <v>30.11.2023</v>
      </c>
    </row>
    <row r="24" spans="1:22" ht="14.5">
      <c r="A24" s="501" t="s">
        <v>384</v>
      </c>
      <c r="B24" s="501">
        <v>931</v>
      </c>
      <c r="C24" s="505" t="s">
        <v>386</v>
      </c>
      <c r="D24" s="505"/>
      <c r="E24" s="505"/>
      <c r="F24" s="505"/>
      <c r="G24" s="505"/>
      <c r="H24" s="505"/>
      <c r="I24" s="506">
        <v>90005606</v>
      </c>
      <c r="J24" s="505"/>
      <c r="K24" s="505"/>
      <c r="L24" s="505"/>
      <c r="M24" s="505" t="s">
        <v>382</v>
      </c>
      <c r="N24" s="505"/>
      <c r="O24" s="507">
        <v>30000009504</v>
      </c>
      <c r="P24" s="508">
        <f>+'COMBUSTIBLES '!$C$7</f>
        <v>13220</v>
      </c>
      <c r="Q24" s="505" t="s">
        <v>379</v>
      </c>
      <c r="R24" s="505">
        <v>1</v>
      </c>
      <c r="S24" s="505" t="s">
        <v>380</v>
      </c>
      <c r="T24" s="503" t="s">
        <v>401</v>
      </c>
      <c r="U24" s="509" t="s">
        <v>400</v>
      </c>
      <c r="V24" s="509" t="str">
        <f t="shared" si="1"/>
        <v>30.11.2023</v>
      </c>
    </row>
    <row r="25" spans="1:22" ht="14.5">
      <c r="A25" s="501" t="s">
        <v>384</v>
      </c>
      <c r="B25" s="501">
        <v>931</v>
      </c>
      <c r="C25" s="505" t="s">
        <v>386</v>
      </c>
      <c r="D25" s="505"/>
      <c r="E25" s="505"/>
      <c r="F25" s="505"/>
      <c r="G25" s="505"/>
      <c r="H25" s="505"/>
      <c r="I25" s="506">
        <v>90005603</v>
      </c>
      <c r="J25" s="505"/>
      <c r="K25" s="505"/>
      <c r="L25" s="505"/>
      <c r="M25" s="505" t="s">
        <v>382</v>
      </c>
      <c r="N25" s="505"/>
      <c r="O25" s="507">
        <v>30000009504</v>
      </c>
      <c r="P25" s="508">
        <f>+'COMBUSTIBLES '!$C$7</f>
        <v>13220</v>
      </c>
      <c r="Q25" s="505" t="s">
        <v>379</v>
      </c>
      <c r="R25" s="505">
        <v>1</v>
      </c>
      <c r="S25" s="505" t="s">
        <v>380</v>
      </c>
      <c r="T25" s="503" t="s">
        <v>401</v>
      </c>
      <c r="U25" s="509" t="s">
        <v>400</v>
      </c>
      <c r="V25" s="509" t="str">
        <f t="shared" si="1"/>
        <v>30.11.2023</v>
      </c>
    </row>
    <row r="26" spans="1:22" ht="14.5">
      <c r="A26" s="501" t="s">
        <v>384</v>
      </c>
      <c r="B26" s="501">
        <v>931</v>
      </c>
      <c r="C26" s="505" t="s">
        <v>386</v>
      </c>
      <c r="D26" s="493"/>
      <c r="E26" s="493"/>
      <c r="F26" s="493"/>
      <c r="G26" s="493"/>
      <c r="H26" s="493"/>
      <c r="I26" s="506">
        <v>90005600</v>
      </c>
      <c r="J26" s="493"/>
      <c r="K26" s="493"/>
      <c r="L26" s="493"/>
      <c r="M26" s="505" t="s">
        <v>382</v>
      </c>
      <c r="N26" s="493"/>
      <c r="O26" s="507">
        <v>30000009504</v>
      </c>
      <c r="P26" s="508">
        <f>+'COMBUSTIBLES '!$C$7</f>
        <v>13220</v>
      </c>
      <c r="Q26" s="505" t="s">
        <v>379</v>
      </c>
      <c r="R26" s="505">
        <v>1</v>
      </c>
      <c r="S26" s="505" t="s">
        <v>380</v>
      </c>
      <c r="T26" s="503" t="s">
        <v>401</v>
      </c>
      <c r="U26" s="509" t="s">
        <v>400</v>
      </c>
      <c r="V26" s="509" t="str">
        <f t="shared" si="1"/>
        <v>30.11.2023</v>
      </c>
    </row>
    <row r="27" spans="1:22" ht="14.5">
      <c r="A27" s="501" t="s">
        <v>384</v>
      </c>
      <c r="B27" s="501">
        <v>931</v>
      </c>
      <c r="C27" s="505" t="s">
        <v>386</v>
      </c>
      <c r="D27" s="493"/>
      <c r="E27" s="493"/>
      <c r="F27" s="493"/>
      <c r="G27" s="493"/>
      <c r="H27" s="493"/>
      <c r="I27" s="506">
        <v>90005628</v>
      </c>
      <c r="J27" s="493"/>
      <c r="K27" s="493"/>
      <c r="L27" s="493"/>
      <c r="M27" s="505" t="s">
        <v>382</v>
      </c>
      <c r="N27" s="493"/>
      <c r="O27" s="507">
        <v>30000009504</v>
      </c>
      <c r="P27" s="508">
        <f>+'COMBUSTIBLES '!$C$7</f>
        <v>13220</v>
      </c>
      <c r="Q27" s="505" t="s">
        <v>379</v>
      </c>
      <c r="R27" s="505">
        <v>1</v>
      </c>
      <c r="S27" s="505" t="s">
        <v>380</v>
      </c>
      <c r="T27" s="503" t="s">
        <v>401</v>
      </c>
      <c r="U27" s="509" t="s">
        <v>400</v>
      </c>
      <c r="V27" s="509" t="str">
        <f t="shared" si="1"/>
        <v>30.11.2023</v>
      </c>
    </row>
    <row r="28" spans="1:22" ht="14.5">
      <c r="A28" s="501" t="s">
        <v>384</v>
      </c>
      <c r="B28" s="501">
        <v>931</v>
      </c>
      <c r="C28" s="505" t="s">
        <v>386</v>
      </c>
      <c r="D28" s="493"/>
      <c r="E28" s="493"/>
      <c r="F28" s="493"/>
      <c r="G28" s="493"/>
      <c r="H28" s="493"/>
      <c r="I28" s="506">
        <v>90005617</v>
      </c>
      <c r="J28" s="493"/>
      <c r="K28" s="493"/>
      <c r="L28" s="493"/>
      <c r="M28" s="505" t="s">
        <v>382</v>
      </c>
      <c r="N28" s="493"/>
      <c r="O28" s="507">
        <v>30000009504</v>
      </c>
      <c r="P28" s="508">
        <f>+'COMBUSTIBLES '!$C$7</f>
        <v>13220</v>
      </c>
      <c r="Q28" s="505" t="s">
        <v>379</v>
      </c>
      <c r="R28" s="505">
        <v>1</v>
      </c>
      <c r="S28" s="505" t="s">
        <v>380</v>
      </c>
      <c r="T28" s="503" t="s">
        <v>401</v>
      </c>
      <c r="U28" s="509" t="s">
        <v>400</v>
      </c>
      <c r="V28" s="509" t="str">
        <f t="shared" si="1"/>
        <v>30.11.2023</v>
      </c>
    </row>
    <row r="29" spans="1:22" ht="14.5">
      <c r="A29" s="514" t="s">
        <v>384</v>
      </c>
      <c r="B29" s="501">
        <v>931</v>
      </c>
      <c r="C29" s="515" t="s">
        <v>386</v>
      </c>
      <c r="D29" s="515"/>
      <c r="E29" s="515"/>
      <c r="F29" s="515"/>
      <c r="G29" s="515"/>
      <c r="H29" s="515"/>
      <c r="I29" s="506">
        <v>90005598</v>
      </c>
      <c r="J29" s="515"/>
      <c r="K29" s="515"/>
      <c r="L29" s="515"/>
      <c r="M29" s="505" t="s">
        <v>382</v>
      </c>
      <c r="N29" s="515"/>
      <c r="O29" s="507">
        <v>30000009504</v>
      </c>
      <c r="P29" s="508">
        <f>+'COMBUSTIBLES '!$C$7</f>
        <v>13220</v>
      </c>
      <c r="Q29" s="505" t="s">
        <v>379</v>
      </c>
      <c r="R29" s="505">
        <v>1</v>
      </c>
      <c r="S29" s="505" t="s">
        <v>380</v>
      </c>
      <c r="T29" s="503" t="s">
        <v>401</v>
      </c>
      <c r="U29" s="509" t="s">
        <v>400</v>
      </c>
      <c r="V29" s="509" t="str">
        <f t="shared" si="1"/>
        <v>30.11.2023</v>
      </c>
    </row>
    <row r="30" spans="1:22" ht="14.5">
      <c r="A30" s="501" t="s">
        <v>384</v>
      </c>
      <c r="B30" s="501">
        <v>931</v>
      </c>
      <c r="C30" s="505" t="s">
        <v>386</v>
      </c>
      <c r="D30" s="505"/>
      <c r="E30" s="505"/>
      <c r="F30" s="505"/>
      <c r="G30" s="505"/>
      <c r="H30" s="505"/>
      <c r="I30" s="506">
        <v>90005606</v>
      </c>
      <c r="J30" s="505"/>
      <c r="K30" s="505"/>
      <c r="L30" s="505"/>
      <c r="M30" s="505" t="s">
        <v>383</v>
      </c>
      <c r="N30" s="505"/>
      <c r="O30" s="507">
        <v>30000000074</v>
      </c>
      <c r="P30" s="508">
        <f>+'COMBUSTIBLES '!$C$7</f>
        <v>13220</v>
      </c>
      <c r="Q30" s="505" t="s">
        <v>379</v>
      </c>
      <c r="R30" s="505">
        <v>1</v>
      </c>
      <c r="S30" s="505" t="s">
        <v>380</v>
      </c>
      <c r="T30" s="503" t="s">
        <v>401</v>
      </c>
      <c r="U30" s="509" t="s">
        <v>400</v>
      </c>
      <c r="V30" s="509" t="str">
        <f t="shared" si="1"/>
        <v>30.11.2023</v>
      </c>
    </row>
    <row r="31" spans="1:22" ht="14.5">
      <c r="A31" s="501" t="s">
        <v>384</v>
      </c>
      <c r="B31" s="501">
        <v>931</v>
      </c>
      <c r="C31" s="505" t="s">
        <v>386</v>
      </c>
      <c r="D31" s="505"/>
      <c r="E31" s="505"/>
      <c r="F31" s="505"/>
      <c r="G31" s="505"/>
      <c r="H31" s="505"/>
      <c r="I31" s="506">
        <v>90005603</v>
      </c>
      <c r="J31" s="505"/>
      <c r="K31" s="505"/>
      <c r="L31" s="505"/>
      <c r="M31" s="505" t="s">
        <v>383</v>
      </c>
      <c r="N31" s="505"/>
      <c r="O31" s="507">
        <v>30000000074</v>
      </c>
      <c r="P31" s="508">
        <f>+'COMBUSTIBLES '!$C$7</f>
        <v>13220</v>
      </c>
      <c r="Q31" s="505" t="s">
        <v>379</v>
      </c>
      <c r="R31" s="505">
        <v>1</v>
      </c>
      <c r="S31" s="505" t="s">
        <v>380</v>
      </c>
      <c r="T31" s="503" t="s">
        <v>401</v>
      </c>
      <c r="U31" s="509" t="s">
        <v>400</v>
      </c>
      <c r="V31" s="509" t="str">
        <f t="shared" si="1"/>
        <v>30.11.2023</v>
      </c>
    </row>
    <row r="32" spans="1:22" ht="14.5">
      <c r="A32" s="501" t="s">
        <v>384</v>
      </c>
      <c r="B32" s="501">
        <v>931</v>
      </c>
      <c r="C32" s="505" t="s">
        <v>386</v>
      </c>
      <c r="D32" s="493"/>
      <c r="E32" s="493"/>
      <c r="F32" s="493"/>
      <c r="G32" s="493"/>
      <c r="H32" s="493"/>
      <c r="I32" s="506">
        <v>90005600</v>
      </c>
      <c r="J32" s="493"/>
      <c r="K32" s="493"/>
      <c r="L32" s="493"/>
      <c r="M32" s="505" t="s">
        <v>383</v>
      </c>
      <c r="N32" s="493"/>
      <c r="O32" s="507">
        <v>30000000074</v>
      </c>
      <c r="P32" s="508">
        <f>+'COMBUSTIBLES '!$C$7</f>
        <v>13220</v>
      </c>
      <c r="Q32" s="505" t="s">
        <v>379</v>
      </c>
      <c r="R32" s="505">
        <v>1</v>
      </c>
      <c r="S32" s="505" t="s">
        <v>380</v>
      </c>
      <c r="T32" s="503" t="s">
        <v>401</v>
      </c>
      <c r="U32" s="509" t="s">
        <v>400</v>
      </c>
      <c r="V32" s="509" t="str">
        <f t="shared" si="1"/>
        <v>30.11.2023</v>
      </c>
    </row>
    <row r="33" spans="1:22" ht="14.5">
      <c r="A33" s="501" t="s">
        <v>384</v>
      </c>
      <c r="B33" s="501">
        <v>931</v>
      </c>
      <c r="C33" s="505" t="s">
        <v>386</v>
      </c>
      <c r="D33" s="493"/>
      <c r="E33" s="493"/>
      <c r="F33" s="493"/>
      <c r="G33" s="493"/>
      <c r="H33" s="493"/>
      <c r="I33" s="506">
        <v>90005628</v>
      </c>
      <c r="J33" s="493"/>
      <c r="K33" s="493"/>
      <c r="L33" s="493"/>
      <c r="M33" s="505" t="s">
        <v>383</v>
      </c>
      <c r="N33" s="493"/>
      <c r="O33" s="507">
        <v>30000000074</v>
      </c>
      <c r="P33" s="508">
        <f>+'COMBUSTIBLES '!$C$7</f>
        <v>13220</v>
      </c>
      <c r="Q33" s="505" t="s">
        <v>379</v>
      </c>
      <c r="R33" s="505">
        <v>1</v>
      </c>
      <c r="S33" s="505" t="s">
        <v>380</v>
      </c>
      <c r="T33" s="503" t="s">
        <v>401</v>
      </c>
      <c r="U33" s="509" t="s">
        <v>400</v>
      </c>
      <c r="V33" s="509" t="str">
        <f t="shared" si="1"/>
        <v>30.11.2023</v>
      </c>
    </row>
    <row r="34" spans="1:22" ht="14.5">
      <c r="A34" s="501" t="s">
        <v>384</v>
      </c>
      <c r="B34" s="501">
        <v>931</v>
      </c>
      <c r="C34" s="505" t="s">
        <v>386</v>
      </c>
      <c r="D34" s="493"/>
      <c r="E34" s="493"/>
      <c r="F34" s="493"/>
      <c r="G34" s="493"/>
      <c r="H34" s="493"/>
      <c r="I34" s="506">
        <v>90005617</v>
      </c>
      <c r="J34" s="493"/>
      <c r="K34" s="493"/>
      <c r="L34" s="493"/>
      <c r="M34" s="505" t="s">
        <v>383</v>
      </c>
      <c r="N34" s="493"/>
      <c r="O34" s="507">
        <v>30000000074</v>
      </c>
      <c r="P34" s="508">
        <f>+'COMBUSTIBLES '!$C$7</f>
        <v>13220</v>
      </c>
      <c r="Q34" s="505" t="s">
        <v>379</v>
      </c>
      <c r="R34" s="505">
        <v>1</v>
      </c>
      <c r="S34" s="505" t="s">
        <v>380</v>
      </c>
      <c r="T34" s="503" t="s">
        <v>401</v>
      </c>
      <c r="U34" s="509" t="s">
        <v>400</v>
      </c>
      <c r="V34" s="509" t="str">
        <f t="shared" si="1"/>
        <v>30.11.2023</v>
      </c>
    </row>
    <row r="35" spans="1:22" ht="14.5">
      <c r="A35" s="510" t="s">
        <v>384</v>
      </c>
      <c r="B35" s="501">
        <v>931</v>
      </c>
      <c r="C35" s="511" t="s">
        <v>386</v>
      </c>
      <c r="D35" s="511"/>
      <c r="E35" s="511"/>
      <c r="F35" s="511"/>
      <c r="G35" s="511"/>
      <c r="H35" s="511"/>
      <c r="I35" s="512">
        <v>90005598</v>
      </c>
      <c r="J35" s="511"/>
      <c r="K35" s="511"/>
      <c r="L35" s="511"/>
      <c r="M35" s="511" t="s">
        <v>383</v>
      </c>
      <c r="N35" s="511"/>
      <c r="O35" s="513">
        <v>30000000074</v>
      </c>
      <c r="P35" s="508">
        <f>+'COMBUSTIBLES '!$C$7</f>
        <v>13220</v>
      </c>
      <c r="Q35" s="505" t="s">
        <v>379</v>
      </c>
      <c r="R35" s="505">
        <v>1</v>
      </c>
      <c r="S35" s="505" t="s">
        <v>380</v>
      </c>
      <c r="T35" s="503" t="s">
        <v>401</v>
      </c>
      <c r="U35" s="509" t="s">
        <v>400</v>
      </c>
      <c r="V35" s="509" t="str">
        <f t="shared" si="1"/>
        <v>30.11.2023</v>
      </c>
    </row>
    <row r="36" spans="1:22" ht="14.5">
      <c r="A36" s="501" t="s">
        <v>384</v>
      </c>
      <c r="B36" s="501">
        <v>931</v>
      </c>
      <c r="C36" s="505" t="s">
        <v>386</v>
      </c>
      <c r="D36" s="505"/>
      <c r="E36" s="505"/>
      <c r="F36" s="505"/>
      <c r="G36" s="505"/>
      <c r="H36" s="505"/>
      <c r="I36" s="506">
        <v>90005606</v>
      </c>
      <c r="J36" s="505"/>
      <c r="K36" s="505"/>
      <c r="L36" s="505"/>
      <c r="M36" s="505" t="s">
        <v>383</v>
      </c>
      <c r="N36" s="505"/>
      <c r="O36" s="507">
        <v>30000009504</v>
      </c>
      <c r="P36" s="508">
        <f>+'COMBUSTIBLES '!$C$7</f>
        <v>13220</v>
      </c>
      <c r="Q36" s="505" t="s">
        <v>379</v>
      </c>
      <c r="R36" s="505">
        <v>1</v>
      </c>
      <c r="S36" s="505" t="s">
        <v>380</v>
      </c>
      <c r="T36" s="503" t="s">
        <v>401</v>
      </c>
      <c r="U36" s="509" t="s">
        <v>400</v>
      </c>
      <c r="V36" s="509" t="str">
        <f t="shared" si="1"/>
        <v>30.11.2023</v>
      </c>
    </row>
    <row r="37" spans="1:22" ht="14.5">
      <c r="A37" s="501" t="s">
        <v>384</v>
      </c>
      <c r="B37" s="501">
        <v>931</v>
      </c>
      <c r="C37" s="505" t="s">
        <v>386</v>
      </c>
      <c r="D37" s="505"/>
      <c r="E37" s="505"/>
      <c r="F37" s="505"/>
      <c r="G37" s="505"/>
      <c r="H37" s="505"/>
      <c r="I37" s="506">
        <v>90005603</v>
      </c>
      <c r="J37" s="505"/>
      <c r="K37" s="505"/>
      <c r="L37" s="505"/>
      <c r="M37" s="505" t="s">
        <v>383</v>
      </c>
      <c r="N37" s="505"/>
      <c r="O37" s="507">
        <v>30000009504</v>
      </c>
      <c r="P37" s="508">
        <f>+'COMBUSTIBLES '!$C$7</f>
        <v>13220</v>
      </c>
      <c r="Q37" s="505" t="s">
        <v>379</v>
      </c>
      <c r="R37" s="505">
        <v>1</v>
      </c>
      <c r="S37" s="505" t="s">
        <v>380</v>
      </c>
      <c r="T37" s="503" t="s">
        <v>401</v>
      </c>
      <c r="U37" s="509" t="s">
        <v>400</v>
      </c>
      <c r="V37" s="509" t="str">
        <f t="shared" si="1"/>
        <v>30.11.2023</v>
      </c>
    </row>
    <row r="38" spans="1:22" ht="14.5">
      <c r="A38" s="501" t="s">
        <v>384</v>
      </c>
      <c r="B38" s="501">
        <v>931</v>
      </c>
      <c r="C38" s="505" t="s">
        <v>386</v>
      </c>
      <c r="D38" s="505"/>
      <c r="E38" s="505"/>
      <c r="F38" s="505"/>
      <c r="G38" s="505"/>
      <c r="H38" s="505"/>
      <c r="I38" s="506">
        <v>90005603</v>
      </c>
      <c r="J38" s="505"/>
      <c r="K38" s="505"/>
      <c r="L38" s="505"/>
      <c r="M38" s="505" t="s">
        <v>392</v>
      </c>
      <c r="N38" s="505"/>
      <c r="O38" s="507">
        <v>30000009504</v>
      </c>
      <c r="P38" s="508">
        <f>+'COMBUSTIBLES '!$C$7</f>
        <v>13220</v>
      </c>
      <c r="Q38" s="505" t="s">
        <v>379</v>
      </c>
      <c r="R38" s="505">
        <v>1</v>
      </c>
      <c r="S38" s="505" t="s">
        <v>380</v>
      </c>
      <c r="T38" s="503" t="s">
        <v>401</v>
      </c>
      <c r="U38" s="509" t="s">
        <v>400</v>
      </c>
      <c r="V38" s="509" t="str">
        <f t="shared" si="1"/>
        <v>30.11.2023</v>
      </c>
    </row>
    <row r="39" spans="1:22" ht="14.5">
      <c r="A39" s="501" t="s">
        <v>384</v>
      </c>
      <c r="B39" s="501">
        <v>931</v>
      </c>
      <c r="C39" s="505" t="s">
        <v>386</v>
      </c>
      <c r="D39" s="493"/>
      <c r="E39" s="493"/>
      <c r="F39" s="493"/>
      <c r="G39" s="493"/>
      <c r="H39" s="493"/>
      <c r="I39" s="506">
        <v>90005600</v>
      </c>
      <c r="J39" s="493"/>
      <c r="K39" s="493"/>
      <c r="L39" s="493"/>
      <c r="M39" s="505" t="s">
        <v>383</v>
      </c>
      <c r="N39" s="493"/>
      <c r="O39" s="507">
        <v>30000009504</v>
      </c>
      <c r="P39" s="508">
        <f>+'COMBUSTIBLES '!$C$7</f>
        <v>13220</v>
      </c>
      <c r="Q39" s="505" t="s">
        <v>379</v>
      </c>
      <c r="R39" s="505">
        <v>1</v>
      </c>
      <c r="S39" s="505" t="s">
        <v>380</v>
      </c>
      <c r="T39" s="503" t="s">
        <v>401</v>
      </c>
      <c r="U39" s="509" t="s">
        <v>400</v>
      </c>
      <c r="V39" s="509" t="str">
        <f>+V37</f>
        <v>30.11.2023</v>
      </c>
    </row>
    <row r="40" spans="1:22" ht="14.5">
      <c r="A40" s="501" t="s">
        <v>384</v>
      </c>
      <c r="B40" s="501">
        <v>931</v>
      </c>
      <c r="C40" s="505" t="s">
        <v>386</v>
      </c>
      <c r="D40" s="493"/>
      <c r="E40" s="493"/>
      <c r="F40" s="493"/>
      <c r="G40" s="493"/>
      <c r="H40" s="493"/>
      <c r="I40" s="506">
        <v>90005628</v>
      </c>
      <c r="J40" s="493"/>
      <c r="K40" s="493"/>
      <c r="L40" s="493"/>
      <c r="M40" s="505" t="s">
        <v>383</v>
      </c>
      <c r="N40" s="493"/>
      <c r="O40" s="507">
        <v>30000009504</v>
      </c>
      <c r="P40" s="508">
        <f>+'COMBUSTIBLES '!$C$7</f>
        <v>13220</v>
      </c>
      <c r="Q40" s="505" t="s">
        <v>379</v>
      </c>
      <c r="R40" s="505">
        <v>1</v>
      </c>
      <c r="S40" s="505" t="s">
        <v>380</v>
      </c>
      <c r="T40" s="503" t="s">
        <v>401</v>
      </c>
      <c r="U40" s="509" t="s">
        <v>400</v>
      </c>
      <c r="V40" s="509" t="str">
        <f t="shared" ref="V40:V51" si="2">+V39</f>
        <v>30.11.2023</v>
      </c>
    </row>
    <row r="41" spans="1:22" ht="14.5">
      <c r="A41" s="501" t="s">
        <v>384</v>
      </c>
      <c r="B41" s="501">
        <v>931</v>
      </c>
      <c r="C41" s="505" t="s">
        <v>386</v>
      </c>
      <c r="D41" s="493"/>
      <c r="E41" s="493"/>
      <c r="F41" s="493"/>
      <c r="G41" s="493"/>
      <c r="H41" s="493"/>
      <c r="I41" s="506">
        <v>90005617</v>
      </c>
      <c r="J41" s="493"/>
      <c r="K41" s="493"/>
      <c r="L41" s="493"/>
      <c r="M41" s="505" t="s">
        <v>383</v>
      </c>
      <c r="N41" s="493"/>
      <c r="O41" s="507">
        <v>30000009504</v>
      </c>
      <c r="P41" s="508">
        <f>+'COMBUSTIBLES '!$C$7</f>
        <v>13220</v>
      </c>
      <c r="Q41" s="505" t="s">
        <v>379</v>
      </c>
      <c r="R41" s="505">
        <v>1</v>
      </c>
      <c r="S41" s="505" t="s">
        <v>380</v>
      </c>
      <c r="T41" s="503" t="s">
        <v>401</v>
      </c>
      <c r="U41" s="509" t="s">
        <v>400</v>
      </c>
      <c r="V41" s="509" t="str">
        <f t="shared" si="2"/>
        <v>30.11.2023</v>
      </c>
    </row>
    <row r="42" spans="1:22" ht="14.5">
      <c r="A42" s="514" t="s">
        <v>384</v>
      </c>
      <c r="B42" s="501">
        <v>931</v>
      </c>
      <c r="C42" s="515" t="s">
        <v>386</v>
      </c>
      <c r="D42" s="515"/>
      <c r="E42" s="515"/>
      <c r="F42" s="515"/>
      <c r="G42" s="515"/>
      <c r="H42" s="515"/>
      <c r="I42" s="506">
        <v>90005598</v>
      </c>
      <c r="J42" s="515"/>
      <c r="K42" s="515"/>
      <c r="L42" s="515"/>
      <c r="M42" s="515" t="s">
        <v>383</v>
      </c>
      <c r="N42" s="515"/>
      <c r="O42" s="516">
        <v>30000009504</v>
      </c>
      <c r="P42" s="508">
        <f>+'COMBUSTIBLES '!$C$7</f>
        <v>13220</v>
      </c>
      <c r="Q42" s="505" t="s">
        <v>379</v>
      </c>
      <c r="R42" s="505">
        <v>1</v>
      </c>
      <c r="S42" s="505" t="s">
        <v>380</v>
      </c>
      <c r="T42" s="503" t="s">
        <v>401</v>
      </c>
      <c r="U42" s="509" t="s">
        <v>400</v>
      </c>
      <c r="V42" s="509" t="str">
        <f t="shared" si="2"/>
        <v>30.11.2023</v>
      </c>
    </row>
    <row r="43" spans="1:22" ht="14.5">
      <c r="A43" s="501" t="s">
        <v>384</v>
      </c>
      <c r="B43" s="501">
        <v>567</v>
      </c>
      <c r="C43" s="505" t="s">
        <v>386</v>
      </c>
      <c r="D43" s="505"/>
      <c r="E43" s="505"/>
      <c r="F43" s="505"/>
      <c r="G43" s="505"/>
      <c r="H43" s="505"/>
      <c r="I43" s="505"/>
      <c r="J43" s="505"/>
      <c r="K43" s="505"/>
      <c r="L43" s="505"/>
      <c r="M43" s="505" t="s">
        <v>382</v>
      </c>
      <c r="N43" s="505"/>
      <c r="O43" s="507">
        <v>30000009504</v>
      </c>
      <c r="P43" s="517">
        <f>+'COMBUSTIBLES '!$D$7</f>
        <v>13406</v>
      </c>
      <c r="Q43" s="503" t="s">
        <v>379</v>
      </c>
      <c r="R43" s="503">
        <v>1</v>
      </c>
      <c r="S43" s="505" t="s">
        <v>380</v>
      </c>
      <c r="T43" s="503" t="s">
        <v>401</v>
      </c>
      <c r="U43" s="509" t="s">
        <v>400</v>
      </c>
      <c r="V43" s="509" t="str">
        <f t="shared" si="2"/>
        <v>30.11.2023</v>
      </c>
    </row>
    <row r="44" spans="1:22" ht="14.5">
      <c r="A44" s="501" t="s">
        <v>384</v>
      </c>
      <c r="B44" s="501">
        <v>567</v>
      </c>
      <c r="C44" s="505" t="s">
        <v>386</v>
      </c>
      <c r="D44" s="505"/>
      <c r="E44" s="505"/>
      <c r="F44" s="505"/>
      <c r="G44" s="505"/>
      <c r="H44" s="505"/>
      <c r="I44" s="505"/>
      <c r="J44" s="505"/>
      <c r="K44" s="505"/>
      <c r="L44" s="505"/>
      <c r="M44" s="505" t="s">
        <v>383</v>
      </c>
      <c r="N44" s="505"/>
      <c r="O44" s="507">
        <v>30000009504</v>
      </c>
      <c r="P44" s="517">
        <f>+'COMBUSTIBLES '!$D$7</f>
        <v>13406</v>
      </c>
      <c r="Q44" s="503" t="s">
        <v>379</v>
      </c>
      <c r="R44" s="503">
        <v>1</v>
      </c>
      <c r="S44" s="505" t="s">
        <v>380</v>
      </c>
      <c r="T44" s="503" t="s">
        <v>401</v>
      </c>
      <c r="U44" s="509" t="s">
        <v>400</v>
      </c>
      <c r="V44" s="509" t="str">
        <f t="shared" si="2"/>
        <v>30.11.2023</v>
      </c>
    </row>
    <row r="45" spans="1:22" ht="14.5">
      <c r="A45" s="501" t="s">
        <v>384</v>
      </c>
      <c r="B45" s="501">
        <v>567</v>
      </c>
      <c r="C45" s="505" t="s">
        <v>386</v>
      </c>
      <c r="D45" s="493"/>
      <c r="E45" s="493"/>
      <c r="F45" s="493"/>
      <c r="G45" s="493"/>
      <c r="H45" s="493"/>
      <c r="I45" s="493"/>
      <c r="J45" s="493"/>
      <c r="K45" s="493"/>
      <c r="L45" s="493"/>
      <c r="M45" s="505" t="s">
        <v>382</v>
      </c>
      <c r="N45" s="505"/>
      <c r="O45" s="507">
        <v>30000000074</v>
      </c>
      <c r="P45" s="517">
        <f>+'COMBUSTIBLES '!$D$7</f>
        <v>13406</v>
      </c>
      <c r="Q45" s="503" t="s">
        <v>379</v>
      </c>
      <c r="R45" s="503">
        <v>1</v>
      </c>
      <c r="S45" s="505" t="s">
        <v>380</v>
      </c>
      <c r="T45" s="503" t="s">
        <v>401</v>
      </c>
      <c r="U45" s="509" t="s">
        <v>400</v>
      </c>
      <c r="V45" s="509" t="str">
        <f t="shared" si="2"/>
        <v>30.11.2023</v>
      </c>
    </row>
    <row r="46" spans="1:22" ht="14.5">
      <c r="A46" s="500" t="s">
        <v>384</v>
      </c>
      <c r="B46" s="501">
        <v>567</v>
      </c>
      <c r="C46" s="515" t="s">
        <v>386</v>
      </c>
      <c r="D46" s="500"/>
      <c r="E46" s="500"/>
      <c r="F46" s="500"/>
      <c r="G46" s="500"/>
      <c r="H46" s="500"/>
      <c r="I46" s="500"/>
      <c r="J46" s="500"/>
      <c r="K46" s="500"/>
      <c r="L46" s="500"/>
      <c r="M46" s="515" t="s">
        <v>383</v>
      </c>
      <c r="N46" s="515"/>
      <c r="O46" s="516">
        <v>30000000074</v>
      </c>
      <c r="P46" s="517">
        <f>+'COMBUSTIBLES '!$D$7</f>
        <v>13406</v>
      </c>
      <c r="Q46" s="518" t="s">
        <v>379</v>
      </c>
      <c r="R46" s="518">
        <v>1</v>
      </c>
      <c r="S46" s="515" t="s">
        <v>380</v>
      </c>
      <c r="T46" s="518" t="s">
        <v>401</v>
      </c>
      <c r="U46" s="509" t="s">
        <v>400</v>
      </c>
      <c r="V46" s="509" t="str">
        <f t="shared" si="2"/>
        <v>30.11.2023</v>
      </c>
    </row>
    <row r="47" spans="1:22" ht="14.5">
      <c r="A47" s="501" t="s">
        <v>384</v>
      </c>
      <c r="B47" s="501">
        <v>931</v>
      </c>
      <c r="C47" s="505" t="s">
        <v>386</v>
      </c>
      <c r="D47" s="505"/>
      <c r="E47" s="505"/>
      <c r="F47" s="505"/>
      <c r="G47" s="505"/>
      <c r="H47" s="505"/>
      <c r="I47" s="493">
        <v>90005600</v>
      </c>
      <c r="J47" s="505"/>
      <c r="K47" s="505"/>
      <c r="L47" s="505"/>
      <c r="M47" s="505" t="s">
        <v>389</v>
      </c>
      <c r="N47" s="505"/>
      <c r="O47" s="507">
        <v>30000009504</v>
      </c>
      <c r="P47" s="508">
        <f>+'COMBUSTIBLES '!$C$7</f>
        <v>13220</v>
      </c>
      <c r="Q47" s="505" t="s">
        <v>379</v>
      </c>
      <c r="R47" s="505">
        <v>1</v>
      </c>
      <c r="S47" s="505" t="s">
        <v>380</v>
      </c>
      <c r="T47" s="503" t="s">
        <v>401</v>
      </c>
      <c r="U47" s="509" t="s">
        <v>400</v>
      </c>
      <c r="V47" s="509" t="str">
        <f t="shared" si="2"/>
        <v>30.11.2023</v>
      </c>
    </row>
    <row r="48" spans="1:22" ht="14.5">
      <c r="A48" s="501" t="s">
        <v>384</v>
      </c>
      <c r="B48" s="501">
        <v>931</v>
      </c>
      <c r="C48" s="505" t="s">
        <v>386</v>
      </c>
      <c r="D48" s="505"/>
      <c r="E48" s="505"/>
      <c r="F48" s="505"/>
      <c r="G48" s="505"/>
      <c r="H48" s="505"/>
      <c r="I48" s="493">
        <v>90005590</v>
      </c>
      <c r="J48" s="505"/>
      <c r="K48" s="505"/>
      <c r="L48" s="505"/>
      <c r="M48" s="505" t="s">
        <v>389</v>
      </c>
      <c r="N48" s="505"/>
      <c r="O48" s="507">
        <v>30000009504</v>
      </c>
      <c r="P48" s="508">
        <f>+'COMBUSTIBLES '!$C$7</f>
        <v>13220</v>
      </c>
      <c r="Q48" s="505" t="s">
        <v>379</v>
      </c>
      <c r="R48" s="505">
        <v>1</v>
      </c>
      <c r="S48" s="505" t="s">
        <v>380</v>
      </c>
      <c r="T48" s="503" t="s">
        <v>401</v>
      </c>
      <c r="U48" s="509" t="s">
        <v>400</v>
      </c>
      <c r="V48" s="509" t="str">
        <f t="shared" si="2"/>
        <v>30.11.2023</v>
      </c>
    </row>
    <row r="49" spans="1:22" ht="14.5">
      <c r="A49" s="501" t="s">
        <v>384</v>
      </c>
      <c r="B49" s="501">
        <v>931</v>
      </c>
      <c r="C49" s="505" t="s">
        <v>386</v>
      </c>
      <c r="D49" s="505"/>
      <c r="E49" s="505"/>
      <c r="F49" s="505"/>
      <c r="G49" s="505"/>
      <c r="H49" s="505"/>
      <c r="I49" s="493">
        <v>90005601</v>
      </c>
      <c r="J49" s="505"/>
      <c r="K49" s="505"/>
      <c r="L49" s="505"/>
      <c r="M49" s="505" t="s">
        <v>389</v>
      </c>
      <c r="N49" s="505"/>
      <c r="O49" s="507">
        <v>30000009504</v>
      </c>
      <c r="P49" s="508">
        <f>+'COMBUSTIBLES '!$C$7</f>
        <v>13220</v>
      </c>
      <c r="Q49" s="505" t="s">
        <v>379</v>
      </c>
      <c r="R49" s="505">
        <v>1</v>
      </c>
      <c r="S49" s="505" t="s">
        <v>380</v>
      </c>
      <c r="T49" s="503" t="s">
        <v>401</v>
      </c>
      <c r="U49" s="509" t="s">
        <v>400</v>
      </c>
      <c r="V49" s="509" t="str">
        <f t="shared" si="2"/>
        <v>30.11.2023</v>
      </c>
    </row>
    <row r="50" spans="1:22" ht="14.5">
      <c r="A50" s="481" t="s">
        <v>384</v>
      </c>
      <c r="B50" s="478">
        <v>567</v>
      </c>
      <c r="C50" s="515" t="s">
        <v>386</v>
      </c>
      <c r="D50" s="477"/>
      <c r="E50" s="477"/>
      <c r="F50" s="477"/>
      <c r="G50" s="477"/>
      <c r="H50" s="477"/>
      <c r="I50" s="477"/>
      <c r="J50" s="477"/>
      <c r="K50" s="477"/>
      <c r="L50" s="477"/>
      <c r="M50" s="477" t="s">
        <v>392</v>
      </c>
      <c r="N50" s="477"/>
      <c r="O50" s="476">
        <v>30000009504</v>
      </c>
      <c r="P50" s="508">
        <f>+'COMBUSTIBLES '!$C$7</f>
        <v>13220</v>
      </c>
      <c r="Q50" s="464" t="s">
        <v>379</v>
      </c>
      <c r="R50" s="464">
        <v>1</v>
      </c>
      <c r="S50" s="464" t="s">
        <v>380</v>
      </c>
      <c r="T50" s="503" t="s">
        <v>401</v>
      </c>
      <c r="U50" s="490" t="str">
        <f>+U49</f>
        <v>01.09.2023</v>
      </c>
      <c r="V50" s="468" t="str">
        <f t="shared" si="2"/>
        <v>30.11.2023</v>
      </c>
    </row>
    <row r="51" spans="1:22" ht="14.5">
      <c r="A51" s="481" t="s">
        <v>384</v>
      </c>
      <c r="B51" s="478">
        <v>567</v>
      </c>
      <c r="C51" s="515" t="s">
        <v>386</v>
      </c>
      <c r="D51" s="477"/>
      <c r="E51" s="477"/>
      <c r="F51" s="477"/>
      <c r="G51" s="477"/>
      <c r="H51" s="477"/>
      <c r="I51" s="477"/>
      <c r="J51" s="477"/>
      <c r="K51" s="477"/>
      <c r="L51" s="477"/>
      <c r="M51" s="477" t="s">
        <v>392</v>
      </c>
      <c r="N51" s="477"/>
      <c r="O51" s="472">
        <v>30000000074</v>
      </c>
      <c r="P51" s="508">
        <f>+'COMBUSTIBLES '!$C$7</f>
        <v>13220</v>
      </c>
      <c r="Q51" s="464" t="s">
        <v>379</v>
      </c>
      <c r="R51" s="464">
        <v>1</v>
      </c>
      <c r="S51" s="464" t="s">
        <v>380</v>
      </c>
      <c r="T51" s="503" t="s">
        <v>401</v>
      </c>
      <c r="U51" s="490" t="str">
        <f>+U50</f>
        <v>01.09.2023</v>
      </c>
      <c r="V51" s="468" t="str">
        <f t="shared" si="2"/>
        <v>30.11.2023</v>
      </c>
    </row>
    <row r="52" spans="1:22" ht="14.5">
      <c r="A52" s="519" t="s">
        <v>394</v>
      </c>
      <c r="B52" s="519">
        <v>567</v>
      </c>
      <c r="C52" s="520" t="s">
        <v>386</v>
      </c>
      <c r="D52" s="521"/>
      <c r="E52" s="521"/>
      <c r="F52" s="521"/>
      <c r="G52" s="521"/>
      <c r="H52" s="521"/>
      <c r="I52" s="521"/>
      <c r="J52" s="521"/>
      <c r="K52" s="521"/>
      <c r="L52" s="521"/>
      <c r="M52" s="521" t="s">
        <v>396</v>
      </c>
      <c r="N52" s="521"/>
      <c r="O52" s="521">
        <v>30000000004</v>
      </c>
      <c r="P52" s="522">
        <f>ROUND(-('DIESEL MARINO'!$D$6-'DIESEL MARINO'!$F$6),2)</f>
        <v>-948.68</v>
      </c>
      <c r="Q52" s="520" t="s">
        <v>379</v>
      </c>
      <c r="R52" s="520">
        <v>1</v>
      </c>
      <c r="S52" s="520" t="s">
        <v>380</v>
      </c>
      <c r="T52" s="523" t="s">
        <v>401</v>
      </c>
      <c r="U52" s="524" t="str">
        <f t="shared" ref="U52:U56" si="3">+U2</f>
        <v>04.11.2023</v>
      </c>
      <c r="V52" s="524" t="str">
        <f>+V49</f>
        <v>30.11.2023</v>
      </c>
    </row>
    <row r="53" spans="1:22" ht="14.5">
      <c r="A53" s="519" t="s">
        <v>394</v>
      </c>
      <c r="B53" s="519">
        <v>567</v>
      </c>
      <c r="C53" s="520" t="s">
        <v>386</v>
      </c>
      <c r="D53" s="521"/>
      <c r="E53" s="521"/>
      <c r="F53" s="521"/>
      <c r="G53" s="521"/>
      <c r="H53" s="521"/>
      <c r="I53" s="521"/>
      <c r="J53" s="521"/>
      <c r="K53" s="521"/>
      <c r="L53" s="521"/>
      <c r="M53" s="521" t="s">
        <v>396</v>
      </c>
      <c r="N53" s="521"/>
      <c r="O53" s="521">
        <v>30000002129</v>
      </c>
      <c r="P53" s="522">
        <f>ROUND(-('DIESEL MARINO'!$D$6-'DIESEL MARINO'!$F$6)*98%,2)</f>
        <v>-929.7</v>
      </c>
      <c r="Q53" s="520" t="s">
        <v>379</v>
      </c>
      <c r="R53" s="520">
        <v>1</v>
      </c>
      <c r="S53" s="520" t="s">
        <v>380</v>
      </c>
      <c r="T53" s="523" t="s">
        <v>401</v>
      </c>
      <c r="U53" s="524" t="str">
        <f t="shared" si="3"/>
        <v>04.11.2023</v>
      </c>
      <c r="V53" s="524" t="str">
        <f t="shared" ref="V53:V63" si="4">+V52</f>
        <v>30.11.2023</v>
      </c>
    </row>
    <row r="54" spans="1:22" ht="14.5">
      <c r="A54" s="519" t="s">
        <v>394</v>
      </c>
      <c r="B54" s="519">
        <v>567</v>
      </c>
      <c r="C54" s="520" t="s">
        <v>386</v>
      </c>
      <c r="D54" s="521"/>
      <c r="E54" s="521"/>
      <c r="F54" s="521"/>
      <c r="G54" s="521"/>
      <c r="H54" s="521"/>
      <c r="I54" s="521"/>
      <c r="J54" s="521"/>
      <c r="K54" s="521"/>
      <c r="L54" s="521"/>
      <c r="M54" s="521" t="s">
        <v>388</v>
      </c>
      <c r="N54" s="521"/>
      <c r="O54" s="521">
        <v>30000000004</v>
      </c>
      <c r="P54" s="522">
        <f>ROUND(-('DIESEL MARINO'!$D$6-'DIESEL MARINO'!$F$6),2)</f>
        <v>-948.68</v>
      </c>
      <c r="Q54" s="520" t="s">
        <v>379</v>
      </c>
      <c r="R54" s="521">
        <v>1</v>
      </c>
      <c r="S54" s="520" t="s">
        <v>380</v>
      </c>
      <c r="T54" s="523" t="s">
        <v>401</v>
      </c>
      <c r="U54" s="524" t="str">
        <f t="shared" si="3"/>
        <v>04.11.2023</v>
      </c>
      <c r="V54" s="524" t="str">
        <f t="shared" si="4"/>
        <v>30.11.2023</v>
      </c>
    </row>
    <row r="55" spans="1:22" ht="14.5">
      <c r="A55" s="525" t="s">
        <v>394</v>
      </c>
      <c r="B55" s="519">
        <v>931</v>
      </c>
      <c r="C55" s="520" t="s">
        <v>386</v>
      </c>
      <c r="D55" s="521"/>
      <c r="E55" s="521"/>
      <c r="F55" s="521"/>
      <c r="G55" s="521"/>
      <c r="H55" s="521"/>
      <c r="I55" s="310">
        <v>90005703</v>
      </c>
      <c r="J55" s="521"/>
      <c r="K55" s="521"/>
      <c r="L55" s="521"/>
      <c r="M55" s="521" t="s">
        <v>396</v>
      </c>
      <c r="N55" s="521"/>
      <c r="O55" s="521">
        <v>30000000004</v>
      </c>
      <c r="P55" s="522">
        <f>+ROUND((BIODIESEL!$C$7-BIODIESEL!$C$7*77%)*-1,2)</f>
        <v>-1090.98</v>
      </c>
      <c r="Q55" s="520" t="s">
        <v>379</v>
      </c>
      <c r="R55" s="521">
        <v>1</v>
      </c>
      <c r="S55" s="520" t="s">
        <v>380</v>
      </c>
      <c r="T55" s="523" t="s">
        <v>401</v>
      </c>
      <c r="U55" s="524" t="str">
        <f t="shared" si="3"/>
        <v>04.11.2023</v>
      </c>
      <c r="V55" s="524" t="str">
        <f t="shared" si="4"/>
        <v>30.11.2023</v>
      </c>
    </row>
    <row r="56" spans="1:22" ht="14.5">
      <c r="A56" s="526" t="s">
        <v>394</v>
      </c>
      <c r="B56" s="527">
        <v>931</v>
      </c>
      <c r="C56" s="520" t="s">
        <v>386</v>
      </c>
      <c r="D56" s="521"/>
      <c r="E56" s="521"/>
      <c r="F56" s="521"/>
      <c r="G56" s="521"/>
      <c r="H56" s="521"/>
      <c r="I56" s="310">
        <v>90005703</v>
      </c>
      <c r="J56" s="521"/>
      <c r="K56" s="521"/>
      <c r="L56" s="521"/>
      <c r="M56" s="521" t="s">
        <v>396</v>
      </c>
      <c r="N56" s="521"/>
      <c r="O56" s="521">
        <v>30000002129</v>
      </c>
      <c r="P56" s="522">
        <f>+ROUND('DIESEL MARINO'!$E$53-'DIESEL MARINO'!$F$53,2)*-1</f>
        <v>-1069.1500000000001</v>
      </c>
      <c r="Q56" s="528" t="s">
        <v>379</v>
      </c>
      <c r="R56" s="529">
        <v>1</v>
      </c>
      <c r="S56" s="520" t="s">
        <v>380</v>
      </c>
      <c r="T56" s="523" t="s">
        <v>401</v>
      </c>
      <c r="U56" s="524" t="str">
        <f t="shared" si="3"/>
        <v>04.11.2023</v>
      </c>
      <c r="V56" s="524" t="str">
        <f t="shared" si="4"/>
        <v>30.11.2023</v>
      </c>
    </row>
    <row r="57" spans="1:22" ht="14.5">
      <c r="A57" s="521" t="s">
        <v>377</v>
      </c>
      <c r="B57" s="519">
        <v>567</v>
      </c>
      <c r="C57" s="520" t="s">
        <v>386</v>
      </c>
      <c r="D57" s="521"/>
      <c r="E57" s="521"/>
      <c r="F57" s="521"/>
      <c r="G57" s="521"/>
      <c r="H57" s="521"/>
      <c r="I57" s="521"/>
      <c r="J57" s="521"/>
      <c r="K57" s="521"/>
      <c r="L57" s="521"/>
      <c r="M57" s="521" t="s">
        <v>382</v>
      </c>
      <c r="N57" s="521"/>
      <c r="O57" s="521">
        <v>30000002129</v>
      </c>
      <c r="P57" s="530">
        <f>+BIODIESEL!D$8</f>
        <v>4648.51</v>
      </c>
      <c r="Q57" s="520" t="s">
        <v>379</v>
      </c>
      <c r="R57" s="520">
        <v>1</v>
      </c>
      <c r="S57" s="520" t="s">
        <v>380</v>
      </c>
      <c r="T57" s="523" t="s">
        <v>401</v>
      </c>
      <c r="U57" s="524" t="str">
        <f>+U5</f>
        <v>04.11.2023</v>
      </c>
      <c r="V57" s="524" t="str">
        <f>+V54</f>
        <v>30.11.2023</v>
      </c>
    </row>
    <row r="58" spans="1:22" ht="14.5">
      <c r="A58" s="531" t="s">
        <v>381</v>
      </c>
      <c r="B58" s="519">
        <v>567</v>
      </c>
      <c r="C58" s="520" t="s">
        <v>386</v>
      </c>
      <c r="D58" s="532"/>
      <c r="E58" s="532"/>
      <c r="F58" s="532"/>
      <c r="G58" s="532"/>
      <c r="H58" s="532"/>
      <c r="I58" s="532"/>
      <c r="J58" s="532"/>
      <c r="K58" s="532"/>
      <c r="L58" s="532"/>
      <c r="M58" s="532" t="s">
        <v>382</v>
      </c>
      <c r="N58" s="532"/>
      <c r="O58" s="532">
        <v>30000002129</v>
      </c>
      <c r="P58" s="533">
        <f>+BIODIESEL!$D$9</f>
        <v>320.67</v>
      </c>
      <c r="Q58" s="534" t="s">
        <v>379</v>
      </c>
      <c r="R58" s="534">
        <v>1</v>
      </c>
      <c r="S58" s="534" t="s">
        <v>380</v>
      </c>
      <c r="T58" s="523" t="s">
        <v>401</v>
      </c>
      <c r="U58" s="524" t="str">
        <f>+U6</f>
        <v>04.11.2023</v>
      </c>
      <c r="V58" s="524" t="str">
        <f t="shared" si="4"/>
        <v>30.11.2023</v>
      </c>
    </row>
    <row r="59" spans="1:22" ht="14.5">
      <c r="A59" s="521" t="s">
        <v>377</v>
      </c>
      <c r="B59" s="519">
        <v>567</v>
      </c>
      <c r="C59" s="520" t="s">
        <v>386</v>
      </c>
      <c r="D59" s="521"/>
      <c r="E59" s="521"/>
      <c r="F59" s="521"/>
      <c r="G59" s="521"/>
      <c r="H59" s="521"/>
      <c r="I59" s="521"/>
      <c r="J59" s="521"/>
      <c r="K59" s="521"/>
      <c r="L59" s="521"/>
      <c r="M59" s="521" t="s">
        <v>398</v>
      </c>
      <c r="N59" s="521"/>
      <c r="O59" s="521">
        <v>30000002129</v>
      </c>
      <c r="P59" s="530">
        <f>+BIODIESEL!D$8</f>
        <v>4648.51</v>
      </c>
      <c r="Q59" s="520" t="s">
        <v>379</v>
      </c>
      <c r="R59" s="520">
        <v>1</v>
      </c>
      <c r="S59" s="520" t="s">
        <v>380</v>
      </c>
      <c r="T59" s="523" t="s">
        <v>401</v>
      </c>
      <c r="U59" s="524" t="str">
        <f>+U7</f>
        <v>04.11.2023</v>
      </c>
      <c r="V59" s="524" t="str">
        <f>+V56</f>
        <v>30.11.2023</v>
      </c>
    </row>
    <row r="60" spans="1:22" ht="14.5">
      <c r="A60" s="531" t="s">
        <v>381</v>
      </c>
      <c r="B60" s="519">
        <v>567</v>
      </c>
      <c r="C60" s="520" t="s">
        <v>386</v>
      </c>
      <c r="D60" s="532"/>
      <c r="E60" s="532"/>
      <c r="F60" s="532"/>
      <c r="G60" s="532"/>
      <c r="H60" s="532"/>
      <c r="I60" s="532"/>
      <c r="J60" s="532"/>
      <c r="K60" s="532"/>
      <c r="L60" s="532"/>
      <c r="M60" s="532" t="s">
        <v>398</v>
      </c>
      <c r="N60" s="532"/>
      <c r="O60" s="532">
        <v>30000002129</v>
      </c>
      <c r="P60" s="533">
        <f>+BIODIESEL!$D$9</f>
        <v>320.67</v>
      </c>
      <c r="Q60" s="534" t="s">
        <v>379</v>
      </c>
      <c r="R60" s="534">
        <v>1</v>
      </c>
      <c r="S60" s="534" t="s">
        <v>380</v>
      </c>
      <c r="T60" s="523" t="s">
        <v>401</v>
      </c>
      <c r="U60" s="524" t="str">
        <f>+U8</f>
        <v>04.11.2023</v>
      </c>
      <c r="V60" s="524" t="str">
        <f t="shared" si="4"/>
        <v>30.11.2023</v>
      </c>
    </row>
    <row r="61" spans="1:22" ht="14.5">
      <c r="A61" s="521" t="s">
        <v>377</v>
      </c>
      <c r="B61" s="519">
        <v>567</v>
      </c>
      <c r="C61" s="520" t="s">
        <v>386</v>
      </c>
      <c r="D61" s="521"/>
      <c r="E61" s="521"/>
      <c r="F61" s="521"/>
      <c r="G61" s="521"/>
      <c r="H61" s="521"/>
      <c r="I61" s="521"/>
      <c r="J61" s="521"/>
      <c r="K61" s="521"/>
      <c r="L61" s="521"/>
      <c r="M61" s="521" t="s">
        <v>399</v>
      </c>
      <c r="N61" s="521"/>
      <c r="O61" s="521">
        <v>30000002129</v>
      </c>
      <c r="P61" s="535" t="e">
        <f>+ROUND(+#REF!*98%,2)</f>
        <v>#REF!</v>
      </c>
      <c r="Q61" s="520" t="s">
        <v>379</v>
      </c>
      <c r="R61" s="521">
        <v>1</v>
      </c>
      <c r="S61" s="520" t="s">
        <v>380</v>
      </c>
      <c r="T61" s="523" t="s">
        <v>401</v>
      </c>
      <c r="U61" s="524" t="str">
        <f t="shared" ref="U61:U63" si="5">+U10</f>
        <v>04.11.2023</v>
      </c>
      <c r="V61" s="524" t="str">
        <f t="shared" si="4"/>
        <v>30.11.2023</v>
      </c>
    </row>
    <row r="62" spans="1:22" ht="14.5">
      <c r="A62" s="521" t="s">
        <v>384</v>
      </c>
      <c r="B62" s="519">
        <v>567</v>
      </c>
      <c r="C62" s="520" t="s">
        <v>386</v>
      </c>
      <c r="D62" s="521"/>
      <c r="E62" s="521"/>
      <c r="F62" s="521"/>
      <c r="G62" s="521"/>
      <c r="H62" s="521"/>
      <c r="I62" s="521"/>
      <c r="J62" s="521"/>
      <c r="K62" s="521"/>
      <c r="L62" s="521"/>
      <c r="M62" s="521" t="s">
        <v>399</v>
      </c>
      <c r="N62" s="521"/>
      <c r="O62" s="521">
        <v>30000000003</v>
      </c>
      <c r="P62" s="535" t="e">
        <f>+#REF!</f>
        <v>#REF!</v>
      </c>
      <c r="Q62" s="520" t="s">
        <v>379</v>
      </c>
      <c r="R62" s="521">
        <v>1</v>
      </c>
      <c r="S62" s="520" t="s">
        <v>380</v>
      </c>
      <c r="T62" s="523" t="s">
        <v>401</v>
      </c>
      <c r="U62" s="524" t="str">
        <f t="shared" si="5"/>
        <v>04.11.2023</v>
      </c>
      <c r="V62" s="524" t="str">
        <f t="shared" si="4"/>
        <v>30.11.2023</v>
      </c>
    </row>
    <row r="63" spans="1:22" ht="14.5">
      <c r="A63" s="521" t="s">
        <v>381</v>
      </c>
      <c r="B63" s="519">
        <v>567</v>
      </c>
      <c r="C63" s="520" t="s">
        <v>386</v>
      </c>
      <c r="D63" s="521"/>
      <c r="E63" s="521"/>
      <c r="F63" s="521"/>
      <c r="G63" s="521"/>
      <c r="H63" s="521"/>
      <c r="I63" s="521"/>
      <c r="J63" s="521"/>
      <c r="K63" s="521"/>
      <c r="L63" s="521"/>
      <c r="M63" s="521" t="s">
        <v>399</v>
      </c>
      <c r="N63" s="521"/>
      <c r="O63" s="521">
        <v>30000002129</v>
      </c>
      <c r="P63" s="533">
        <f>+BIODIESEL!$D$9</f>
        <v>320.67</v>
      </c>
      <c r="Q63" s="520" t="s">
        <v>379</v>
      </c>
      <c r="R63" s="521">
        <v>1</v>
      </c>
      <c r="S63" s="520" t="s">
        <v>380</v>
      </c>
      <c r="T63" s="523" t="s">
        <v>401</v>
      </c>
      <c r="U63" s="524" t="str">
        <f t="shared" si="5"/>
        <v>04.11.2023</v>
      </c>
      <c r="V63" s="524" t="str">
        <f t="shared" si="4"/>
        <v>30.11.2023</v>
      </c>
    </row>
  </sheetData>
  <autoFilter ref="A1:V63" xr:uid="{F0C82715-0163-49C2-AF9D-D85FE30CE2ED}"/>
  <conditionalFormatting sqref="A1:A10">
    <cfRule type="containsText" dxfId="14" priority="14" operator="containsText" text="Seleccione...">
      <formula>NOT(ISERROR(SEARCH("Seleccione...",A1)))</formula>
    </cfRule>
  </conditionalFormatting>
  <conditionalFormatting sqref="A18:A46">
    <cfRule type="containsText" dxfId="13" priority="10" operator="containsText" text="Seleccione...">
      <formula>NOT(ISERROR(SEARCH("Seleccione...",A18)))</formula>
    </cfRule>
  </conditionalFormatting>
  <conditionalFormatting sqref="A11:S17">
    <cfRule type="containsText" dxfId="12" priority="16" operator="containsText" text="Seleccione...">
      <formula>NOT(ISERROR(SEARCH("Seleccione...",A11)))</formula>
    </cfRule>
  </conditionalFormatting>
  <conditionalFormatting sqref="A57:S63">
    <cfRule type="containsText" dxfId="11" priority="1" operator="containsText" text="Seleccione...">
      <formula>NOT(ISERROR(SEARCH("Seleccione...",A57)))</formula>
    </cfRule>
  </conditionalFormatting>
  <conditionalFormatting sqref="B18:H42 J18:N42 A47:T49">
    <cfRule type="containsText" dxfId="10" priority="12" operator="containsText" text="Seleccione...">
      <formula>NOT(ISERROR(SEARCH("Seleccione...",A18)))</formula>
    </cfRule>
  </conditionalFormatting>
  <conditionalFormatting sqref="B43:N46">
    <cfRule type="containsText" dxfId="9" priority="9" operator="containsText" text="Seleccione...">
      <formula>NOT(ISERROR(SEARCH("Seleccione...",B43)))</formula>
    </cfRule>
  </conditionalFormatting>
  <conditionalFormatting sqref="B2:S10">
    <cfRule type="containsText" dxfId="8" priority="13" operator="containsText" text="Seleccione...">
      <formula>NOT(ISERROR(SEARCH("Seleccione...",B2)))</formula>
    </cfRule>
  </conditionalFormatting>
  <conditionalFormatting sqref="B1:V1">
    <cfRule type="containsText" dxfId="7" priority="15" operator="containsText" text="Seleccione...">
      <formula>NOT(ISERROR(SEARCH("Seleccione...",B1)))</formula>
    </cfRule>
  </conditionalFormatting>
  <conditionalFormatting sqref="C50:N51">
    <cfRule type="containsText" dxfId="6" priority="5" operator="containsText" text="Seleccione...">
      <formula>NOT(ISERROR(SEARCH("Seleccione...",C50)))</formula>
    </cfRule>
  </conditionalFormatting>
  <conditionalFormatting sqref="C52:O54 C55:H56 J55:O56">
    <cfRule type="containsText" dxfId="5" priority="8" operator="containsText" text="Seleccione...">
      <formula>NOT(ISERROR(SEARCH("Seleccione...",C52)))</formula>
    </cfRule>
  </conditionalFormatting>
  <conditionalFormatting sqref="P18:S37 T19:T37 P38:T46">
    <cfRule type="containsText" dxfId="4" priority="11" operator="containsText" text="Seleccione...">
      <formula>NOT(ISERROR(SEARCH("Seleccione...",P18)))</formula>
    </cfRule>
  </conditionalFormatting>
  <conditionalFormatting sqref="P50:S56">
    <cfRule type="containsText" dxfId="3" priority="4" operator="containsText" text="Seleccione...">
      <formula>NOT(ISERROR(SEARCH("Seleccione...",P50)))</formula>
    </cfRule>
  </conditionalFormatting>
  <conditionalFormatting sqref="T50:T63">
    <cfRule type="containsText" dxfId="2" priority="3" operator="containsText" text="Seleccione...">
      <formula>NOT(ISERROR(SEARCH("Seleccione...",T50)))</formula>
    </cfRule>
  </conditionalFormatting>
  <conditionalFormatting sqref="T2:V18">
    <cfRule type="containsText" dxfId="1" priority="2" operator="containsText" text="Seleccione...">
      <formula>NOT(ISERROR(SEARCH("Seleccione...",T2)))</formula>
    </cfRule>
  </conditionalFormatting>
  <conditionalFormatting sqref="U19:V63 A50:B56">
    <cfRule type="containsText" dxfId="0" priority="6" operator="containsText" text="Seleccione...">
      <formula>NOT(ISERROR(SEARCH("Seleccione...",A19)))</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1640625" defaultRowHeight="12.5"/>
  <cols>
    <col min="1" max="1" width="6.26953125" style="119" customWidth="1"/>
    <col min="2" max="2" width="37.7265625" style="119" customWidth="1"/>
    <col min="3" max="3" width="9" style="119" hidden="1" customWidth="1"/>
    <col min="4" max="4" width="7.26953125" style="119" hidden="1" customWidth="1"/>
    <col min="5" max="5" width="11.7265625" style="119" hidden="1" customWidth="1"/>
    <col min="6" max="7" width="8.7265625" style="119" hidden="1" customWidth="1"/>
    <col min="8" max="8" width="9.81640625" style="119" hidden="1" customWidth="1"/>
    <col min="9" max="9" width="11.26953125" style="119" hidden="1" customWidth="1"/>
    <col min="10" max="10" width="9" style="119" hidden="1" customWidth="1"/>
    <col min="11" max="11" width="9.26953125" style="119" hidden="1" customWidth="1"/>
    <col min="12" max="12" width="12.26953125" style="119" hidden="1" customWidth="1"/>
    <col min="13" max="14" width="11.26953125" style="119" hidden="1" customWidth="1"/>
    <col min="15" max="15" width="15.26953125" style="119" hidden="1" customWidth="1"/>
    <col min="16" max="17" width="11.26953125" style="119" hidden="1" customWidth="1"/>
    <col min="18" max="28" width="11.26953125" style="118" hidden="1" customWidth="1"/>
    <col min="29" max="30" width="10.81640625" style="118" hidden="1" customWidth="1"/>
    <col min="31" max="32" width="10.81640625" style="119" hidden="1" customWidth="1"/>
    <col min="33" max="35" width="10.81640625" style="119" customWidth="1"/>
    <col min="36" max="38" width="10.81640625" style="119"/>
    <col min="39" max="39" width="36.1796875" style="119" bestFit="1" customWidth="1"/>
    <col min="40" max="42" width="10.81640625" style="119"/>
    <col min="43" max="43" width="36.1796875" style="119" bestFit="1" customWidth="1"/>
    <col min="44" max="16384" width="10.81640625" style="119"/>
  </cols>
  <sheetData>
    <row r="1" spans="1:61" ht="16" thickBot="1">
      <c r="A1" s="115"/>
      <c r="B1" s="116"/>
      <c r="C1" s="116"/>
      <c r="D1" s="116"/>
      <c r="E1" s="116"/>
      <c r="F1" s="116"/>
      <c r="G1" s="116"/>
      <c r="H1" s="116"/>
      <c r="I1" s="117"/>
      <c r="J1" s="117"/>
      <c r="K1" s="118"/>
      <c r="L1" s="118"/>
      <c r="M1" s="118"/>
      <c r="N1" s="118"/>
      <c r="O1" s="118"/>
      <c r="P1" s="118"/>
      <c r="Q1" s="118"/>
      <c r="AA1" s="687" t="s">
        <v>49</v>
      </c>
      <c r="AB1" s="687"/>
      <c r="AC1" s="687"/>
      <c r="AD1" s="687" t="s">
        <v>50</v>
      </c>
      <c r="AE1" s="687"/>
      <c r="AF1" s="687"/>
      <c r="AG1" s="687" t="s">
        <v>143</v>
      </c>
      <c r="AH1" s="687"/>
      <c r="AI1" s="687"/>
      <c r="AJ1" s="687" t="s">
        <v>154</v>
      </c>
      <c r="AK1" s="687"/>
      <c r="AL1" s="687"/>
      <c r="AM1" s="116"/>
      <c r="AN1" s="689" t="s">
        <v>215</v>
      </c>
      <c r="AO1" s="689"/>
      <c r="AP1" s="689"/>
      <c r="AQ1" s="116"/>
      <c r="AR1" s="668" t="s">
        <v>230</v>
      </c>
      <c r="AS1" s="669"/>
      <c r="AT1" s="670"/>
      <c r="AU1" s="668" t="s">
        <v>232</v>
      </c>
      <c r="AV1" s="669"/>
      <c r="AW1" s="670"/>
      <c r="AX1" s="668" t="s">
        <v>235</v>
      </c>
      <c r="AY1" s="669"/>
      <c r="AZ1" s="670"/>
      <c r="BA1" s="668" t="s">
        <v>240</v>
      </c>
      <c r="BB1" s="669"/>
      <c r="BC1" s="670"/>
      <c r="BD1" s="668" t="s">
        <v>251</v>
      </c>
      <c r="BE1" s="669"/>
      <c r="BF1" s="670"/>
      <c r="BG1" s="668" t="s">
        <v>252</v>
      </c>
      <c r="BH1" s="669"/>
      <c r="BI1" s="670"/>
    </row>
    <row r="2" spans="1:61" ht="15" customHeight="1">
      <c r="A2" s="682" t="s">
        <v>51</v>
      </c>
      <c r="B2" s="683"/>
      <c r="C2" s="120"/>
      <c r="D2" s="120"/>
      <c r="E2" s="120"/>
      <c r="F2" s="120"/>
      <c r="G2" s="120"/>
      <c r="H2" s="120"/>
      <c r="I2" s="120"/>
      <c r="J2" s="120"/>
      <c r="K2" s="120"/>
      <c r="L2" s="120"/>
      <c r="M2" s="120"/>
      <c r="N2" s="120"/>
      <c r="O2" s="120"/>
      <c r="P2" s="120"/>
      <c r="Q2" s="120"/>
      <c r="R2" s="121"/>
      <c r="S2" s="121"/>
      <c r="T2" s="121"/>
      <c r="U2" s="122"/>
      <c r="V2" s="123" t="s">
        <v>52</v>
      </c>
      <c r="W2" s="124">
        <v>0.04</v>
      </c>
      <c r="X2" s="122"/>
      <c r="Y2" s="125" t="s">
        <v>53</v>
      </c>
      <c r="Z2" s="124">
        <v>0.04</v>
      </c>
      <c r="AA2" s="122" t="s">
        <v>54</v>
      </c>
      <c r="AB2" s="125"/>
      <c r="AC2" s="124">
        <v>0.05</v>
      </c>
      <c r="AD2" s="122" t="s">
        <v>54</v>
      </c>
      <c r="AE2" s="125"/>
      <c r="AF2" s="124">
        <v>0.03</v>
      </c>
      <c r="AG2" s="122" t="s">
        <v>54</v>
      </c>
      <c r="AH2" s="125"/>
      <c r="AI2" s="124">
        <v>0.03</v>
      </c>
      <c r="AJ2" s="122" t="s">
        <v>54</v>
      </c>
      <c r="AK2" s="125"/>
      <c r="AL2" s="124">
        <v>0.03</v>
      </c>
      <c r="AM2" s="268"/>
      <c r="AN2" s="690" t="s">
        <v>54</v>
      </c>
      <c r="AO2" s="691"/>
      <c r="AP2" s="694">
        <v>0.03</v>
      </c>
      <c r="AQ2" s="296"/>
      <c r="AR2" s="671" t="s">
        <v>54</v>
      </c>
      <c r="AS2" s="672"/>
      <c r="AT2" s="675">
        <v>0.03</v>
      </c>
      <c r="AU2" s="671" t="s">
        <v>54</v>
      </c>
      <c r="AV2" s="672"/>
      <c r="AW2" s="675">
        <v>0.03</v>
      </c>
      <c r="AX2" s="671" t="s">
        <v>54</v>
      </c>
      <c r="AY2" s="672"/>
      <c r="AZ2" s="675">
        <v>0.03</v>
      </c>
      <c r="BA2" s="671" t="s">
        <v>54</v>
      </c>
      <c r="BB2" s="672"/>
      <c r="BC2" s="675">
        <v>0.03</v>
      </c>
      <c r="BD2" s="671" t="s">
        <v>54</v>
      </c>
      <c r="BE2" s="672"/>
      <c r="BF2" s="675">
        <v>0.03</v>
      </c>
      <c r="BG2" s="671" t="s">
        <v>54</v>
      </c>
      <c r="BH2" s="672"/>
      <c r="BI2" s="675">
        <v>0.03</v>
      </c>
    </row>
    <row r="3" spans="1:61" ht="55.75" customHeight="1" thickBot="1">
      <c r="A3" s="684"/>
      <c r="B3" s="685"/>
      <c r="C3" s="679" t="s">
        <v>55</v>
      </c>
      <c r="D3" s="680"/>
      <c r="E3" s="681"/>
      <c r="F3" s="679" t="s">
        <v>56</v>
      </c>
      <c r="G3" s="680"/>
      <c r="H3" s="681"/>
      <c r="I3" s="679" t="s">
        <v>57</v>
      </c>
      <c r="J3" s="680"/>
      <c r="K3" s="681"/>
      <c r="L3" s="679" t="s">
        <v>58</v>
      </c>
      <c r="M3" s="680"/>
      <c r="N3" s="681"/>
      <c r="O3" s="679" t="s">
        <v>59</v>
      </c>
      <c r="P3" s="680"/>
      <c r="Q3" s="681"/>
      <c r="R3" s="679" t="s">
        <v>60</v>
      </c>
      <c r="S3" s="680"/>
      <c r="T3" s="681"/>
      <c r="U3" s="679" t="s">
        <v>61</v>
      </c>
      <c r="V3" s="680"/>
      <c r="W3" s="681"/>
      <c r="X3" s="679" t="s">
        <v>62</v>
      </c>
      <c r="Y3" s="680"/>
      <c r="Z3" s="681"/>
      <c r="AA3" s="679"/>
      <c r="AB3" s="680"/>
      <c r="AC3" s="681"/>
      <c r="AD3" s="679"/>
      <c r="AE3" s="680"/>
      <c r="AF3" s="681"/>
      <c r="AG3" s="679"/>
      <c r="AH3" s="680"/>
      <c r="AI3" s="681"/>
      <c r="AJ3" s="679"/>
      <c r="AK3" s="680"/>
      <c r="AL3" s="681"/>
      <c r="AM3" s="269"/>
      <c r="AN3" s="692"/>
      <c r="AO3" s="693"/>
      <c r="AP3" s="695"/>
      <c r="AQ3" s="297"/>
      <c r="AR3" s="673"/>
      <c r="AS3" s="674"/>
      <c r="AT3" s="676"/>
      <c r="AU3" s="673"/>
      <c r="AV3" s="674"/>
      <c r="AW3" s="676"/>
      <c r="AX3" s="673"/>
      <c r="AY3" s="674"/>
      <c r="AZ3" s="676"/>
      <c r="BA3" s="673"/>
      <c r="BB3" s="674"/>
      <c r="BC3" s="676"/>
      <c r="BD3" s="673"/>
      <c r="BE3" s="674"/>
      <c r="BF3" s="676"/>
      <c r="BG3" s="673"/>
      <c r="BH3" s="674"/>
      <c r="BI3" s="676"/>
    </row>
    <row r="4" spans="1:61" ht="46.5" thickBot="1">
      <c r="A4" s="126"/>
      <c r="B4" s="127"/>
      <c r="C4" s="128" t="s">
        <v>63</v>
      </c>
      <c r="D4" s="128" t="s">
        <v>64</v>
      </c>
      <c r="E4" s="128" t="s">
        <v>65</v>
      </c>
      <c r="F4" s="129" t="s">
        <v>66</v>
      </c>
      <c r="G4" s="129" t="s">
        <v>64</v>
      </c>
      <c r="H4" s="129" t="s">
        <v>65</v>
      </c>
      <c r="I4" s="129" t="s">
        <v>67</v>
      </c>
      <c r="J4" s="129" t="s">
        <v>64</v>
      </c>
      <c r="K4" s="129" t="s">
        <v>65</v>
      </c>
      <c r="L4" s="129" t="s">
        <v>68</v>
      </c>
      <c r="M4" s="129" t="s">
        <v>64</v>
      </c>
      <c r="N4" s="129" t="s">
        <v>65</v>
      </c>
      <c r="O4" s="129" t="s">
        <v>68</v>
      </c>
      <c r="P4" s="129" t="s">
        <v>64</v>
      </c>
      <c r="Q4" s="129" t="s">
        <v>65</v>
      </c>
      <c r="R4" s="129" t="s">
        <v>68</v>
      </c>
      <c r="S4" s="129" t="s">
        <v>64</v>
      </c>
      <c r="T4" s="129" t="s">
        <v>65</v>
      </c>
      <c r="U4" s="129" t="s">
        <v>69</v>
      </c>
      <c r="V4" s="129" t="s">
        <v>64</v>
      </c>
      <c r="W4" s="129" t="s">
        <v>65</v>
      </c>
      <c r="X4" s="129" t="s">
        <v>69</v>
      </c>
      <c r="Y4" s="129" t="s">
        <v>64</v>
      </c>
      <c r="Z4" s="129" t="s">
        <v>65</v>
      </c>
      <c r="AA4" s="129" t="s">
        <v>69</v>
      </c>
      <c r="AB4" s="129" t="s">
        <v>64</v>
      </c>
      <c r="AC4" s="129" t="s">
        <v>65</v>
      </c>
      <c r="AD4" s="129" t="s">
        <v>70</v>
      </c>
      <c r="AE4" s="130" t="s">
        <v>64</v>
      </c>
      <c r="AF4" s="129" t="s">
        <v>65</v>
      </c>
      <c r="AG4" s="129" t="s">
        <v>155</v>
      </c>
      <c r="AH4" s="130" t="s">
        <v>64</v>
      </c>
      <c r="AI4" s="129" t="s">
        <v>65</v>
      </c>
      <c r="AJ4" s="129" t="s">
        <v>167</v>
      </c>
      <c r="AK4" s="130" t="s">
        <v>64</v>
      </c>
      <c r="AL4" s="129" t="s">
        <v>65</v>
      </c>
      <c r="AM4" s="270"/>
      <c r="AN4" s="271" t="s">
        <v>216</v>
      </c>
      <c r="AO4" s="271" t="s">
        <v>64</v>
      </c>
      <c r="AP4" s="271" t="s">
        <v>65</v>
      </c>
      <c r="AQ4" s="298"/>
      <c r="AR4" s="299" t="s">
        <v>216</v>
      </c>
      <c r="AS4" s="299" t="s">
        <v>64</v>
      </c>
      <c r="AT4" s="299" t="s">
        <v>65</v>
      </c>
      <c r="AU4" s="299" t="s">
        <v>216</v>
      </c>
      <c r="AV4" s="299" t="s">
        <v>64</v>
      </c>
      <c r="AW4" s="299" t="s">
        <v>65</v>
      </c>
      <c r="AX4" s="299" t="s">
        <v>216</v>
      </c>
      <c r="AY4" s="299" t="s">
        <v>64</v>
      </c>
      <c r="AZ4" s="299" t="s">
        <v>65</v>
      </c>
      <c r="BA4" s="299" t="s">
        <v>216</v>
      </c>
      <c r="BB4" s="299" t="s">
        <v>64</v>
      </c>
      <c r="BC4" s="299" t="s">
        <v>65</v>
      </c>
      <c r="BD4" s="299" t="s">
        <v>216</v>
      </c>
      <c r="BE4" s="299" t="s">
        <v>64</v>
      </c>
      <c r="BF4" s="299" t="s">
        <v>65</v>
      </c>
      <c r="BG4" s="299" t="s">
        <v>216</v>
      </c>
      <c r="BH4" s="299" t="s">
        <v>64</v>
      </c>
      <c r="BI4" s="299" t="s">
        <v>65</v>
      </c>
    </row>
    <row r="5" spans="1:61" ht="15.5">
      <c r="A5" s="131"/>
      <c r="B5" s="81" t="s">
        <v>71</v>
      </c>
      <c r="C5" s="85">
        <v>12</v>
      </c>
      <c r="D5" s="86">
        <v>12</v>
      </c>
      <c r="E5" s="87">
        <v>504</v>
      </c>
      <c r="F5" s="88">
        <v>34</v>
      </c>
      <c r="G5" s="86">
        <v>34</v>
      </c>
      <c r="H5" s="87">
        <v>1428</v>
      </c>
      <c r="I5" s="86">
        <v>35.869999999999997</v>
      </c>
      <c r="J5" s="86">
        <v>35.869999999999997</v>
      </c>
      <c r="K5" s="87">
        <v>1506.54</v>
      </c>
      <c r="L5" s="86">
        <v>37.663499999999999</v>
      </c>
      <c r="M5" s="86">
        <v>37.663499999999999</v>
      </c>
      <c r="N5" s="87">
        <v>1581.867</v>
      </c>
      <c r="O5" s="86">
        <v>39.358357499999997</v>
      </c>
      <c r="P5" s="86">
        <v>39.358357499999997</v>
      </c>
      <c r="Q5" s="87">
        <v>1653.0510149999998</v>
      </c>
      <c r="R5" s="86">
        <v>39.358357499999997</v>
      </c>
      <c r="S5" s="86">
        <v>39.358357499999997</v>
      </c>
      <c r="T5" s="87">
        <v>1653.0510149999998</v>
      </c>
      <c r="U5" s="86">
        <v>40.932691800000001</v>
      </c>
      <c r="V5" s="86">
        <v>40.932691800000001</v>
      </c>
      <c r="W5" s="87">
        <v>1719.1730556</v>
      </c>
      <c r="X5" s="86"/>
      <c r="Y5" s="86"/>
      <c r="Z5" s="87"/>
      <c r="AA5" s="86"/>
      <c r="AB5" s="86"/>
      <c r="AC5" s="87"/>
      <c r="AD5" s="86"/>
      <c r="AE5" s="90"/>
      <c r="AF5" s="87"/>
      <c r="AG5" s="86"/>
      <c r="AH5" s="90"/>
      <c r="AI5" s="87"/>
      <c r="AJ5" s="86"/>
      <c r="AK5" s="90"/>
      <c r="AL5" s="87"/>
      <c r="AM5" s="81" t="s">
        <v>71</v>
      </c>
      <c r="AN5" s="86"/>
      <c r="AO5" s="90"/>
      <c r="AP5" s="87"/>
      <c r="AQ5" s="81" t="s">
        <v>71</v>
      </c>
      <c r="AR5" s="86"/>
      <c r="AS5" s="90"/>
      <c r="AT5" s="87"/>
      <c r="AU5" s="86"/>
      <c r="AV5" s="90"/>
      <c r="AW5" s="87"/>
      <c r="AX5" s="86"/>
      <c r="AY5" s="90"/>
      <c r="AZ5" s="87"/>
      <c r="BA5" s="86"/>
      <c r="BB5" s="90"/>
      <c r="BC5" s="87"/>
      <c r="BD5" s="86"/>
      <c r="BE5" s="90"/>
      <c r="BF5" s="87"/>
      <c r="BG5" s="86"/>
      <c r="BH5" s="90"/>
      <c r="BI5" s="87"/>
    </row>
    <row r="6" spans="1:61" ht="14.5" thickBot="1">
      <c r="A6" s="91">
        <v>420</v>
      </c>
      <c r="B6" s="82" t="s">
        <v>72</v>
      </c>
      <c r="C6" s="92">
        <v>15</v>
      </c>
      <c r="D6" s="93">
        <v>15</v>
      </c>
      <c r="E6" s="94">
        <v>630</v>
      </c>
      <c r="F6" s="95">
        <v>34</v>
      </c>
      <c r="G6" s="93">
        <v>34</v>
      </c>
      <c r="H6" s="94">
        <v>1428</v>
      </c>
      <c r="I6" s="93">
        <v>35.869999999999997</v>
      </c>
      <c r="J6" s="93">
        <v>35.869999999999997</v>
      </c>
      <c r="K6" s="94">
        <v>1506.54</v>
      </c>
      <c r="L6" s="93">
        <v>37.663499999999999</v>
      </c>
      <c r="M6" s="93">
        <v>37.663499999999999</v>
      </c>
      <c r="N6" s="94">
        <v>1581.867</v>
      </c>
      <c r="O6" s="93">
        <v>39.358357499999997</v>
      </c>
      <c r="P6" s="93">
        <v>39.358357499999997</v>
      </c>
      <c r="Q6" s="94">
        <v>1653.0510149999998</v>
      </c>
      <c r="R6" s="93">
        <v>39.358357499999997</v>
      </c>
      <c r="S6" s="93">
        <v>39.358357499999997</v>
      </c>
      <c r="T6" s="94">
        <v>1653.0510149999998</v>
      </c>
      <c r="U6" s="93">
        <v>40.932691800000001</v>
      </c>
      <c r="V6" s="93">
        <v>40.932691800000001</v>
      </c>
      <c r="W6" s="94">
        <v>1719.1730556</v>
      </c>
      <c r="X6" s="93"/>
      <c r="Y6" s="93"/>
      <c r="Z6" s="94"/>
      <c r="AA6" s="93"/>
      <c r="AB6" s="93"/>
      <c r="AC6" s="94"/>
      <c r="AD6" s="93"/>
      <c r="AE6" s="97"/>
      <c r="AF6" s="94"/>
      <c r="AG6" s="93"/>
      <c r="AH6" s="97"/>
      <c r="AI6" s="94"/>
      <c r="AJ6" s="93"/>
      <c r="AK6" s="97"/>
      <c r="AL6" s="94"/>
      <c r="AM6" s="82" t="s">
        <v>72</v>
      </c>
      <c r="AN6" s="93"/>
      <c r="AO6" s="97"/>
      <c r="AP6" s="94"/>
      <c r="AQ6" s="82" t="s">
        <v>72</v>
      </c>
      <c r="AR6" s="93"/>
      <c r="AS6" s="97"/>
      <c r="AT6" s="94"/>
      <c r="AU6" s="93"/>
      <c r="AV6" s="97"/>
      <c r="AW6" s="94"/>
      <c r="AX6" s="93"/>
      <c r="AY6" s="97"/>
      <c r="AZ6" s="94"/>
      <c r="BA6" s="93"/>
      <c r="BB6" s="97"/>
      <c r="BC6" s="94"/>
      <c r="BD6" s="93"/>
      <c r="BE6" s="97"/>
      <c r="BF6" s="94"/>
      <c r="BG6" s="93"/>
      <c r="BH6" s="97"/>
      <c r="BI6" s="94"/>
    </row>
    <row r="7" spans="1:61" ht="14">
      <c r="A7" s="91"/>
      <c r="B7" s="132" t="s">
        <v>73</v>
      </c>
      <c r="C7" s="92"/>
      <c r="D7" s="93"/>
      <c r="E7" s="94"/>
      <c r="F7" s="95"/>
      <c r="G7" s="93"/>
      <c r="H7" s="94"/>
      <c r="I7" s="93"/>
      <c r="J7" s="93"/>
      <c r="K7" s="94"/>
      <c r="L7" s="93"/>
      <c r="M7" s="93"/>
      <c r="N7" s="94"/>
      <c r="O7" s="93"/>
      <c r="P7" s="93"/>
      <c r="Q7" s="94"/>
      <c r="R7" s="93"/>
      <c r="S7" s="93"/>
      <c r="T7" s="94"/>
      <c r="U7" s="93">
        <v>56.7</v>
      </c>
      <c r="V7" s="93">
        <v>56.7</v>
      </c>
      <c r="W7" s="94">
        <v>2381.4</v>
      </c>
      <c r="X7" s="93">
        <v>58.968000000000004</v>
      </c>
      <c r="Y7" s="93">
        <v>58.968000000000004</v>
      </c>
      <c r="Z7" s="94">
        <v>2476.6559999999999</v>
      </c>
      <c r="AA7" s="93">
        <v>61.916400000000003</v>
      </c>
      <c r="AB7" s="93">
        <v>61.916400000000003</v>
      </c>
      <c r="AC7" s="94">
        <v>2600.4888000000001</v>
      </c>
      <c r="AD7" s="93">
        <v>63.78</v>
      </c>
      <c r="AE7" s="97">
        <v>63.78</v>
      </c>
      <c r="AF7" s="94">
        <f>AE7*42</f>
        <v>2678.76</v>
      </c>
      <c r="AG7" s="93">
        <f>AD7*(1+$AI$2)</f>
        <v>65.693399999999997</v>
      </c>
      <c r="AH7" s="97">
        <f>AE7*(1+$AI$2)</f>
        <v>65.693399999999997</v>
      </c>
      <c r="AI7" s="94">
        <f>AH7*42</f>
        <v>2759.1228000000001</v>
      </c>
      <c r="AJ7" s="93">
        <f>AG7*(1+$AI$2)</f>
        <v>67.664202000000003</v>
      </c>
      <c r="AK7" s="97">
        <f>AH7*(1+$AI$2)</f>
        <v>67.664202000000003</v>
      </c>
      <c r="AL7" s="94">
        <f>AK7*42</f>
        <v>2841.8964840000003</v>
      </c>
      <c r="AM7" s="254" t="s">
        <v>73</v>
      </c>
      <c r="AN7" s="272">
        <v>69.694128060000011</v>
      </c>
      <c r="AO7" s="273">
        <v>69.694128060000011</v>
      </c>
      <c r="AP7" s="274">
        <v>2927.1533785200004</v>
      </c>
      <c r="AQ7" s="254" t="s">
        <v>73</v>
      </c>
      <c r="AR7" s="272">
        <f>AN7*(1+$AT$2)</f>
        <v>71.784951901800014</v>
      </c>
      <c r="AS7" s="273">
        <f>AO7*(1+$AT$2)</f>
        <v>71.784951901800014</v>
      </c>
      <c r="AT7" s="274">
        <f>AP7*(1+$AT$2)</f>
        <v>3014.9679798756006</v>
      </c>
      <c r="AU7" s="272">
        <f>AR7*(1+$AW$2)</f>
        <v>73.938500458854023</v>
      </c>
      <c r="AV7" s="273">
        <f>AS7*(1+$AW$2)</f>
        <v>73.938500458854023</v>
      </c>
      <c r="AW7" s="274">
        <f>AT7*(1+$AW$2)</f>
        <v>3105.4170192718689</v>
      </c>
      <c r="AX7" s="272">
        <f>AU7*(1+$AZ$2)</f>
        <v>76.156655472619647</v>
      </c>
      <c r="AY7" s="273">
        <f>AV7*(1+$AZ$2)</f>
        <v>76.156655472619647</v>
      </c>
      <c r="AZ7" s="274">
        <f>AW7*(1+$AZ$2)</f>
        <v>3198.5795298500252</v>
      </c>
      <c r="BA7" s="272">
        <f>AX7*(1+$BC$2)</f>
        <v>78.441355136798236</v>
      </c>
      <c r="BB7" s="273">
        <f t="shared" ref="BB7:BB38" si="0">AY7*(1+$BC$2)</f>
        <v>78.441355136798236</v>
      </c>
      <c r="BC7" s="274">
        <f t="shared" ref="BC7:BC38" si="1">AZ7*(1+$BC$2)</f>
        <v>3294.5369157455261</v>
      </c>
      <c r="BD7" s="272">
        <f t="shared" ref="BD7:BD38" si="2">BA7*(1+$BF$2)</f>
        <v>80.794595790902179</v>
      </c>
      <c r="BE7" s="273">
        <f t="shared" ref="BE7:BE38" si="3">BB7*(1+$BF$2)</f>
        <v>80.794595790902179</v>
      </c>
      <c r="BF7" s="274">
        <f t="shared" ref="BF7:BF38" si="4">BC7*(1+$BF$2)</f>
        <v>3393.3730232178918</v>
      </c>
      <c r="BG7" s="272">
        <f t="shared" ref="BG7:BG61" si="5">BD7*(1+$BF$2)</f>
        <v>83.218433664629245</v>
      </c>
      <c r="BH7" s="273">
        <f t="shared" ref="BH7:BH61" si="6">BE7*(1+$BF$2)</f>
        <v>83.218433664629245</v>
      </c>
      <c r="BI7" s="274">
        <f t="shared" ref="BI7:BI61" si="7">BF7*(1+$BF$2)</f>
        <v>3495.1742139144285</v>
      </c>
    </row>
    <row r="8" spans="1:61" ht="14">
      <c r="A8" s="91"/>
      <c r="B8" s="133" t="s">
        <v>74</v>
      </c>
      <c r="C8" s="92"/>
      <c r="D8" s="93"/>
      <c r="E8" s="94"/>
      <c r="F8" s="95"/>
      <c r="G8" s="93"/>
      <c r="H8" s="94"/>
      <c r="I8" s="93"/>
      <c r="J8" s="93"/>
      <c r="K8" s="94"/>
      <c r="L8" s="93"/>
      <c r="M8" s="93"/>
      <c r="N8" s="94"/>
      <c r="O8" s="93"/>
      <c r="P8" s="93"/>
      <c r="Q8" s="94"/>
      <c r="R8" s="93"/>
      <c r="S8" s="93"/>
      <c r="T8" s="94"/>
      <c r="U8" s="93">
        <v>56.7</v>
      </c>
      <c r="V8" s="93">
        <v>56.7</v>
      </c>
      <c r="W8" s="94">
        <v>2381.4</v>
      </c>
      <c r="X8" s="93">
        <v>58.968000000000004</v>
      </c>
      <c r="Y8" s="93">
        <v>58.968000000000004</v>
      </c>
      <c r="Z8" s="94">
        <v>2476.6559999999999</v>
      </c>
      <c r="AA8" s="93">
        <v>61.916400000000003</v>
      </c>
      <c r="AB8" s="93">
        <v>61.916400000000003</v>
      </c>
      <c r="AC8" s="94">
        <v>2600.4888000000001</v>
      </c>
      <c r="AD8" s="93">
        <v>63.78</v>
      </c>
      <c r="AE8" s="97">
        <v>63.78</v>
      </c>
      <c r="AF8" s="94">
        <f>AE8*42</f>
        <v>2678.76</v>
      </c>
      <c r="AG8" s="93">
        <f t="shared" ref="AG8:AH47" si="8">AD8*(1+$AI$2)</f>
        <v>65.693399999999997</v>
      </c>
      <c r="AH8" s="97">
        <f t="shared" si="8"/>
        <v>65.693399999999997</v>
      </c>
      <c r="AI8" s="94">
        <f>AH8*42</f>
        <v>2759.1228000000001</v>
      </c>
      <c r="AJ8" s="93">
        <f t="shared" ref="AJ8:AK20" si="9">AG8*(1+$AI$2)</f>
        <v>67.664202000000003</v>
      </c>
      <c r="AK8" s="97">
        <f t="shared" si="9"/>
        <v>67.664202000000003</v>
      </c>
      <c r="AL8" s="94">
        <f>AK8*42</f>
        <v>2841.8964840000003</v>
      </c>
      <c r="AM8" s="255" t="s">
        <v>74</v>
      </c>
      <c r="AN8" s="275">
        <v>69.694128060000011</v>
      </c>
      <c r="AO8" s="276">
        <v>69.694128060000011</v>
      </c>
      <c r="AP8" s="277">
        <v>2927.1533785200004</v>
      </c>
      <c r="AQ8" s="255" t="s">
        <v>74</v>
      </c>
      <c r="AR8" s="275">
        <f t="shared" ref="AR8:AR61" si="10">AN8*(1+$AT$2)</f>
        <v>71.784951901800014</v>
      </c>
      <c r="AS8" s="276">
        <f t="shared" ref="AS8:AS61" si="11">AO8*(1+$AT$2)</f>
        <v>71.784951901800014</v>
      </c>
      <c r="AT8" s="277">
        <f t="shared" ref="AT8:AT61" si="12">AP8*(1+$AT$2)</f>
        <v>3014.9679798756006</v>
      </c>
      <c r="AU8" s="275">
        <f t="shared" ref="AU8:AU61" si="13">AR8*(1+$AW$2)</f>
        <v>73.938500458854023</v>
      </c>
      <c r="AV8" s="276">
        <f t="shared" ref="AV8:AV61" si="14">AS8*(1+$AW$2)</f>
        <v>73.938500458854023</v>
      </c>
      <c r="AW8" s="277">
        <f t="shared" ref="AW8:AW61" si="15">AT8*(1+$AW$2)</f>
        <v>3105.4170192718689</v>
      </c>
      <c r="AX8" s="275">
        <f t="shared" ref="AX8:AX61" si="16">AU8*(1+$AZ$2)</f>
        <v>76.156655472619647</v>
      </c>
      <c r="AY8" s="276">
        <f t="shared" ref="AY8:AY61" si="17">AV8*(1+$AZ$2)</f>
        <v>76.156655472619647</v>
      </c>
      <c r="AZ8" s="277">
        <f t="shared" ref="AZ8:AZ61" si="18">AW8*(1+$AZ$2)</f>
        <v>3198.5795298500252</v>
      </c>
      <c r="BA8" s="275">
        <f t="shared" ref="BA8:BA38" si="19">AX8*(1+$BC$2)</f>
        <v>78.441355136798236</v>
      </c>
      <c r="BB8" s="276">
        <f t="shared" si="0"/>
        <v>78.441355136798236</v>
      </c>
      <c r="BC8" s="277">
        <f t="shared" si="1"/>
        <v>3294.5369157455261</v>
      </c>
      <c r="BD8" s="275">
        <f t="shared" si="2"/>
        <v>80.794595790902179</v>
      </c>
      <c r="BE8" s="276">
        <f t="shared" si="3"/>
        <v>80.794595790902179</v>
      </c>
      <c r="BF8" s="277">
        <f t="shared" si="4"/>
        <v>3393.3730232178918</v>
      </c>
      <c r="BG8" s="275">
        <f t="shared" si="5"/>
        <v>83.218433664629245</v>
      </c>
      <c r="BH8" s="276">
        <f t="shared" si="6"/>
        <v>83.218433664629245</v>
      </c>
      <c r="BI8" s="277">
        <f t="shared" si="7"/>
        <v>3495.1742139144285</v>
      </c>
    </row>
    <row r="9" spans="1:61" ht="14.5" thickBot="1">
      <c r="A9" s="134">
        <v>422</v>
      </c>
      <c r="B9" s="135" t="s">
        <v>75</v>
      </c>
      <c r="C9" s="136">
        <v>50</v>
      </c>
      <c r="D9" s="137">
        <v>50</v>
      </c>
      <c r="E9" s="138">
        <v>2100</v>
      </c>
      <c r="F9" s="139">
        <v>69</v>
      </c>
      <c r="G9" s="137">
        <v>69</v>
      </c>
      <c r="H9" s="138">
        <v>2898</v>
      </c>
      <c r="I9" s="137">
        <v>72.795000000000002</v>
      </c>
      <c r="J9" s="137">
        <v>72.8</v>
      </c>
      <c r="K9" s="138">
        <v>3057.6</v>
      </c>
      <c r="L9" s="137">
        <v>76.434750000000008</v>
      </c>
      <c r="M9" s="137">
        <v>76.434750000000008</v>
      </c>
      <c r="N9" s="138">
        <v>3210.2595000000001</v>
      </c>
      <c r="O9" s="137">
        <v>79.874313749999999</v>
      </c>
      <c r="P9" s="137">
        <v>79.874313749999999</v>
      </c>
      <c r="Q9" s="138">
        <v>3354.7211775000001</v>
      </c>
      <c r="R9" s="137">
        <v>79.874313749999999</v>
      </c>
      <c r="S9" s="137">
        <v>79.874313749999999</v>
      </c>
      <c r="T9" s="138">
        <v>3354.7211775000001</v>
      </c>
      <c r="U9" s="137">
        <v>83.069286300000002</v>
      </c>
      <c r="V9" s="137">
        <v>83.069286300000002</v>
      </c>
      <c r="W9" s="138">
        <v>3488.9100246000003</v>
      </c>
      <c r="X9" s="137">
        <v>86.392057751999999</v>
      </c>
      <c r="Y9" s="137">
        <v>86.392057751999999</v>
      </c>
      <c r="Z9" s="138">
        <v>3628.4664255839998</v>
      </c>
      <c r="AA9" s="137">
        <v>90.711660639599998</v>
      </c>
      <c r="AB9" s="137">
        <v>90.711660639599998</v>
      </c>
      <c r="AC9" s="138">
        <v>3809.8897468631999</v>
      </c>
      <c r="AD9" s="137">
        <f>93.43+0.01</f>
        <v>93.440000000000012</v>
      </c>
      <c r="AE9" s="140">
        <f>93.43+0.01</f>
        <v>93.440000000000012</v>
      </c>
      <c r="AF9" s="138">
        <f t="shared" ref="AF9:AF54" si="20">AE9*42</f>
        <v>3924.4800000000005</v>
      </c>
      <c r="AG9" s="137">
        <f t="shared" si="8"/>
        <v>96.243200000000016</v>
      </c>
      <c r="AH9" s="140">
        <f t="shared" si="8"/>
        <v>96.243200000000016</v>
      </c>
      <c r="AI9" s="138">
        <f t="shared" ref="AI9:AI59" si="21">AH9*42</f>
        <v>4042.2144000000008</v>
      </c>
      <c r="AJ9" s="137">
        <f t="shared" si="9"/>
        <v>99.130496000000022</v>
      </c>
      <c r="AK9" s="140">
        <f t="shared" si="9"/>
        <v>99.130496000000022</v>
      </c>
      <c r="AL9" s="138">
        <f t="shared" ref="AL9:AL57" si="22">AK9*42</f>
        <v>4163.4808320000011</v>
      </c>
      <c r="AM9" s="256" t="s">
        <v>75</v>
      </c>
      <c r="AN9" s="278">
        <v>102.10441088000003</v>
      </c>
      <c r="AO9" s="279">
        <v>102.10441088000003</v>
      </c>
      <c r="AP9" s="280">
        <v>4288.3852569600012</v>
      </c>
      <c r="AQ9" s="256" t="s">
        <v>75</v>
      </c>
      <c r="AR9" s="278">
        <f t="shared" si="10"/>
        <v>105.16754320640004</v>
      </c>
      <c r="AS9" s="279">
        <f t="shared" si="11"/>
        <v>105.16754320640004</v>
      </c>
      <c r="AT9" s="280">
        <f t="shared" si="12"/>
        <v>4417.0368146688015</v>
      </c>
      <c r="AU9" s="278">
        <f t="shared" si="13"/>
        <v>108.32256950259205</v>
      </c>
      <c r="AV9" s="279">
        <f t="shared" si="14"/>
        <v>108.32256950259205</v>
      </c>
      <c r="AW9" s="280">
        <f t="shared" si="15"/>
        <v>4549.5479191088652</v>
      </c>
      <c r="AX9" s="278">
        <f t="shared" si="16"/>
        <v>111.57224658766981</v>
      </c>
      <c r="AY9" s="279">
        <f t="shared" si="17"/>
        <v>111.57224658766981</v>
      </c>
      <c r="AZ9" s="280">
        <f t="shared" si="18"/>
        <v>4686.0343566821311</v>
      </c>
      <c r="BA9" s="278">
        <f t="shared" si="19"/>
        <v>114.91941398529991</v>
      </c>
      <c r="BB9" s="279">
        <f t="shared" si="0"/>
        <v>114.91941398529991</v>
      </c>
      <c r="BC9" s="280">
        <f t="shared" si="1"/>
        <v>4826.6153873825951</v>
      </c>
      <c r="BD9" s="278">
        <f t="shared" si="2"/>
        <v>118.36699640485891</v>
      </c>
      <c r="BE9" s="279">
        <f t="shared" si="3"/>
        <v>118.36699640485891</v>
      </c>
      <c r="BF9" s="280">
        <f t="shared" si="4"/>
        <v>4971.4138490040732</v>
      </c>
      <c r="BG9" s="278">
        <f t="shared" si="5"/>
        <v>121.91800629700468</v>
      </c>
      <c r="BH9" s="279">
        <f t="shared" si="6"/>
        <v>121.91800629700468</v>
      </c>
      <c r="BI9" s="280">
        <f t="shared" si="7"/>
        <v>5120.5562644741958</v>
      </c>
    </row>
    <row r="10" spans="1:61" ht="15.5">
      <c r="A10" s="141"/>
      <c r="B10" s="82" t="s">
        <v>76</v>
      </c>
      <c r="C10" s="92">
        <v>42</v>
      </c>
      <c r="D10" s="93">
        <v>42</v>
      </c>
      <c r="E10" s="94">
        <v>1764</v>
      </c>
      <c r="F10" s="106">
        <v>42</v>
      </c>
      <c r="G10" s="93">
        <v>42</v>
      </c>
      <c r="H10" s="94">
        <v>1764</v>
      </c>
      <c r="I10" s="93">
        <v>44.31</v>
      </c>
      <c r="J10" s="93">
        <v>44.31</v>
      </c>
      <c r="K10" s="94">
        <v>1861.02</v>
      </c>
      <c r="L10" s="93">
        <v>46.525500000000001</v>
      </c>
      <c r="M10" s="93">
        <v>46.525500000000001</v>
      </c>
      <c r="N10" s="94">
        <v>1954.0710000000001</v>
      </c>
      <c r="O10" s="93">
        <v>48.619147499999997</v>
      </c>
      <c r="P10" s="93">
        <v>48.619147499999997</v>
      </c>
      <c r="Q10" s="94">
        <v>2042.004195</v>
      </c>
      <c r="R10" s="93">
        <v>48.619147499999997</v>
      </c>
      <c r="S10" s="93">
        <v>48.619147499999997</v>
      </c>
      <c r="T10" s="94">
        <v>2042.004195</v>
      </c>
      <c r="U10" s="93">
        <v>50.563913399999997</v>
      </c>
      <c r="V10" s="93">
        <v>50.563913399999997</v>
      </c>
      <c r="W10" s="94">
        <v>2123.6843627999997</v>
      </c>
      <c r="X10" s="93">
        <v>52.576469936000002</v>
      </c>
      <c r="Y10" s="93">
        <v>52.576469936000002</v>
      </c>
      <c r="Z10" s="94">
        <v>2208.211737312</v>
      </c>
      <c r="AA10" s="93">
        <v>55.205293432800005</v>
      </c>
      <c r="AB10" s="93">
        <v>55.205293432800005</v>
      </c>
      <c r="AC10" s="94">
        <v>2318.6223241776001</v>
      </c>
      <c r="AD10" s="93">
        <v>56.87</v>
      </c>
      <c r="AE10" s="97">
        <v>56.87</v>
      </c>
      <c r="AF10" s="94">
        <f t="shared" si="20"/>
        <v>2388.54</v>
      </c>
      <c r="AG10" s="93">
        <f t="shared" si="8"/>
        <v>58.576099999999997</v>
      </c>
      <c r="AH10" s="97">
        <f t="shared" si="8"/>
        <v>58.576099999999997</v>
      </c>
      <c r="AI10" s="94">
        <f t="shared" si="21"/>
        <v>2460.1961999999999</v>
      </c>
      <c r="AJ10" s="93">
        <f t="shared" si="9"/>
        <v>60.333382999999998</v>
      </c>
      <c r="AK10" s="97">
        <f t="shared" si="9"/>
        <v>60.333382999999998</v>
      </c>
      <c r="AL10" s="94">
        <f t="shared" si="22"/>
        <v>2534.002086</v>
      </c>
      <c r="AM10" s="257" t="s">
        <v>76</v>
      </c>
      <c r="AN10" s="275">
        <v>62.143384490000003</v>
      </c>
      <c r="AO10" s="276">
        <v>62.143384490000003</v>
      </c>
      <c r="AP10" s="277">
        <v>2610.0221485800002</v>
      </c>
      <c r="AQ10" s="257" t="s">
        <v>76</v>
      </c>
      <c r="AR10" s="275">
        <f t="shared" si="10"/>
        <v>64.007686024700007</v>
      </c>
      <c r="AS10" s="276">
        <f t="shared" si="11"/>
        <v>64.007686024700007</v>
      </c>
      <c r="AT10" s="277">
        <f t="shared" si="12"/>
        <v>2688.3228130374005</v>
      </c>
      <c r="AU10" s="275">
        <f t="shared" si="13"/>
        <v>65.927916605441013</v>
      </c>
      <c r="AV10" s="276">
        <f t="shared" si="14"/>
        <v>65.927916605441013</v>
      </c>
      <c r="AW10" s="277">
        <f t="shared" si="15"/>
        <v>2768.9724974285227</v>
      </c>
      <c r="AX10" s="275">
        <f t="shared" si="16"/>
        <v>67.905754103604238</v>
      </c>
      <c r="AY10" s="276">
        <f t="shared" si="17"/>
        <v>67.905754103604238</v>
      </c>
      <c r="AZ10" s="277">
        <f t="shared" si="18"/>
        <v>2852.0416723513786</v>
      </c>
      <c r="BA10" s="275">
        <f t="shared" si="19"/>
        <v>69.942926726712372</v>
      </c>
      <c r="BB10" s="276">
        <f t="shared" si="0"/>
        <v>69.942926726712372</v>
      </c>
      <c r="BC10" s="277">
        <f t="shared" si="1"/>
        <v>2937.6029225219199</v>
      </c>
      <c r="BD10" s="275">
        <f t="shared" si="2"/>
        <v>72.041214528513748</v>
      </c>
      <c r="BE10" s="276">
        <f t="shared" si="3"/>
        <v>72.041214528513748</v>
      </c>
      <c r="BF10" s="277">
        <f t="shared" si="4"/>
        <v>3025.7310101975777</v>
      </c>
      <c r="BG10" s="275">
        <f t="shared" si="5"/>
        <v>74.202450964369163</v>
      </c>
      <c r="BH10" s="276">
        <f t="shared" si="6"/>
        <v>74.202450964369163</v>
      </c>
      <c r="BI10" s="277">
        <f t="shared" si="7"/>
        <v>3116.5029405035052</v>
      </c>
    </row>
    <row r="11" spans="1:61" ht="16" thickBot="1">
      <c r="A11" s="142"/>
      <c r="B11" s="135" t="s">
        <v>77</v>
      </c>
      <c r="C11" s="136">
        <v>42</v>
      </c>
      <c r="D11" s="93">
        <v>42</v>
      </c>
      <c r="E11" s="94">
        <v>1764</v>
      </c>
      <c r="F11" s="106">
        <v>42</v>
      </c>
      <c r="G11" s="93">
        <v>42</v>
      </c>
      <c r="H11" s="94">
        <v>1764</v>
      </c>
      <c r="I11" s="143">
        <v>44.31</v>
      </c>
      <c r="J11" s="137">
        <v>44.31</v>
      </c>
      <c r="K11" s="138">
        <v>1861.02</v>
      </c>
      <c r="L11" s="143">
        <v>46.525500000000001</v>
      </c>
      <c r="M11" s="137">
        <v>46.525500000000001</v>
      </c>
      <c r="N11" s="138">
        <v>1954.0710000000001</v>
      </c>
      <c r="O11" s="143">
        <v>48.619147499999997</v>
      </c>
      <c r="P11" s="137">
        <v>48.619147499999997</v>
      </c>
      <c r="Q11" s="138">
        <v>2042.004195</v>
      </c>
      <c r="R11" s="143">
        <v>48.619147499999997</v>
      </c>
      <c r="S11" s="137">
        <v>48.619147499999997</v>
      </c>
      <c r="T11" s="138">
        <v>2042.004195</v>
      </c>
      <c r="U11" s="143">
        <v>50.563913399999997</v>
      </c>
      <c r="V11" s="137">
        <v>50.563913399999997</v>
      </c>
      <c r="W11" s="138">
        <v>2123.6843627999997</v>
      </c>
      <c r="X11" s="137">
        <v>52.576469936000002</v>
      </c>
      <c r="Y11" s="137">
        <v>52.576469936000002</v>
      </c>
      <c r="Z11" s="138">
        <v>2208.211737312</v>
      </c>
      <c r="AA11" s="137">
        <v>55.205293432800005</v>
      </c>
      <c r="AB11" s="137">
        <v>55.205293432800005</v>
      </c>
      <c r="AC11" s="138">
        <v>2318.6223241776001</v>
      </c>
      <c r="AD11" s="137">
        <v>56.87</v>
      </c>
      <c r="AE11" s="140">
        <v>56.87</v>
      </c>
      <c r="AF11" s="138">
        <f t="shared" si="20"/>
        <v>2388.54</v>
      </c>
      <c r="AG11" s="137">
        <f t="shared" si="8"/>
        <v>58.576099999999997</v>
      </c>
      <c r="AH11" s="140">
        <f t="shared" si="8"/>
        <v>58.576099999999997</v>
      </c>
      <c r="AI11" s="138">
        <f t="shared" si="21"/>
        <v>2460.1961999999999</v>
      </c>
      <c r="AJ11" s="137">
        <f t="shared" si="9"/>
        <v>60.333382999999998</v>
      </c>
      <c r="AK11" s="140">
        <f t="shared" si="9"/>
        <v>60.333382999999998</v>
      </c>
      <c r="AL11" s="138">
        <f t="shared" si="22"/>
        <v>2534.002086</v>
      </c>
      <c r="AM11" s="256" t="s">
        <v>77</v>
      </c>
      <c r="AN11" s="278">
        <v>62.143384490000003</v>
      </c>
      <c r="AO11" s="279">
        <v>62.143384490000003</v>
      </c>
      <c r="AP11" s="280">
        <v>2610.0221485800002</v>
      </c>
      <c r="AQ11" s="256" t="s">
        <v>77</v>
      </c>
      <c r="AR11" s="278">
        <f t="shared" si="10"/>
        <v>64.007686024700007</v>
      </c>
      <c r="AS11" s="279">
        <f t="shared" si="11"/>
        <v>64.007686024700007</v>
      </c>
      <c r="AT11" s="280">
        <f t="shared" si="12"/>
        <v>2688.3228130374005</v>
      </c>
      <c r="AU11" s="278">
        <f t="shared" si="13"/>
        <v>65.927916605441013</v>
      </c>
      <c r="AV11" s="279">
        <f t="shared" si="14"/>
        <v>65.927916605441013</v>
      </c>
      <c r="AW11" s="280">
        <f t="shared" si="15"/>
        <v>2768.9724974285227</v>
      </c>
      <c r="AX11" s="278">
        <f t="shared" si="16"/>
        <v>67.905754103604238</v>
      </c>
      <c r="AY11" s="279">
        <f t="shared" si="17"/>
        <v>67.905754103604238</v>
      </c>
      <c r="AZ11" s="280">
        <f t="shared" si="18"/>
        <v>2852.0416723513786</v>
      </c>
      <c r="BA11" s="278">
        <f t="shared" si="19"/>
        <v>69.942926726712372</v>
      </c>
      <c r="BB11" s="279">
        <f t="shared" si="0"/>
        <v>69.942926726712372</v>
      </c>
      <c r="BC11" s="280">
        <f t="shared" si="1"/>
        <v>2937.6029225219199</v>
      </c>
      <c r="BD11" s="278">
        <f t="shared" si="2"/>
        <v>72.041214528513748</v>
      </c>
      <c r="BE11" s="279">
        <f t="shared" si="3"/>
        <v>72.041214528513748</v>
      </c>
      <c r="BF11" s="280">
        <f t="shared" si="4"/>
        <v>3025.7310101975777</v>
      </c>
      <c r="BG11" s="278">
        <f t="shared" si="5"/>
        <v>74.202450964369163</v>
      </c>
      <c r="BH11" s="279">
        <f t="shared" si="6"/>
        <v>74.202450964369163</v>
      </c>
      <c r="BI11" s="280">
        <f t="shared" si="7"/>
        <v>3116.5029405035052</v>
      </c>
    </row>
    <row r="12" spans="1:61" ht="14">
      <c r="A12" s="91">
        <v>210</v>
      </c>
      <c r="B12" s="82" t="s">
        <v>78</v>
      </c>
      <c r="C12" s="92">
        <v>15</v>
      </c>
      <c r="D12" s="86">
        <v>15</v>
      </c>
      <c r="E12" s="87">
        <v>630</v>
      </c>
      <c r="F12" s="88">
        <v>35.32</v>
      </c>
      <c r="G12" s="86">
        <v>35.32</v>
      </c>
      <c r="H12" s="87">
        <v>1483.44</v>
      </c>
      <c r="I12" s="93">
        <v>37.262599999999999</v>
      </c>
      <c r="J12" s="93">
        <v>37.26</v>
      </c>
      <c r="K12" s="94">
        <v>1564.9199999999998</v>
      </c>
      <c r="L12" s="93">
        <v>39.125729999999997</v>
      </c>
      <c r="M12" s="93">
        <v>39.125729999999997</v>
      </c>
      <c r="N12" s="94">
        <v>1643.2806599999999</v>
      </c>
      <c r="O12" s="93">
        <v>40.886387849999991</v>
      </c>
      <c r="P12" s="93">
        <v>40.886387849999991</v>
      </c>
      <c r="Q12" s="94">
        <v>1717.2282896999996</v>
      </c>
      <c r="R12" s="93">
        <v>63.55</v>
      </c>
      <c r="S12" s="93">
        <v>63.55</v>
      </c>
      <c r="T12" s="94">
        <v>2669.1</v>
      </c>
      <c r="U12" s="93">
        <v>66.091999999999999</v>
      </c>
      <c r="V12" s="93">
        <v>66.091999999999999</v>
      </c>
      <c r="W12" s="94">
        <v>2775.864</v>
      </c>
      <c r="X12" s="93">
        <v>68.725679999999997</v>
      </c>
      <c r="Y12" s="93">
        <v>68.725679999999997</v>
      </c>
      <c r="Z12" s="94">
        <v>2886.47856</v>
      </c>
      <c r="AA12" s="93">
        <v>72.161963999999998</v>
      </c>
      <c r="AB12" s="93">
        <v>72.161963999999998</v>
      </c>
      <c r="AC12" s="94">
        <v>3030.8024879999998</v>
      </c>
      <c r="AD12" s="93">
        <v>74.319999999999993</v>
      </c>
      <c r="AE12" s="97">
        <v>74.319999999999993</v>
      </c>
      <c r="AF12" s="94">
        <f t="shared" si="20"/>
        <v>3121.4399999999996</v>
      </c>
      <c r="AG12" s="93">
        <f t="shared" si="8"/>
        <v>76.549599999999998</v>
      </c>
      <c r="AH12" s="97">
        <f t="shared" si="8"/>
        <v>76.549599999999998</v>
      </c>
      <c r="AI12" s="94">
        <f t="shared" si="21"/>
        <v>3215.0832</v>
      </c>
      <c r="AJ12" s="93">
        <f t="shared" si="9"/>
        <v>78.846087999999995</v>
      </c>
      <c r="AK12" s="97">
        <f t="shared" si="9"/>
        <v>78.846087999999995</v>
      </c>
      <c r="AL12" s="94">
        <f t="shared" si="22"/>
        <v>3311.5356959999999</v>
      </c>
      <c r="AM12" s="257" t="s">
        <v>78</v>
      </c>
      <c r="AN12" s="275">
        <v>81.211470640000002</v>
      </c>
      <c r="AO12" s="276">
        <v>81.211470640000002</v>
      </c>
      <c r="AP12" s="277">
        <v>3410.8817668800002</v>
      </c>
      <c r="AQ12" s="257" t="s">
        <v>78</v>
      </c>
      <c r="AR12" s="275">
        <f t="shared" si="10"/>
        <v>83.647814759200003</v>
      </c>
      <c r="AS12" s="276">
        <f t="shared" si="11"/>
        <v>83.647814759200003</v>
      </c>
      <c r="AT12" s="277">
        <f t="shared" si="12"/>
        <v>3513.2082198864005</v>
      </c>
      <c r="AU12" s="275">
        <f t="shared" si="13"/>
        <v>86.157249201976001</v>
      </c>
      <c r="AV12" s="276">
        <f t="shared" si="14"/>
        <v>86.157249201976001</v>
      </c>
      <c r="AW12" s="277">
        <f t="shared" si="15"/>
        <v>3618.6044664829924</v>
      </c>
      <c r="AX12" s="275">
        <f t="shared" si="16"/>
        <v>88.741966678035283</v>
      </c>
      <c r="AY12" s="276">
        <f t="shared" si="17"/>
        <v>88.741966678035283</v>
      </c>
      <c r="AZ12" s="277">
        <f t="shared" si="18"/>
        <v>3727.1626004774821</v>
      </c>
      <c r="BA12" s="275">
        <f t="shared" si="19"/>
        <v>91.404225678376349</v>
      </c>
      <c r="BB12" s="276">
        <f t="shared" si="0"/>
        <v>91.404225678376349</v>
      </c>
      <c r="BC12" s="277">
        <f t="shared" si="1"/>
        <v>3838.9774784918068</v>
      </c>
      <c r="BD12" s="275">
        <f t="shared" si="2"/>
        <v>94.14635244872764</v>
      </c>
      <c r="BE12" s="276">
        <f t="shared" si="3"/>
        <v>94.14635244872764</v>
      </c>
      <c r="BF12" s="277">
        <f t="shared" si="4"/>
        <v>3954.1468028465611</v>
      </c>
      <c r="BG12" s="275">
        <f t="shared" si="5"/>
        <v>96.970743022189467</v>
      </c>
      <c r="BH12" s="276">
        <f t="shared" si="6"/>
        <v>96.970743022189467</v>
      </c>
      <c r="BI12" s="277">
        <f t="shared" si="7"/>
        <v>4072.7712069319582</v>
      </c>
    </row>
    <row r="13" spans="1:61" ht="14">
      <c r="A13" s="91">
        <v>212</v>
      </c>
      <c r="B13" s="82" t="s">
        <v>79</v>
      </c>
      <c r="C13" s="92">
        <v>75</v>
      </c>
      <c r="D13" s="93">
        <v>75</v>
      </c>
      <c r="E13" s="94">
        <v>3150</v>
      </c>
      <c r="F13" s="95">
        <v>94</v>
      </c>
      <c r="G13" s="93">
        <v>94</v>
      </c>
      <c r="H13" s="94">
        <v>3948</v>
      </c>
      <c r="I13" s="93">
        <v>99.17</v>
      </c>
      <c r="J13" s="93">
        <v>99.17</v>
      </c>
      <c r="K13" s="94">
        <v>4165.1400000000003</v>
      </c>
      <c r="L13" s="93">
        <v>104.1285</v>
      </c>
      <c r="M13" s="93">
        <v>104.1285</v>
      </c>
      <c r="N13" s="94">
        <v>4373.3969999999999</v>
      </c>
      <c r="O13" s="93">
        <v>108.81428249999999</v>
      </c>
      <c r="P13" s="93">
        <v>108.81428249999999</v>
      </c>
      <c r="Q13" s="94">
        <v>4570.1998649999996</v>
      </c>
      <c r="R13" s="93">
        <v>108.81428249999999</v>
      </c>
      <c r="S13" s="93">
        <v>108.81428249999999</v>
      </c>
      <c r="T13" s="94">
        <v>4570.1998649999996</v>
      </c>
      <c r="U13" s="93">
        <v>113.1668538</v>
      </c>
      <c r="V13" s="93">
        <v>113.1668538</v>
      </c>
      <c r="W13" s="94">
        <v>4753.0078596000003</v>
      </c>
      <c r="X13" s="93">
        <v>117.703527952</v>
      </c>
      <c r="Y13" s="93">
        <v>117.703527952</v>
      </c>
      <c r="Z13" s="94">
        <v>4943.5481739839997</v>
      </c>
      <c r="AA13" s="93">
        <v>123.58870434960001</v>
      </c>
      <c r="AB13" s="93">
        <v>123.58870434960001</v>
      </c>
      <c r="AC13" s="94">
        <v>5190.7255826832006</v>
      </c>
      <c r="AD13" s="93">
        <v>127.3</v>
      </c>
      <c r="AE13" s="97">
        <v>127.3</v>
      </c>
      <c r="AF13" s="94">
        <f t="shared" si="20"/>
        <v>5346.5999999999995</v>
      </c>
      <c r="AG13" s="93">
        <f t="shared" si="8"/>
        <v>131.119</v>
      </c>
      <c r="AH13" s="97">
        <f t="shared" si="8"/>
        <v>131.119</v>
      </c>
      <c r="AI13" s="94">
        <f t="shared" si="21"/>
        <v>5506.9979999999996</v>
      </c>
      <c r="AJ13" s="93">
        <f t="shared" si="9"/>
        <v>135.05257</v>
      </c>
      <c r="AK13" s="97">
        <f t="shared" si="9"/>
        <v>135.05257</v>
      </c>
      <c r="AL13" s="94">
        <f t="shared" si="22"/>
        <v>5672.2079400000002</v>
      </c>
      <c r="AM13" s="257" t="s">
        <v>79</v>
      </c>
      <c r="AN13" s="275">
        <v>139.10414710000001</v>
      </c>
      <c r="AO13" s="276">
        <v>139.10414710000001</v>
      </c>
      <c r="AP13" s="277">
        <v>5842.3741782000006</v>
      </c>
      <c r="AQ13" s="257" t="s">
        <v>79</v>
      </c>
      <c r="AR13" s="275">
        <f t="shared" si="10"/>
        <v>143.27727151300002</v>
      </c>
      <c r="AS13" s="276">
        <f t="shared" si="11"/>
        <v>143.27727151300002</v>
      </c>
      <c r="AT13" s="277">
        <f t="shared" si="12"/>
        <v>6017.645403546001</v>
      </c>
      <c r="AU13" s="275">
        <f t="shared" si="13"/>
        <v>147.57558965839002</v>
      </c>
      <c r="AV13" s="276">
        <f t="shared" si="14"/>
        <v>147.57558965839002</v>
      </c>
      <c r="AW13" s="277">
        <f t="shared" si="15"/>
        <v>6198.1747656523812</v>
      </c>
      <c r="AX13" s="275">
        <f t="shared" si="16"/>
        <v>152.00285734814173</v>
      </c>
      <c r="AY13" s="276">
        <f t="shared" si="17"/>
        <v>152.00285734814173</v>
      </c>
      <c r="AZ13" s="277">
        <f t="shared" si="18"/>
        <v>6384.1200086219524</v>
      </c>
      <c r="BA13" s="275">
        <f t="shared" si="19"/>
        <v>156.56294306858598</v>
      </c>
      <c r="BB13" s="276">
        <f t="shared" si="0"/>
        <v>156.56294306858598</v>
      </c>
      <c r="BC13" s="277">
        <f t="shared" si="1"/>
        <v>6575.6436088806113</v>
      </c>
      <c r="BD13" s="275">
        <f t="shared" si="2"/>
        <v>161.25983136064357</v>
      </c>
      <c r="BE13" s="276">
        <f t="shared" si="3"/>
        <v>161.25983136064357</v>
      </c>
      <c r="BF13" s="277">
        <f t="shared" si="4"/>
        <v>6772.9129171470295</v>
      </c>
      <c r="BG13" s="275">
        <f t="shared" si="5"/>
        <v>166.0976263014629</v>
      </c>
      <c r="BH13" s="276">
        <f t="shared" si="6"/>
        <v>166.0976263014629</v>
      </c>
      <c r="BI13" s="277">
        <f t="shared" si="7"/>
        <v>6976.1003046614405</v>
      </c>
    </row>
    <row r="14" spans="1:61" ht="14.5" thickBot="1">
      <c r="A14" s="144">
        <v>214</v>
      </c>
      <c r="B14" s="145" t="s">
        <v>80</v>
      </c>
      <c r="C14" s="146">
        <v>31.701030927835053</v>
      </c>
      <c r="D14" s="147">
        <v>31.7</v>
      </c>
      <c r="E14" s="148">
        <v>1331.36</v>
      </c>
      <c r="F14" s="146">
        <v>39.731958762886599</v>
      </c>
      <c r="G14" s="147">
        <v>39.731958762886599</v>
      </c>
      <c r="H14" s="148">
        <v>1668.7422680412371</v>
      </c>
      <c r="I14" s="147">
        <v>41.917216494845363</v>
      </c>
      <c r="J14" s="147">
        <v>41.92</v>
      </c>
      <c r="K14" s="148">
        <v>1760.64</v>
      </c>
      <c r="L14" s="147">
        <v>44.01307731958763</v>
      </c>
      <c r="M14" s="147">
        <v>44.01307731958763</v>
      </c>
      <c r="N14" s="148">
        <v>1848.5492474226805</v>
      </c>
      <c r="O14" s="147">
        <v>45.993665798969069</v>
      </c>
      <c r="P14" s="147">
        <v>45.993665798969069</v>
      </c>
      <c r="Q14" s="148">
        <v>1931.7339635567009</v>
      </c>
      <c r="R14" s="147">
        <v>81.040000000000006</v>
      </c>
      <c r="S14" s="147">
        <v>81.040000000000006</v>
      </c>
      <c r="T14" s="148">
        <v>3403.6800000000003</v>
      </c>
      <c r="U14" s="147">
        <v>84.281600000000012</v>
      </c>
      <c r="V14" s="147">
        <v>84.281600000000012</v>
      </c>
      <c r="W14" s="148">
        <v>3539.8272000000006</v>
      </c>
      <c r="X14" s="147">
        <v>87.652864000000008</v>
      </c>
      <c r="Y14" s="147">
        <v>87.652864000000008</v>
      </c>
      <c r="Z14" s="148">
        <v>3681.4202880000003</v>
      </c>
      <c r="AA14" s="147">
        <v>92.035507200000012</v>
      </c>
      <c r="AB14" s="147">
        <v>92.035507200000012</v>
      </c>
      <c r="AC14" s="148">
        <v>3865.4913024000007</v>
      </c>
      <c r="AD14" s="147">
        <v>94.8</v>
      </c>
      <c r="AE14" s="140">
        <v>94.8</v>
      </c>
      <c r="AF14" s="148">
        <f t="shared" si="20"/>
        <v>3981.6</v>
      </c>
      <c r="AG14" s="147">
        <f t="shared" si="8"/>
        <v>97.644000000000005</v>
      </c>
      <c r="AH14" s="140">
        <f t="shared" si="8"/>
        <v>97.644000000000005</v>
      </c>
      <c r="AI14" s="148">
        <f t="shared" si="21"/>
        <v>4101.0480000000007</v>
      </c>
      <c r="AJ14" s="147">
        <f t="shared" si="9"/>
        <v>100.57332000000001</v>
      </c>
      <c r="AK14" s="140">
        <f t="shared" si="9"/>
        <v>100.57332000000001</v>
      </c>
      <c r="AL14" s="148">
        <f>AK14*42</f>
        <v>4224.0794400000004</v>
      </c>
      <c r="AM14" s="257" t="s">
        <v>80</v>
      </c>
      <c r="AN14" s="275">
        <v>103.59051960000001</v>
      </c>
      <c r="AO14" s="276">
        <v>103.59051960000001</v>
      </c>
      <c r="AP14" s="277">
        <v>4350.8018232000004</v>
      </c>
      <c r="AQ14" s="257" t="s">
        <v>80</v>
      </c>
      <c r="AR14" s="275">
        <f t="shared" si="10"/>
        <v>106.69823518800001</v>
      </c>
      <c r="AS14" s="276">
        <f t="shared" si="11"/>
        <v>106.69823518800001</v>
      </c>
      <c r="AT14" s="277">
        <f t="shared" si="12"/>
        <v>4481.3258778960007</v>
      </c>
      <c r="AU14" s="275">
        <f t="shared" si="13"/>
        <v>109.89918224364001</v>
      </c>
      <c r="AV14" s="276">
        <f t="shared" si="14"/>
        <v>109.89918224364001</v>
      </c>
      <c r="AW14" s="277">
        <f t="shared" si="15"/>
        <v>4615.7656542328805</v>
      </c>
      <c r="AX14" s="275">
        <f t="shared" si="16"/>
        <v>113.19615771094922</v>
      </c>
      <c r="AY14" s="276">
        <f t="shared" si="17"/>
        <v>113.19615771094922</v>
      </c>
      <c r="AZ14" s="277">
        <f t="shared" si="18"/>
        <v>4754.2386238598674</v>
      </c>
      <c r="BA14" s="275">
        <f t="shared" si="19"/>
        <v>116.5920424422777</v>
      </c>
      <c r="BB14" s="276">
        <f t="shared" si="0"/>
        <v>116.5920424422777</v>
      </c>
      <c r="BC14" s="277">
        <f t="shared" si="1"/>
        <v>4896.8657825756636</v>
      </c>
      <c r="BD14" s="275">
        <f t="shared" si="2"/>
        <v>120.08980371554604</v>
      </c>
      <c r="BE14" s="276">
        <f t="shared" si="3"/>
        <v>120.08980371554604</v>
      </c>
      <c r="BF14" s="277">
        <f t="shared" si="4"/>
        <v>5043.7717560529336</v>
      </c>
      <c r="BG14" s="275">
        <f t="shared" si="5"/>
        <v>123.69249782701243</v>
      </c>
      <c r="BH14" s="276">
        <f t="shared" si="6"/>
        <v>123.69249782701243</v>
      </c>
      <c r="BI14" s="277">
        <f t="shared" si="7"/>
        <v>5195.0849087345214</v>
      </c>
    </row>
    <row r="15" spans="1:61" ht="14.5" thickBot="1">
      <c r="A15" s="91">
        <v>210</v>
      </c>
      <c r="B15" s="82" t="s">
        <v>78</v>
      </c>
      <c r="C15" s="92">
        <v>15</v>
      </c>
      <c r="D15" s="93">
        <v>15</v>
      </c>
      <c r="E15" s="94">
        <v>630</v>
      </c>
      <c r="F15" s="149">
        <v>35.32</v>
      </c>
      <c r="G15" s="86">
        <v>35.32</v>
      </c>
      <c r="H15" s="94">
        <v>1483.44</v>
      </c>
      <c r="I15" s="93">
        <v>37.262599999999999</v>
      </c>
      <c r="J15" s="93">
        <v>37.26</v>
      </c>
      <c r="K15" s="94">
        <v>1564.9199999999998</v>
      </c>
      <c r="L15" s="93">
        <v>39.125729999999997</v>
      </c>
      <c r="M15" s="93">
        <v>39.125729999999997</v>
      </c>
      <c r="N15" s="94">
        <v>1643.2806599999999</v>
      </c>
      <c r="O15" s="93">
        <v>40.886387849999991</v>
      </c>
      <c r="P15" s="93">
        <v>40.886387849999991</v>
      </c>
      <c r="Q15" s="94">
        <v>1717.2282896999996</v>
      </c>
      <c r="R15" s="93">
        <v>63.55</v>
      </c>
      <c r="S15" s="93">
        <v>63.55</v>
      </c>
      <c r="T15" s="94">
        <v>2669.1</v>
      </c>
      <c r="U15" s="93">
        <v>66.091999999999999</v>
      </c>
      <c r="V15" s="93">
        <v>66.091999999999999</v>
      </c>
      <c r="W15" s="94">
        <v>2775.864</v>
      </c>
      <c r="X15" s="93">
        <v>68.725679999999997</v>
      </c>
      <c r="Y15" s="93">
        <v>68.725679999999997</v>
      </c>
      <c r="Z15" s="94">
        <v>2886.47856</v>
      </c>
      <c r="AA15" s="93">
        <v>72.161963999999998</v>
      </c>
      <c r="AB15" s="93">
        <v>72.161963999999998</v>
      </c>
      <c r="AC15" s="94">
        <v>3030.8024879999998</v>
      </c>
      <c r="AD15" s="93">
        <v>74.319999999999993</v>
      </c>
      <c r="AE15" s="97">
        <v>74.319999999999993</v>
      </c>
      <c r="AF15" s="94">
        <f t="shared" si="20"/>
        <v>3121.4399999999996</v>
      </c>
      <c r="AG15" s="93">
        <f t="shared" si="8"/>
        <v>76.549599999999998</v>
      </c>
      <c r="AH15" s="97">
        <f t="shared" si="8"/>
        <v>76.549599999999998</v>
      </c>
      <c r="AI15" s="94">
        <f t="shared" si="21"/>
        <v>3215.0832</v>
      </c>
      <c r="AJ15" s="93">
        <f t="shared" si="9"/>
        <v>78.846087999999995</v>
      </c>
      <c r="AK15" s="97">
        <f t="shared" si="9"/>
        <v>78.846087999999995</v>
      </c>
      <c r="AL15" s="94">
        <f t="shared" si="22"/>
        <v>3311.5356959999999</v>
      </c>
      <c r="AM15" s="258" t="s">
        <v>212</v>
      </c>
      <c r="AN15" s="278">
        <v>0.45629000000000003</v>
      </c>
      <c r="AO15" s="279">
        <v>104.04680960000002</v>
      </c>
      <c r="AP15" s="280">
        <v>4369.9660032000002</v>
      </c>
      <c r="AQ15" s="258" t="s">
        <v>212</v>
      </c>
      <c r="AR15" s="278">
        <f t="shared" si="10"/>
        <v>0.46997870000000003</v>
      </c>
      <c r="AS15" s="279">
        <f t="shared" si="11"/>
        <v>107.16821388800003</v>
      </c>
      <c r="AT15" s="280">
        <f t="shared" si="12"/>
        <v>4501.0649832960007</v>
      </c>
      <c r="AU15" s="278">
        <f t="shared" si="13"/>
        <v>0.48407806100000006</v>
      </c>
      <c r="AV15" s="279">
        <f t="shared" si="14"/>
        <v>110.38326030464003</v>
      </c>
      <c r="AW15" s="280">
        <f t="shared" si="15"/>
        <v>4636.0969327948806</v>
      </c>
      <c r="AX15" s="278">
        <f t="shared" si="16"/>
        <v>0.49860040283000007</v>
      </c>
      <c r="AY15" s="279">
        <f t="shared" si="17"/>
        <v>113.69475811377923</v>
      </c>
      <c r="AZ15" s="280">
        <f t="shared" si="18"/>
        <v>4775.1798407787273</v>
      </c>
      <c r="BA15" s="278">
        <f t="shared" si="19"/>
        <v>0.51355841491490006</v>
      </c>
      <c r="BB15" s="279">
        <f t="shared" si="0"/>
        <v>117.10560085719261</v>
      </c>
      <c r="BC15" s="280">
        <f t="shared" si="1"/>
        <v>4918.4352360020894</v>
      </c>
      <c r="BD15" s="278">
        <f t="shared" si="2"/>
        <v>0.52896516736234711</v>
      </c>
      <c r="BE15" s="279">
        <f t="shared" si="3"/>
        <v>120.6187688829084</v>
      </c>
      <c r="BF15" s="280">
        <f t="shared" si="4"/>
        <v>5065.9882930821523</v>
      </c>
      <c r="BG15" s="278">
        <f t="shared" si="5"/>
        <v>0.54483412238321749</v>
      </c>
      <c r="BH15" s="279">
        <f t="shared" si="6"/>
        <v>124.23733194939565</v>
      </c>
      <c r="BI15" s="280">
        <f t="shared" si="7"/>
        <v>5217.9679418746173</v>
      </c>
    </row>
    <row r="16" spans="1:61" ht="14">
      <c r="A16" s="91">
        <v>260</v>
      </c>
      <c r="B16" s="82" t="s">
        <v>81</v>
      </c>
      <c r="C16" s="92">
        <v>100</v>
      </c>
      <c r="D16" s="93">
        <v>100</v>
      </c>
      <c r="E16" s="94">
        <v>4200</v>
      </c>
      <c r="F16" s="106">
        <v>106.32</v>
      </c>
      <c r="G16" s="93">
        <v>106.32</v>
      </c>
      <c r="H16" s="94">
        <v>4465.4399999999996</v>
      </c>
      <c r="I16" s="93">
        <v>112.16759999999999</v>
      </c>
      <c r="J16" s="93">
        <v>112.16759999999999</v>
      </c>
      <c r="K16" s="94">
        <v>4711.0391999999993</v>
      </c>
      <c r="L16" s="93">
        <v>117.77598</v>
      </c>
      <c r="M16" s="93">
        <v>117.77598</v>
      </c>
      <c r="N16" s="94">
        <v>4946.5911599999999</v>
      </c>
      <c r="O16" s="93">
        <v>123.0758991</v>
      </c>
      <c r="P16" s="93">
        <v>123.0758991</v>
      </c>
      <c r="Q16" s="94">
        <v>5169.1877622000002</v>
      </c>
      <c r="R16" s="93">
        <v>123.0758991</v>
      </c>
      <c r="S16" s="93">
        <v>123.0758991</v>
      </c>
      <c r="T16" s="94">
        <v>5169.1877622000002</v>
      </c>
      <c r="U16" s="93">
        <v>127.99893506400001</v>
      </c>
      <c r="V16" s="93">
        <v>127.99893506400001</v>
      </c>
      <c r="W16" s="94">
        <v>5375.9552726880002</v>
      </c>
      <c r="X16" s="93">
        <v>133.12389246656002</v>
      </c>
      <c r="Y16" s="93">
        <v>133.12389246656002</v>
      </c>
      <c r="Z16" s="94">
        <v>5591.203483595521</v>
      </c>
      <c r="AA16" s="93">
        <v>139.78008708988804</v>
      </c>
      <c r="AB16" s="93">
        <v>139.78008708988804</v>
      </c>
      <c r="AC16" s="94">
        <v>5870.7636577752974</v>
      </c>
      <c r="AD16" s="93">
        <v>143.97</v>
      </c>
      <c r="AE16" s="97">
        <v>143.97</v>
      </c>
      <c r="AF16" s="94">
        <f t="shared" si="20"/>
        <v>6046.74</v>
      </c>
      <c r="AG16" s="93">
        <f t="shared" si="8"/>
        <v>148.28909999999999</v>
      </c>
      <c r="AH16" s="97">
        <f t="shared" si="8"/>
        <v>148.28909999999999</v>
      </c>
      <c r="AI16" s="94">
        <f t="shared" si="21"/>
        <v>6228.1421999999993</v>
      </c>
      <c r="AJ16" s="93">
        <f t="shared" si="9"/>
        <v>152.737773</v>
      </c>
      <c r="AK16" s="97">
        <f t="shared" si="9"/>
        <v>152.737773</v>
      </c>
      <c r="AL16" s="94">
        <f>AK16*42</f>
        <v>6414.9864660000003</v>
      </c>
      <c r="AM16" s="257" t="s">
        <v>78</v>
      </c>
      <c r="AN16" s="275">
        <v>81.211470640000002</v>
      </c>
      <c r="AO16" s="276">
        <v>81.211470640000002</v>
      </c>
      <c r="AP16" s="277">
        <v>3410.8817668800002</v>
      </c>
      <c r="AQ16" s="257" t="s">
        <v>78</v>
      </c>
      <c r="AR16" s="275">
        <f t="shared" si="10"/>
        <v>83.647814759200003</v>
      </c>
      <c r="AS16" s="276">
        <f t="shared" si="11"/>
        <v>83.647814759200003</v>
      </c>
      <c r="AT16" s="277">
        <f t="shared" si="12"/>
        <v>3513.2082198864005</v>
      </c>
      <c r="AU16" s="275">
        <f t="shared" si="13"/>
        <v>86.157249201976001</v>
      </c>
      <c r="AV16" s="276">
        <f t="shared" si="14"/>
        <v>86.157249201976001</v>
      </c>
      <c r="AW16" s="277">
        <f t="shared" si="15"/>
        <v>3618.6044664829924</v>
      </c>
      <c r="AX16" s="275">
        <f t="shared" si="16"/>
        <v>88.741966678035283</v>
      </c>
      <c r="AY16" s="276">
        <f t="shared" si="17"/>
        <v>88.741966678035283</v>
      </c>
      <c r="AZ16" s="277">
        <f t="shared" si="18"/>
        <v>3727.1626004774821</v>
      </c>
      <c r="BA16" s="275">
        <f t="shared" si="19"/>
        <v>91.404225678376349</v>
      </c>
      <c r="BB16" s="276">
        <f t="shared" si="0"/>
        <v>91.404225678376349</v>
      </c>
      <c r="BC16" s="277">
        <f t="shared" si="1"/>
        <v>3838.9774784918068</v>
      </c>
      <c r="BD16" s="275">
        <f t="shared" si="2"/>
        <v>94.14635244872764</v>
      </c>
      <c r="BE16" s="276">
        <f t="shared" si="3"/>
        <v>94.14635244872764</v>
      </c>
      <c r="BF16" s="277">
        <f t="shared" si="4"/>
        <v>3954.1468028465611</v>
      </c>
      <c r="BG16" s="275">
        <f t="shared" si="5"/>
        <v>96.970743022189467</v>
      </c>
      <c r="BH16" s="276">
        <f t="shared" si="6"/>
        <v>96.970743022189467</v>
      </c>
      <c r="BI16" s="277">
        <f t="shared" si="7"/>
        <v>4072.7712069319582</v>
      </c>
    </row>
    <row r="17" spans="1:61" ht="14.5" thickBot="1">
      <c r="A17" s="134">
        <v>224</v>
      </c>
      <c r="B17" s="150" t="s">
        <v>82</v>
      </c>
      <c r="C17" s="136">
        <v>106.75</v>
      </c>
      <c r="D17" s="137">
        <v>206.75</v>
      </c>
      <c r="E17" s="138">
        <v>8683.5</v>
      </c>
      <c r="F17" s="151">
        <v>129</v>
      </c>
      <c r="G17" s="137">
        <v>235.32</v>
      </c>
      <c r="H17" s="138">
        <v>9883.44</v>
      </c>
      <c r="I17" s="143">
        <v>136.095</v>
      </c>
      <c r="J17" s="137">
        <v>248.27259999999998</v>
      </c>
      <c r="K17" s="138">
        <v>10427.449199999999</v>
      </c>
      <c r="L17" s="143">
        <v>142.89975000000001</v>
      </c>
      <c r="M17" s="137">
        <v>260.67573000000004</v>
      </c>
      <c r="N17" s="138">
        <v>10948.380660000003</v>
      </c>
      <c r="O17" s="143">
        <v>149.33023875000001</v>
      </c>
      <c r="P17" s="137">
        <v>272.40613784999999</v>
      </c>
      <c r="Q17" s="138">
        <v>11441.0577897</v>
      </c>
      <c r="R17" s="143">
        <v>149.33023875000001</v>
      </c>
      <c r="S17" s="137">
        <v>272.40613784999999</v>
      </c>
      <c r="T17" s="138">
        <v>11441.0577897</v>
      </c>
      <c r="U17" s="143">
        <v>155.30344830000001</v>
      </c>
      <c r="V17" s="137">
        <v>283.30238336400004</v>
      </c>
      <c r="W17" s="138">
        <v>11898.700101288001</v>
      </c>
      <c r="X17" s="137">
        <v>161.50558623200004</v>
      </c>
      <c r="Y17" s="137">
        <v>294.62947869856009</v>
      </c>
      <c r="Z17" s="138">
        <v>12374.438105339525</v>
      </c>
      <c r="AA17" s="137">
        <v>169.58086554360005</v>
      </c>
      <c r="AB17" s="137">
        <v>309.36095263348807</v>
      </c>
      <c r="AC17" s="138">
        <v>12993.160010606498</v>
      </c>
      <c r="AD17" s="137">
        <v>174.67</v>
      </c>
      <c r="AE17" s="140">
        <v>318.64</v>
      </c>
      <c r="AF17" s="138">
        <f t="shared" si="20"/>
        <v>13382.88</v>
      </c>
      <c r="AG17" s="137">
        <f t="shared" si="8"/>
        <v>179.9101</v>
      </c>
      <c r="AH17" s="140">
        <f t="shared" si="8"/>
        <v>328.19920000000002</v>
      </c>
      <c r="AI17" s="138">
        <f>AH17*42</f>
        <v>13784.366400000001</v>
      </c>
      <c r="AJ17" s="137">
        <f t="shared" si="9"/>
        <v>185.30740299999999</v>
      </c>
      <c r="AK17" s="140">
        <f t="shared" si="9"/>
        <v>338.04517600000003</v>
      </c>
      <c r="AL17" s="138">
        <f t="shared" si="22"/>
        <v>14197.897392000001</v>
      </c>
      <c r="AM17" s="257" t="s">
        <v>81</v>
      </c>
      <c r="AN17" s="275">
        <v>157.31990619000001</v>
      </c>
      <c r="AO17" s="276">
        <v>157.31990619000001</v>
      </c>
      <c r="AP17" s="277">
        <v>6607.4360599800002</v>
      </c>
      <c r="AQ17" s="257" t="s">
        <v>81</v>
      </c>
      <c r="AR17" s="275">
        <f t="shared" si="10"/>
        <v>162.03950337570001</v>
      </c>
      <c r="AS17" s="276">
        <f t="shared" si="11"/>
        <v>162.03950337570001</v>
      </c>
      <c r="AT17" s="277">
        <f t="shared" si="12"/>
        <v>6805.6591417794007</v>
      </c>
      <c r="AU17" s="275">
        <f t="shared" si="13"/>
        <v>166.900688476971</v>
      </c>
      <c r="AV17" s="276">
        <f t="shared" si="14"/>
        <v>166.900688476971</v>
      </c>
      <c r="AW17" s="277">
        <f t="shared" si="15"/>
        <v>7009.8289160327831</v>
      </c>
      <c r="AX17" s="275">
        <f t="shared" si="16"/>
        <v>171.90770913128014</v>
      </c>
      <c r="AY17" s="276">
        <f t="shared" si="17"/>
        <v>171.90770913128014</v>
      </c>
      <c r="AZ17" s="277">
        <f t="shared" si="18"/>
        <v>7220.1237835137672</v>
      </c>
      <c r="BA17" s="275">
        <f t="shared" si="19"/>
        <v>177.06494040521855</v>
      </c>
      <c r="BB17" s="276">
        <f t="shared" si="0"/>
        <v>177.06494040521855</v>
      </c>
      <c r="BC17" s="277">
        <f t="shared" si="1"/>
        <v>7436.7274970191802</v>
      </c>
      <c r="BD17" s="275">
        <f t="shared" si="2"/>
        <v>182.3768886173751</v>
      </c>
      <c r="BE17" s="276">
        <f t="shared" si="3"/>
        <v>182.3768886173751</v>
      </c>
      <c r="BF17" s="277">
        <f t="shared" si="4"/>
        <v>7659.8293219297557</v>
      </c>
      <c r="BG17" s="275">
        <f t="shared" si="5"/>
        <v>187.84819527589636</v>
      </c>
      <c r="BH17" s="276">
        <f t="shared" si="6"/>
        <v>187.84819527589636</v>
      </c>
      <c r="BI17" s="277">
        <f t="shared" si="7"/>
        <v>7889.6242015876487</v>
      </c>
    </row>
    <row r="18" spans="1:61" ht="14.5" thickBot="1">
      <c r="A18" s="91">
        <v>210</v>
      </c>
      <c r="B18" s="82" t="s">
        <v>78</v>
      </c>
      <c r="C18" s="92">
        <v>15</v>
      </c>
      <c r="D18" s="93">
        <v>15</v>
      </c>
      <c r="E18" s="94">
        <v>630</v>
      </c>
      <c r="F18" s="149">
        <v>35.32</v>
      </c>
      <c r="G18" s="86">
        <v>35.32</v>
      </c>
      <c r="H18" s="94">
        <v>1483.44</v>
      </c>
      <c r="I18" s="93">
        <v>37.262599999999999</v>
      </c>
      <c r="J18" s="93">
        <v>37.26</v>
      </c>
      <c r="K18" s="94">
        <v>1564.9199999999998</v>
      </c>
      <c r="L18" s="93">
        <v>39.125729999999997</v>
      </c>
      <c r="M18" s="93">
        <v>39.125729999999997</v>
      </c>
      <c r="N18" s="94">
        <v>1643.2806599999999</v>
      </c>
      <c r="O18" s="93">
        <v>40.886387849999991</v>
      </c>
      <c r="P18" s="93">
        <v>40.886387849999991</v>
      </c>
      <c r="Q18" s="94">
        <v>1717.2282896999996</v>
      </c>
      <c r="R18" s="93">
        <v>63.55</v>
      </c>
      <c r="S18" s="93">
        <v>63.55</v>
      </c>
      <c r="T18" s="94">
        <v>2669.1</v>
      </c>
      <c r="U18" s="93">
        <v>66.091999999999999</v>
      </c>
      <c r="V18" s="93">
        <v>66.091999999999999</v>
      </c>
      <c r="W18" s="94">
        <v>2775.864</v>
      </c>
      <c r="X18" s="93">
        <v>68.725679999999997</v>
      </c>
      <c r="Y18" s="93">
        <v>68.725679999999997</v>
      </c>
      <c r="Z18" s="94">
        <v>2886.47856</v>
      </c>
      <c r="AA18" s="93">
        <v>72.161963999999998</v>
      </c>
      <c r="AB18" s="93">
        <v>72.161963999999998</v>
      </c>
      <c r="AC18" s="94">
        <v>3030.8024879999998</v>
      </c>
      <c r="AD18" s="93">
        <v>74.319999999999993</v>
      </c>
      <c r="AE18" s="97">
        <v>74.319999999999993</v>
      </c>
      <c r="AF18" s="94">
        <f t="shared" si="20"/>
        <v>3121.4399999999996</v>
      </c>
      <c r="AG18" s="93">
        <f t="shared" si="8"/>
        <v>76.549599999999998</v>
      </c>
      <c r="AH18" s="97">
        <f t="shared" si="8"/>
        <v>76.549599999999998</v>
      </c>
      <c r="AI18" s="94">
        <f t="shared" si="21"/>
        <v>3215.0832</v>
      </c>
      <c r="AJ18" s="93">
        <f t="shared" si="9"/>
        <v>78.846087999999995</v>
      </c>
      <c r="AK18" s="97">
        <f t="shared" si="9"/>
        <v>78.846087999999995</v>
      </c>
      <c r="AL18" s="94">
        <f t="shared" si="22"/>
        <v>3311.5356959999999</v>
      </c>
      <c r="AM18" s="259" t="s">
        <v>82</v>
      </c>
      <c r="AN18" s="278">
        <v>190.86662508999999</v>
      </c>
      <c r="AO18" s="279">
        <v>348.18653128000005</v>
      </c>
      <c r="AP18" s="280">
        <v>14623.83431376</v>
      </c>
      <c r="AQ18" s="259" t="s">
        <v>82</v>
      </c>
      <c r="AR18" s="278">
        <f t="shared" si="10"/>
        <v>196.59262384269999</v>
      </c>
      <c r="AS18" s="279">
        <f t="shared" si="11"/>
        <v>358.63212721840006</v>
      </c>
      <c r="AT18" s="280">
        <f t="shared" si="12"/>
        <v>15062.549343172801</v>
      </c>
      <c r="AU18" s="278">
        <f t="shared" si="13"/>
        <v>202.49040255798099</v>
      </c>
      <c r="AV18" s="279">
        <f t="shared" si="14"/>
        <v>369.39109103495207</v>
      </c>
      <c r="AW18" s="280">
        <f t="shared" si="15"/>
        <v>15514.425823467986</v>
      </c>
      <c r="AX18" s="278">
        <f t="shared" si="16"/>
        <v>208.56511463472043</v>
      </c>
      <c r="AY18" s="279">
        <f t="shared" si="17"/>
        <v>380.47282376600066</v>
      </c>
      <c r="AZ18" s="280">
        <f t="shared" si="18"/>
        <v>15979.858598172026</v>
      </c>
      <c r="BA18" s="278">
        <f t="shared" si="19"/>
        <v>214.82206807376204</v>
      </c>
      <c r="BB18" s="279">
        <f t="shared" si="0"/>
        <v>391.8870084789807</v>
      </c>
      <c r="BC18" s="280">
        <f t="shared" si="1"/>
        <v>16459.254356117188</v>
      </c>
      <c r="BD18" s="278">
        <f t="shared" si="2"/>
        <v>221.26673011597489</v>
      </c>
      <c r="BE18" s="279">
        <f t="shared" si="3"/>
        <v>403.64361873335014</v>
      </c>
      <c r="BF18" s="280">
        <f t="shared" si="4"/>
        <v>16953.031986800703</v>
      </c>
      <c r="BG18" s="278">
        <f t="shared" si="5"/>
        <v>227.90473201945414</v>
      </c>
      <c r="BH18" s="279">
        <f t="shared" si="6"/>
        <v>415.75292729535067</v>
      </c>
      <c r="BI18" s="280">
        <f t="shared" si="7"/>
        <v>17461.622946404725</v>
      </c>
    </row>
    <row r="19" spans="1:61" ht="14">
      <c r="A19" s="91">
        <v>260</v>
      </c>
      <c r="B19" s="82" t="s">
        <v>81</v>
      </c>
      <c r="C19" s="92">
        <v>100</v>
      </c>
      <c r="D19" s="93">
        <v>100</v>
      </c>
      <c r="E19" s="94">
        <v>4200</v>
      </c>
      <c r="F19" s="106">
        <v>106.32</v>
      </c>
      <c r="G19" s="93">
        <v>106.32</v>
      </c>
      <c r="H19" s="94">
        <v>4465.4399999999996</v>
      </c>
      <c r="I19" s="93">
        <v>112.16759999999999</v>
      </c>
      <c r="J19" s="93">
        <v>112.16759999999999</v>
      </c>
      <c r="K19" s="94">
        <v>4711.0391999999993</v>
      </c>
      <c r="L19" s="93">
        <v>117.77598</v>
      </c>
      <c r="M19" s="93">
        <v>117.77598</v>
      </c>
      <c r="N19" s="94">
        <v>4946.5911599999999</v>
      </c>
      <c r="O19" s="93">
        <v>123.0758991</v>
      </c>
      <c r="P19" s="93">
        <v>123.0758991</v>
      </c>
      <c r="Q19" s="94">
        <v>5169.1877622000002</v>
      </c>
      <c r="R19" s="93">
        <v>123.0758991</v>
      </c>
      <c r="S19" s="93">
        <v>123.0758991</v>
      </c>
      <c r="T19" s="94">
        <v>5169.1877622000002</v>
      </c>
      <c r="U19" s="93">
        <v>127.99893506400001</v>
      </c>
      <c r="V19" s="93">
        <v>127.99893506400001</v>
      </c>
      <c r="W19" s="94">
        <v>5375.9552726880002</v>
      </c>
      <c r="X19" s="93">
        <v>133.11889246656003</v>
      </c>
      <c r="Y19" s="93">
        <v>133.11889246656003</v>
      </c>
      <c r="Z19" s="94">
        <v>5590.993483595521</v>
      </c>
      <c r="AA19" s="93">
        <v>139.78008708988804</v>
      </c>
      <c r="AB19" s="93">
        <v>139.78008708988804</v>
      </c>
      <c r="AC19" s="94">
        <v>5870.7636577752974</v>
      </c>
      <c r="AD19" s="93">
        <v>143.97</v>
      </c>
      <c r="AE19" s="97">
        <v>143.97</v>
      </c>
      <c r="AF19" s="94">
        <f t="shared" si="20"/>
        <v>6046.74</v>
      </c>
      <c r="AG19" s="93">
        <f t="shared" si="8"/>
        <v>148.28909999999999</v>
      </c>
      <c r="AH19" s="97">
        <f t="shared" si="8"/>
        <v>148.28909999999999</v>
      </c>
      <c r="AI19" s="94">
        <f t="shared" si="21"/>
        <v>6228.1421999999993</v>
      </c>
      <c r="AJ19" s="93">
        <f t="shared" si="9"/>
        <v>152.737773</v>
      </c>
      <c r="AK19" s="97">
        <f t="shared" si="9"/>
        <v>152.737773</v>
      </c>
      <c r="AL19" s="94">
        <f t="shared" si="22"/>
        <v>6414.9864660000003</v>
      </c>
      <c r="AM19" s="257" t="s">
        <v>78</v>
      </c>
      <c r="AN19" s="275">
        <v>81.211470640000002</v>
      </c>
      <c r="AO19" s="276">
        <v>81.211470640000002</v>
      </c>
      <c r="AP19" s="277">
        <v>3410.8817668800002</v>
      </c>
      <c r="AQ19" s="257" t="s">
        <v>78</v>
      </c>
      <c r="AR19" s="275">
        <f t="shared" si="10"/>
        <v>83.647814759200003</v>
      </c>
      <c r="AS19" s="276">
        <f t="shared" si="11"/>
        <v>83.647814759200003</v>
      </c>
      <c r="AT19" s="277">
        <f t="shared" si="12"/>
        <v>3513.2082198864005</v>
      </c>
      <c r="AU19" s="275">
        <f t="shared" si="13"/>
        <v>86.157249201976001</v>
      </c>
      <c r="AV19" s="276">
        <f t="shared" si="14"/>
        <v>86.157249201976001</v>
      </c>
      <c r="AW19" s="277">
        <f t="shared" si="15"/>
        <v>3618.6044664829924</v>
      </c>
      <c r="AX19" s="275">
        <f t="shared" si="16"/>
        <v>88.741966678035283</v>
      </c>
      <c r="AY19" s="276">
        <f t="shared" si="17"/>
        <v>88.741966678035283</v>
      </c>
      <c r="AZ19" s="277">
        <f t="shared" si="18"/>
        <v>3727.1626004774821</v>
      </c>
      <c r="BA19" s="275">
        <f t="shared" si="19"/>
        <v>91.404225678376349</v>
      </c>
      <c r="BB19" s="276">
        <f t="shared" si="0"/>
        <v>91.404225678376349</v>
      </c>
      <c r="BC19" s="277">
        <f t="shared" si="1"/>
        <v>3838.9774784918068</v>
      </c>
      <c r="BD19" s="275">
        <f t="shared" si="2"/>
        <v>94.14635244872764</v>
      </c>
      <c r="BE19" s="276">
        <f t="shared" si="3"/>
        <v>94.14635244872764</v>
      </c>
      <c r="BF19" s="277">
        <f t="shared" si="4"/>
        <v>3954.1468028465611</v>
      </c>
      <c r="BG19" s="275">
        <f t="shared" si="5"/>
        <v>96.970743022189467</v>
      </c>
      <c r="BH19" s="276">
        <f t="shared" si="6"/>
        <v>96.970743022189467</v>
      </c>
      <c r="BI19" s="277">
        <f t="shared" si="7"/>
        <v>4072.7712069319582</v>
      </c>
    </row>
    <row r="20" spans="1:61" ht="14">
      <c r="A20" s="98">
        <v>231</v>
      </c>
      <c r="B20" s="83" t="s">
        <v>83</v>
      </c>
      <c r="C20" s="99">
        <v>22.089552238805972</v>
      </c>
      <c r="D20" s="100">
        <v>122.09</v>
      </c>
      <c r="E20" s="101">
        <v>5127.78</v>
      </c>
      <c r="F20" s="99">
        <v>22.089552238805972</v>
      </c>
      <c r="G20" s="100">
        <v>128.40955223880596</v>
      </c>
      <c r="H20" s="101">
        <v>5393.2011940298498</v>
      </c>
      <c r="I20" s="99">
        <v>23.3044776119403</v>
      </c>
      <c r="J20" s="100">
        <v>135.47207761194028</v>
      </c>
      <c r="K20" s="101">
        <v>5689.827259701492</v>
      </c>
      <c r="L20" s="99">
        <v>24.469701492537315</v>
      </c>
      <c r="M20" s="100">
        <v>142.24568149253733</v>
      </c>
      <c r="N20" s="101">
        <v>5974.3186226865682</v>
      </c>
      <c r="O20" s="99">
        <v>25.570838059701494</v>
      </c>
      <c r="P20" s="100">
        <v>148.6467371597015</v>
      </c>
      <c r="Q20" s="101">
        <v>6243.1629607074628</v>
      </c>
      <c r="R20" s="99">
        <v>25.570838059701494</v>
      </c>
      <c r="S20" s="100">
        <v>148.6467371597015</v>
      </c>
      <c r="T20" s="101">
        <v>6243.1629607074628</v>
      </c>
      <c r="U20" s="99">
        <v>26.593671582089556</v>
      </c>
      <c r="V20" s="100">
        <v>154.59260664608956</v>
      </c>
      <c r="W20" s="101">
        <v>6492.8894791357616</v>
      </c>
      <c r="X20" s="100">
        <v>27.647418445373138</v>
      </c>
      <c r="Y20" s="100">
        <v>160.76631091193318</v>
      </c>
      <c r="Z20" s="101">
        <v>6752.1850583011937</v>
      </c>
      <c r="AA20" s="100">
        <v>29.029789367641797</v>
      </c>
      <c r="AB20" s="100">
        <v>168.80987645752984</v>
      </c>
      <c r="AC20" s="101">
        <v>7090.0148112162533</v>
      </c>
      <c r="AD20" s="100">
        <v>29.9</v>
      </c>
      <c r="AE20" s="97">
        <v>173.87</v>
      </c>
      <c r="AF20" s="101">
        <f t="shared" si="20"/>
        <v>7302.54</v>
      </c>
      <c r="AG20" s="100">
        <f t="shared" si="8"/>
        <v>30.797000000000001</v>
      </c>
      <c r="AH20" s="97">
        <f t="shared" si="8"/>
        <v>179.08610000000002</v>
      </c>
      <c r="AI20" s="101">
        <f t="shared" si="21"/>
        <v>7521.6162000000004</v>
      </c>
      <c r="AJ20" s="100">
        <f t="shared" si="9"/>
        <v>31.72091</v>
      </c>
      <c r="AK20" s="97">
        <f t="shared" si="9"/>
        <v>184.45868300000001</v>
      </c>
      <c r="AL20" s="101">
        <f>AK20*42</f>
        <v>7747.2646860000004</v>
      </c>
      <c r="AM20" s="257" t="s">
        <v>81</v>
      </c>
      <c r="AN20" s="275">
        <v>157.31990619000001</v>
      </c>
      <c r="AO20" s="276">
        <v>157.31990619000001</v>
      </c>
      <c r="AP20" s="277">
        <v>6607.4360599800002</v>
      </c>
      <c r="AQ20" s="257" t="s">
        <v>81</v>
      </c>
      <c r="AR20" s="275">
        <f t="shared" si="10"/>
        <v>162.03950337570001</v>
      </c>
      <c r="AS20" s="276">
        <f t="shared" si="11"/>
        <v>162.03950337570001</v>
      </c>
      <c r="AT20" s="277">
        <f t="shared" si="12"/>
        <v>6805.6591417794007</v>
      </c>
      <c r="AU20" s="275">
        <f t="shared" si="13"/>
        <v>166.900688476971</v>
      </c>
      <c r="AV20" s="276">
        <f t="shared" si="14"/>
        <v>166.900688476971</v>
      </c>
      <c r="AW20" s="277">
        <f t="shared" si="15"/>
        <v>7009.8289160327831</v>
      </c>
      <c r="AX20" s="275">
        <f t="shared" si="16"/>
        <v>171.90770913128014</v>
      </c>
      <c r="AY20" s="276">
        <f t="shared" si="17"/>
        <v>171.90770913128014</v>
      </c>
      <c r="AZ20" s="277">
        <f t="shared" si="18"/>
        <v>7220.1237835137672</v>
      </c>
      <c r="BA20" s="275">
        <f t="shared" si="19"/>
        <v>177.06494040521855</v>
      </c>
      <c r="BB20" s="276">
        <f t="shared" si="0"/>
        <v>177.06494040521855</v>
      </c>
      <c r="BC20" s="277">
        <f t="shared" si="1"/>
        <v>7436.7274970191802</v>
      </c>
      <c r="BD20" s="275">
        <f t="shared" si="2"/>
        <v>182.3768886173751</v>
      </c>
      <c r="BE20" s="276">
        <f t="shared" si="3"/>
        <v>182.3768886173751</v>
      </c>
      <c r="BF20" s="277">
        <f t="shared" si="4"/>
        <v>7659.8293219297557</v>
      </c>
      <c r="BG20" s="275">
        <f t="shared" si="5"/>
        <v>187.84819527589636</v>
      </c>
      <c r="BH20" s="276">
        <f t="shared" si="6"/>
        <v>187.84819527589636</v>
      </c>
      <c r="BI20" s="277">
        <f t="shared" si="7"/>
        <v>7889.6242015876487</v>
      </c>
    </row>
    <row r="21" spans="1:61" ht="14">
      <c r="A21" s="91">
        <v>221</v>
      </c>
      <c r="B21" s="82" t="s">
        <v>84</v>
      </c>
      <c r="C21" s="92">
        <v>40</v>
      </c>
      <c r="D21" s="93">
        <v>140</v>
      </c>
      <c r="E21" s="94">
        <v>5880</v>
      </c>
      <c r="F21" s="106">
        <v>40</v>
      </c>
      <c r="G21" s="93">
        <v>146.32</v>
      </c>
      <c r="H21" s="94">
        <v>6145.44</v>
      </c>
      <c r="I21" s="93">
        <v>42.2</v>
      </c>
      <c r="J21" s="93">
        <v>154.36759999999998</v>
      </c>
      <c r="K21" s="94">
        <v>6483.4391999999989</v>
      </c>
      <c r="L21" s="93">
        <v>44.31</v>
      </c>
      <c r="M21" s="93">
        <v>162.08598000000001</v>
      </c>
      <c r="N21" s="94">
        <v>6807.6111600000004</v>
      </c>
      <c r="O21" s="93">
        <v>46.30395</v>
      </c>
      <c r="P21" s="93">
        <v>169.3798491</v>
      </c>
      <c r="Q21" s="94">
        <v>7113.9536621999996</v>
      </c>
      <c r="R21" s="93">
        <v>46.30395</v>
      </c>
      <c r="S21" s="93">
        <v>169.3798491</v>
      </c>
      <c r="T21" s="94">
        <v>7113.9536621999996</v>
      </c>
      <c r="U21" s="93">
        <v>48.156108000000003</v>
      </c>
      <c r="V21" s="93">
        <v>176.15504306400001</v>
      </c>
      <c r="W21" s="94">
        <v>7398.5118086880002</v>
      </c>
      <c r="X21" s="93">
        <v>50.092352320000003</v>
      </c>
      <c r="Y21" s="93">
        <v>183.21124478656003</v>
      </c>
      <c r="Z21" s="94">
        <v>7694.8722810355212</v>
      </c>
      <c r="AA21" s="93">
        <v>52.58696993600001</v>
      </c>
      <c r="AB21" s="93">
        <v>192.36705702588804</v>
      </c>
      <c r="AC21" s="94">
        <v>8079.416395087298</v>
      </c>
      <c r="AD21" s="93">
        <v>54.17</v>
      </c>
      <c r="AE21" s="97">
        <v>198.14</v>
      </c>
      <c r="AF21" s="94">
        <f t="shared" si="20"/>
        <v>8321.8799999999992</v>
      </c>
      <c r="AG21" s="93">
        <f>AD21*(1+$AI$2)-0.01</f>
        <v>55.785100000000007</v>
      </c>
      <c r="AH21" s="97">
        <f t="shared" si="8"/>
        <v>204.08419999999998</v>
      </c>
      <c r="AI21" s="94">
        <f t="shared" si="21"/>
        <v>8571.536399999999</v>
      </c>
      <c r="AJ21" s="93">
        <f>AG21*(1+$AI$2)-0.01</f>
        <v>57.448653000000007</v>
      </c>
      <c r="AK21" s="97">
        <f>AH21*(1+$AI$2)-0.02</f>
        <v>210.18672599999996</v>
      </c>
      <c r="AL21" s="94">
        <f t="shared" si="22"/>
        <v>8827.8424919999979</v>
      </c>
      <c r="AM21" s="257" t="s">
        <v>83</v>
      </c>
      <c r="AN21" s="275">
        <v>32.672537300000002</v>
      </c>
      <c r="AO21" s="276">
        <v>189.99244349</v>
      </c>
      <c r="AP21" s="277">
        <v>7979.6826265800009</v>
      </c>
      <c r="AQ21" s="257" t="s">
        <v>83</v>
      </c>
      <c r="AR21" s="275">
        <f t="shared" si="10"/>
        <v>33.652713419000001</v>
      </c>
      <c r="AS21" s="276">
        <f t="shared" si="11"/>
        <v>195.69221679470002</v>
      </c>
      <c r="AT21" s="277">
        <f t="shared" si="12"/>
        <v>8219.0731053774016</v>
      </c>
      <c r="AU21" s="275">
        <f t="shared" si="13"/>
        <v>34.662294821570001</v>
      </c>
      <c r="AV21" s="276">
        <f t="shared" si="14"/>
        <v>201.56298329854101</v>
      </c>
      <c r="AW21" s="277">
        <f t="shared" si="15"/>
        <v>8465.6452985387241</v>
      </c>
      <c r="AX21" s="275">
        <f t="shared" si="16"/>
        <v>35.702163666217103</v>
      </c>
      <c r="AY21" s="276">
        <f t="shared" si="17"/>
        <v>207.60987279749725</v>
      </c>
      <c r="AZ21" s="277">
        <f t="shared" si="18"/>
        <v>8719.6146574948853</v>
      </c>
      <c r="BA21" s="275">
        <f t="shared" si="19"/>
        <v>36.773228576203614</v>
      </c>
      <c r="BB21" s="276">
        <f t="shared" si="0"/>
        <v>213.83816898142217</v>
      </c>
      <c r="BC21" s="277">
        <f t="shared" si="1"/>
        <v>8981.2030972197317</v>
      </c>
      <c r="BD21" s="275">
        <f t="shared" si="2"/>
        <v>37.876425433489722</v>
      </c>
      <c r="BE21" s="276">
        <f t="shared" si="3"/>
        <v>220.25331405086484</v>
      </c>
      <c r="BF21" s="277">
        <f t="shared" si="4"/>
        <v>9250.639190136324</v>
      </c>
      <c r="BG21" s="275">
        <f t="shared" si="5"/>
        <v>39.012718196494411</v>
      </c>
      <c r="BH21" s="276">
        <f t="shared" si="6"/>
        <v>226.86091347239079</v>
      </c>
      <c r="BI21" s="277">
        <f t="shared" si="7"/>
        <v>9528.1583658404143</v>
      </c>
    </row>
    <row r="22" spans="1:61" ht="14">
      <c r="A22" s="91">
        <v>225</v>
      </c>
      <c r="B22" s="82" t="s">
        <v>85</v>
      </c>
      <c r="C22" s="92">
        <v>19.07</v>
      </c>
      <c r="D22" s="93">
        <v>159.07</v>
      </c>
      <c r="E22" s="94">
        <v>6680.94</v>
      </c>
      <c r="F22" s="106">
        <v>74</v>
      </c>
      <c r="G22" s="93">
        <v>220.32</v>
      </c>
      <c r="H22" s="94">
        <v>9253.44</v>
      </c>
      <c r="I22" s="93">
        <v>78.069999999999993</v>
      </c>
      <c r="J22" s="93">
        <v>232.43759999999997</v>
      </c>
      <c r="K22" s="94">
        <v>9762.3791999999994</v>
      </c>
      <c r="L22" s="93">
        <v>81.973500000000001</v>
      </c>
      <c r="M22" s="93">
        <v>244.05948000000001</v>
      </c>
      <c r="N22" s="94">
        <v>10250.498160000001</v>
      </c>
      <c r="O22" s="93">
        <v>85.662307499999997</v>
      </c>
      <c r="P22" s="93">
        <v>255.0421566</v>
      </c>
      <c r="Q22" s="94">
        <v>10711.770577200001</v>
      </c>
      <c r="R22" s="93">
        <v>85.662307499999997</v>
      </c>
      <c r="S22" s="93">
        <v>255.0421566</v>
      </c>
      <c r="T22" s="94">
        <v>10711.770577200001</v>
      </c>
      <c r="U22" s="93">
        <v>89.088799800000004</v>
      </c>
      <c r="V22" s="93">
        <v>265.24384286400004</v>
      </c>
      <c r="W22" s="94">
        <v>11140.241400288001</v>
      </c>
      <c r="X22" s="93">
        <v>92.642351791999999</v>
      </c>
      <c r="Y22" s="93">
        <v>275.85359657856003</v>
      </c>
      <c r="Z22" s="94">
        <v>11585.851056299522</v>
      </c>
      <c r="AA22" s="93">
        <v>97.284469381600005</v>
      </c>
      <c r="AB22" s="93">
        <v>289.65152640748806</v>
      </c>
      <c r="AC22" s="94">
        <v>12165.364109114498</v>
      </c>
      <c r="AD22" s="93">
        <v>100.2</v>
      </c>
      <c r="AE22" s="97">
        <v>298.33999999999997</v>
      </c>
      <c r="AF22" s="94">
        <f t="shared" si="20"/>
        <v>12530.279999999999</v>
      </c>
      <c r="AG22" s="93">
        <f t="shared" si="8"/>
        <v>103.206</v>
      </c>
      <c r="AH22" s="97">
        <f t="shared" si="8"/>
        <v>307.29019999999997</v>
      </c>
      <c r="AI22" s="94">
        <f t="shared" si="21"/>
        <v>12906.188399999999</v>
      </c>
      <c r="AJ22" s="93">
        <f t="shared" ref="AJ22:AK35" si="23">AG22*(1+$AI$2)</f>
        <v>106.30218000000001</v>
      </c>
      <c r="AK22" s="97">
        <f>AH22*(1+$AI$2)-0.02</f>
        <v>316.48890599999999</v>
      </c>
      <c r="AL22" s="94">
        <f t="shared" si="22"/>
        <v>13292.534051999999</v>
      </c>
      <c r="AM22" s="257" t="s">
        <v>84</v>
      </c>
      <c r="AN22" s="275">
        <v>59.172112590000012</v>
      </c>
      <c r="AO22" s="276">
        <v>216.49232777999998</v>
      </c>
      <c r="AP22" s="277">
        <v>9092.6777667599981</v>
      </c>
      <c r="AQ22" s="257" t="s">
        <v>84</v>
      </c>
      <c r="AR22" s="275">
        <f t="shared" si="10"/>
        <v>60.947275967700016</v>
      </c>
      <c r="AS22" s="276">
        <f t="shared" si="11"/>
        <v>222.98709761339998</v>
      </c>
      <c r="AT22" s="277">
        <f t="shared" si="12"/>
        <v>9365.4580997627982</v>
      </c>
      <c r="AU22" s="275">
        <f t="shared" si="13"/>
        <v>62.775694246731021</v>
      </c>
      <c r="AV22" s="276">
        <f t="shared" si="14"/>
        <v>229.67671054180198</v>
      </c>
      <c r="AW22" s="277">
        <f t="shared" si="15"/>
        <v>9646.4218427556825</v>
      </c>
      <c r="AX22" s="275">
        <f t="shared" si="16"/>
        <v>64.658965074132951</v>
      </c>
      <c r="AY22" s="276">
        <f t="shared" si="17"/>
        <v>236.56701185805605</v>
      </c>
      <c r="AZ22" s="277">
        <f t="shared" si="18"/>
        <v>9935.8144980383531</v>
      </c>
      <c r="BA22" s="275">
        <f t="shared" si="19"/>
        <v>66.598734026356937</v>
      </c>
      <c r="BB22" s="276">
        <f t="shared" si="0"/>
        <v>243.66402221379775</v>
      </c>
      <c r="BC22" s="277">
        <f t="shared" si="1"/>
        <v>10233.888932979504</v>
      </c>
      <c r="BD22" s="275">
        <f t="shared" si="2"/>
        <v>68.596696047147645</v>
      </c>
      <c r="BE22" s="276">
        <f t="shared" si="3"/>
        <v>250.97394288021169</v>
      </c>
      <c r="BF22" s="277">
        <f t="shared" si="4"/>
        <v>10540.905600968888</v>
      </c>
      <c r="BG22" s="275">
        <f t="shared" si="5"/>
        <v>70.654596928562071</v>
      </c>
      <c r="BH22" s="276">
        <f t="shared" si="6"/>
        <v>258.50316116661804</v>
      </c>
      <c r="BI22" s="277">
        <f t="shared" si="7"/>
        <v>10857.132768997955</v>
      </c>
    </row>
    <row r="23" spans="1:61" ht="14">
      <c r="A23" s="91">
        <v>228</v>
      </c>
      <c r="B23" s="82" t="s">
        <v>86</v>
      </c>
      <c r="C23" s="92">
        <v>47.68</v>
      </c>
      <c r="D23" s="93">
        <v>206.75</v>
      </c>
      <c r="E23" s="94">
        <v>8683.5</v>
      </c>
      <c r="F23" s="106">
        <v>15</v>
      </c>
      <c r="G23" s="93">
        <v>235.32</v>
      </c>
      <c r="H23" s="94">
        <v>9883.44</v>
      </c>
      <c r="I23" s="93">
        <v>15.824999999999999</v>
      </c>
      <c r="J23" s="93">
        <v>248.27259999999995</v>
      </c>
      <c r="K23" s="94">
        <v>10427.449199999997</v>
      </c>
      <c r="L23" s="93">
        <v>16.616250000000001</v>
      </c>
      <c r="M23" s="93">
        <v>260.67572999999999</v>
      </c>
      <c r="N23" s="94">
        <v>10948.380659999999</v>
      </c>
      <c r="O23" s="93">
        <v>17.372289375000001</v>
      </c>
      <c r="P23" s="93">
        <v>272.41444597499998</v>
      </c>
      <c r="Q23" s="94">
        <v>11441.406730949999</v>
      </c>
      <c r="R23" s="93">
        <v>17.363981249999998</v>
      </c>
      <c r="S23" s="93">
        <v>272.40613784999999</v>
      </c>
      <c r="T23" s="94">
        <v>11441.0577897</v>
      </c>
      <c r="U23" s="93">
        <v>18.058540499999999</v>
      </c>
      <c r="V23" s="93">
        <v>283.30238336400004</v>
      </c>
      <c r="W23" s="94">
        <v>11898.700101288001</v>
      </c>
      <c r="X23" s="93">
        <v>18.780882120000001</v>
      </c>
      <c r="Y23" s="93">
        <v>294.63447869856003</v>
      </c>
      <c r="Z23" s="94">
        <v>12374.648105339522</v>
      </c>
      <c r="AA23" s="93">
        <v>19.709926226</v>
      </c>
      <c r="AB23" s="93">
        <v>309.36145263348806</v>
      </c>
      <c r="AC23" s="94">
        <v>12993.181010606499</v>
      </c>
      <c r="AD23" s="93">
        <v>20.3</v>
      </c>
      <c r="AE23" s="97">
        <v>318.64</v>
      </c>
      <c r="AF23" s="94">
        <f t="shared" si="20"/>
        <v>13382.88</v>
      </c>
      <c r="AG23" s="93">
        <f t="shared" si="8"/>
        <v>20.909000000000002</v>
      </c>
      <c r="AH23" s="97">
        <f t="shared" si="8"/>
        <v>328.19920000000002</v>
      </c>
      <c r="AI23" s="94">
        <f t="shared" si="21"/>
        <v>13784.366400000001</v>
      </c>
      <c r="AJ23" s="93">
        <f>AG23*(1+$AI$2)+0.03</f>
        <v>21.566270000000003</v>
      </c>
      <c r="AK23" s="97">
        <f>AH23*(1+$AI$2)</f>
        <v>338.04517600000003</v>
      </c>
      <c r="AL23" s="94">
        <f t="shared" si="22"/>
        <v>14197.897392000001</v>
      </c>
      <c r="AM23" s="257" t="s">
        <v>85</v>
      </c>
      <c r="AN23" s="275">
        <v>109.49124540000001</v>
      </c>
      <c r="AO23" s="276">
        <v>325.98357318000001</v>
      </c>
      <c r="AP23" s="277">
        <v>13691.31007356</v>
      </c>
      <c r="AQ23" s="257" t="s">
        <v>85</v>
      </c>
      <c r="AR23" s="275">
        <f t="shared" si="10"/>
        <v>112.77598276200001</v>
      </c>
      <c r="AS23" s="276">
        <f t="shared" si="11"/>
        <v>335.76308037540002</v>
      </c>
      <c r="AT23" s="277">
        <f t="shared" si="12"/>
        <v>14102.049375766801</v>
      </c>
      <c r="AU23" s="275">
        <f t="shared" si="13"/>
        <v>116.15926224486002</v>
      </c>
      <c r="AV23" s="276">
        <f t="shared" si="14"/>
        <v>345.83597278666201</v>
      </c>
      <c r="AW23" s="277">
        <f t="shared" si="15"/>
        <v>14525.110857039805</v>
      </c>
      <c r="AX23" s="275">
        <f t="shared" si="16"/>
        <v>119.64404011220581</v>
      </c>
      <c r="AY23" s="276">
        <f t="shared" si="17"/>
        <v>356.21105197026191</v>
      </c>
      <c r="AZ23" s="277">
        <f t="shared" si="18"/>
        <v>14960.864182751</v>
      </c>
      <c r="BA23" s="275">
        <f t="shared" si="19"/>
        <v>123.233361315572</v>
      </c>
      <c r="BB23" s="276">
        <f t="shared" si="0"/>
        <v>366.89738352936979</v>
      </c>
      <c r="BC23" s="277">
        <f t="shared" si="1"/>
        <v>15409.69010823353</v>
      </c>
      <c r="BD23" s="275">
        <f t="shared" si="2"/>
        <v>126.93036215503916</v>
      </c>
      <c r="BE23" s="276">
        <f t="shared" si="3"/>
        <v>377.9043050352509</v>
      </c>
      <c r="BF23" s="277">
        <f t="shared" si="4"/>
        <v>15871.980811480536</v>
      </c>
      <c r="BG23" s="275">
        <f t="shared" si="5"/>
        <v>130.73827301969035</v>
      </c>
      <c r="BH23" s="276">
        <f t="shared" si="6"/>
        <v>389.24143418630842</v>
      </c>
      <c r="BI23" s="277">
        <f t="shared" si="7"/>
        <v>16348.140235824952</v>
      </c>
    </row>
    <row r="24" spans="1:61" ht="14.5" thickBot="1">
      <c r="A24" s="134">
        <v>227</v>
      </c>
      <c r="B24" s="150" t="s">
        <v>87</v>
      </c>
      <c r="C24" s="143">
        <v>0</v>
      </c>
      <c r="D24" s="137">
        <v>0</v>
      </c>
      <c r="E24" s="138">
        <v>0</v>
      </c>
      <c r="F24" s="137">
        <v>0</v>
      </c>
      <c r="G24" s="137">
        <v>0</v>
      </c>
      <c r="H24" s="138">
        <v>0</v>
      </c>
      <c r="I24" s="143">
        <v>0</v>
      </c>
      <c r="J24" s="137">
        <v>0</v>
      </c>
      <c r="K24" s="138">
        <v>0</v>
      </c>
      <c r="L24" s="143">
        <v>0</v>
      </c>
      <c r="M24" s="137">
        <v>0</v>
      </c>
      <c r="N24" s="138">
        <v>0</v>
      </c>
      <c r="O24" s="143">
        <v>0</v>
      </c>
      <c r="P24" s="137">
        <v>0</v>
      </c>
      <c r="Q24" s="138">
        <v>0</v>
      </c>
      <c r="R24" s="143">
        <v>0</v>
      </c>
      <c r="S24" s="137">
        <v>0</v>
      </c>
      <c r="T24" s="138">
        <v>0</v>
      </c>
      <c r="U24" s="143">
        <v>0</v>
      </c>
      <c r="V24" s="137">
        <v>0</v>
      </c>
      <c r="W24" s="138">
        <v>0</v>
      </c>
      <c r="X24" s="137">
        <v>0</v>
      </c>
      <c r="Y24" s="137">
        <v>0</v>
      </c>
      <c r="Z24" s="138">
        <v>0</v>
      </c>
      <c r="AA24" s="137">
        <v>0</v>
      </c>
      <c r="AB24" s="137">
        <v>0</v>
      </c>
      <c r="AC24" s="138">
        <v>0</v>
      </c>
      <c r="AD24" s="137">
        <v>0</v>
      </c>
      <c r="AE24" s="140">
        <v>0</v>
      </c>
      <c r="AF24" s="138">
        <f t="shared" si="20"/>
        <v>0</v>
      </c>
      <c r="AG24" s="137">
        <f t="shared" si="8"/>
        <v>0</v>
      </c>
      <c r="AH24" s="140">
        <f t="shared" si="8"/>
        <v>0</v>
      </c>
      <c r="AI24" s="138">
        <f t="shared" si="21"/>
        <v>0</v>
      </c>
      <c r="AJ24" s="137">
        <f t="shared" si="23"/>
        <v>0</v>
      </c>
      <c r="AK24" s="140">
        <f t="shared" si="23"/>
        <v>0</v>
      </c>
      <c r="AL24" s="138">
        <f t="shared" si="22"/>
        <v>0</v>
      </c>
      <c r="AM24" s="257" t="s">
        <v>86</v>
      </c>
      <c r="AN24" s="275">
        <v>22.213258100000004</v>
      </c>
      <c r="AO24" s="276">
        <v>348.18653128000005</v>
      </c>
      <c r="AP24" s="277">
        <v>14623.83431376</v>
      </c>
      <c r="AQ24" s="257" t="s">
        <v>86</v>
      </c>
      <c r="AR24" s="275">
        <f t="shared" si="10"/>
        <v>22.879655843000005</v>
      </c>
      <c r="AS24" s="276">
        <f t="shared" si="11"/>
        <v>358.63212721840006</v>
      </c>
      <c r="AT24" s="277">
        <f t="shared" si="12"/>
        <v>15062.549343172801</v>
      </c>
      <c r="AU24" s="275">
        <f t="shared" si="13"/>
        <v>23.566045518290007</v>
      </c>
      <c r="AV24" s="276">
        <f t="shared" si="14"/>
        <v>369.39109103495207</v>
      </c>
      <c r="AW24" s="277">
        <f t="shared" si="15"/>
        <v>15514.425823467986</v>
      </c>
      <c r="AX24" s="275">
        <f t="shared" si="16"/>
        <v>24.273026883838707</v>
      </c>
      <c r="AY24" s="276">
        <f t="shared" si="17"/>
        <v>380.47282376600066</v>
      </c>
      <c r="AZ24" s="277">
        <f t="shared" si="18"/>
        <v>15979.858598172026</v>
      </c>
      <c r="BA24" s="275">
        <f t="shared" si="19"/>
        <v>25.001217690353869</v>
      </c>
      <c r="BB24" s="276">
        <f t="shared" si="0"/>
        <v>391.8870084789807</v>
      </c>
      <c r="BC24" s="277">
        <f t="shared" si="1"/>
        <v>16459.254356117188</v>
      </c>
      <c r="BD24" s="275">
        <f t="shared" si="2"/>
        <v>25.751254221064485</v>
      </c>
      <c r="BE24" s="276">
        <f t="shared" si="3"/>
        <v>403.64361873335014</v>
      </c>
      <c r="BF24" s="277">
        <f t="shared" si="4"/>
        <v>16953.031986800703</v>
      </c>
      <c r="BG24" s="275">
        <f t="shared" si="5"/>
        <v>26.523791847696419</v>
      </c>
      <c r="BH24" s="276">
        <f t="shared" si="6"/>
        <v>415.75292729535067</v>
      </c>
      <c r="BI24" s="277">
        <f t="shared" si="7"/>
        <v>17461.622946404725</v>
      </c>
    </row>
    <row r="25" spans="1:61" ht="14.5" thickBot="1">
      <c r="A25" s="91">
        <v>210</v>
      </c>
      <c r="B25" s="82" t="s">
        <v>78</v>
      </c>
      <c r="C25" s="92">
        <v>15</v>
      </c>
      <c r="D25" s="93">
        <v>15</v>
      </c>
      <c r="E25" s="94">
        <v>630</v>
      </c>
      <c r="F25" s="149">
        <v>35.32</v>
      </c>
      <c r="G25" s="86">
        <v>35.32</v>
      </c>
      <c r="H25" s="94">
        <v>1483.44</v>
      </c>
      <c r="I25" s="93">
        <v>37.262599999999999</v>
      </c>
      <c r="J25" s="93">
        <v>37.262599999999999</v>
      </c>
      <c r="K25" s="94">
        <v>1565.0291999999999</v>
      </c>
      <c r="L25" s="93">
        <v>39.125729999999997</v>
      </c>
      <c r="M25" s="93">
        <v>39.125729999999997</v>
      </c>
      <c r="N25" s="94">
        <v>1643.2806599999999</v>
      </c>
      <c r="O25" s="93">
        <v>40.886387849999991</v>
      </c>
      <c r="P25" s="93">
        <v>40.886387849999991</v>
      </c>
      <c r="Q25" s="94">
        <v>1717.2282896999996</v>
      </c>
      <c r="R25" s="93">
        <v>63.55</v>
      </c>
      <c r="S25" s="93">
        <v>63.55</v>
      </c>
      <c r="T25" s="94">
        <v>2669.1</v>
      </c>
      <c r="U25" s="93">
        <v>66.091999999999999</v>
      </c>
      <c r="V25" s="93">
        <v>66.091999999999999</v>
      </c>
      <c r="W25" s="94">
        <v>2775.864</v>
      </c>
      <c r="X25" s="93">
        <v>68.725679999999997</v>
      </c>
      <c r="Y25" s="93">
        <v>68.725679999999997</v>
      </c>
      <c r="Z25" s="94">
        <v>2886.47856</v>
      </c>
      <c r="AA25" s="93">
        <v>72.161963999999998</v>
      </c>
      <c r="AB25" s="93">
        <v>72.161963999999998</v>
      </c>
      <c r="AC25" s="94">
        <v>3030.8024879999998</v>
      </c>
      <c r="AD25" s="93">
        <v>74.319999999999993</v>
      </c>
      <c r="AE25" s="97">
        <v>74.319999999999993</v>
      </c>
      <c r="AF25" s="94">
        <f t="shared" si="20"/>
        <v>3121.4399999999996</v>
      </c>
      <c r="AG25" s="93">
        <f t="shared" si="8"/>
        <v>76.549599999999998</v>
      </c>
      <c r="AH25" s="97">
        <f t="shared" si="8"/>
        <v>76.549599999999998</v>
      </c>
      <c r="AI25" s="94">
        <f t="shared" si="21"/>
        <v>3215.0832</v>
      </c>
      <c r="AJ25" s="93">
        <f t="shared" si="23"/>
        <v>78.846087999999995</v>
      </c>
      <c r="AK25" s="97">
        <f t="shared" si="23"/>
        <v>78.846087999999995</v>
      </c>
      <c r="AL25" s="94">
        <f t="shared" si="22"/>
        <v>3311.5356959999999</v>
      </c>
      <c r="AM25" s="259" t="s">
        <v>87</v>
      </c>
      <c r="AN25" s="278">
        <v>0</v>
      </c>
      <c r="AO25" s="279">
        <v>0</v>
      </c>
      <c r="AP25" s="280">
        <v>0</v>
      </c>
      <c r="AQ25" s="259" t="s">
        <v>87</v>
      </c>
      <c r="AR25" s="278">
        <f t="shared" si="10"/>
        <v>0</v>
      </c>
      <c r="AS25" s="279">
        <f t="shared" si="11"/>
        <v>0</v>
      </c>
      <c r="AT25" s="280">
        <f t="shared" si="12"/>
        <v>0</v>
      </c>
      <c r="AU25" s="278">
        <f t="shared" si="13"/>
        <v>0</v>
      </c>
      <c r="AV25" s="279">
        <f t="shared" si="14"/>
        <v>0</v>
      </c>
      <c r="AW25" s="280">
        <f t="shared" si="15"/>
        <v>0</v>
      </c>
      <c r="AX25" s="278">
        <f t="shared" si="16"/>
        <v>0</v>
      </c>
      <c r="AY25" s="279">
        <f t="shared" si="17"/>
        <v>0</v>
      </c>
      <c r="AZ25" s="280">
        <f t="shared" si="18"/>
        <v>0</v>
      </c>
      <c r="BA25" s="278">
        <f t="shared" si="19"/>
        <v>0</v>
      </c>
      <c r="BB25" s="279">
        <f t="shared" si="0"/>
        <v>0</v>
      </c>
      <c r="BC25" s="280">
        <f t="shared" si="1"/>
        <v>0</v>
      </c>
      <c r="BD25" s="278">
        <f t="shared" si="2"/>
        <v>0</v>
      </c>
      <c r="BE25" s="279">
        <f t="shared" si="3"/>
        <v>0</v>
      </c>
      <c r="BF25" s="280">
        <f t="shared" si="4"/>
        <v>0</v>
      </c>
      <c r="BG25" s="278">
        <f t="shared" si="5"/>
        <v>0</v>
      </c>
      <c r="BH25" s="279">
        <f t="shared" si="6"/>
        <v>0</v>
      </c>
      <c r="BI25" s="280">
        <f t="shared" si="7"/>
        <v>0</v>
      </c>
    </row>
    <row r="26" spans="1:61" ht="14">
      <c r="A26" s="91">
        <v>260</v>
      </c>
      <c r="B26" s="82" t="s">
        <v>81</v>
      </c>
      <c r="C26" s="92">
        <v>100</v>
      </c>
      <c r="D26" s="93">
        <v>100</v>
      </c>
      <c r="E26" s="94">
        <v>4200</v>
      </c>
      <c r="F26" s="106">
        <v>106.32</v>
      </c>
      <c r="G26" s="93">
        <v>106.32</v>
      </c>
      <c r="H26" s="94">
        <v>4465.4399999999996</v>
      </c>
      <c r="I26" s="93">
        <v>112.16759999999999</v>
      </c>
      <c r="J26" s="93">
        <v>112.16759999999999</v>
      </c>
      <c r="K26" s="94">
        <v>4711.0391999999993</v>
      </c>
      <c r="L26" s="93">
        <v>117.77598</v>
      </c>
      <c r="M26" s="93">
        <v>117.77598</v>
      </c>
      <c r="N26" s="94">
        <v>4946.5911599999999</v>
      </c>
      <c r="O26" s="93">
        <v>123.0758991</v>
      </c>
      <c r="P26" s="93">
        <v>123.0758991</v>
      </c>
      <c r="Q26" s="94">
        <v>5169.1877622000002</v>
      </c>
      <c r="R26" s="93">
        <v>123.0758991</v>
      </c>
      <c r="S26" s="93">
        <v>123.0758991</v>
      </c>
      <c r="T26" s="94">
        <v>5169.1877622000002</v>
      </c>
      <c r="U26" s="93">
        <v>127.99893506400001</v>
      </c>
      <c r="V26" s="93">
        <v>127.99893506400001</v>
      </c>
      <c r="W26" s="94">
        <v>5375.9552726880002</v>
      </c>
      <c r="X26" s="93">
        <v>133.11889246656003</v>
      </c>
      <c r="Y26" s="93">
        <v>133.11889246656003</v>
      </c>
      <c r="Z26" s="94">
        <v>5590.993483595521</v>
      </c>
      <c r="AA26" s="93">
        <v>139.78008708988804</v>
      </c>
      <c r="AB26" s="93">
        <v>139.78008708988804</v>
      </c>
      <c r="AC26" s="94">
        <v>5870.7636577752974</v>
      </c>
      <c r="AD26" s="93">
        <v>143.97</v>
      </c>
      <c r="AE26" s="97">
        <v>143.97</v>
      </c>
      <c r="AF26" s="94">
        <f t="shared" si="20"/>
        <v>6046.74</v>
      </c>
      <c r="AG26" s="93">
        <f t="shared" si="8"/>
        <v>148.28909999999999</v>
      </c>
      <c r="AH26" s="97">
        <f t="shared" si="8"/>
        <v>148.28909999999999</v>
      </c>
      <c r="AI26" s="94">
        <f t="shared" si="21"/>
        <v>6228.1421999999993</v>
      </c>
      <c r="AJ26" s="93">
        <f t="shared" si="23"/>
        <v>152.737773</v>
      </c>
      <c r="AK26" s="97">
        <f t="shared" si="23"/>
        <v>152.737773</v>
      </c>
      <c r="AL26" s="94">
        <f t="shared" si="22"/>
        <v>6414.9864660000003</v>
      </c>
      <c r="AM26" s="257" t="s">
        <v>78</v>
      </c>
      <c r="AN26" s="275">
        <v>81.211470640000002</v>
      </c>
      <c r="AO26" s="276">
        <v>81.211470640000002</v>
      </c>
      <c r="AP26" s="277">
        <v>3410.8817668800002</v>
      </c>
      <c r="AQ26" s="257" t="s">
        <v>78</v>
      </c>
      <c r="AR26" s="275">
        <f t="shared" si="10"/>
        <v>83.647814759200003</v>
      </c>
      <c r="AS26" s="276">
        <f t="shared" si="11"/>
        <v>83.647814759200003</v>
      </c>
      <c r="AT26" s="277">
        <f t="shared" si="12"/>
        <v>3513.2082198864005</v>
      </c>
      <c r="AU26" s="275">
        <f t="shared" si="13"/>
        <v>86.157249201976001</v>
      </c>
      <c r="AV26" s="276">
        <f t="shared" si="14"/>
        <v>86.157249201976001</v>
      </c>
      <c r="AW26" s="277">
        <f t="shared" si="15"/>
        <v>3618.6044664829924</v>
      </c>
      <c r="AX26" s="275">
        <f t="shared" si="16"/>
        <v>88.741966678035283</v>
      </c>
      <c r="AY26" s="276">
        <f t="shared" si="17"/>
        <v>88.741966678035283</v>
      </c>
      <c r="AZ26" s="277">
        <f t="shared" si="18"/>
        <v>3727.1626004774821</v>
      </c>
      <c r="BA26" s="275">
        <f t="shared" si="19"/>
        <v>91.404225678376349</v>
      </c>
      <c r="BB26" s="276">
        <f t="shared" si="0"/>
        <v>91.404225678376349</v>
      </c>
      <c r="BC26" s="277">
        <f t="shared" si="1"/>
        <v>3838.9774784918068</v>
      </c>
      <c r="BD26" s="275">
        <f t="shared" si="2"/>
        <v>94.14635244872764</v>
      </c>
      <c r="BE26" s="276">
        <f t="shared" si="3"/>
        <v>94.14635244872764</v>
      </c>
      <c r="BF26" s="277">
        <f t="shared" si="4"/>
        <v>3954.1468028465611</v>
      </c>
      <c r="BG26" s="275">
        <f t="shared" si="5"/>
        <v>96.970743022189467</v>
      </c>
      <c r="BH26" s="276">
        <f t="shared" si="6"/>
        <v>96.970743022189467</v>
      </c>
      <c r="BI26" s="277">
        <f t="shared" si="7"/>
        <v>4072.7712069319582</v>
      </c>
    </row>
    <row r="27" spans="1:61" ht="14">
      <c r="A27" s="98">
        <v>231</v>
      </c>
      <c r="B27" s="83" t="s">
        <v>83</v>
      </c>
      <c r="C27" s="99">
        <v>22.089552238805972</v>
      </c>
      <c r="D27" s="100">
        <v>122.09</v>
      </c>
      <c r="E27" s="101">
        <v>5127.78</v>
      </c>
      <c r="F27" s="99">
        <v>22.089552238805972</v>
      </c>
      <c r="G27" s="100">
        <v>128.40955223880596</v>
      </c>
      <c r="H27" s="101">
        <v>5393.2011940298498</v>
      </c>
      <c r="I27" s="99">
        <v>23.3044776119403</v>
      </c>
      <c r="J27" s="100">
        <v>135.47207761194028</v>
      </c>
      <c r="K27" s="101">
        <v>5689.827259701492</v>
      </c>
      <c r="L27" s="100">
        <v>24.469701492537315</v>
      </c>
      <c r="M27" s="100">
        <v>142.24568149253733</v>
      </c>
      <c r="N27" s="101">
        <v>5974.3186226865682</v>
      </c>
      <c r="O27" s="100">
        <v>25.570838059701494</v>
      </c>
      <c r="P27" s="100">
        <v>148.6467371597015</v>
      </c>
      <c r="Q27" s="101">
        <v>6243.1629607074628</v>
      </c>
      <c r="R27" s="100">
        <v>25.570838059701494</v>
      </c>
      <c r="S27" s="100">
        <v>148.6467371597015</v>
      </c>
      <c r="T27" s="101">
        <v>6243.1629607074628</v>
      </c>
      <c r="U27" s="100">
        <v>26.593671582089556</v>
      </c>
      <c r="V27" s="100">
        <v>154.59260664608956</v>
      </c>
      <c r="W27" s="101">
        <v>6492.8894791357616</v>
      </c>
      <c r="X27" s="100">
        <v>27.647418445373138</v>
      </c>
      <c r="Y27" s="100">
        <v>160.76631091193318</v>
      </c>
      <c r="Z27" s="101">
        <v>6752.1850583011937</v>
      </c>
      <c r="AA27" s="100">
        <v>29.029789367641797</v>
      </c>
      <c r="AB27" s="100">
        <v>168.80987645752984</v>
      </c>
      <c r="AC27" s="101">
        <v>7090.0148112162533</v>
      </c>
      <c r="AD27" s="100">
        <v>29.9</v>
      </c>
      <c r="AE27" s="97">
        <v>173.87</v>
      </c>
      <c r="AF27" s="101">
        <f t="shared" si="20"/>
        <v>7302.54</v>
      </c>
      <c r="AG27" s="100">
        <f t="shared" si="8"/>
        <v>30.797000000000001</v>
      </c>
      <c r="AH27" s="97">
        <f t="shared" si="8"/>
        <v>179.08610000000002</v>
      </c>
      <c r="AI27" s="101">
        <f t="shared" si="21"/>
        <v>7521.6162000000004</v>
      </c>
      <c r="AJ27" s="100">
        <f t="shared" si="23"/>
        <v>31.72091</v>
      </c>
      <c r="AK27" s="97">
        <f t="shared" si="23"/>
        <v>184.45868300000001</v>
      </c>
      <c r="AL27" s="101">
        <f t="shared" si="22"/>
        <v>7747.2646860000004</v>
      </c>
      <c r="AM27" s="257" t="s">
        <v>81</v>
      </c>
      <c r="AN27" s="275">
        <v>157.31990619000001</v>
      </c>
      <c r="AO27" s="276">
        <v>157.31990619000001</v>
      </c>
      <c r="AP27" s="277">
        <v>6607.4360599800002</v>
      </c>
      <c r="AQ27" s="257" t="s">
        <v>81</v>
      </c>
      <c r="AR27" s="275">
        <f t="shared" si="10"/>
        <v>162.03950337570001</v>
      </c>
      <c r="AS27" s="276">
        <f t="shared" si="11"/>
        <v>162.03950337570001</v>
      </c>
      <c r="AT27" s="277">
        <f t="shared" si="12"/>
        <v>6805.6591417794007</v>
      </c>
      <c r="AU27" s="275">
        <f t="shared" si="13"/>
        <v>166.900688476971</v>
      </c>
      <c r="AV27" s="276">
        <f t="shared" si="14"/>
        <v>166.900688476971</v>
      </c>
      <c r="AW27" s="277">
        <f t="shared" si="15"/>
        <v>7009.8289160327831</v>
      </c>
      <c r="AX27" s="275">
        <f t="shared" si="16"/>
        <v>171.90770913128014</v>
      </c>
      <c r="AY27" s="276">
        <f t="shared" si="17"/>
        <v>171.90770913128014</v>
      </c>
      <c r="AZ27" s="277">
        <f t="shared" si="18"/>
        <v>7220.1237835137672</v>
      </c>
      <c r="BA27" s="275">
        <f t="shared" si="19"/>
        <v>177.06494040521855</v>
      </c>
      <c r="BB27" s="276">
        <f t="shared" si="0"/>
        <v>177.06494040521855</v>
      </c>
      <c r="BC27" s="277">
        <f t="shared" si="1"/>
        <v>7436.7274970191802</v>
      </c>
      <c r="BD27" s="275">
        <f t="shared" si="2"/>
        <v>182.3768886173751</v>
      </c>
      <c r="BE27" s="276">
        <f t="shared" si="3"/>
        <v>182.3768886173751</v>
      </c>
      <c r="BF27" s="277">
        <f t="shared" si="4"/>
        <v>7659.8293219297557</v>
      </c>
      <c r="BG27" s="275">
        <f t="shared" si="5"/>
        <v>187.84819527589636</v>
      </c>
      <c r="BH27" s="276">
        <f t="shared" si="6"/>
        <v>187.84819527589636</v>
      </c>
      <c r="BI27" s="277">
        <f t="shared" si="7"/>
        <v>7889.6242015876487</v>
      </c>
    </row>
    <row r="28" spans="1:61" ht="14">
      <c r="A28" s="91">
        <v>221</v>
      </c>
      <c r="B28" s="82" t="s">
        <v>84</v>
      </c>
      <c r="C28" s="92">
        <v>40</v>
      </c>
      <c r="D28" s="93">
        <v>140</v>
      </c>
      <c r="E28" s="94">
        <v>5880</v>
      </c>
      <c r="F28" s="106">
        <v>40</v>
      </c>
      <c r="G28" s="93">
        <v>146.32</v>
      </c>
      <c r="H28" s="94">
        <v>6145.44</v>
      </c>
      <c r="I28" s="93">
        <v>42.2</v>
      </c>
      <c r="J28" s="93">
        <v>154.36759999999998</v>
      </c>
      <c r="K28" s="94">
        <v>6483.4391999999989</v>
      </c>
      <c r="L28" s="93">
        <v>44.31</v>
      </c>
      <c r="M28" s="93">
        <v>162.08598000000001</v>
      </c>
      <c r="N28" s="94">
        <v>6807.6111600000004</v>
      </c>
      <c r="O28" s="93">
        <v>46.30395</v>
      </c>
      <c r="P28" s="93">
        <v>169.3798491</v>
      </c>
      <c r="Q28" s="94">
        <v>7113.9536621999996</v>
      </c>
      <c r="R28" s="93">
        <v>46.30395</v>
      </c>
      <c r="S28" s="93">
        <v>169.3798491</v>
      </c>
      <c r="T28" s="94">
        <v>7113.9536621999996</v>
      </c>
      <c r="U28" s="93">
        <v>48.156108000000003</v>
      </c>
      <c r="V28" s="93">
        <v>176.15504306400001</v>
      </c>
      <c r="W28" s="94">
        <v>7398.5118086880002</v>
      </c>
      <c r="X28" s="93">
        <v>50.092352320000003</v>
      </c>
      <c r="Y28" s="93">
        <v>183.21124478656003</v>
      </c>
      <c r="Z28" s="94">
        <v>7694.8722810355212</v>
      </c>
      <c r="AA28" s="93">
        <v>52.58696993600001</v>
      </c>
      <c r="AB28" s="93">
        <v>192.36705702588804</v>
      </c>
      <c r="AC28" s="94">
        <v>8079.416395087298</v>
      </c>
      <c r="AD28" s="93">
        <v>54.17</v>
      </c>
      <c r="AE28" s="97">
        <v>198.14</v>
      </c>
      <c r="AF28" s="94">
        <f t="shared" si="20"/>
        <v>8321.8799999999992</v>
      </c>
      <c r="AG28" s="93">
        <f>AD28*(1+$AI$2)-0.01</f>
        <v>55.785100000000007</v>
      </c>
      <c r="AH28" s="97">
        <f t="shared" si="8"/>
        <v>204.08419999999998</v>
      </c>
      <c r="AI28" s="94">
        <f t="shared" si="21"/>
        <v>8571.536399999999</v>
      </c>
      <c r="AJ28" s="93">
        <f>AG28*(1+$AI$2)-0.01</f>
        <v>57.448653000000007</v>
      </c>
      <c r="AK28" s="97">
        <f>AH28*(1+$AI$2)-0.02</f>
        <v>210.18672599999996</v>
      </c>
      <c r="AL28" s="94">
        <f>AK28*42</f>
        <v>8827.8424919999979</v>
      </c>
      <c r="AM28" s="257" t="s">
        <v>83</v>
      </c>
      <c r="AN28" s="275">
        <v>32.672537300000002</v>
      </c>
      <c r="AO28" s="276">
        <v>189.99244349</v>
      </c>
      <c r="AP28" s="277">
        <v>7979.6826265800009</v>
      </c>
      <c r="AQ28" s="257" t="s">
        <v>83</v>
      </c>
      <c r="AR28" s="275">
        <f t="shared" si="10"/>
        <v>33.652713419000001</v>
      </c>
      <c r="AS28" s="276">
        <f t="shared" si="11"/>
        <v>195.69221679470002</v>
      </c>
      <c r="AT28" s="277">
        <f t="shared" si="12"/>
        <v>8219.0731053774016</v>
      </c>
      <c r="AU28" s="275">
        <f t="shared" si="13"/>
        <v>34.662294821570001</v>
      </c>
      <c r="AV28" s="276">
        <f t="shared" si="14"/>
        <v>201.56298329854101</v>
      </c>
      <c r="AW28" s="277">
        <f t="shared" si="15"/>
        <v>8465.6452985387241</v>
      </c>
      <c r="AX28" s="275">
        <f t="shared" si="16"/>
        <v>35.702163666217103</v>
      </c>
      <c r="AY28" s="276">
        <f t="shared" si="17"/>
        <v>207.60987279749725</v>
      </c>
      <c r="AZ28" s="277">
        <f t="shared" si="18"/>
        <v>8719.6146574948853</v>
      </c>
      <c r="BA28" s="275">
        <f t="shared" si="19"/>
        <v>36.773228576203614</v>
      </c>
      <c r="BB28" s="276">
        <f t="shared" si="0"/>
        <v>213.83816898142217</v>
      </c>
      <c r="BC28" s="277">
        <f t="shared" si="1"/>
        <v>8981.2030972197317</v>
      </c>
      <c r="BD28" s="275">
        <f t="shared" si="2"/>
        <v>37.876425433489722</v>
      </c>
      <c r="BE28" s="276">
        <f t="shared" si="3"/>
        <v>220.25331405086484</v>
      </c>
      <c r="BF28" s="277">
        <f t="shared" si="4"/>
        <v>9250.639190136324</v>
      </c>
      <c r="BG28" s="275">
        <f t="shared" si="5"/>
        <v>39.012718196494411</v>
      </c>
      <c r="BH28" s="276">
        <f t="shared" si="6"/>
        <v>226.86091347239079</v>
      </c>
      <c r="BI28" s="277">
        <f t="shared" si="7"/>
        <v>9528.1583658404143</v>
      </c>
    </row>
    <row r="29" spans="1:61" ht="14">
      <c r="A29" s="98">
        <v>243</v>
      </c>
      <c r="B29" s="83" t="s">
        <v>88</v>
      </c>
      <c r="C29" s="99">
        <v>8.1360946745562135</v>
      </c>
      <c r="D29" s="100">
        <v>148.13999999999999</v>
      </c>
      <c r="E29" s="101">
        <v>6221.8799999999992</v>
      </c>
      <c r="F29" s="99">
        <v>16.272189349112427</v>
      </c>
      <c r="G29" s="100">
        <v>162.5921893491124</v>
      </c>
      <c r="H29" s="101">
        <v>6828.871952662721</v>
      </c>
      <c r="I29" s="99">
        <v>17.168639053254438</v>
      </c>
      <c r="J29" s="100">
        <v>171.53623905325441</v>
      </c>
      <c r="K29" s="101">
        <v>7204.5220402366849</v>
      </c>
      <c r="L29" s="99">
        <v>18.027071005917161</v>
      </c>
      <c r="M29" s="100">
        <v>180.11305100591716</v>
      </c>
      <c r="N29" s="101">
        <v>7564.7481422485207</v>
      </c>
      <c r="O29" s="99">
        <v>18.838289201183432</v>
      </c>
      <c r="P29" s="100">
        <v>188.21813830118344</v>
      </c>
      <c r="Q29" s="101">
        <v>7905.1618086497047</v>
      </c>
      <c r="R29" s="99">
        <v>18.838289201183432</v>
      </c>
      <c r="S29" s="100">
        <v>188.21813830118344</v>
      </c>
      <c r="T29" s="101">
        <v>7905.1618086497047</v>
      </c>
      <c r="U29" s="99">
        <v>19.591820769230772</v>
      </c>
      <c r="V29" s="100">
        <v>195.74686383323078</v>
      </c>
      <c r="W29" s="101">
        <v>8221.3682809956917</v>
      </c>
      <c r="X29" s="100">
        <v>20.365493600000001</v>
      </c>
      <c r="Y29" s="100">
        <v>203.57673838656004</v>
      </c>
      <c r="Z29" s="101">
        <v>8550.2230122355213</v>
      </c>
      <c r="AA29" s="100">
        <v>21.393768280000003</v>
      </c>
      <c r="AB29" s="100">
        <v>213.76082530588803</v>
      </c>
      <c r="AC29" s="101">
        <v>8977.9546628472981</v>
      </c>
      <c r="AD29" s="100">
        <v>22.03</v>
      </c>
      <c r="AE29" s="97">
        <v>220.17</v>
      </c>
      <c r="AF29" s="101">
        <f t="shared" si="20"/>
        <v>9247.14</v>
      </c>
      <c r="AG29" s="100">
        <f>AD29*(1+$AI$2)+0.01</f>
        <v>22.700900000000004</v>
      </c>
      <c r="AH29" s="97">
        <f t="shared" si="8"/>
        <v>226.77509999999998</v>
      </c>
      <c r="AI29" s="101">
        <f t="shared" si="21"/>
        <v>9524.5541999999987</v>
      </c>
      <c r="AJ29" s="100">
        <f>AG29*(1+$AI$2)+0.01</f>
        <v>23.391927000000006</v>
      </c>
      <c r="AK29" s="97">
        <f t="shared" si="23"/>
        <v>233.57835299999999</v>
      </c>
      <c r="AL29" s="101">
        <f t="shared" si="22"/>
        <v>9810.2908260000004</v>
      </c>
      <c r="AM29" s="257" t="s">
        <v>84</v>
      </c>
      <c r="AN29" s="275">
        <v>59.172112590000012</v>
      </c>
      <c r="AO29" s="276">
        <v>216.49232777999998</v>
      </c>
      <c r="AP29" s="277">
        <v>9092.6777667599981</v>
      </c>
      <c r="AQ29" s="257" t="s">
        <v>84</v>
      </c>
      <c r="AR29" s="275">
        <f t="shared" si="10"/>
        <v>60.947275967700016</v>
      </c>
      <c r="AS29" s="276">
        <f t="shared" si="11"/>
        <v>222.98709761339998</v>
      </c>
      <c r="AT29" s="277">
        <f t="shared" si="12"/>
        <v>9365.4580997627982</v>
      </c>
      <c r="AU29" s="275">
        <f t="shared" si="13"/>
        <v>62.775694246731021</v>
      </c>
      <c r="AV29" s="276">
        <f t="shared" si="14"/>
        <v>229.67671054180198</v>
      </c>
      <c r="AW29" s="277">
        <f t="shared" si="15"/>
        <v>9646.4218427556825</v>
      </c>
      <c r="AX29" s="275">
        <f t="shared" si="16"/>
        <v>64.658965074132951</v>
      </c>
      <c r="AY29" s="276">
        <f t="shared" si="17"/>
        <v>236.56701185805605</v>
      </c>
      <c r="AZ29" s="277">
        <f t="shared" si="18"/>
        <v>9935.8144980383531</v>
      </c>
      <c r="BA29" s="275">
        <f t="shared" si="19"/>
        <v>66.598734026356937</v>
      </c>
      <c r="BB29" s="276">
        <f t="shared" si="0"/>
        <v>243.66402221379775</v>
      </c>
      <c r="BC29" s="277">
        <f t="shared" si="1"/>
        <v>10233.888932979504</v>
      </c>
      <c r="BD29" s="275">
        <f t="shared" si="2"/>
        <v>68.596696047147645</v>
      </c>
      <c r="BE29" s="276">
        <f t="shared" si="3"/>
        <v>250.97394288021169</v>
      </c>
      <c r="BF29" s="277">
        <f t="shared" si="4"/>
        <v>10540.905600968888</v>
      </c>
      <c r="BG29" s="275">
        <f t="shared" si="5"/>
        <v>70.654596928562071</v>
      </c>
      <c r="BH29" s="276">
        <f t="shared" si="6"/>
        <v>258.50316116661804</v>
      </c>
      <c r="BI29" s="277">
        <f t="shared" si="7"/>
        <v>10857.132768997955</v>
      </c>
    </row>
    <row r="30" spans="1:61" ht="14">
      <c r="A30" s="91">
        <v>258</v>
      </c>
      <c r="B30" s="82" t="s">
        <v>89</v>
      </c>
      <c r="C30" s="92">
        <v>27.5</v>
      </c>
      <c r="D30" s="93">
        <v>167.5</v>
      </c>
      <c r="E30" s="94">
        <v>7035</v>
      </c>
      <c r="F30" s="106">
        <v>55</v>
      </c>
      <c r="G30" s="93">
        <v>201.32</v>
      </c>
      <c r="H30" s="94">
        <v>8455.44</v>
      </c>
      <c r="I30" s="93">
        <v>58.024999999999999</v>
      </c>
      <c r="J30" s="93">
        <v>212.40259999999998</v>
      </c>
      <c r="K30" s="94">
        <v>8920.9091999999982</v>
      </c>
      <c r="L30" s="93">
        <v>60.926250000000003</v>
      </c>
      <c r="M30" s="93">
        <v>223.02223000000001</v>
      </c>
      <c r="N30" s="94">
        <v>9366.9336600000006</v>
      </c>
      <c r="O30" s="93">
        <v>63.667931250000002</v>
      </c>
      <c r="P30" s="93">
        <v>233.04778035000001</v>
      </c>
      <c r="Q30" s="94">
        <v>9788.0067747000012</v>
      </c>
      <c r="R30" s="93">
        <v>63.667931250000002</v>
      </c>
      <c r="S30" s="93">
        <v>233.04778035000001</v>
      </c>
      <c r="T30" s="94">
        <v>9788.0067747000012</v>
      </c>
      <c r="U30" s="93">
        <v>66.21464850000001</v>
      </c>
      <c r="V30" s="93">
        <v>242.36969156400002</v>
      </c>
      <c r="W30" s="94">
        <v>10179.527045688001</v>
      </c>
      <c r="X30" s="93">
        <v>68.853234440000008</v>
      </c>
      <c r="Y30" s="93">
        <v>252.06447922656002</v>
      </c>
      <c r="Z30" s="94">
        <v>10586.708127515521</v>
      </c>
      <c r="AA30" s="93">
        <v>72.30589616200001</v>
      </c>
      <c r="AB30" s="93">
        <v>264.67295318788808</v>
      </c>
      <c r="AC30" s="94">
        <v>11116.264033891299</v>
      </c>
      <c r="AD30" s="93">
        <v>74.48</v>
      </c>
      <c r="AE30" s="97">
        <v>272.62</v>
      </c>
      <c r="AF30" s="94">
        <f t="shared" si="20"/>
        <v>11450.04</v>
      </c>
      <c r="AG30" s="93">
        <f>AD30*(1+$AI$2)+0.01</f>
        <v>76.724400000000017</v>
      </c>
      <c r="AH30" s="97">
        <f t="shared" si="8"/>
        <v>280.79860000000002</v>
      </c>
      <c r="AI30" s="94">
        <f t="shared" si="21"/>
        <v>11793.541200000001</v>
      </c>
      <c r="AJ30" s="93">
        <f t="shared" ref="AJ30:AJ35" si="24">AG30*(1+$AI$2)</f>
        <v>79.026132000000018</v>
      </c>
      <c r="AK30" s="97">
        <f>AH30*(1+$AI$2)-0.01</f>
        <v>289.21255800000006</v>
      </c>
      <c r="AL30" s="94">
        <f t="shared" si="22"/>
        <v>12146.927436000002</v>
      </c>
      <c r="AM30" s="257" t="s">
        <v>88</v>
      </c>
      <c r="AN30" s="275">
        <v>24.093684810000006</v>
      </c>
      <c r="AO30" s="276">
        <v>240.58570359000001</v>
      </c>
      <c r="AP30" s="277">
        <v>10104.59955078</v>
      </c>
      <c r="AQ30" s="257" t="s">
        <v>88</v>
      </c>
      <c r="AR30" s="275">
        <f t="shared" si="10"/>
        <v>24.816495354300006</v>
      </c>
      <c r="AS30" s="276">
        <f t="shared" si="11"/>
        <v>247.8032746977</v>
      </c>
      <c r="AT30" s="277">
        <f t="shared" si="12"/>
        <v>10407.737537303399</v>
      </c>
      <c r="AU30" s="275">
        <f t="shared" si="13"/>
        <v>25.560990214929006</v>
      </c>
      <c r="AV30" s="276">
        <f t="shared" si="14"/>
        <v>255.23737293863101</v>
      </c>
      <c r="AW30" s="277">
        <f t="shared" si="15"/>
        <v>10719.969663422502</v>
      </c>
      <c r="AX30" s="275">
        <f t="shared" si="16"/>
        <v>26.327819921376879</v>
      </c>
      <c r="AY30" s="276">
        <f t="shared" si="17"/>
        <v>262.89449412678994</v>
      </c>
      <c r="AZ30" s="277">
        <f t="shared" si="18"/>
        <v>11041.568753325177</v>
      </c>
      <c r="BA30" s="275">
        <f t="shared" si="19"/>
        <v>27.117654519018185</v>
      </c>
      <c r="BB30" s="276">
        <f t="shared" si="0"/>
        <v>270.78132895059366</v>
      </c>
      <c r="BC30" s="277">
        <f t="shared" si="1"/>
        <v>11372.815815924932</v>
      </c>
      <c r="BD30" s="275">
        <f t="shared" si="2"/>
        <v>27.931184154588731</v>
      </c>
      <c r="BE30" s="276">
        <f t="shared" si="3"/>
        <v>278.9047688191115</v>
      </c>
      <c r="BF30" s="277">
        <f t="shared" si="4"/>
        <v>11714.000290402681</v>
      </c>
      <c r="BG30" s="275">
        <f t="shared" si="5"/>
        <v>28.769119679226392</v>
      </c>
      <c r="BH30" s="276">
        <f t="shared" si="6"/>
        <v>287.27191188368482</v>
      </c>
      <c r="BI30" s="277">
        <f t="shared" si="7"/>
        <v>12065.420299114761</v>
      </c>
    </row>
    <row r="31" spans="1:61" ht="14.5" thickBot="1">
      <c r="A31" s="134">
        <v>259</v>
      </c>
      <c r="B31" s="135" t="s">
        <v>90</v>
      </c>
      <c r="C31" s="136">
        <v>26</v>
      </c>
      <c r="D31" s="93">
        <v>193.5</v>
      </c>
      <c r="E31" s="94">
        <v>8127</v>
      </c>
      <c r="F31" s="106">
        <v>52</v>
      </c>
      <c r="G31" s="137">
        <v>253.32</v>
      </c>
      <c r="H31" s="138">
        <v>10639.44</v>
      </c>
      <c r="I31" s="143">
        <v>54.86</v>
      </c>
      <c r="J31" s="137">
        <v>267.26259999999996</v>
      </c>
      <c r="K31" s="138">
        <v>11225.029199999999</v>
      </c>
      <c r="L31" s="143">
        <v>57.603000000000002</v>
      </c>
      <c r="M31" s="137">
        <v>280.62423000000001</v>
      </c>
      <c r="N31" s="138">
        <v>11786.21766</v>
      </c>
      <c r="O31" s="143">
        <v>60.195135000000001</v>
      </c>
      <c r="P31" s="137">
        <v>293.25291535000002</v>
      </c>
      <c r="Q31" s="138">
        <v>12316.6224447</v>
      </c>
      <c r="R31" s="143">
        <v>60.195135000000001</v>
      </c>
      <c r="S31" s="137">
        <v>293.25291535000002</v>
      </c>
      <c r="T31" s="138">
        <v>12316.6224447</v>
      </c>
      <c r="U31" s="143">
        <v>62.602940400000001</v>
      </c>
      <c r="V31" s="137">
        <v>304.98263196400001</v>
      </c>
      <c r="W31" s="138">
        <v>12809.270542488001</v>
      </c>
      <c r="X31" s="137">
        <v>65.097058016000005</v>
      </c>
      <c r="Y31" s="137">
        <v>317.17153724256002</v>
      </c>
      <c r="Z31" s="138">
        <v>13321.204564187521</v>
      </c>
      <c r="AA31" s="137">
        <v>68.361910916800014</v>
      </c>
      <c r="AB31" s="137">
        <v>333.0348641046881</v>
      </c>
      <c r="AC31" s="138">
        <v>13987.4642923969</v>
      </c>
      <c r="AD31" s="137">
        <v>70.41</v>
      </c>
      <c r="AE31" s="140">
        <v>343.03</v>
      </c>
      <c r="AF31" s="138">
        <f t="shared" si="20"/>
        <v>14407.259999999998</v>
      </c>
      <c r="AG31" s="137">
        <f t="shared" si="8"/>
        <v>72.522300000000001</v>
      </c>
      <c r="AH31" s="140">
        <f t="shared" si="8"/>
        <v>353.32089999999999</v>
      </c>
      <c r="AI31" s="138">
        <f t="shared" si="21"/>
        <v>14839.477800000001</v>
      </c>
      <c r="AJ31" s="137">
        <f t="shared" si="24"/>
        <v>74.697969000000001</v>
      </c>
      <c r="AK31" s="140">
        <f>AH31*(1+$AI$2)-0.01</f>
        <v>363.910527</v>
      </c>
      <c r="AL31" s="138">
        <f t="shared" si="22"/>
        <v>15284.242134</v>
      </c>
      <c r="AM31" s="257" t="s">
        <v>89</v>
      </c>
      <c r="AN31" s="275">
        <v>81.396915960000015</v>
      </c>
      <c r="AO31" s="276">
        <v>297.88893474000008</v>
      </c>
      <c r="AP31" s="277">
        <v>12511.335259080002</v>
      </c>
      <c r="AQ31" s="257" t="s">
        <v>89</v>
      </c>
      <c r="AR31" s="275">
        <f t="shared" si="10"/>
        <v>83.83882343880002</v>
      </c>
      <c r="AS31" s="276">
        <f t="shared" si="11"/>
        <v>306.82560278220006</v>
      </c>
      <c r="AT31" s="277">
        <f t="shared" si="12"/>
        <v>12886.675316852403</v>
      </c>
      <c r="AU31" s="275">
        <f t="shared" si="13"/>
        <v>86.353988141964024</v>
      </c>
      <c r="AV31" s="276">
        <f t="shared" si="14"/>
        <v>316.0303708656661</v>
      </c>
      <c r="AW31" s="277">
        <f t="shared" si="15"/>
        <v>13273.275576357975</v>
      </c>
      <c r="AX31" s="275">
        <f t="shared" si="16"/>
        <v>88.944607786222946</v>
      </c>
      <c r="AY31" s="276">
        <f t="shared" si="17"/>
        <v>325.51128199163611</v>
      </c>
      <c r="AZ31" s="277">
        <f t="shared" si="18"/>
        <v>13671.473843648715</v>
      </c>
      <c r="BA31" s="275">
        <f t="shared" si="19"/>
        <v>91.612946019809641</v>
      </c>
      <c r="BB31" s="276">
        <f t="shared" si="0"/>
        <v>335.27662045138521</v>
      </c>
      <c r="BC31" s="277">
        <f t="shared" si="1"/>
        <v>14081.618058958176</v>
      </c>
      <c r="BD31" s="275">
        <f t="shared" si="2"/>
        <v>94.361334400403933</v>
      </c>
      <c r="BE31" s="276">
        <f t="shared" si="3"/>
        <v>345.33491906492679</v>
      </c>
      <c r="BF31" s="277">
        <f t="shared" si="4"/>
        <v>14504.066600726923</v>
      </c>
      <c r="BG31" s="275">
        <f t="shared" si="5"/>
        <v>97.192174432416053</v>
      </c>
      <c r="BH31" s="276">
        <f t="shared" si="6"/>
        <v>355.6949666368746</v>
      </c>
      <c r="BI31" s="277">
        <f t="shared" si="7"/>
        <v>14939.188598748731</v>
      </c>
    </row>
    <row r="32" spans="1:61" ht="14.5" thickBot="1">
      <c r="A32" s="84">
        <v>210</v>
      </c>
      <c r="B32" s="81" t="s">
        <v>78</v>
      </c>
      <c r="C32" s="102">
        <v>15</v>
      </c>
      <c r="D32" s="86">
        <v>15</v>
      </c>
      <c r="E32" s="86">
        <v>630</v>
      </c>
      <c r="F32" s="88">
        <v>35.32</v>
      </c>
      <c r="G32" s="86">
        <v>35.32</v>
      </c>
      <c r="H32" s="87">
        <v>1483.44</v>
      </c>
      <c r="I32" s="89">
        <v>37.262599999999999</v>
      </c>
      <c r="J32" s="86">
        <v>37.262599999999999</v>
      </c>
      <c r="K32" s="87">
        <v>1565.0291999999999</v>
      </c>
      <c r="L32" s="89">
        <v>39.125729999999997</v>
      </c>
      <c r="M32" s="86">
        <v>39.125729999999997</v>
      </c>
      <c r="N32" s="87">
        <v>1643.2806599999999</v>
      </c>
      <c r="O32" s="89">
        <v>40.886387849999991</v>
      </c>
      <c r="P32" s="86">
        <v>40.886387849999991</v>
      </c>
      <c r="Q32" s="87">
        <v>1717.2282896999996</v>
      </c>
      <c r="R32" s="89">
        <v>63.55</v>
      </c>
      <c r="S32" s="86">
        <v>63.55</v>
      </c>
      <c r="T32" s="87">
        <v>2669.1</v>
      </c>
      <c r="U32" s="89">
        <v>66.091999999999999</v>
      </c>
      <c r="V32" s="86">
        <v>66.091999999999999</v>
      </c>
      <c r="W32" s="87">
        <v>2775.864</v>
      </c>
      <c r="X32" s="86">
        <v>68.725679999999997</v>
      </c>
      <c r="Y32" s="86">
        <v>68.725679999999997</v>
      </c>
      <c r="Z32" s="87">
        <v>2886.47856</v>
      </c>
      <c r="AA32" s="86">
        <v>72.161963999999998</v>
      </c>
      <c r="AB32" s="86">
        <v>72.161963999999998</v>
      </c>
      <c r="AC32" s="87">
        <v>3030.8024879999998</v>
      </c>
      <c r="AD32" s="86">
        <v>74.319999999999993</v>
      </c>
      <c r="AE32" s="90">
        <v>74.319999999999993</v>
      </c>
      <c r="AF32" s="87">
        <f t="shared" si="20"/>
        <v>3121.4399999999996</v>
      </c>
      <c r="AG32" s="86">
        <f t="shared" si="8"/>
        <v>76.549599999999998</v>
      </c>
      <c r="AH32" s="90">
        <f t="shared" si="8"/>
        <v>76.549599999999998</v>
      </c>
      <c r="AI32" s="87">
        <f t="shared" si="21"/>
        <v>3215.0832</v>
      </c>
      <c r="AJ32" s="86">
        <f t="shared" si="24"/>
        <v>78.846087999999995</v>
      </c>
      <c r="AK32" s="90">
        <f t="shared" si="23"/>
        <v>78.846087999999995</v>
      </c>
      <c r="AL32" s="87">
        <f t="shared" si="22"/>
        <v>3311.5356959999999</v>
      </c>
      <c r="AM32" s="256" t="s">
        <v>90</v>
      </c>
      <c r="AN32" s="278">
        <v>76.938908069999997</v>
      </c>
      <c r="AO32" s="279">
        <v>374.82784280999999</v>
      </c>
      <c r="AP32" s="280">
        <v>15742.76939802</v>
      </c>
      <c r="AQ32" s="256" t="s">
        <v>90</v>
      </c>
      <c r="AR32" s="278">
        <f t="shared" si="10"/>
        <v>79.247075312099994</v>
      </c>
      <c r="AS32" s="279">
        <f t="shared" si="11"/>
        <v>386.07267809429999</v>
      </c>
      <c r="AT32" s="280">
        <f t="shared" si="12"/>
        <v>16215.052479960601</v>
      </c>
      <c r="AU32" s="278">
        <f t="shared" si="13"/>
        <v>81.624487571462993</v>
      </c>
      <c r="AV32" s="279">
        <f t="shared" si="14"/>
        <v>397.65485843712901</v>
      </c>
      <c r="AW32" s="280">
        <f t="shared" si="15"/>
        <v>16701.504054359419</v>
      </c>
      <c r="AX32" s="278">
        <f t="shared" si="16"/>
        <v>84.073222198606885</v>
      </c>
      <c r="AY32" s="279">
        <f t="shared" si="17"/>
        <v>409.58450419024291</v>
      </c>
      <c r="AZ32" s="280">
        <f t="shared" si="18"/>
        <v>17202.549175990203</v>
      </c>
      <c r="BA32" s="278">
        <f t="shared" si="19"/>
        <v>86.59541886456509</v>
      </c>
      <c r="BB32" s="279">
        <f t="shared" si="0"/>
        <v>421.87203931595019</v>
      </c>
      <c r="BC32" s="280">
        <f t="shared" si="1"/>
        <v>17718.625651269911</v>
      </c>
      <c r="BD32" s="278">
        <f t="shared" si="2"/>
        <v>89.19328143050204</v>
      </c>
      <c r="BE32" s="279">
        <f t="shared" si="3"/>
        <v>434.52820049542873</v>
      </c>
      <c r="BF32" s="280">
        <f t="shared" si="4"/>
        <v>18250.184420808007</v>
      </c>
      <c r="BG32" s="278">
        <f t="shared" si="5"/>
        <v>91.869079873417107</v>
      </c>
      <c r="BH32" s="279">
        <f t="shared" si="6"/>
        <v>447.56404651029163</v>
      </c>
      <c r="BI32" s="280">
        <f t="shared" si="7"/>
        <v>18797.689953432247</v>
      </c>
    </row>
    <row r="33" spans="1:61" ht="14">
      <c r="A33" s="91">
        <v>260</v>
      </c>
      <c r="B33" s="82" t="s">
        <v>81</v>
      </c>
      <c r="C33" s="102">
        <v>100</v>
      </c>
      <c r="D33" s="93">
        <v>100</v>
      </c>
      <c r="E33" s="93">
        <v>4200</v>
      </c>
      <c r="F33" s="95">
        <v>106.32</v>
      </c>
      <c r="G33" s="93">
        <v>106.32</v>
      </c>
      <c r="H33" s="94">
        <v>4465.4399999999996</v>
      </c>
      <c r="I33" s="96">
        <v>112.16759999999999</v>
      </c>
      <c r="J33" s="93">
        <v>112.16759999999999</v>
      </c>
      <c r="K33" s="94">
        <v>4711.0391999999993</v>
      </c>
      <c r="L33" s="96">
        <v>117.77598</v>
      </c>
      <c r="M33" s="93">
        <v>117.77598</v>
      </c>
      <c r="N33" s="94">
        <v>4946.5911599999999</v>
      </c>
      <c r="O33" s="96">
        <v>123.0758991</v>
      </c>
      <c r="P33" s="93">
        <v>123.0758991</v>
      </c>
      <c r="Q33" s="94">
        <v>5169.1877622000002</v>
      </c>
      <c r="R33" s="96">
        <v>123.0758991</v>
      </c>
      <c r="S33" s="93">
        <v>123.0758991</v>
      </c>
      <c r="T33" s="94">
        <v>5169.1877622000002</v>
      </c>
      <c r="U33" s="96">
        <v>127.99893506400001</v>
      </c>
      <c r="V33" s="93">
        <v>127.99893506400001</v>
      </c>
      <c r="W33" s="94">
        <v>5375.9552726880002</v>
      </c>
      <c r="X33" s="93">
        <v>133.11889246656003</v>
      </c>
      <c r="Y33" s="93">
        <v>133.11889246656003</v>
      </c>
      <c r="Z33" s="94">
        <v>5590.993483595521</v>
      </c>
      <c r="AA33" s="93">
        <v>139.78008708988804</v>
      </c>
      <c r="AB33" s="93">
        <v>139.78008708988804</v>
      </c>
      <c r="AC33" s="94">
        <v>5870.7636577752974</v>
      </c>
      <c r="AD33" s="93">
        <v>143.97</v>
      </c>
      <c r="AE33" s="97">
        <v>143.97</v>
      </c>
      <c r="AF33" s="94">
        <f t="shared" si="20"/>
        <v>6046.74</v>
      </c>
      <c r="AG33" s="93">
        <f t="shared" si="8"/>
        <v>148.28909999999999</v>
      </c>
      <c r="AH33" s="97">
        <f t="shared" si="8"/>
        <v>148.28909999999999</v>
      </c>
      <c r="AI33" s="94">
        <f t="shared" si="21"/>
        <v>6228.1421999999993</v>
      </c>
      <c r="AJ33" s="93">
        <f t="shared" si="24"/>
        <v>152.737773</v>
      </c>
      <c r="AK33" s="97">
        <f t="shared" si="23"/>
        <v>152.737773</v>
      </c>
      <c r="AL33" s="94">
        <f t="shared" si="22"/>
        <v>6414.9864660000003</v>
      </c>
      <c r="AM33" s="260" t="s">
        <v>78</v>
      </c>
      <c r="AN33" s="272">
        <v>81.211470640000002</v>
      </c>
      <c r="AO33" s="273">
        <v>81.211470640000002</v>
      </c>
      <c r="AP33" s="274">
        <v>3410.8817668800002</v>
      </c>
      <c r="AQ33" s="260" t="s">
        <v>78</v>
      </c>
      <c r="AR33" s="272">
        <f t="shared" si="10"/>
        <v>83.647814759200003</v>
      </c>
      <c r="AS33" s="273">
        <f t="shared" si="11"/>
        <v>83.647814759200003</v>
      </c>
      <c r="AT33" s="274">
        <f t="shared" si="12"/>
        <v>3513.2082198864005</v>
      </c>
      <c r="AU33" s="272">
        <f t="shared" si="13"/>
        <v>86.157249201976001</v>
      </c>
      <c r="AV33" s="273">
        <f t="shared" si="14"/>
        <v>86.157249201976001</v>
      </c>
      <c r="AW33" s="274">
        <f t="shared" si="15"/>
        <v>3618.6044664829924</v>
      </c>
      <c r="AX33" s="272">
        <f t="shared" si="16"/>
        <v>88.741966678035283</v>
      </c>
      <c r="AY33" s="273">
        <f t="shared" si="17"/>
        <v>88.741966678035283</v>
      </c>
      <c r="AZ33" s="274">
        <f t="shared" si="18"/>
        <v>3727.1626004774821</v>
      </c>
      <c r="BA33" s="272">
        <f t="shared" si="19"/>
        <v>91.404225678376349</v>
      </c>
      <c r="BB33" s="273">
        <f t="shared" si="0"/>
        <v>91.404225678376349</v>
      </c>
      <c r="BC33" s="274">
        <f t="shared" si="1"/>
        <v>3838.9774784918068</v>
      </c>
      <c r="BD33" s="272">
        <f t="shared" si="2"/>
        <v>94.14635244872764</v>
      </c>
      <c r="BE33" s="273">
        <f t="shared" si="3"/>
        <v>94.14635244872764</v>
      </c>
      <c r="BF33" s="274">
        <f t="shared" si="4"/>
        <v>3954.1468028465611</v>
      </c>
      <c r="BG33" s="272">
        <f t="shared" si="5"/>
        <v>96.970743022189467</v>
      </c>
      <c r="BH33" s="273">
        <f t="shared" si="6"/>
        <v>96.970743022189467</v>
      </c>
      <c r="BI33" s="274">
        <f t="shared" si="7"/>
        <v>4072.7712069319582</v>
      </c>
    </row>
    <row r="34" spans="1:61" ht="14">
      <c r="A34" s="98">
        <v>263</v>
      </c>
      <c r="B34" s="83" t="s">
        <v>91</v>
      </c>
      <c r="C34" s="100">
        <v>5.5762711864406782</v>
      </c>
      <c r="D34" s="100">
        <v>201.58</v>
      </c>
      <c r="E34" s="100">
        <v>8466.36</v>
      </c>
      <c r="F34" s="99">
        <v>11.152542372881356</v>
      </c>
      <c r="G34" s="100">
        <v>213.47254237288135</v>
      </c>
      <c r="H34" s="101">
        <v>8965.8467796610166</v>
      </c>
      <c r="I34" s="99">
        <v>11.765932203389829</v>
      </c>
      <c r="J34" s="100">
        <v>225.22353220338982</v>
      </c>
      <c r="K34" s="101">
        <v>9459.3883525423735</v>
      </c>
      <c r="L34" s="99">
        <v>12.35422881355932</v>
      </c>
      <c r="M34" s="100">
        <v>236.47420881355933</v>
      </c>
      <c r="N34" s="101">
        <v>9931.9167701694914</v>
      </c>
      <c r="O34" s="99">
        <v>12.910169110169489</v>
      </c>
      <c r="P34" s="100">
        <v>247.11554821016949</v>
      </c>
      <c r="Q34" s="101">
        <v>10378.853024827118</v>
      </c>
      <c r="R34" s="99">
        <v>12.910169110169489</v>
      </c>
      <c r="S34" s="100">
        <v>247.11554821016949</v>
      </c>
      <c r="T34" s="101">
        <v>10378.853024827118</v>
      </c>
      <c r="U34" s="99">
        <v>13.426575874576269</v>
      </c>
      <c r="V34" s="100">
        <v>257.00017013857627</v>
      </c>
      <c r="W34" s="101">
        <v>10794.007145820204</v>
      </c>
      <c r="X34" s="100">
        <v>13.96363890955932</v>
      </c>
      <c r="Y34" s="100">
        <v>267.27017694411933</v>
      </c>
      <c r="Z34" s="101">
        <v>11225.347431653012</v>
      </c>
      <c r="AA34" s="100">
        <v>14.661820855037286</v>
      </c>
      <c r="AB34" s="100">
        <v>280.62893579132532</v>
      </c>
      <c r="AC34" s="101">
        <v>11786.415303235663</v>
      </c>
      <c r="AD34" s="100">
        <v>15.1</v>
      </c>
      <c r="AE34" s="97">
        <v>289.05</v>
      </c>
      <c r="AF34" s="101">
        <f t="shared" si="20"/>
        <v>12140.1</v>
      </c>
      <c r="AG34" s="100">
        <f t="shared" si="8"/>
        <v>15.553000000000001</v>
      </c>
      <c r="AH34" s="97">
        <f t="shared" si="8"/>
        <v>297.72149999999999</v>
      </c>
      <c r="AI34" s="101">
        <f t="shared" si="21"/>
        <v>12504.303</v>
      </c>
      <c r="AJ34" s="100">
        <f t="shared" si="24"/>
        <v>16.019590000000001</v>
      </c>
      <c r="AK34" s="97">
        <f t="shared" si="23"/>
        <v>306.65314499999999</v>
      </c>
      <c r="AL34" s="101">
        <f t="shared" si="22"/>
        <v>12879.43209</v>
      </c>
      <c r="AM34" s="257" t="s">
        <v>81</v>
      </c>
      <c r="AN34" s="275">
        <v>157.31990619000001</v>
      </c>
      <c r="AO34" s="276">
        <v>157.31990619000001</v>
      </c>
      <c r="AP34" s="277">
        <v>6607.4360599800002</v>
      </c>
      <c r="AQ34" s="257" t="s">
        <v>81</v>
      </c>
      <c r="AR34" s="275">
        <f t="shared" si="10"/>
        <v>162.03950337570001</v>
      </c>
      <c r="AS34" s="276">
        <f t="shared" si="11"/>
        <v>162.03950337570001</v>
      </c>
      <c r="AT34" s="277">
        <f t="shared" si="12"/>
        <v>6805.6591417794007</v>
      </c>
      <c r="AU34" s="275">
        <f t="shared" si="13"/>
        <v>166.900688476971</v>
      </c>
      <c r="AV34" s="276">
        <f t="shared" si="14"/>
        <v>166.900688476971</v>
      </c>
      <c r="AW34" s="277">
        <f t="shared" si="15"/>
        <v>7009.8289160327831</v>
      </c>
      <c r="AX34" s="275">
        <f t="shared" si="16"/>
        <v>171.90770913128014</v>
      </c>
      <c r="AY34" s="276">
        <f t="shared" si="17"/>
        <v>171.90770913128014</v>
      </c>
      <c r="AZ34" s="277">
        <f t="shared" si="18"/>
        <v>7220.1237835137672</v>
      </c>
      <c r="BA34" s="275">
        <f t="shared" si="19"/>
        <v>177.06494040521855</v>
      </c>
      <c r="BB34" s="276">
        <f t="shared" si="0"/>
        <v>177.06494040521855</v>
      </c>
      <c r="BC34" s="277">
        <f t="shared" si="1"/>
        <v>7436.7274970191802</v>
      </c>
      <c r="BD34" s="275">
        <f t="shared" si="2"/>
        <v>182.3768886173751</v>
      </c>
      <c r="BE34" s="276">
        <f t="shared" si="3"/>
        <v>182.3768886173751</v>
      </c>
      <c r="BF34" s="277">
        <f t="shared" si="4"/>
        <v>7659.8293219297557</v>
      </c>
      <c r="BG34" s="275">
        <f t="shared" si="5"/>
        <v>187.84819527589636</v>
      </c>
      <c r="BH34" s="276">
        <f t="shared" si="6"/>
        <v>187.84819527589636</v>
      </c>
      <c r="BI34" s="277">
        <f t="shared" si="7"/>
        <v>7889.6242015876487</v>
      </c>
    </row>
    <row r="35" spans="1:61" ht="14">
      <c r="A35" s="91">
        <v>264</v>
      </c>
      <c r="B35" s="82" t="s">
        <v>92</v>
      </c>
      <c r="C35" s="102">
        <v>96</v>
      </c>
      <c r="D35" s="93">
        <v>196</v>
      </c>
      <c r="E35" s="93">
        <v>8232</v>
      </c>
      <c r="F35" s="95">
        <v>96</v>
      </c>
      <c r="G35" s="93">
        <v>202.32</v>
      </c>
      <c r="H35" s="94">
        <v>8497.44</v>
      </c>
      <c r="I35" s="96">
        <v>101.28</v>
      </c>
      <c r="J35" s="93">
        <v>213.44759999999999</v>
      </c>
      <c r="K35" s="94">
        <v>8964.7991999999995</v>
      </c>
      <c r="L35" s="96">
        <v>106.34400000000001</v>
      </c>
      <c r="M35" s="93">
        <v>224.11998</v>
      </c>
      <c r="N35" s="94">
        <v>9413.0391600000003</v>
      </c>
      <c r="O35" s="96">
        <v>111.12948</v>
      </c>
      <c r="P35" s="93">
        <v>234.20537910000002</v>
      </c>
      <c r="Q35" s="94">
        <v>9836.6259222000008</v>
      </c>
      <c r="R35" s="96">
        <v>111.12948</v>
      </c>
      <c r="S35" s="93">
        <v>234.20537910000002</v>
      </c>
      <c r="T35" s="94">
        <v>9836.6259222000008</v>
      </c>
      <c r="U35" s="96">
        <v>115.5746592</v>
      </c>
      <c r="V35" s="93">
        <v>243.57359426400001</v>
      </c>
      <c r="W35" s="94">
        <v>10230.090959088</v>
      </c>
      <c r="X35" s="93">
        <v>120.18764556799999</v>
      </c>
      <c r="Y35" s="93">
        <v>253.30653803456002</v>
      </c>
      <c r="Z35" s="94">
        <v>10638.87459745152</v>
      </c>
      <c r="AA35" s="93">
        <v>126.1870278464</v>
      </c>
      <c r="AB35" s="93">
        <v>265.96711493628806</v>
      </c>
      <c r="AC35" s="94">
        <v>11170.618827324099</v>
      </c>
      <c r="AD35" s="93">
        <v>129.97999999999999</v>
      </c>
      <c r="AE35" s="97">
        <v>273.95</v>
      </c>
      <c r="AF35" s="94">
        <f t="shared" si="20"/>
        <v>11505.9</v>
      </c>
      <c r="AG35" s="93">
        <f t="shared" si="8"/>
        <v>133.8794</v>
      </c>
      <c r="AH35" s="97">
        <f t="shared" si="8"/>
        <v>282.16849999999999</v>
      </c>
      <c r="AI35" s="94">
        <f t="shared" si="21"/>
        <v>11851.076999999999</v>
      </c>
      <c r="AJ35" s="93">
        <f t="shared" si="24"/>
        <v>137.895782</v>
      </c>
      <c r="AK35" s="97">
        <f t="shared" si="23"/>
        <v>290.633555</v>
      </c>
      <c r="AL35" s="94">
        <f t="shared" si="22"/>
        <v>12206.60931</v>
      </c>
      <c r="AM35" s="257" t="s">
        <v>91</v>
      </c>
      <c r="AN35" s="275">
        <v>16.500177700000002</v>
      </c>
      <c r="AO35" s="276">
        <v>315.85273934999998</v>
      </c>
      <c r="AP35" s="277">
        <v>13265.8150527</v>
      </c>
      <c r="AQ35" s="257" t="s">
        <v>91</v>
      </c>
      <c r="AR35" s="275">
        <f t="shared" si="10"/>
        <v>16.995183031000003</v>
      </c>
      <c r="AS35" s="276">
        <f t="shared" si="11"/>
        <v>325.32832153049998</v>
      </c>
      <c r="AT35" s="277">
        <f t="shared" si="12"/>
        <v>13663.789504281</v>
      </c>
      <c r="AU35" s="275">
        <f t="shared" si="13"/>
        <v>17.505038521930004</v>
      </c>
      <c r="AV35" s="276">
        <f t="shared" si="14"/>
        <v>335.08817117641496</v>
      </c>
      <c r="AW35" s="277">
        <f t="shared" si="15"/>
        <v>14073.703189409431</v>
      </c>
      <c r="AX35" s="275">
        <f t="shared" si="16"/>
        <v>18.030189677587906</v>
      </c>
      <c r="AY35" s="276">
        <f t="shared" si="17"/>
        <v>345.1408163117074</v>
      </c>
      <c r="AZ35" s="277">
        <f t="shared" si="18"/>
        <v>14495.914285091714</v>
      </c>
      <c r="BA35" s="275">
        <f t="shared" si="19"/>
        <v>18.571095367915543</v>
      </c>
      <c r="BB35" s="276">
        <f t="shared" si="0"/>
        <v>355.49504080105862</v>
      </c>
      <c r="BC35" s="277">
        <f t="shared" si="1"/>
        <v>14930.791713644467</v>
      </c>
      <c r="BD35" s="275">
        <f t="shared" si="2"/>
        <v>19.128228228953009</v>
      </c>
      <c r="BE35" s="276">
        <f t="shared" si="3"/>
        <v>366.15989202509041</v>
      </c>
      <c r="BF35" s="277">
        <f t="shared" si="4"/>
        <v>15378.715465053801</v>
      </c>
      <c r="BG35" s="275">
        <f t="shared" si="5"/>
        <v>19.7020750758216</v>
      </c>
      <c r="BH35" s="276">
        <f t="shared" si="6"/>
        <v>377.14468878584313</v>
      </c>
      <c r="BI35" s="277">
        <f t="shared" si="7"/>
        <v>15840.076929005416</v>
      </c>
    </row>
    <row r="36" spans="1:61" ht="14">
      <c r="A36" s="91">
        <v>264</v>
      </c>
      <c r="B36" s="82" t="s">
        <v>93</v>
      </c>
      <c r="C36" s="102"/>
      <c r="D36" s="93"/>
      <c r="E36" s="93"/>
      <c r="F36" s="106"/>
      <c r="G36" s="93"/>
      <c r="H36" s="94"/>
      <c r="I36" s="96"/>
      <c r="J36" s="93"/>
      <c r="K36" s="94"/>
      <c r="L36" s="96"/>
      <c r="M36" s="93"/>
      <c r="N36" s="94"/>
      <c r="O36" s="96">
        <v>93.054100899999995</v>
      </c>
      <c r="P36" s="93">
        <v>216.13</v>
      </c>
      <c r="Q36" s="94">
        <v>9077.4599999999991</v>
      </c>
      <c r="R36" s="96">
        <v>96.781064935999993</v>
      </c>
      <c r="S36" s="96">
        <v>224.78</v>
      </c>
      <c r="T36" s="94">
        <v>9440.76</v>
      </c>
      <c r="U36" s="96">
        <v>96.781064935999993</v>
      </c>
      <c r="V36" s="96">
        <v>224.78</v>
      </c>
      <c r="W36" s="94">
        <v>9440.76</v>
      </c>
      <c r="X36" s="93">
        <v>100.65230753343999</v>
      </c>
      <c r="Y36" s="93">
        <v>233.77120000000002</v>
      </c>
      <c r="Z36" s="94">
        <v>9818.3904000000002</v>
      </c>
      <c r="AA36" s="93">
        <v>105.67492291011199</v>
      </c>
      <c r="AB36" s="93">
        <v>245.45501000000002</v>
      </c>
      <c r="AC36" s="94">
        <v>10309.110420000001</v>
      </c>
      <c r="AD36" s="93">
        <v>108.84</v>
      </c>
      <c r="AE36" s="97">
        <v>252.81</v>
      </c>
      <c r="AF36" s="94">
        <f t="shared" si="20"/>
        <v>10618.02</v>
      </c>
      <c r="AG36" s="93">
        <f>AD36*(1+$AI$2)-0.01</f>
        <v>112.09520000000001</v>
      </c>
      <c r="AH36" s="97">
        <f>AE36*(1+$AI$2)</f>
        <v>260.39429999999999</v>
      </c>
      <c r="AI36" s="94">
        <f t="shared" si="21"/>
        <v>10936.560599999999</v>
      </c>
      <c r="AJ36" s="93">
        <f>AG36*(1+$AI$2)-0.01</f>
        <v>115.44805600000001</v>
      </c>
      <c r="AK36" s="97">
        <f>AH36*(1+$AI$2)-0.02</f>
        <v>268.18612899999999</v>
      </c>
      <c r="AL36" s="94">
        <f t="shared" si="22"/>
        <v>11263.817418000001</v>
      </c>
      <c r="AM36" s="257" t="s">
        <v>92</v>
      </c>
      <c r="AN36" s="275">
        <v>142.03265546</v>
      </c>
      <c r="AO36" s="276">
        <v>299.35256164999998</v>
      </c>
      <c r="AP36" s="277">
        <v>12572.8075893</v>
      </c>
      <c r="AQ36" s="257" t="s">
        <v>92</v>
      </c>
      <c r="AR36" s="275">
        <f t="shared" si="10"/>
        <v>146.29363512380002</v>
      </c>
      <c r="AS36" s="276">
        <f t="shared" si="11"/>
        <v>308.33313849949997</v>
      </c>
      <c r="AT36" s="277">
        <f t="shared" si="12"/>
        <v>12949.991816979002</v>
      </c>
      <c r="AU36" s="275">
        <f t="shared" si="13"/>
        <v>150.68244417751401</v>
      </c>
      <c r="AV36" s="276">
        <f t="shared" si="14"/>
        <v>317.58313265448498</v>
      </c>
      <c r="AW36" s="277">
        <f t="shared" si="15"/>
        <v>13338.491571488372</v>
      </c>
      <c r="AX36" s="275">
        <f t="shared" si="16"/>
        <v>155.20291750283943</v>
      </c>
      <c r="AY36" s="276">
        <f t="shared" si="17"/>
        <v>327.11062663411957</v>
      </c>
      <c r="AZ36" s="277">
        <f t="shared" si="18"/>
        <v>13738.646318633024</v>
      </c>
      <c r="BA36" s="275">
        <f t="shared" si="19"/>
        <v>159.85900502792461</v>
      </c>
      <c r="BB36" s="276">
        <f t="shared" si="0"/>
        <v>336.92394543314316</v>
      </c>
      <c r="BC36" s="277">
        <f t="shared" si="1"/>
        <v>14150.805708192014</v>
      </c>
      <c r="BD36" s="275">
        <f t="shared" si="2"/>
        <v>164.65477517876235</v>
      </c>
      <c r="BE36" s="276">
        <f t="shared" si="3"/>
        <v>347.03166379613748</v>
      </c>
      <c r="BF36" s="277">
        <f t="shared" si="4"/>
        <v>14575.329879437775</v>
      </c>
      <c r="BG36" s="275">
        <f t="shared" si="5"/>
        <v>169.59441843412523</v>
      </c>
      <c r="BH36" s="276">
        <f t="shared" si="6"/>
        <v>357.44261371002159</v>
      </c>
      <c r="BI36" s="277">
        <f t="shared" si="7"/>
        <v>15012.589775820908</v>
      </c>
    </row>
    <row r="37" spans="1:61" ht="14">
      <c r="A37" s="91">
        <v>271</v>
      </c>
      <c r="B37" s="82" t="s">
        <v>94</v>
      </c>
      <c r="C37" s="102">
        <v>14</v>
      </c>
      <c r="D37" s="93">
        <v>210</v>
      </c>
      <c r="E37" s="93">
        <v>8820</v>
      </c>
      <c r="F37" s="106">
        <v>28</v>
      </c>
      <c r="G37" s="93">
        <v>230.32</v>
      </c>
      <c r="H37" s="94">
        <v>9673.44</v>
      </c>
      <c r="I37" s="96">
        <v>29.54</v>
      </c>
      <c r="J37" s="93">
        <v>242.98759999999999</v>
      </c>
      <c r="K37" s="94">
        <v>10205.4792</v>
      </c>
      <c r="L37" s="96">
        <v>31.016999999999999</v>
      </c>
      <c r="M37" s="93">
        <v>255.13697999999999</v>
      </c>
      <c r="N37" s="94">
        <v>10715.75316</v>
      </c>
      <c r="O37" s="96">
        <v>32.412765</v>
      </c>
      <c r="P37" s="93">
        <v>266.61814409999999</v>
      </c>
      <c r="Q37" s="94">
        <v>11197.9620522</v>
      </c>
      <c r="R37" s="96">
        <v>32.412765</v>
      </c>
      <c r="S37" s="93">
        <v>266.61814409999999</v>
      </c>
      <c r="T37" s="94">
        <v>11197.9620522</v>
      </c>
      <c r="U37" s="96">
        <v>33.709275599999998</v>
      </c>
      <c r="V37" s="93">
        <v>277.28286986400002</v>
      </c>
      <c r="W37" s="94">
        <v>11645.880534288</v>
      </c>
      <c r="X37" s="93">
        <v>35.067646623999998</v>
      </c>
      <c r="Y37" s="93">
        <v>288.37418465856001</v>
      </c>
      <c r="Z37" s="94">
        <v>12111.715755659521</v>
      </c>
      <c r="AA37" s="93">
        <v>36.821028955199999</v>
      </c>
      <c r="AB37" s="93">
        <v>302.78814389148806</v>
      </c>
      <c r="AC37" s="94">
        <v>12717.102043442499</v>
      </c>
      <c r="AD37" s="93">
        <v>37.92</v>
      </c>
      <c r="AE37" s="97">
        <v>311.87</v>
      </c>
      <c r="AF37" s="94">
        <f t="shared" si="20"/>
        <v>13098.54</v>
      </c>
      <c r="AG37" s="93">
        <f t="shared" si="8"/>
        <v>39.057600000000001</v>
      </c>
      <c r="AH37" s="97">
        <f t="shared" si="8"/>
        <v>321.22610000000003</v>
      </c>
      <c r="AI37" s="94">
        <f t="shared" si="21"/>
        <v>13491.496200000001</v>
      </c>
      <c r="AJ37" s="93">
        <f t="shared" ref="AJ37:AK47" si="25">AG37*(1+$AI$2)</f>
        <v>40.229328000000002</v>
      </c>
      <c r="AK37" s="97">
        <f>AH37*(1+$AI$2)</f>
        <v>330.86288300000007</v>
      </c>
      <c r="AL37" s="94">
        <f t="shared" si="22"/>
        <v>13896.241086000004</v>
      </c>
      <c r="AM37" s="257" t="s">
        <v>93</v>
      </c>
      <c r="AN37" s="275">
        <v>118.91149768000001</v>
      </c>
      <c r="AO37" s="276">
        <v>276.23171287000002</v>
      </c>
      <c r="AP37" s="277">
        <v>11601.731940540001</v>
      </c>
      <c r="AQ37" s="257" t="s">
        <v>93</v>
      </c>
      <c r="AR37" s="275">
        <f t="shared" si="10"/>
        <v>122.47884261040001</v>
      </c>
      <c r="AS37" s="276">
        <f t="shared" si="11"/>
        <v>284.51866425610001</v>
      </c>
      <c r="AT37" s="277">
        <f t="shared" si="12"/>
        <v>11949.783898756201</v>
      </c>
      <c r="AU37" s="275">
        <f t="shared" si="13"/>
        <v>126.15320788871202</v>
      </c>
      <c r="AV37" s="276">
        <f t="shared" si="14"/>
        <v>293.05422418378299</v>
      </c>
      <c r="AW37" s="277">
        <f t="shared" si="15"/>
        <v>12308.277415718887</v>
      </c>
      <c r="AX37" s="275">
        <f t="shared" si="16"/>
        <v>129.93780412537339</v>
      </c>
      <c r="AY37" s="276">
        <f t="shared" si="17"/>
        <v>301.84585090929647</v>
      </c>
      <c r="AZ37" s="277">
        <f t="shared" si="18"/>
        <v>12677.525738190454</v>
      </c>
      <c r="BA37" s="275">
        <f t="shared" si="19"/>
        <v>133.83593824913459</v>
      </c>
      <c r="BB37" s="276">
        <f t="shared" si="0"/>
        <v>310.90122643657537</v>
      </c>
      <c r="BC37" s="277">
        <f t="shared" si="1"/>
        <v>13057.851510336168</v>
      </c>
      <c r="BD37" s="275">
        <f t="shared" si="2"/>
        <v>137.85101639660863</v>
      </c>
      <c r="BE37" s="276">
        <f t="shared" si="3"/>
        <v>320.22826322967262</v>
      </c>
      <c r="BF37" s="277">
        <f t="shared" si="4"/>
        <v>13449.587055646252</v>
      </c>
      <c r="BG37" s="275">
        <f t="shared" si="5"/>
        <v>141.98654688850689</v>
      </c>
      <c r="BH37" s="276">
        <f t="shared" si="6"/>
        <v>329.83511112656282</v>
      </c>
      <c r="BI37" s="277">
        <f t="shared" si="7"/>
        <v>13853.074667315641</v>
      </c>
    </row>
    <row r="38" spans="1:61" ht="14">
      <c r="A38" s="98">
        <v>273</v>
      </c>
      <c r="B38" s="83" t="s">
        <v>95</v>
      </c>
      <c r="C38" s="100">
        <v>9.1265822784810133</v>
      </c>
      <c r="D38" s="100">
        <v>219.13</v>
      </c>
      <c r="E38" s="100">
        <v>9203.4599999999991</v>
      </c>
      <c r="F38" s="99">
        <v>18.253164556962027</v>
      </c>
      <c r="G38" s="100">
        <v>248.57316455696201</v>
      </c>
      <c r="H38" s="101">
        <v>10440.072911392404</v>
      </c>
      <c r="I38" s="99">
        <v>19.257088607594937</v>
      </c>
      <c r="J38" s="100">
        <v>262.25468860759491</v>
      </c>
      <c r="K38" s="101">
        <v>11014.696921518986</v>
      </c>
      <c r="L38" s="99">
        <v>20.219943037974684</v>
      </c>
      <c r="M38" s="100">
        <v>275.3569230379747</v>
      </c>
      <c r="N38" s="101">
        <v>11564.990767594938</v>
      </c>
      <c r="O38" s="99">
        <v>21.129840474683544</v>
      </c>
      <c r="P38" s="100">
        <v>287.74798457468353</v>
      </c>
      <c r="Q38" s="101">
        <v>12085.415352136708</v>
      </c>
      <c r="R38" s="99">
        <v>21.129840474683544</v>
      </c>
      <c r="S38" s="100">
        <v>287.74798457468353</v>
      </c>
      <c r="T38" s="101">
        <v>12085.415352136708</v>
      </c>
      <c r="U38" s="99">
        <v>21.975034093670885</v>
      </c>
      <c r="V38" s="100">
        <v>299.25790395767092</v>
      </c>
      <c r="W38" s="101">
        <v>12568.831966222178</v>
      </c>
      <c r="X38" s="100">
        <v>22.854035457417723</v>
      </c>
      <c r="Y38" s="100">
        <v>311.22822011597771</v>
      </c>
      <c r="Z38" s="101">
        <v>13071.585244871063</v>
      </c>
      <c r="AA38" s="100">
        <v>23.996737230288609</v>
      </c>
      <c r="AB38" s="100">
        <v>326.78488112177666</v>
      </c>
      <c r="AC38" s="101">
        <v>13724.965007114621</v>
      </c>
      <c r="AD38" s="100">
        <v>24.72</v>
      </c>
      <c r="AE38" s="97">
        <v>336.59</v>
      </c>
      <c r="AF38" s="101">
        <f t="shared" si="20"/>
        <v>14136.779999999999</v>
      </c>
      <c r="AG38" s="100">
        <f t="shared" si="8"/>
        <v>25.461600000000001</v>
      </c>
      <c r="AH38" s="97">
        <f t="shared" si="8"/>
        <v>346.68770000000001</v>
      </c>
      <c r="AI38" s="101">
        <f t="shared" si="21"/>
        <v>14560.883400000001</v>
      </c>
      <c r="AJ38" s="100">
        <f t="shared" si="25"/>
        <v>26.225448</v>
      </c>
      <c r="AK38" s="97">
        <f t="shared" si="25"/>
        <v>357.08833100000004</v>
      </c>
      <c r="AL38" s="101">
        <f t="shared" si="22"/>
        <v>14997.709902000002</v>
      </c>
      <c r="AM38" s="257" t="s">
        <v>94</v>
      </c>
      <c r="AN38" s="275">
        <v>41.435889570000022</v>
      </c>
      <c r="AO38" s="276">
        <v>340.78845122000001</v>
      </c>
      <c r="AP38" s="277">
        <v>14313.114951240001</v>
      </c>
      <c r="AQ38" s="257" t="s">
        <v>94</v>
      </c>
      <c r="AR38" s="275">
        <f t="shared" si="10"/>
        <v>42.678966257100022</v>
      </c>
      <c r="AS38" s="276">
        <f t="shared" si="11"/>
        <v>351.01210475660002</v>
      </c>
      <c r="AT38" s="277">
        <f t="shared" si="12"/>
        <v>14742.508399777202</v>
      </c>
      <c r="AU38" s="275">
        <f t="shared" si="13"/>
        <v>43.959335244813026</v>
      </c>
      <c r="AV38" s="276">
        <f t="shared" si="14"/>
        <v>361.54246789929806</v>
      </c>
      <c r="AW38" s="277">
        <f t="shared" si="15"/>
        <v>15184.783651770518</v>
      </c>
      <c r="AX38" s="275">
        <f t="shared" si="16"/>
        <v>45.278115302157417</v>
      </c>
      <c r="AY38" s="276">
        <f t="shared" si="17"/>
        <v>372.38874193627703</v>
      </c>
      <c r="AZ38" s="277">
        <f t="shared" si="18"/>
        <v>15640.327161323634</v>
      </c>
      <c r="BA38" s="275">
        <f t="shared" si="19"/>
        <v>46.636458761222144</v>
      </c>
      <c r="BB38" s="276">
        <f t="shared" si="0"/>
        <v>383.56040419436533</v>
      </c>
      <c r="BC38" s="277">
        <f t="shared" si="1"/>
        <v>16109.536976163343</v>
      </c>
      <c r="BD38" s="275">
        <f t="shared" si="2"/>
        <v>48.035552524058808</v>
      </c>
      <c r="BE38" s="276">
        <f t="shared" si="3"/>
        <v>395.06721632019628</v>
      </c>
      <c r="BF38" s="277">
        <f t="shared" si="4"/>
        <v>16592.823085448243</v>
      </c>
      <c r="BG38" s="275">
        <f t="shared" si="5"/>
        <v>49.476619099780571</v>
      </c>
      <c r="BH38" s="276">
        <f t="shared" si="6"/>
        <v>406.91923280980217</v>
      </c>
      <c r="BI38" s="277">
        <f t="shared" si="7"/>
        <v>17090.60777801169</v>
      </c>
    </row>
    <row r="39" spans="1:61" ht="14">
      <c r="A39" s="98">
        <v>280</v>
      </c>
      <c r="B39" s="83" t="s">
        <v>96</v>
      </c>
      <c r="C39" s="100">
        <v>4.4303797468354427</v>
      </c>
      <c r="D39" s="100">
        <v>223.56</v>
      </c>
      <c r="E39" s="100">
        <v>9389.52</v>
      </c>
      <c r="F39" s="99">
        <v>8.8607594936708853</v>
      </c>
      <c r="G39" s="100">
        <v>257.43392405063292</v>
      </c>
      <c r="H39" s="101">
        <v>10812.224810126583</v>
      </c>
      <c r="I39" s="99">
        <v>9.348101265822784</v>
      </c>
      <c r="J39" s="100">
        <v>271.60278987341769</v>
      </c>
      <c r="K39" s="101">
        <v>11407.317174683543</v>
      </c>
      <c r="L39" s="99">
        <v>9.8155063291139228</v>
      </c>
      <c r="M39" s="100">
        <v>285.17242936708863</v>
      </c>
      <c r="N39" s="101">
        <v>11977.242033417722</v>
      </c>
      <c r="O39" s="99">
        <v>10.257204113924049</v>
      </c>
      <c r="P39" s="100">
        <v>298.00518868860757</v>
      </c>
      <c r="Q39" s="101">
        <v>12516.217924921519</v>
      </c>
      <c r="R39" s="99">
        <v>10.257204113924049</v>
      </c>
      <c r="S39" s="100">
        <v>298.00518868860757</v>
      </c>
      <c r="T39" s="101">
        <v>12516.217924921519</v>
      </c>
      <c r="U39" s="99">
        <v>10.667492278481012</v>
      </c>
      <c r="V39" s="100">
        <v>309.92539623615193</v>
      </c>
      <c r="W39" s="101">
        <v>13016.866641918381</v>
      </c>
      <c r="X39" s="100">
        <v>11.104191969620253</v>
      </c>
      <c r="Y39" s="100">
        <v>322.33241208559798</v>
      </c>
      <c r="Z39" s="101">
        <v>13537.961307595115</v>
      </c>
      <c r="AA39" s="100">
        <v>11.659401568101266</v>
      </c>
      <c r="AB39" s="100">
        <v>338.44428268987792</v>
      </c>
      <c r="AC39" s="101">
        <v>14214.659872974873</v>
      </c>
      <c r="AD39" s="100">
        <v>12.01</v>
      </c>
      <c r="AE39" s="97">
        <v>348.6</v>
      </c>
      <c r="AF39" s="101">
        <f t="shared" si="20"/>
        <v>14641.2</v>
      </c>
      <c r="AG39" s="100">
        <f t="shared" si="8"/>
        <v>12.3703</v>
      </c>
      <c r="AH39" s="97">
        <f t="shared" si="8"/>
        <v>359.05800000000005</v>
      </c>
      <c r="AI39" s="101">
        <f t="shared" si="21"/>
        <v>15080.436000000002</v>
      </c>
      <c r="AJ39" s="100">
        <f t="shared" si="25"/>
        <v>12.741409000000001</v>
      </c>
      <c r="AK39" s="97">
        <f t="shared" si="25"/>
        <v>369.82974000000007</v>
      </c>
      <c r="AL39" s="101">
        <f t="shared" si="22"/>
        <v>15532.849080000004</v>
      </c>
      <c r="AM39" s="257" t="s">
        <v>95</v>
      </c>
      <c r="AN39" s="275">
        <v>27.012211440000002</v>
      </c>
      <c r="AO39" s="276">
        <v>367.80098093000004</v>
      </c>
      <c r="AP39" s="277">
        <v>15447.641199060003</v>
      </c>
      <c r="AQ39" s="257" t="s">
        <v>95</v>
      </c>
      <c r="AR39" s="275">
        <f t="shared" si="10"/>
        <v>27.822577783200003</v>
      </c>
      <c r="AS39" s="276">
        <f t="shared" si="11"/>
        <v>378.83501035790005</v>
      </c>
      <c r="AT39" s="277">
        <f t="shared" si="12"/>
        <v>15911.070435031803</v>
      </c>
      <c r="AU39" s="275">
        <f t="shared" si="13"/>
        <v>28.657255116696003</v>
      </c>
      <c r="AV39" s="276">
        <f t="shared" si="14"/>
        <v>390.20006066863704</v>
      </c>
      <c r="AW39" s="277">
        <f t="shared" si="15"/>
        <v>16388.402548082759</v>
      </c>
      <c r="AX39" s="275">
        <f t="shared" si="16"/>
        <v>29.516972770196883</v>
      </c>
      <c r="AY39" s="276">
        <f t="shared" si="17"/>
        <v>401.90606248869614</v>
      </c>
      <c r="AZ39" s="277">
        <f t="shared" si="18"/>
        <v>16880.054624525241</v>
      </c>
      <c r="BA39" s="275">
        <f t="shared" ref="BA39:BA61" si="26">AX39*(1+$BC$2)</f>
        <v>30.402481953302789</v>
      </c>
      <c r="BB39" s="276">
        <f t="shared" ref="BB39:BB61" si="27">AY39*(1+$BC$2)</f>
        <v>413.96324436335703</v>
      </c>
      <c r="BC39" s="277">
        <f t="shared" ref="BC39:BC61" si="28">AZ39*(1+$BC$2)</f>
        <v>17386.456263261</v>
      </c>
      <c r="BD39" s="275">
        <f t="shared" ref="BD39:BD61" si="29">BA39*(1+$BF$2)</f>
        <v>31.314556411901872</v>
      </c>
      <c r="BE39" s="276">
        <f t="shared" ref="BE39:BE61" si="30">BB39*(1+$BF$2)</f>
        <v>426.38214169425777</v>
      </c>
      <c r="BF39" s="277">
        <f t="shared" ref="BF39:BF61" si="31">BC39*(1+$BF$2)</f>
        <v>17908.049951158831</v>
      </c>
      <c r="BG39" s="275">
        <f t="shared" si="5"/>
        <v>32.253993104258932</v>
      </c>
      <c r="BH39" s="276">
        <f t="shared" si="6"/>
        <v>439.17360594508551</v>
      </c>
      <c r="BI39" s="277">
        <f t="shared" si="7"/>
        <v>18445.291449693595</v>
      </c>
    </row>
    <row r="40" spans="1:61" ht="14">
      <c r="A40" s="91">
        <v>278</v>
      </c>
      <c r="B40" s="82" t="s">
        <v>97</v>
      </c>
      <c r="C40" s="102">
        <v>14</v>
      </c>
      <c r="D40" s="93">
        <v>224</v>
      </c>
      <c r="E40" s="93">
        <v>9408</v>
      </c>
      <c r="F40" s="95">
        <v>28</v>
      </c>
      <c r="G40" s="93">
        <v>258.32</v>
      </c>
      <c r="H40" s="94">
        <v>10849.44</v>
      </c>
      <c r="I40" s="96">
        <v>29.54</v>
      </c>
      <c r="J40" s="93">
        <v>272.52760000000001</v>
      </c>
      <c r="K40" s="94">
        <v>11446.1592</v>
      </c>
      <c r="L40" s="96">
        <v>31.016999999999999</v>
      </c>
      <c r="M40" s="93">
        <v>286.16397999999998</v>
      </c>
      <c r="N40" s="94">
        <v>12018.887159999998</v>
      </c>
      <c r="O40" s="96">
        <v>32.418968399999997</v>
      </c>
      <c r="P40" s="93">
        <v>299.03711249999998</v>
      </c>
      <c r="Q40" s="94">
        <v>12559.558724999999</v>
      </c>
      <c r="R40" s="96">
        <v>32.422764999999998</v>
      </c>
      <c r="S40" s="93">
        <v>299.04090910000002</v>
      </c>
      <c r="T40" s="94">
        <v>12559.7181822</v>
      </c>
      <c r="U40" s="96">
        <v>33.719675600000002</v>
      </c>
      <c r="V40" s="93">
        <v>311.00254546400004</v>
      </c>
      <c r="W40" s="94">
        <v>13062.106909488002</v>
      </c>
      <c r="X40" s="93">
        <v>35.058462624000008</v>
      </c>
      <c r="Y40" s="93">
        <v>323.43264728256003</v>
      </c>
      <c r="Z40" s="94">
        <v>13584.171185867521</v>
      </c>
      <c r="AA40" s="93">
        <v>36.811385755200007</v>
      </c>
      <c r="AB40" s="93">
        <v>339.59952964668798</v>
      </c>
      <c r="AC40" s="94">
        <v>14263.1802451609</v>
      </c>
      <c r="AD40" s="93">
        <v>37.909999999999997</v>
      </c>
      <c r="AE40" s="97">
        <v>349.78</v>
      </c>
      <c r="AF40" s="94">
        <f t="shared" si="20"/>
        <v>14690.759999999998</v>
      </c>
      <c r="AG40" s="93">
        <f t="shared" si="8"/>
        <v>39.0473</v>
      </c>
      <c r="AH40" s="97">
        <f t="shared" si="8"/>
        <v>360.27339999999998</v>
      </c>
      <c r="AI40" s="94">
        <f t="shared" si="21"/>
        <v>15131.4828</v>
      </c>
      <c r="AJ40" s="93">
        <f t="shared" si="25"/>
        <v>40.218719</v>
      </c>
      <c r="AK40" s="289">
        <f t="shared" si="25"/>
        <v>371.08160199999998</v>
      </c>
      <c r="AL40" s="94">
        <f t="shared" si="22"/>
        <v>15585.427283999999</v>
      </c>
      <c r="AM40" s="257" t="s">
        <v>96</v>
      </c>
      <c r="AN40" s="275">
        <v>13.123651270000002</v>
      </c>
      <c r="AO40" s="276">
        <v>380.92463220000008</v>
      </c>
      <c r="AP40" s="277">
        <v>15998.834552400003</v>
      </c>
      <c r="AQ40" s="257" t="s">
        <v>96</v>
      </c>
      <c r="AR40" s="275">
        <f t="shared" si="10"/>
        <v>13.517360808100001</v>
      </c>
      <c r="AS40" s="276">
        <f t="shared" si="11"/>
        <v>392.35237116600007</v>
      </c>
      <c r="AT40" s="277">
        <f t="shared" si="12"/>
        <v>16478.799588972004</v>
      </c>
      <c r="AU40" s="275">
        <f t="shared" si="13"/>
        <v>13.922881632343001</v>
      </c>
      <c r="AV40" s="276">
        <f t="shared" si="14"/>
        <v>404.12294230098007</v>
      </c>
      <c r="AW40" s="277">
        <f t="shared" si="15"/>
        <v>16973.163576641164</v>
      </c>
      <c r="AX40" s="275">
        <f t="shared" si="16"/>
        <v>14.340568081313291</v>
      </c>
      <c r="AY40" s="276">
        <f t="shared" si="17"/>
        <v>416.24663057000947</v>
      </c>
      <c r="AZ40" s="277">
        <f t="shared" si="18"/>
        <v>17482.358483940399</v>
      </c>
      <c r="BA40" s="275">
        <f t="shared" si="26"/>
        <v>14.77078512375269</v>
      </c>
      <c r="BB40" s="276">
        <f t="shared" si="27"/>
        <v>428.73402948710975</v>
      </c>
      <c r="BC40" s="277">
        <f t="shared" si="28"/>
        <v>18006.829238458613</v>
      </c>
      <c r="BD40" s="275">
        <f t="shared" si="29"/>
        <v>15.213908677465271</v>
      </c>
      <c r="BE40" s="276">
        <f t="shared" si="30"/>
        <v>441.59605037172304</v>
      </c>
      <c r="BF40" s="277">
        <f t="shared" si="31"/>
        <v>18547.034115612372</v>
      </c>
      <c r="BG40" s="275">
        <f t="shared" si="5"/>
        <v>15.670325937789229</v>
      </c>
      <c r="BH40" s="276">
        <f t="shared" si="6"/>
        <v>454.84393188287476</v>
      </c>
      <c r="BI40" s="277">
        <f t="shared" si="7"/>
        <v>19103.445139080744</v>
      </c>
    </row>
    <row r="41" spans="1:61" ht="14">
      <c r="A41" s="91">
        <v>276</v>
      </c>
      <c r="B41" s="82" t="s">
        <v>98</v>
      </c>
      <c r="C41" s="93"/>
      <c r="D41" s="93"/>
      <c r="E41" s="93"/>
      <c r="F41" s="96"/>
      <c r="G41" s="93"/>
      <c r="H41" s="94"/>
      <c r="I41" s="96">
        <v>0</v>
      </c>
      <c r="J41" s="93"/>
      <c r="K41" s="94">
        <v>0</v>
      </c>
      <c r="L41" s="96"/>
      <c r="M41" s="93"/>
      <c r="N41" s="94"/>
      <c r="O41" s="96"/>
      <c r="P41" s="93"/>
      <c r="Q41" s="94"/>
      <c r="R41" s="96">
        <v>0</v>
      </c>
      <c r="S41" s="93"/>
      <c r="T41" s="94"/>
      <c r="U41" s="96"/>
      <c r="V41" s="93"/>
      <c r="W41" s="94"/>
      <c r="X41" s="93"/>
      <c r="Y41" s="93"/>
      <c r="Z41" s="94"/>
      <c r="AA41" s="93">
        <v>0</v>
      </c>
      <c r="AB41" s="93"/>
      <c r="AC41" s="94">
        <v>0</v>
      </c>
      <c r="AD41" s="93">
        <v>0</v>
      </c>
      <c r="AE41" s="97"/>
      <c r="AF41" s="94">
        <f t="shared" si="20"/>
        <v>0</v>
      </c>
      <c r="AG41" s="93">
        <f t="shared" si="8"/>
        <v>0</v>
      </c>
      <c r="AH41" s="97">
        <f t="shared" si="8"/>
        <v>0</v>
      </c>
      <c r="AI41" s="94">
        <f t="shared" si="21"/>
        <v>0</v>
      </c>
      <c r="AJ41" s="93">
        <f t="shared" si="25"/>
        <v>0</v>
      </c>
      <c r="AK41" s="97">
        <f t="shared" si="25"/>
        <v>0</v>
      </c>
      <c r="AL41" s="94">
        <f t="shared" si="22"/>
        <v>0</v>
      </c>
      <c r="AM41" s="257" t="s">
        <v>97</v>
      </c>
      <c r="AN41" s="275">
        <v>41.425280569999998</v>
      </c>
      <c r="AO41" s="289">
        <v>382.21405005999998</v>
      </c>
      <c r="AP41" s="277">
        <v>16052.99010252</v>
      </c>
      <c r="AQ41" s="257" t="s">
        <v>97</v>
      </c>
      <c r="AR41" s="275">
        <f t="shared" si="10"/>
        <v>42.668038987099997</v>
      </c>
      <c r="AS41" s="289">
        <f t="shared" si="11"/>
        <v>393.6804715618</v>
      </c>
      <c r="AT41" s="277">
        <f t="shared" si="12"/>
        <v>16534.5798055956</v>
      </c>
      <c r="AU41" s="275">
        <f t="shared" si="13"/>
        <v>43.948080156712997</v>
      </c>
      <c r="AV41" s="289">
        <f t="shared" si="14"/>
        <v>405.49088570865399</v>
      </c>
      <c r="AW41" s="277">
        <f t="shared" si="15"/>
        <v>17030.61719976347</v>
      </c>
      <c r="AX41" s="275">
        <f t="shared" si="16"/>
        <v>45.266522561414391</v>
      </c>
      <c r="AY41" s="289">
        <f>AV41*(1+$AZ$2)</f>
        <v>417.65561227991361</v>
      </c>
      <c r="AZ41" s="277">
        <f t="shared" si="18"/>
        <v>17541.535715756374</v>
      </c>
      <c r="BA41" s="275">
        <f t="shared" si="26"/>
        <v>46.624518238256826</v>
      </c>
      <c r="BB41" s="289">
        <f t="shared" si="27"/>
        <v>430.18528064831105</v>
      </c>
      <c r="BC41" s="277">
        <f t="shared" si="28"/>
        <v>18067.781787229065</v>
      </c>
      <c r="BD41" s="275">
        <f t="shared" si="29"/>
        <v>48.023253785404535</v>
      </c>
      <c r="BE41" s="289">
        <f t="shared" si="30"/>
        <v>443.09083906776038</v>
      </c>
      <c r="BF41" s="277">
        <f t="shared" si="31"/>
        <v>18609.815240845939</v>
      </c>
      <c r="BG41" s="275">
        <f t="shared" si="5"/>
        <v>49.463951398966671</v>
      </c>
      <c r="BH41" s="289">
        <f t="shared" si="6"/>
        <v>456.3835642397932</v>
      </c>
      <c r="BI41" s="277">
        <f t="shared" si="7"/>
        <v>19168.109698071319</v>
      </c>
    </row>
    <row r="42" spans="1:61" ht="14">
      <c r="A42" s="91">
        <v>279</v>
      </c>
      <c r="B42" s="82" t="s">
        <v>99</v>
      </c>
      <c r="C42" s="93">
        <v>0</v>
      </c>
      <c r="D42" s="93">
        <v>0</v>
      </c>
      <c r="E42" s="93">
        <v>0</v>
      </c>
      <c r="F42" s="95">
        <v>37</v>
      </c>
      <c r="G42" s="93">
        <v>295.32</v>
      </c>
      <c r="H42" s="94">
        <v>12403.44</v>
      </c>
      <c r="I42" s="96">
        <v>39.034999999999997</v>
      </c>
      <c r="J42" s="93">
        <v>311.57259999999997</v>
      </c>
      <c r="K42" s="94">
        <v>13086.049199999998</v>
      </c>
      <c r="L42" s="96">
        <v>40.986750000000001</v>
      </c>
      <c r="M42" s="93">
        <v>327.15072999999995</v>
      </c>
      <c r="N42" s="94">
        <v>13740.330659999998</v>
      </c>
      <c r="O42" s="96">
        <v>42.831153749999999</v>
      </c>
      <c r="P42" s="93">
        <v>341.86826624999998</v>
      </c>
      <c r="Q42" s="94">
        <v>14358.467182499999</v>
      </c>
      <c r="R42" s="96">
        <v>42.831153749999999</v>
      </c>
      <c r="S42" s="93">
        <v>341.87206285000002</v>
      </c>
      <c r="T42" s="94">
        <v>14358.6266397</v>
      </c>
      <c r="U42" s="96">
        <v>44.544399900000002</v>
      </c>
      <c r="V42" s="93">
        <v>355.54694536400007</v>
      </c>
      <c r="W42" s="94">
        <v>14932.971705288002</v>
      </c>
      <c r="X42" s="93">
        <v>46.336175896</v>
      </c>
      <c r="Y42" s="93">
        <v>369.76882317856001</v>
      </c>
      <c r="Z42" s="94">
        <v>15530.29057349952</v>
      </c>
      <c r="AA42" s="93">
        <v>48.652984690800004</v>
      </c>
      <c r="AB42" s="93">
        <v>388.25251433748809</v>
      </c>
      <c r="AC42" s="94">
        <v>16306.605602174501</v>
      </c>
      <c r="AD42" s="93">
        <v>50.11</v>
      </c>
      <c r="AE42" s="97">
        <v>399.89</v>
      </c>
      <c r="AF42" s="94">
        <f t="shared" si="20"/>
        <v>16795.38</v>
      </c>
      <c r="AG42" s="93">
        <f t="shared" si="8"/>
        <v>51.613300000000002</v>
      </c>
      <c r="AH42" s="97">
        <f t="shared" si="8"/>
        <v>411.88670000000002</v>
      </c>
      <c r="AI42" s="94">
        <f t="shared" si="21"/>
        <v>17299.241399999999</v>
      </c>
      <c r="AJ42" s="93">
        <f>AG42*(1+$AI$2)+0.01</f>
        <v>53.171699000000004</v>
      </c>
      <c r="AK42" s="97">
        <f>AH42*(1+$AI$2)+0.01</f>
        <v>424.25330100000002</v>
      </c>
      <c r="AL42" s="94">
        <f t="shared" si="22"/>
        <v>17818.638642000002</v>
      </c>
      <c r="AM42" s="257" t="s">
        <v>98</v>
      </c>
      <c r="AN42" s="275">
        <v>0</v>
      </c>
      <c r="AO42" s="276">
        <v>0</v>
      </c>
      <c r="AP42" s="277">
        <v>0</v>
      </c>
      <c r="AQ42" s="257" t="s">
        <v>98</v>
      </c>
      <c r="AR42" s="275">
        <f t="shared" si="10"/>
        <v>0</v>
      </c>
      <c r="AS42" s="276">
        <f t="shared" si="11"/>
        <v>0</v>
      </c>
      <c r="AT42" s="277">
        <f t="shared" si="12"/>
        <v>0</v>
      </c>
      <c r="AU42" s="275">
        <f t="shared" si="13"/>
        <v>0</v>
      </c>
      <c r="AV42" s="276">
        <f t="shared" si="14"/>
        <v>0</v>
      </c>
      <c r="AW42" s="277">
        <f t="shared" si="15"/>
        <v>0</v>
      </c>
      <c r="AX42" s="275">
        <f t="shared" si="16"/>
        <v>0</v>
      </c>
      <c r="AY42" s="276">
        <f t="shared" si="17"/>
        <v>0</v>
      </c>
      <c r="AZ42" s="277">
        <f t="shared" si="18"/>
        <v>0</v>
      </c>
      <c r="BA42" s="275">
        <f t="shared" si="26"/>
        <v>0</v>
      </c>
      <c r="BB42" s="276">
        <f t="shared" si="27"/>
        <v>0</v>
      </c>
      <c r="BC42" s="277">
        <f t="shared" si="28"/>
        <v>0</v>
      </c>
      <c r="BD42" s="275">
        <f t="shared" si="29"/>
        <v>0</v>
      </c>
      <c r="BE42" s="276">
        <f t="shared" si="30"/>
        <v>0</v>
      </c>
      <c r="BF42" s="277">
        <f t="shared" si="31"/>
        <v>0</v>
      </c>
      <c r="BG42" s="275">
        <f t="shared" si="5"/>
        <v>0</v>
      </c>
      <c r="BH42" s="276">
        <f t="shared" si="6"/>
        <v>0</v>
      </c>
      <c r="BI42" s="277">
        <f t="shared" si="7"/>
        <v>0</v>
      </c>
    </row>
    <row r="43" spans="1:61" ht="14">
      <c r="A43" s="91"/>
      <c r="B43" s="82" t="s">
        <v>100</v>
      </c>
      <c r="C43" s="102">
        <v>67</v>
      </c>
      <c r="D43" s="93">
        <v>67</v>
      </c>
      <c r="E43" s="93">
        <v>2814</v>
      </c>
      <c r="F43" s="95">
        <v>37</v>
      </c>
      <c r="G43" s="93">
        <v>332.32</v>
      </c>
      <c r="H43" s="94">
        <v>13957.44</v>
      </c>
      <c r="I43" s="96">
        <v>39.034999999999997</v>
      </c>
      <c r="J43" s="93">
        <v>350.59759999999994</v>
      </c>
      <c r="K43" s="94">
        <v>14725.099199999997</v>
      </c>
      <c r="L43" s="96">
        <v>40.986750000000001</v>
      </c>
      <c r="M43" s="93">
        <v>368.13747999999998</v>
      </c>
      <c r="N43" s="94">
        <v>15461.774159999999</v>
      </c>
      <c r="O43" s="96">
        <v>42.831153749999999</v>
      </c>
      <c r="P43" s="93">
        <v>384.70321659999991</v>
      </c>
      <c r="Q43" s="94">
        <v>16157.535097199996</v>
      </c>
      <c r="R43" s="96">
        <v>42.831153749999999</v>
      </c>
      <c r="S43" s="93">
        <v>384.70321659999991</v>
      </c>
      <c r="T43" s="94">
        <v>16157.535097199996</v>
      </c>
      <c r="U43" s="96">
        <v>44.544399900000002</v>
      </c>
      <c r="V43" s="93">
        <v>400.09134526399987</v>
      </c>
      <c r="W43" s="94">
        <v>16803.836501087993</v>
      </c>
      <c r="X43" s="93">
        <v>46.326175896000002</v>
      </c>
      <c r="Y43" s="93">
        <v>416.09499907455989</v>
      </c>
      <c r="Z43" s="94">
        <v>17475.989961131516</v>
      </c>
      <c r="AA43" s="93">
        <v>48.652484690800001</v>
      </c>
      <c r="AB43" s="93">
        <v>436.90974902828793</v>
      </c>
      <c r="AC43" s="94">
        <v>18350.209459188092</v>
      </c>
      <c r="AD43" s="93">
        <v>50.11</v>
      </c>
      <c r="AE43" s="97">
        <v>450.02</v>
      </c>
      <c r="AF43" s="94">
        <f t="shared" si="20"/>
        <v>18900.84</v>
      </c>
      <c r="AG43" s="93">
        <f t="shared" si="8"/>
        <v>51.613300000000002</v>
      </c>
      <c r="AH43" s="97">
        <f t="shared" si="8"/>
        <v>463.5206</v>
      </c>
      <c r="AI43" s="94">
        <f t="shared" si="21"/>
        <v>19467.8652</v>
      </c>
      <c r="AJ43" s="93">
        <f>AG43*(1+$AI$2)+0.01</f>
        <v>53.171699000000004</v>
      </c>
      <c r="AK43" s="97">
        <f>AH43*(1+$AI$2)</f>
        <v>477.42621800000001</v>
      </c>
      <c r="AL43" s="94">
        <f t="shared" si="22"/>
        <v>20051.901156</v>
      </c>
      <c r="AM43" s="257" t="s">
        <v>99</v>
      </c>
      <c r="AN43" s="275">
        <v>54.766849970000003</v>
      </c>
      <c r="AO43" s="276">
        <v>436.98090003000004</v>
      </c>
      <c r="AP43" s="277">
        <v>18353.197801260001</v>
      </c>
      <c r="AQ43" s="257" t="s">
        <v>99</v>
      </c>
      <c r="AR43" s="275">
        <f t="shared" si="10"/>
        <v>56.409855469100002</v>
      </c>
      <c r="AS43" s="276">
        <f t="shared" si="11"/>
        <v>450.09032703090008</v>
      </c>
      <c r="AT43" s="277">
        <f t="shared" si="12"/>
        <v>18903.793735297801</v>
      </c>
      <c r="AU43" s="275">
        <f t="shared" si="13"/>
        <v>58.102151133173003</v>
      </c>
      <c r="AV43" s="276">
        <f t="shared" si="14"/>
        <v>463.59303684182709</v>
      </c>
      <c r="AW43" s="277">
        <f t="shared" si="15"/>
        <v>19470.907547356735</v>
      </c>
      <c r="AX43" s="275">
        <f t="shared" si="16"/>
        <v>59.845215667168198</v>
      </c>
      <c r="AY43" s="276">
        <f t="shared" si="17"/>
        <v>477.50082794708192</v>
      </c>
      <c r="AZ43" s="277">
        <f t="shared" si="18"/>
        <v>20055.034773777439</v>
      </c>
      <c r="BA43" s="275">
        <f t="shared" si="26"/>
        <v>61.640572137183248</v>
      </c>
      <c r="BB43" s="276">
        <f t="shared" si="27"/>
        <v>491.82585278549436</v>
      </c>
      <c r="BC43" s="277">
        <f t="shared" si="28"/>
        <v>20656.685816990765</v>
      </c>
      <c r="BD43" s="275">
        <f t="shared" si="29"/>
        <v>63.48978930129875</v>
      </c>
      <c r="BE43" s="276">
        <f t="shared" si="30"/>
        <v>506.58062836905918</v>
      </c>
      <c r="BF43" s="277">
        <f t="shared" si="31"/>
        <v>21276.386391500488</v>
      </c>
      <c r="BG43" s="275">
        <f t="shared" si="5"/>
        <v>65.394482980337713</v>
      </c>
      <c r="BH43" s="276">
        <f t="shared" si="6"/>
        <v>521.77804722013093</v>
      </c>
      <c r="BI43" s="277">
        <f t="shared" si="7"/>
        <v>21914.677983245503</v>
      </c>
    </row>
    <row r="44" spans="1:61" ht="14.5" thickBot="1">
      <c r="A44" s="134">
        <v>277</v>
      </c>
      <c r="B44" s="135" t="s">
        <v>101</v>
      </c>
      <c r="C44" s="137">
        <v>0</v>
      </c>
      <c r="D44" s="137">
        <v>0</v>
      </c>
      <c r="E44" s="137">
        <v>0</v>
      </c>
      <c r="F44" s="139">
        <v>295.32</v>
      </c>
      <c r="G44" s="137">
        <v>295.32</v>
      </c>
      <c r="H44" s="138">
        <v>12403.44</v>
      </c>
      <c r="I44" s="143">
        <v>311.56259999999997</v>
      </c>
      <c r="J44" s="137">
        <v>311.57259999999997</v>
      </c>
      <c r="K44" s="138">
        <v>13086.049199999998</v>
      </c>
      <c r="L44" s="143">
        <v>327.14072999999996</v>
      </c>
      <c r="M44" s="137">
        <v>327.15072999999995</v>
      </c>
      <c r="N44" s="138">
        <v>13740.330659999998</v>
      </c>
      <c r="O44" s="143">
        <v>341.86206284999992</v>
      </c>
      <c r="P44" s="137">
        <v>341.87206284999991</v>
      </c>
      <c r="Q44" s="138">
        <v>14358.626639699996</v>
      </c>
      <c r="R44" s="143">
        <v>341.87206284999991</v>
      </c>
      <c r="S44" s="137">
        <v>341.87206284999991</v>
      </c>
      <c r="T44" s="138">
        <v>14358.626639699996</v>
      </c>
      <c r="U44" s="143">
        <v>355.5469453639999</v>
      </c>
      <c r="V44" s="137">
        <v>355.5469453639999</v>
      </c>
      <c r="W44" s="138">
        <v>14932.971705287995</v>
      </c>
      <c r="X44" s="137">
        <v>369.7688231785599</v>
      </c>
      <c r="Y44" s="137">
        <v>369.7688231785599</v>
      </c>
      <c r="Z44" s="138">
        <v>15530.290573499517</v>
      </c>
      <c r="AA44" s="137">
        <v>388.25726433748792</v>
      </c>
      <c r="AB44" s="137">
        <v>388.25726433748792</v>
      </c>
      <c r="AC44" s="138">
        <v>16306.805102174492</v>
      </c>
      <c r="AD44" s="137">
        <v>399.91</v>
      </c>
      <c r="AE44" s="140">
        <v>399.91</v>
      </c>
      <c r="AF44" s="138">
        <f t="shared" si="20"/>
        <v>16796.22</v>
      </c>
      <c r="AG44" s="137">
        <f t="shared" si="8"/>
        <v>411.90730000000002</v>
      </c>
      <c r="AH44" s="140">
        <f t="shared" si="8"/>
        <v>411.90730000000002</v>
      </c>
      <c r="AI44" s="138">
        <f t="shared" si="21"/>
        <v>17300.106599999999</v>
      </c>
      <c r="AJ44" s="137">
        <f>AG44*(1+$AI$2)</f>
        <v>424.26451900000001</v>
      </c>
      <c r="AK44" s="140">
        <f>AH44*(1+$AI$2)</f>
        <v>424.26451900000001</v>
      </c>
      <c r="AL44" s="138">
        <f t="shared" si="22"/>
        <v>17819.109798000001</v>
      </c>
      <c r="AM44" s="257" t="s">
        <v>100</v>
      </c>
      <c r="AN44" s="275">
        <v>54.766849970000003</v>
      </c>
      <c r="AO44" s="276">
        <v>491.74900454000004</v>
      </c>
      <c r="AP44" s="277">
        <v>20653.458190680001</v>
      </c>
      <c r="AQ44" s="257" t="s">
        <v>100</v>
      </c>
      <c r="AR44" s="275">
        <f t="shared" si="10"/>
        <v>56.409855469100002</v>
      </c>
      <c r="AS44" s="276">
        <f t="shared" si="11"/>
        <v>506.50147467620008</v>
      </c>
      <c r="AT44" s="277">
        <f t="shared" si="12"/>
        <v>21273.061936400401</v>
      </c>
      <c r="AU44" s="275">
        <f t="shared" si="13"/>
        <v>58.102151133173003</v>
      </c>
      <c r="AV44" s="276">
        <f t="shared" si="14"/>
        <v>521.69651891648607</v>
      </c>
      <c r="AW44" s="277">
        <f t="shared" si="15"/>
        <v>21911.253794492415</v>
      </c>
      <c r="AX44" s="275">
        <f t="shared" si="16"/>
        <v>59.845215667168198</v>
      </c>
      <c r="AY44" s="276">
        <f t="shared" si="17"/>
        <v>537.34741448398063</v>
      </c>
      <c r="AZ44" s="277">
        <f t="shared" si="18"/>
        <v>22568.591408327189</v>
      </c>
      <c r="BA44" s="275">
        <f t="shared" si="26"/>
        <v>61.640572137183248</v>
      </c>
      <c r="BB44" s="276">
        <f t="shared" si="27"/>
        <v>553.4678369185001</v>
      </c>
      <c r="BC44" s="277">
        <f t="shared" si="28"/>
        <v>23245.649150577006</v>
      </c>
      <c r="BD44" s="275">
        <f t="shared" si="29"/>
        <v>63.48978930129875</v>
      </c>
      <c r="BE44" s="276">
        <f t="shared" si="30"/>
        <v>570.07187202605508</v>
      </c>
      <c r="BF44" s="277">
        <f t="shared" si="31"/>
        <v>23943.018625094319</v>
      </c>
      <c r="BG44" s="275">
        <f t="shared" si="5"/>
        <v>65.394482980337713</v>
      </c>
      <c r="BH44" s="276">
        <f t="shared" si="6"/>
        <v>587.17402818683672</v>
      </c>
      <c r="BI44" s="277">
        <f t="shared" si="7"/>
        <v>24661.309183847148</v>
      </c>
    </row>
    <row r="45" spans="1:61" ht="14.5" thickBot="1">
      <c r="A45" s="91">
        <v>210</v>
      </c>
      <c r="B45" s="82" t="s">
        <v>78</v>
      </c>
      <c r="C45" s="92">
        <v>15</v>
      </c>
      <c r="D45" s="86">
        <v>15</v>
      </c>
      <c r="E45" s="87">
        <v>630</v>
      </c>
      <c r="F45" s="149">
        <v>35.32</v>
      </c>
      <c r="G45" s="86">
        <v>35.32</v>
      </c>
      <c r="H45" s="87">
        <v>1483.44</v>
      </c>
      <c r="I45" s="89">
        <v>37.262599999999999</v>
      </c>
      <c r="J45" s="86">
        <v>37.262599999999999</v>
      </c>
      <c r="K45" s="87">
        <v>1565.0291999999999</v>
      </c>
      <c r="L45" s="89">
        <v>39.125729999999997</v>
      </c>
      <c r="M45" s="86">
        <v>39.125729999999997</v>
      </c>
      <c r="N45" s="87">
        <v>1643.2806599999999</v>
      </c>
      <c r="O45" s="89">
        <v>40.886387849999991</v>
      </c>
      <c r="P45" s="86">
        <v>40.886387849999991</v>
      </c>
      <c r="Q45" s="87">
        <v>1717.2282896999996</v>
      </c>
      <c r="R45" s="89">
        <v>63.55</v>
      </c>
      <c r="S45" s="86">
        <v>63.55</v>
      </c>
      <c r="T45" s="87">
        <v>2669.1</v>
      </c>
      <c r="U45" s="89">
        <v>66.091999999999999</v>
      </c>
      <c r="V45" s="86">
        <v>66.091999999999999</v>
      </c>
      <c r="W45" s="87">
        <v>2775.864</v>
      </c>
      <c r="X45" s="86">
        <v>68.725679999999997</v>
      </c>
      <c r="Y45" s="86">
        <v>68.725679999999997</v>
      </c>
      <c r="Z45" s="87">
        <v>2886.47856</v>
      </c>
      <c r="AA45" s="86">
        <v>72.161963999999998</v>
      </c>
      <c r="AB45" s="86">
        <v>72.161963999999998</v>
      </c>
      <c r="AC45" s="87">
        <v>3030.8024879999998</v>
      </c>
      <c r="AD45" s="86">
        <v>74.319999999999993</v>
      </c>
      <c r="AE45" s="90">
        <v>74.319999999999993</v>
      </c>
      <c r="AF45" s="87">
        <f t="shared" si="20"/>
        <v>3121.4399999999996</v>
      </c>
      <c r="AG45" s="86">
        <f t="shared" si="8"/>
        <v>76.549599999999998</v>
      </c>
      <c r="AH45" s="90">
        <f t="shared" si="8"/>
        <v>76.549599999999998</v>
      </c>
      <c r="AI45" s="87">
        <f t="shared" si="21"/>
        <v>3215.0832</v>
      </c>
      <c r="AJ45" s="86">
        <f t="shared" si="25"/>
        <v>78.846087999999995</v>
      </c>
      <c r="AK45" s="90">
        <f t="shared" si="25"/>
        <v>78.846087999999995</v>
      </c>
      <c r="AL45" s="87">
        <f t="shared" si="22"/>
        <v>3311.5356959999999</v>
      </c>
      <c r="AM45" s="256" t="s">
        <v>101</v>
      </c>
      <c r="AN45" s="278">
        <v>436.99245457000001</v>
      </c>
      <c r="AO45" s="279">
        <v>436.99245457000001</v>
      </c>
      <c r="AP45" s="280">
        <v>18353.683091940002</v>
      </c>
      <c r="AQ45" s="256" t="s">
        <v>101</v>
      </c>
      <c r="AR45" s="278">
        <f t="shared" si="10"/>
        <v>450.10222820710004</v>
      </c>
      <c r="AS45" s="279">
        <f t="shared" si="11"/>
        <v>450.10222820710004</v>
      </c>
      <c r="AT45" s="280">
        <f t="shared" si="12"/>
        <v>18904.293584698204</v>
      </c>
      <c r="AU45" s="278">
        <f t="shared" si="13"/>
        <v>463.60529505331306</v>
      </c>
      <c r="AV45" s="279">
        <f t="shared" si="14"/>
        <v>463.60529505331306</v>
      </c>
      <c r="AW45" s="280">
        <f t="shared" si="15"/>
        <v>19471.42239223915</v>
      </c>
      <c r="AX45" s="278">
        <f t="shared" si="16"/>
        <v>477.51345390491247</v>
      </c>
      <c r="AY45" s="279">
        <f t="shared" si="17"/>
        <v>477.51345390491247</v>
      </c>
      <c r="AZ45" s="280">
        <f t="shared" si="18"/>
        <v>20055.565064006325</v>
      </c>
      <c r="BA45" s="278">
        <f t="shared" si="26"/>
        <v>491.83885752205987</v>
      </c>
      <c r="BB45" s="279">
        <f t="shared" si="27"/>
        <v>491.83885752205987</v>
      </c>
      <c r="BC45" s="280">
        <f t="shared" si="28"/>
        <v>20657.232015926515</v>
      </c>
      <c r="BD45" s="278">
        <f t="shared" si="29"/>
        <v>506.59402324772168</v>
      </c>
      <c r="BE45" s="279">
        <f t="shared" si="30"/>
        <v>506.59402324772168</v>
      </c>
      <c r="BF45" s="280">
        <f t="shared" si="31"/>
        <v>21276.94897640431</v>
      </c>
      <c r="BG45" s="278">
        <f t="shared" si="5"/>
        <v>521.79184394515335</v>
      </c>
      <c r="BH45" s="279">
        <f t="shared" si="6"/>
        <v>521.79184394515335</v>
      </c>
      <c r="BI45" s="280">
        <f t="shared" si="7"/>
        <v>21915.257445696439</v>
      </c>
    </row>
    <row r="46" spans="1:61" ht="14">
      <c r="A46" s="91">
        <v>260</v>
      </c>
      <c r="B46" s="82" t="s">
        <v>81</v>
      </c>
      <c r="C46" s="92">
        <v>100</v>
      </c>
      <c r="D46" s="93">
        <v>100</v>
      </c>
      <c r="E46" s="94">
        <v>4200</v>
      </c>
      <c r="F46" s="106">
        <v>106.32</v>
      </c>
      <c r="G46" s="93">
        <v>106.32</v>
      </c>
      <c r="H46" s="94">
        <v>4465.4399999999996</v>
      </c>
      <c r="I46" s="96">
        <v>112.16759999999999</v>
      </c>
      <c r="J46" s="93">
        <v>112.16759999999999</v>
      </c>
      <c r="K46" s="94">
        <v>4711.0391999999993</v>
      </c>
      <c r="L46" s="96">
        <v>117.77598</v>
      </c>
      <c r="M46" s="93">
        <v>117.77598</v>
      </c>
      <c r="N46" s="94">
        <v>4946.5911599999999</v>
      </c>
      <c r="O46" s="96">
        <v>123.0758991</v>
      </c>
      <c r="P46" s="93">
        <v>123.0758991</v>
      </c>
      <c r="Q46" s="94">
        <v>5169.1877622000002</v>
      </c>
      <c r="R46" s="96">
        <v>123.0758991</v>
      </c>
      <c r="S46" s="93">
        <v>123.0758991</v>
      </c>
      <c r="T46" s="94">
        <v>5169.1877622000002</v>
      </c>
      <c r="U46" s="96">
        <v>127.99893506400001</v>
      </c>
      <c r="V46" s="93">
        <v>127.99893506400001</v>
      </c>
      <c r="W46" s="94">
        <v>5375.9552726880002</v>
      </c>
      <c r="X46" s="93">
        <v>133.11889246656003</v>
      </c>
      <c r="Y46" s="93">
        <v>133.11889246656003</v>
      </c>
      <c r="Z46" s="94">
        <v>5590.993483595521</v>
      </c>
      <c r="AA46" s="93">
        <v>139.78008708988804</v>
      </c>
      <c r="AB46" s="93">
        <v>139.78008708988804</v>
      </c>
      <c r="AC46" s="94">
        <v>5870.7636577752974</v>
      </c>
      <c r="AD46" s="93">
        <v>143.97</v>
      </c>
      <c r="AE46" s="97">
        <v>143.97</v>
      </c>
      <c r="AF46" s="94">
        <f t="shared" si="20"/>
        <v>6046.74</v>
      </c>
      <c r="AG46" s="93">
        <f t="shared" si="8"/>
        <v>148.28909999999999</v>
      </c>
      <c r="AH46" s="97">
        <f t="shared" si="8"/>
        <v>148.28909999999999</v>
      </c>
      <c r="AI46" s="94">
        <f t="shared" si="21"/>
        <v>6228.1421999999993</v>
      </c>
      <c r="AJ46" s="93">
        <f t="shared" si="25"/>
        <v>152.737773</v>
      </c>
      <c r="AK46" s="97">
        <f t="shared" si="25"/>
        <v>152.737773</v>
      </c>
      <c r="AL46" s="94">
        <f t="shared" si="22"/>
        <v>6414.9864660000003</v>
      </c>
      <c r="AM46" s="257" t="s">
        <v>78</v>
      </c>
      <c r="AN46" s="272">
        <v>81.211470640000002</v>
      </c>
      <c r="AO46" s="273">
        <v>81.211470640000002</v>
      </c>
      <c r="AP46" s="274">
        <v>3410.8817668800002</v>
      </c>
      <c r="AQ46" s="257" t="s">
        <v>78</v>
      </c>
      <c r="AR46" s="272">
        <f t="shared" si="10"/>
        <v>83.647814759200003</v>
      </c>
      <c r="AS46" s="273">
        <f t="shared" si="11"/>
        <v>83.647814759200003</v>
      </c>
      <c r="AT46" s="274">
        <f t="shared" si="12"/>
        <v>3513.2082198864005</v>
      </c>
      <c r="AU46" s="272">
        <f t="shared" si="13"/>
        <v>86.157249201976001</v>
      </c>
      <c r="AV46" s="273">
        <f t="shared" si="14"/>
        <v>86.157249201976001</v>
      </c>
      <c r="AW46" s="274">
        <f t="shared" si="15"/>
        <v>3618.6044664829924</v>
      </c>
      <c r="AX46" s="272">
        <f t="shared" si="16"/>
        <v>88.741966678035283</v>
      </c>
      <c r="AY46" s="273">
        <f t="shared" si="17"/>
        <v>88.741966678035283</v>
      </c>
      <c r="AZ46" s="274">
        <f t="shared" si="18"/>
        <v>3727.1626004774821</v>
      </c>
      <c r="BA46" s="272">
        <f t="shared" si="26"/>
        <v>91.404225678376349</v>
      </c>
      <c r="BB46" s="273">
        <f t="shared" si="27"/>
        <v>91.404225678376349</v>
      </c>
      <c r="BC46" s="274">
        <f t="shared" si="28"/>
        <v>3838.9774784918068</v>
      </c>
      <c r="BD46" s="272">
        <f t="shared" si="29"/>
        <v>94.14635244872764</v>
      </c>
      <c r="BE46" s="273">
        <f t="shared" si="30"/>
        <v>94.14635244872764</v>
      </c>
      <c r="BF46" s="274">
        <f t="shared" si="31"/>
        <v>3954.1468028465611</v>
      </c>
      <c r="BG46" s="272">
        <f t="shared" si="5"/>
        <v>96.970743022189467</v>
      </c>
      <c r="BH46" s="273">
        <f t="shared" si="6"/>
        <v>96.970743022189467</v>
      </c>
      <c r="BI46" s="274">
        <f t="shared" si="7"/>
        <v>4072.7712069319582</v>
      </c>
    </row>
    <row r="47" spans="1:61" ht="14">
      <c r="A47" s="98">
        <v>231</v>
      </c>
      <c r="B47" s="83" t="s">
        <v>83</v>
      </c>
      <c r="C47" s="99">
        <v>22.089552238805972</v>
      </c>
      <c r="D47" s="100">
        <v>122.09</v>
      </c>
      <c r="E47" s="101">
        <v>5127.78</v>
      </c>
      <c r="F47" s="99">
        <v>22.089552238805972</v>
      </c>
      <c r="G47" s="100">
        <v>128.40955223880596</v>
      </c>
      <c r="H47" s="101">
        <v>5393.2011940298498</v>
      </c>
      <c r="I47" s="99">
        <v>23.3044776119403</v>
      </c>
      <c r="J47" s="100">
        <v>135.47207761194028</v>
      </c>
      <c r="K47" s="101">
        <v>5689.827259701492</v>
      </c>
      <c r="L47" s="99">
        <v>24.469701492537315</v>
      </c>
      <c r="M47" s="100">
        <v>142.24568149253733</v>
      </c>
      <c r="N47" s="101">
        <v>5974.3186226865682</v>
      </c>
      <c r="O47" s="99">
        <v>25.570838059701494</v>
      </c>
      <c r="P47" s="100">
        <v>148.6467371597015</v>
      </c>
      <c r="Q47" s="101">
        <v>6243.1629607074628</v>
      </c>
      <c r="R47" s="99">
        <v>25.570838059701494</v>
      </c>
      <c r="S47" s="100">
        <v>148.6467371597015</v>
      </c>
      <c r="T47" s="101">
        <v>6243.1629607074628</v>
      </c>
      <c r="U47" s="99">
        <v>26.593671582089556</v>
      </c>
      <c r="V47" s="100">
        <v>154.59260664608956</v>
      </c>
      <c r="W47" s="101">
        <v>6492.8894791357616</v>
      </c>
      <c r="X47" s="100">
        <v>27.647418445373138</v>
      </c>
      <c r="Y47" s="100">
        <v>160.76631091193318</v>
      </c>
      <c r="Z47" s="101">
        <v>6752.1850583011937</v>
      </c>
      <c r="AA47" s="100">
        <v>29.029789367641797</v>
      </c>
      <c r="AB47" s="100">
        <v>168.80987645752984</v>
      </c>
      <c r="AC47" s="101">
        <v>7090.0148112162533</v>
      </c>
      <c r="AD47" s="100">
        <v>29.9</v>
      </c>
      <c r="AE47" s="97">
        <v>173.87</v>
      </c>
      <c r="AF47" s="101">
        <f t="shared" si="20"/>
        <v>7302.54</v>
      </c>
      <c r="AG47" s="100">
        <f t="shared" si="8"/>
        <v>30.797000000000001</v>
      </c>
      <c r="AH47" s="97">
        <f t="shared" si="8"/>
        <v>179.08610000000002</v>
      </c>
      <c r="AI47" s="101">
        <f t="shared" si="21"/>
        <v>7521.6162000000004</v>
      </c>
      <c r="AJ47" s="100">
        <f t="shared" si="25"/>
        <v>31.72091</v>
      </c>
      <c r="AK47" s="97">
        <f t="shared" si="25"/>
        <v>184.45868300000001</v>
      </c>
      <c r="AL47" s="101">
        <f t="shared" si="22"/>
        <v>7747.2646860000004</v>
      </c>
      <c r="AM47" s="257" t="s">
        <v>81</v>
      </c>
      <c r="AN47" s="275">
        <v>157.31990619000001</v>
      </c>
      <c r="AO47" s="276">
        <v>157.31990619000001</v>
      </c>
      <c r="AP47" s="277">
        <v>6607.4360599800002</v>
      </c>
      <c r="AQ47" s="257" t="s">
        <v>81</v>
      </c>
      <c r="AR47" s="275">
        <f t="shared" si="10"/>
        <v>162.03950337570001</v>
      </c>
      <c r="AS47" s="276">
        <f t="shared" si="11"/>
        <v>162.03950337570001</v>
      </c>
      <c r="AT47" s="277">
        <f t="shared" si="12"/>
        <v>6805.6591417794007</v>
      </c>
      <c r="AU47" s="275">
        <f t="shared" si="13"/>
        <v>166.900688476971</v>
      </c>
      <c r="AV47" s="276">
        <f t="shared" si="14"/>
        <v>166.900688476971</v>
      </c>
      <c r="AW47" s="277">
        <f t="shared" si="15"/>
        <v>7009.8289160327831</v>
      </c>
      <c r="AX47" s="275">
        <f t="shared" si="16"/>
        <v>171.90770913128014</v>
      </c>
      <c r="AY47" s="276">
        <f t="shared" si="17"/>
        <v>171.90770913128014</v>
      </c>
      <c r="AZ47" s="277">
        <f t="shared" si="18"/>
        <v>7220.1237835137672</v>
      </c>
      <c r="BA47" s="275">
        <f t="shared" si="26"/>
        <v>177.06494040521855</v>
      </c>
      <c r="BB47" s="276">
        <f t="shared" si="27"/>
        <v>177.06494040521855</v>
      </c>
      <c r="BC47" s="277">
        <f t="shared" si="28"/>
        <v>7436.7274970191802</v>
      </c>
      <c r="BD47" s="275">
        <f t="shared" si="29"/>
        <v>182.3768886173751</v>
      </c>
      <c r="BE47" s="276">
        <f t="shared" si="30"/>
        <v>182.3768886173751</v>
      </c>
      <c r="BF47" s="277">
        <f t="shared" si="31"/>
        <v>7659.8293219297557</v>
      </c>
      <c r="BG47" s="275">
        <f t="shared" si="5"/>
        <v>187.84819527589636</v>
      </c>
      <c r="BH47" s="276">
        <f t="shared" si="6"/>
        <v>187.84819527589636</v>
      </c>
      <c r="BI47" s="277">
        <f t="shared" si="7"/>
        <v>7889.6242015876487</v>
      </c>
    </row>
    <row r="48" spans="1:61" ht="14">
      <c r="A48" s="91">
        <v>221</v>
      </c>
      <c r="B48" s="82" t="s">
        <v>84</v>
      </c>
      <c r="C48" s="92">
        <v>40</v>
      </c>
      <c r="D48" s="93">
        <v>140</v>
      </c>
      <c r="E48" s="94">
        <v>5880</v>
      </c>
      <c r="F48" s="106">
        <v>40</v>
      </c>
      <c r="G48" s="93">
        <v>146.32</v>
      </c>
      <c r="H48" s="94">
        <v>6145.44</v>
      </c>
      <c r="I48" s="96">
        <v>42.2</v>
      </c>
      <c r="J48" s="93">
        <v>154.36759999999998</v>
      </c>
      <c r="K48" s="94">
        <v>6483.4391999999989</v>
      </c>
      <c r="L48" s="96">
        <v>44.31</v>
      </c>
      <c r="M48" s="93">
        <v>162.08598000000001</v>
      </c>
      <c r="N48" s="94">
        <v>6807.6111600000004</v>
      </c>
      <c r="O48" s="96">
        <v>46.30395</v>
      </c>
      <c r="P48" s="93">
        <v>169.3798491</v>
      </c>
      <c r="Q48" s="94">
        <v>7113.9536621999996</v>
      </c>
      <c r="R48" s="96">
        <v>46.30395</v>
      </c>
      <c r="S48" s="93">
        <v>169.3798491</v>
      </c>
      <c r="T48" s="94">
        <v>7113.9536621999996</v>
      </c>
      <c r="U48" s="96">
        <v>48.156108000000003</v>
      </c>
      <c r="V48" s="93">
        <v>176.15504306400001</v>
      </c>
      <c r="W48" s="94">
        <v>7398.5118086880002</v>
      </c>
      <c r="X48" s="93">
        <v>50.092352320000003</v>
      </c>
      <c r="Y48" s="93">
        <v>183.21124478656003</v>
      </c>
      <c r="Z48" s="94">
        <v>7694.8722810355212</v>
      </c>
      <c r="AA48" s="93">
        <v>52.58696993600001</v>
      </c>
      <c r="AB48" s="93">
        <v>192.36705702588804</v>
      </c>
      <c r="AC48" s="94">
        <v>8079.416395087298</v>
      </c>
      <c r="AD48" s="93">
        <v>54.17</v>
      </c>
      <c r="AE48" s="97">
        <v>198.14</v>
      </c>
      <c r="AF48" s="94">
        <f t="shared" si="20"/>
        <v>8321.8799999999992</v>
      </c>
      <c r="AG48" s="93">
        <f>AD48*(1+$AI$2)-0.01</f>
        <v>55.785100000000007</v>
      </c>
      <c r="AH48" s="97">
        <f>AE48*(1+$AI$2)</f>
        <v>204.08419999999998</v>
      </c>
      <c r="AI48" s="94">
        <f t="shared" si="21"/>
        <v>8571.536399999999</v>
      </c>
      <c r="AJ48" s="93">
        <f>AG48*(1+$AI$2)-0.01</f>
        <v>57.448653000000007</v>
      </c>
      <c r="AK48" s="97">
        <f>AH48*(1+$AI$2)-0.02</f>
        <v>210.18672599999996</v>
      </c>
      <c r="AL48" s="94">
        <f t="shared" si="22"/>
        <v>8827.8424919999979</v>
      </c>
      <c r="AM48" s="257" t="s">
        <v>83</v>
      </c>
      <c r="AN48" s="275">
        <v>32.672537300000002</v>
      </c>
      <c r="AO48" s="276">
        <v>189.99244349</v>
      </c>
      <c r="AP48" s="277">
        <v>7979.6826265800009</v>
      </c>
      <c r="AQ48" s="257" t="s">
        <v>83</v>
      </c>
      <c r="AR48" s="275">
        <f t="shared" si="10"/>
        <v>33.652713419000001</v>
      </c>
      <c r="AS48" s="276">
        <f t="shared" si="11"/>
        <v>195.69221679470002</v>
      </c>
      <c r="AT48" s="277">
        <f t="shared" si="12"/>
        <v>8219.0731053774016</v>
      </c>
      <c r="AU48" s="275">
        <f t="shared" si="13"/>
        <v>34.662294821570001</v>
      </c>
      <c r="AV48" s="276">
        <f t="shared" si="14"/>
        <v>201.56298329854101</v>
      </c>
      <c r="AW48" s="277">
        <f t="shared" si="15"/>
        <v>8465.6452985387241</v>
      </c>
      <c r="AX48" s="275">
        <f t="shared" si="16"/>
        <v>35.702163666217103</v>
      </c>
      <c r="AY48" s="276">
        <f t="shared" si="17"/>
        <v>207.60987279749725</v>
      </c>
      <c r="AZ48" s="277">
        <f t="shared" si="18"/>
        <v>8719.6146574948853</v>
      </c>
      <c r="BA48" s="275">
        <f t="shared" si="26"/>
        <v>36.773228576203614</v>
      </c>
      <c r="BB48" s="276">
        <f t="shared" si="27"/>
        <v>213.83816898142217</v>
      </c>
      <c r="BC48" s="277">
        <f t="shared" si="28"/>
        <v>8981.2030972197317</v>
      </c>
      <c r="BD48" s="275">
        <f t="shared" si="29"/>
        <v>37.876425433489722</v>
      </c>
      <c r="BE48" s="276">
        <f t="shared" si="30"/>
        <v>220.25331405086484</v>
      </c>
      <c r="BF48" s="277">
        <f t="shared" si="31"/>
        <v>9250.639190136324</v>
      </c>
      <c r="BG48" s="275">
        <f t="shared" si="5"/>
        <v>39.012718196494411</v>
      </c>
      <c r="BH48" s="276">
        <f t="shared" si="6"/>
        <v>226.86091347239079</v>
      </c>
      <c r="BI48" s="277">
        <f t="shared" si="7"/>
        <v>9528.1583658404143</v>
      </c>
    </row>
    <row r="49" spans="1:61" ht="14">
      <c r="A49" s="91">
        <v>245</v>
      </c>
      <c r="B49" s="82" t="s">
        <v>102</v>
      </c>
      <c r="C49" s="92">
        <v>70</v>
      </c>
      <c r="D49" s="93">
        <v>210</v>
      </c>
      <c r="E49" s="94">
        <v>8820</v>
      </c>
      <c r="F49" s="106">
        <v>84</v>
      </c>
      <c r="G49" s="93">
        <v>230.32</v>
      </c>
      <c r="H49" s="94">
        <v>9673.44</v>
      </c>
      <c r="I49" s="96">
        <v>88.62</v>
      </c>
      <c r="J49" s="93">
        <v>242.98759999999999</v>
      </c>
      <c r="K49" s="94">
        <v>10205.4792</v>
      </c>
      <c r="L49" s="96">
        <v>93.051000000000002</v>
      </c>
      <c r="M49" s="93">
        <v>255.13697999999999</v>
      </c>
      <c r="N49" s="94">
        <v>10715.75316</v>
      </c>
      <c r="O49" s="96">
        <v>97.238294999999994</v>
      </c>
      <c r="P49" s="93">
        <v>266.61814409999999</v>
      </c>
      <c r="Q49" s="94">
        <v>11197.9620522</v>
      </c>
      <c r="R49" s="96">
        <v>97.238294999999994</v>
      </c>
      <c r="S49" s="93">
        <v>266.61814409999999</v>
      </c>
      <c r="T49" s="94">
        <v>11197.9620522</v>
      </c>
      <c r="U49" s="96">
        <v>101.11782679999999</v>
      </c>
      <c r="V49" s="93">
        <v>277.27286986399997</v>
      </c>
      <c r="W49" s="94">
        <v>11645.460534287999</v>
      </c>
      <c r="X49" s="93">
        <v>105.15253987199999</v>
      </c>
      <c r="Y49" s="93">
        <v>288.36378465856001</v>
      </c>
      <c r="Z49" s="94">
        <v>12111.27895565952</v>
      </c>
      <c r="AA49" s="93">
        <v>110.41016686559999</v>
      </c>
      <c r="AB49" s="93">
        <v>302.77722389148801</v>
      </c>
      <c r="AC49" s="94">
        <v>12716.643403442496</v>
      </c>
      <c r="AD49" s="93">
        <v>113.72</v>
      </c>
      <c r="AE49" s="97">
        <v>311.86</v>
      </c>
      <c r="AF49" s="94">
        <f t="shared" si="20"/>
        <v>13098.12</v>
      </c>
      <c r="AG49" s="93">
        <f>AD49*(1+$AI$2)+0.01</f>
        <v>117.14160000000001</v>
      </c>
      <c r="AH49" s="97">
        <f>AH48+AG49</f>
        <v>321.22579999999999</v>
      </c>
      <c r="AI49" s="94">
        <f t="shared" si="21"/>
        <v>13491.4836</v>
      </c>
      <c r="AJ49" s="93">
        <f>AG49*(1+$AI$2)+0.02</f>
        <v>120.67584800000002</v>
      </c>
      <c r="AK49" s="97">
        <f>AK48+AJ49</f>
        <v>330.862574</v>
      </c>
      <c r="AL49" s="94">
        <f t="shared" si="22"/>
        <v>13896.228107999999</v>
      </c>
      <c r="AM49" s="257" t="s">
        <v>84</v>
      </c>
      <c r="AN49" s="275">
        <v>59.172112590000012</v>
      </c>
      <c r="AO49" s="276">
        <v>216.49232777999998</v>
      </c>
      <c r="AP49" s="277">
        <v>9092.6777667599981</v>
      </c>
      <c r="AQ49" s="257" t="s">
        <v>84</v>
      </c>
      <c r="AR49" s="275">
        <f t="shared" si="10"/>
        <v>60.947275967700016</v>
      </c>
      <c r="AS49" s="276">
        <f t="shared" si="11"/>
        <v>222.98709761339998</v>
      </c>
      <c r="AT49" s="277">
        <f t="shared" si="12"/>
        <v>9365.4580997627982</v>
      </c>
      <c r="AU49" s="275">
        <f t="shared" si="13"/>
        <v>62.775694246731021</v>
      </c>
      <c r="AV49" s="276">
        <f t="shared" si="14"/>
        <v>229.67671054180198</v>
      </c>
      <c r="AW49" s="277">
        <f t="shared" si="15"/>
        <v>9646.4218427556825</v>
      </c>
      <c r="AX49" s="275">
        <f t="shared" si="16"/>
        <v>64.658965074132951</v>
      </c>
      <c r="AY49" s="276">
        <f t="shared" si="17"/>
        <v>236.56701185805605</v>
      </c>
      <c r="AZ49" s="277">
        <f t="shared" si="18"/>
        <v>9935.8144980383531</v>
      </c>
      <c r="BA49" s="275">
        <f t="shared" si="26"/>
        <v>66.598734026356937</v>
      </c>
      <c r="BB49" s="276">
        <f t="shared" si="27"/>
        <v>243.66402221379775</v>
      </c>
      <c r="BC49" s="277">
        <f t="shared" si="28"/>
        <v>10233.888932979504</v>
      </c>
      <c r="BD49" s="275">
        <f t="shared" si="29"/>
        <v>68.596696047147645</v>
      </c>
      <c r="BE49" s="276">
        <f t="shared" si="30"/>
        <v>250.97394288021169</v>
      </c>
      <c r="BF49" s="277">
        <f t="shared" si="31"/>
        <v>10540.905600968888</v>
      </c>
      <c r="BG49" s="275">
        <f t="shared" si="5"/>
        <v>70.654596928562071</v>
      </c>
      <c r="BH49" s="276">
        <f t="shared" si="6"/>
        <v>258.50316116661804</v>
      </c>
      <c r="BI49" s="277">
        <f t="shared" si="7"/>
        <v>10857.132768997955</v>
      </c>
    </row>
    <row r="50" spans="1:61" ht="14.5" thickBot="1">
      <c r="A50" s="134">
        <v>251</v>
      </c>
      <c r="B50" s="135" t="s">
        <v>103</v>
      </c>
      <c r="C50" s="136">
        <v>70</v>
      </c>
      <c r="D50" s="137">
        <v>162.09</v>
      </c>
      <c r="E50" s="138">
        <v>6807.78</v>
      </c>
      <c r="F50" s="139">
        <v>84</v>
      </c>
      <c r="G50" s="137">
        <v>230.32</v>
      </c>
      <c r="H50" s="138">
        <v>9673.44</v>
      </c>
      <c r="I50" s="143">
        <v>88.62</v>
      </c>
      <c r="J50" s="137">
        <v>242.98759999999999</v>
      </c>
      <c r="K50" s="138">
        <v>10205.4792</v>
      </c>
      <c r="L50" s="143">
        <v>93.051000000000002</v>
      </c>
      <c r="M50" s="137">
        <v>255.13697999999999</v>
      </c>
      <c r="N50" s="138">
        <v>10715.75316</v>
      </c>
      <c r="O50" s="143">
        <v>97.238294999999994</v>
      </c>
      <c r="P50" s="137">
        <v>266.61814409999999</v>
      </c>
      <c r="Q50" s="138">
        <v>11197.9620522</v>
      </c>
      <c r="R50" s="143">
        <v>97.238294999999994</v>
      </c>
      <c r="S50" s="137">
        <v>266.61814409999999</v>
      </c>
      <c r="T50" s="138">
        <v>11197.9620522</v>
      </c>
      <c r="U50" s="143">
        <v>101.11782679999999</v>
      </c>
      <c r="V50" s="137">
        <v>277.27286986399997</v>
      </c>
      <c r="W50" s="138">
        <v>11645.460534287999</v>
      </c>
      <c r="X50" s="137">
        <v>105.15253987199999</v>
      </c>
      <c r="Y50" s="137">
        <v>288.36378465856001</v>
      </c>
      <c r="Z50" s="138">
        <v>12111.27895565952</v>
      </c>
      <c r="AA50" s="137">
        <v>110.41016686559999</v>
      </c>
      <c r="AB50" s="137">
        <v>302.77722389148801</v>
      </c>
      <c r="AC50" s="138">
        <v>12716.643403442496</v>
      </c>
      <c r="AD50" s="137">
        <v>113.72</v>
      </c>
      <c r="AE50" s="140">
        <v>311.86</v>
      </c>
      <c r="AF50" s="138">
        <f t="shared" si="20"/>
        <v>13098.12</v>
      </c>
      <c r="AG50" s="137">
        <f>AD50*(1+$AI$2)+0.01</f>
        <v>117.14160000000001</v>
      </c>
      <c r="AH50" s="140">
        <f>AH48+AG50</f>
        <v>321.22579999999999</v>
      </c>
      <c r="AI50" s="138">
        <f t="shared" si="21"/>
        <v>13491.4836</v>
      </c>
      <c r="AJ50" s="137">
        <f>AG50*(1+$AI$2)+0.02</f>
        <v>120.67584800000002</v>
      </c>
      <c r="AK50" s="140">
        <f>AK48+AJ50</f>
        <v>330.862574</v>
      </c>
      <c r="AL50" s="138">
        <f t="shared" si="22"/>
        <v>13896.228107999999</v>
      </c>
      <c r="AM50" s="257" t="s">
        <v>102</v>
      </c>
      <c r="AN50" s="275">
        <v>124.29612344000002</v>
      </c>
      <c r="AO50" s="276">
        <v>340.78845122000001</v>
      </c>
      <c r="AP50" s="277">
        <v>14313.114951239999</v>
      </c>
      <c r="AQ50" s="257" t="s">
        <v>102</v>
      </c>
      <c r="AR50" s="275">
        <f t="shared" si="10"/>
        <v>128.02500714320001</v>
      </c>
      <c r="AS50" s="276">
        <f t="shared" si="11"/>
        <v>351.01210475660002</v>
      </c>
      <c r="AT50" s="277">
        <f t="shared" si="12"/>
        <v>14742.5083997772</v>
      </c>
      <c r="AU50" s="275">
        <f t="shared" si="13"/>
        <v>131.86575735749602</v>
      </c>
      <c r="AV50" s="276">
        <f t="shared" si="14"/>
        <v>361.54246789929806</v>
      </c>
      <c r="AW50" s="277">
        <f t="shared" si="15"/>
        <v>15184.783651770516</v>
      </c>
      <c r="AX50" s="275">
        <f t="shared" si="16"/>
        <v>135.8217300782209</v>
      </c>
      <c r="AY50" s="276">
        <f t="shared" si="17"/>
        <v>372.38874193627703</v>
      </c>
      <c r="AZ50" s="277">
        <f t="shared" si="18"/>
        <v>15640.327161323632</v>
      </c>
      <c r="BA50" s="275">
        <f t="shared" si="26"/>
        <v>139.89638198056753</v>
      </c>
      <c r="BB50" s="276">
        <f t="shared" si="27"/>
        <v>383.56040419436533</v>
      </c>
      <c r="BC50" s="277">
        <f t="shared" si="28"/>
        <v>16109.536976163341</v>
      </c>
      <c r="BD50" s="275">
        <f t="shared" si="29"/>
        <v>144.09327343998456</v>
      </c>
      <c r="BE50" s="276">
        <f t="shared" si="30"/>
        <v>395.06721632019628</v>
      </c>
      <c r="BF50" s="277">
        <f t="shared" si="31"/>
        <v>16592.823085448243</v>
      </c>
      <c r="BG50" s="275">
        <f t="shared" si="5"/>
        <v>148.4160716431841</v>
      </c>
      <c r="BH50" s="276">
        <f t="shared" si="6"/>
        <v>406.91923280980217</v>
      </c>
      <c r="BI50" s="277">
        <f t="shared" si="7"/>
        <v>17090.60777801169</v>
      </c>
    </row>
    <row r="51" spans="1:61" ht="14.5" thickBot="1">
      <c r="A51" s="84">
        <v>210</v>
      </c>
      <c r="B51" s="81" t="s">
        <v>78</v>
      </c>
      <c r="C51" s="85">
        <v>15</v>
      </c>
      <c r="D51" s="86">
        <v>15</v>
      </c>
      <c r="E51" s="87">
        <v>630</v>
      </c>
      <c r="F51" s="88">
        <v>35.32</v>
      </c>
      <c r="G51" s="86">
        <v>35.32</v>
      </c>
      <c r="H51" s="87">
        <v>1483.44</v>
      </c>
      <c r="I51" s="89">
        <v>37.262599999999999</v>
      </c>
      <c r="J51" s="86">
        <v>37.262599999999999</v>
      </c>
      <c r="K51" s="87">
        <v>1565.0291999999999</v>
      </c>
      <c r="L51" s="89">
        <v>39.125729999999997</v>
      </c>
      <c r="M51" s="86">
        <v>39.125729999999997</v>
      </c>
      <c r="N51" s="87">
        <v>1643.2806599999999</v>
      </c>
      <c r="O51" s="89">
        <v>40.886387849999991</v>
      </c>
      <c r="P51" s="86">
        <v>40.886387849999991</v>
      </c>
      <c r="Q51" s="87">
        <v>1717.2282896999996</v>
      </c>
      <c r="R51" s="86">
        <v>63.55</v>
      </c>
      <c r="S51" s="86">
        <v>63.55</v>
      </c>
      <c r="T51" s="86">
        <v>2669.1</v>
      </c>
      <c r="U51" s="89">
        <v>66.091999999999999</v>
      </c>
      <c r="V51" s="86">
        <v>66.091999999999999</v>
      </c>
      <c r="W51" s="87">
        <v>2775.864</v>
      </c>
      <c r="X51" s="86">
        <v>68.725679999999997</v>
      </c>
      <c r="Y51" s="86">
        <v>68.725679999999997</v>
      </c>
      <c r="Z51" s="86">
        <v>2886.47856</v>
      </c>
      <c r="AA51" s="89">
        <v>72.161963999999998</v>
      </c>
      <c r="AB51" s="86">
        <v>72.161963999999998</v>
      </c>
      <c r="AC51" s="87">
        <v>3030.8024879999998</v>
      </c>
      <c r="AD51" s="89">
        <v>74.319999999999993</v>
      </c>
      <c r="AE51" s="90">
        <v>74.319999999999993</v>
      </c>
      <c r="AF51" s="87">
        <f t="shared" si="20"/>
        <v>3121.4399999999996</v>
      </c>
      <c r="AG51" s="86">
        <f t="shared" ref="AG51:AH54" si="32">AD51*(1+$AI$2)</f>
        <v>76.549599999999998</v>
      </c>
      <c r="AH51" s="90">
        <f t="shared" si="32"/>
        <v>76.549599999999998</v>
      </c>
      <c r="AI51" s="87">
        <f t="shared" si="21"/>
        <v>3215.0832</v>
      </c>
      <c r="AJ51" s="86">
        <f t="shared" ref="AJ51:AK53" si="33">AG51*(1+$AI$2)</f>
        <v>78.846087999999995</v>
      </c>
      <c r="AK51" s="90">
        <f t="shared" si="33"/>
        <v>78.846087999999995</v>
      </c>
      <c r="AL51" s="87">
        <f t="shared" si="22"/>
        <v>3311.5356959999999</v>
      </c>
      <c r="AM51" s="256" t="s">
        <v>103</v>
      </c>
      <c r="AN51" s="278">
        <v>124.29612344000002</v>
      </c>
      <c r="AO51" s="281">
        <v>340.78845122000001</v>
      </c>
      <c r="AP51" s="280">
        <v>14313.114951239999</v>
      </c>
      <c r="AQ51" s="256" t="s">
        <v>103</v>
      </c>
      <c r="AR51" s="278">
        <f t="shared" si="10"/>
        <v>128.02500714320001</v>
      </c>
      <c r="AS51" s="281">
        <f t="shared" si="11"/>
        <v>351.01210475660002</v>
      </c>
      <c r="AT51" s="280">
        <f t="shared" si="12"/>
        <v>14742.5083997772</v>
      </c>
      <c r="AU51" s="278">
        <f t="shared" si="13"/>
        <v>131.86575735749602</v>
      </c>
      <c r="AV51" s="281">
        <f t="shared" si="14"/>
        <v>361.54246789929806</v>
      </c>
      <c r="AW51" s="280">
        <f t="shared" si="15"/>
        <v>15184.783651770516</v>
      </c>
      <c r="AX51" s="278">
        <f t="shared" si="16"/>
        <v>135.8217300782209</v>
      </c>
      <c r="AY51" s="281">
        <f t="shared" si="17"/>
        <v>372.38874193627703</v>
      </c>
      <c r="AZ51" s="280">
        <f t="shared" si="18"/>
        <v>15640.327161323632</v>
      </c>
      <c r="BA51" s="278">
        <f t="shared" si="26"/>
        <v>139.89638198056753</v>
      </c>
      <c r="BB51" s="281">
        <f t="shared" si="27"/>
        <v>383.56040419436533</v>
      </c>
      <c r="BC51" s="280">
        <f t="shared" si="28"/>
        <v>16109.536976163341</v>
      </c>
      <c r="BD51" s="278">
        <f t="shared" si="29"/>
        <v>144.09327343998456</v>
      </c>
      <c r="BE51" s="281">
        <f t="shared" si="30"/>
        <v>395.06721632019628</v>
      </c>
      <c r="BF51" s="280">
        <f t="shared" si="31"/>
        <v>16592.823085448243</v>
      </c>
      <c r="BG51" s="278">
        <f t="shared" si="5"/>
        <v>148.4160716431841</v>
      </c>
      <c r="BH51" s="281">
        <f t="shared" si="6"/>
        <v>406.91923280980217</v>
      </c>
      <c r="BI51" s="280">
        <f t="shared" si="7"/>
        <v>17090.60777801169</v>
      </c>
    </row>
    <row r="52" spans="1:61" ht="14">
      <c r="A52" s="91">
        <v>260</v>
      </c>
      <c r="B52" s="82" t="s">
        <v>81</v>
      </c>
      <c r="C52" s="92">
        <v>100</v>
      </c>
      <c r="D52" s="93">
        <v>100</v>
      </c>
      <c r="E52" s="94">
        <v>4200</v>
      </c>
      <c r="F52" s="95">
        <v>106.32</v>
      </c>
      <c r="G52" s="93">
        <v>106.32</v>
      </c>
      <c r="H52" s="94">
        <v>4465.4399999999996</v>
      </c>
      <c r="I52" s="96">
        <v>112.16759999999999</v>
      </c>
      <c r="J52" s="93">
        <v>112.16759999999999</v>
      </c>
      <c r="K52" s="94">
        <v>4711.0391999999993</v>
      </c>
      <c r="L52" s="96">
        <v>117.77598</v>
      </c>
      <c r="M52" s="93">
        <v>117.77598</v>
      </c>
      <c r="N52" s="94">
        <v>4946.5911599999999</v>
      </c>
      <c r="O52" s="96">
        <v>123.0758991</v>
      </c>
      <c r="P52" s="93">
        <v>123.0758991</v>
      </c>
      <c r="Q52" s="94">
        <v>5169.1877622000002</v>
      </c>
      <c r="R52" s="93">
        <v>123.0758991</v>
      </c>
      <c r="S52" s="93">
        <v>123.0758991</v>
      </c>
      <c r="T52" s="93">
        <v>5169.1877622000002</v>
      </c>
      <c r="U52" s="96">
        <v>127.99893506400001</v>
      </c>
      <c r="V52" s="93">
        <v>127.99893506400001</v>
      </c>
      <c r="W52" s="94">
        <v>5375.9552726880002</v>
      </c>
      <c r="X52" s="93">
        <v>133.11889246656003</v>
      </c>
      <c r="Y52" s="93">
        <v>133.11889246656003</v>
      </c>
      <c r="Z52" s="93">
        <v>5590.993483595521</v>
      </c>
      <c r="AA52" s="96">
        <v>139.78008708988804</v>
      </c>
      <c r="AB52" s="93">
        <v>139.78008708988804</v>
      </c>
      <c r="AC52" s="94">
        <v>5870.7636577752974</v>
      </c>
      <c r="AD52" s="96">
        <v>143.97</v>
      </c>
      <c r="AE52" s="97">
        <v>143.97</v>
      </c>
      <c r="AF52" s="94">
        <f t="shared" si="20"/>
        <v>6046.74</v>
      </c>
      <c r="AG52" s="93">
        <f t="shared" si="32"/>
        <v>148.28909999999999</v>
      </c>
      <c r="AH52" s="97">
        <f t="shared" si="32"/>
        <v>148.28909999999999</v>
      </c>
      <c r="AI52" s="94">
        <f t="shared" si="21"/>
        <v>6228.1421999999993</v>
      </c>
      <c r="AJ52" s="93">
        <f t="shared" si="33"/>
        <v>152.737773</v>
      </c>
      <c r="AK52" s="97">
        <f t="shared" si="33"/>
        <v>152.737773</v>
      </c>
      <c r="AL52" s="94">
        <f t="shared" si="22"/>
        <v>6414.9864660000003</v>
      </c>
      <c r="AM52" s="260" t="s">
        <v>78</v>
      </c>
      <c r="AN52" s="272">
        <v>81.211470640000002</v>
      </c>
      <c r="AO52" s="273">
        <v>81.211470640000002</v>
      </c>
      <c r="AP52" s="274">
        <v>3410.8817668800002</v>
      </c>
      <c r="AQ52" s="260" t="s">
        <v>78</v>
      </c>
      <c r="AR52" s="272">
        <f t="shared" si="10"/>
        <v>83.647814759200003</v>
      </c>
      <c r="AS52" s="273">
        <f t="shared" si="11"/>
        <v>83.647814759200003</v>
      </c>
      <c r="AT52" s="274">
        <f t="shared" si="12"/>
        <v>3513.2082198864005</v>
      </c>
      <c r="AU52" s="272">
        <f t="shared" si="13"/>
        <v>86.157249201976001</v>
      </c>
      <c r="AV52" s="273">
        <f t="shared" si="14"/>
        <v>86.157249201976001</v>
      </c>
      <c r="AW52" s="274">
        <f t="shared" si="15"/>
        <v>3618.6044664829924</v>
      </c>
      <c r="AX52" s="272">
        <f t="shared" si="16"/>
        <v>88.741966678035283</v>
      </c>
      <c r="AY52" s="273">
        <f t="shared" si="17"/>
        <v>88.741966678035283</v>
      </c>
      <c r="AZ52" s="274">
        <f t="shared" si="18"/>
        <v>3727.1626004774821</v>
      </c>
      <c r="BA52" s="272">
        <f t="shared" si="26"/>
        <v>91.404225678376349</v>
      </c>
      <c r="BB52" s="273">
        <f t="shared" si="27"/>
        <v>91.404225678376349</v>
      </c>
      <c r="BC52" s="274">
        <f t="shared" si="28"/>
        <v>3838.9774784918068</v>
      </c>
      <c r="BD52" s="272">
        <f t="shared" si="29"/>
        <v>94.14635244872764</v>
      </c>
      <c r="BE52" s="273">
        <f t="shared" si="30"/>
        <v>94.14635244872764</v>
      </c>
      <c r="BF52" s="274">
        <f t="shared" si="31"/>
        <v>3954.1468028465611</v>
      </c>
      <c r="BG52" s="272">
        <f t="shared" si="5"/>
        <v>96.970743022189467</v>
      </c>
      <c r="BH52" s="273">
        <f t="shared" si="6"/>
        <v>96.970743022189467</v>
      </c>
      <c r="BI52" s="274">
        <f t="shared" si="7"/>
        <v>4072.7712069319582</v>
      </c>
    </row>
    <row r="53" spans="1:61" ht="14">
      <c r="A53" s="98">
        <v>231</v>
      </c>
      <c r="B53" s="83" t="s">
        <v>83</v>
      </c>
      <c r="C53" s="99">
        <v>22.089552238805972</v>
      </c>
      <c r="D53" s="100">
        <v>122.09</v>
      </c>
      <c r="E53" s="101">
        <v>5127.78</v>
      </c>
      <c r="F53" s="99">
        <v>22.089552238805972</v>
      </c>
      <c r="G53" s="100">
        <v>128.40955223880596</v>
      </c>
      <c r="H53" s="101">
        <v>5393.2011940298498</v>
      </c>
      <c r="I53" s="99">
        <v>23.3044776119403</v>
      </c>
      <c r="J53" s="100">
        <v>135.47207761194028</v>
      </c>
      <c r="K53" s="101">
        <v>5689.827259701492</v>
      </c>
      <c r="L53" s="99">
        <v>24.469701492537315</v>
      </c>
      <c r="M53" s="100">
        <v>142.24568149253733</v>
      </c>
      <c r="N53" s="101">
        <v>5974.3186226865682</v>
      </c>
      <c r="O53" s="99">
        <v>25.570838059701494</v>
      </c>
      <c r="P53" s="100">
        <v>148.6467371597015</v>
      </c>
      <c r="Q53" s="101">
        <v>6243.1629607074628</v>
      </c>
      <c r="R53" s="100">
        <v>25.570838059701494</v>
      </c>
      <c r="S53" s="100">
        <v>148.6467371597015</v>
      </c>
      <c r="T53" s="100">
        <v>6243.1629607074628</v>
      </c>
      <c r="U53" s="99">
        <v>26.593671582089556</v>
      </c>
      <c r="V53" s="100">
        <v>154.59260664608956</v>
      </c>
      <c r="W53" s="101">
        <v>6492.8894791357616</v>
      </c>
      <c r="X53" s="100">
        <v>27.647418445373138</v>
      </c>
      <c r="Y53" s="100">
        <v>160.76631091193318</v>
      </c>
      <c r="Z53" s="100">
        <v>6752.1850583011937</v>
      </c>
      <c r="AA53" s="99">
        <v>29.029789367641797</v>
      </c>
      <c r="AB53" s="100">
        <v>168.80987645752984</v>
      </c>
      <c r="AC53" s="101">
        <v>7090.0148112162533</v>
      </c>
      <c r="AD53" s="99">
        <v>29.9</v>
      </c>
      <c r="AE53" s="97">
        <v>173.87</v>
      </c>
      <c r="AF53" s="101">
        <f t="shared" si="20"/>
        <v>7302.54</v>
      </c>
      <c r="AG53" s="100">
        <f t="shared" si="32"/>
        <v>30.797000000000001</v>
      </c>
      <c r="AH53" s="97">
        <f t="shared" si="32"/>
        <v>179.08610000000002</v>
      </c>
      <c r="AI53" s="101">
        <f t="shared" si="21"/>
        <v>7521.6162000000004</v>
      </c>
      <c r="AJ53" s="100">
        <f t="shared" si="33"/>
        <v>31.72091</v>
      </c>
      <c r="AK53" s="97">
        <f t="shared" si="33"/>
        <v>184.45868300000001</v>
      </c>
      <c r="AL53" s="101">
        <f t="shared" si="22"/>
        <v>7747.2646860000004</v>
      </c>
      <c r="AM53" s="257" t="s">
        <v>81</v>
      </c>
      <c r="AN53" s="275">
        <v>157.31990619000001</v>
      </c>
      <c r="AO53" s="276">
        <v>157.31990619000001</v>
      </c>
      <c r="AP53" s="277">
        <v>6607.4360599800002</v>
      </c>
      <c r="AQ53" s="257" t="s">
        <v>81</v>
      </c>
      <c r="AR53" s="275">
        <f t="shared" si="10"/>
        <v>162.03950337570001</v>
      </c>
      <c r="AS53" s="276">
        <f t="shared" si="11"/>
        <v>162.03950337570001</v>
      </c>
      <c r="AT53" s="277">
        <f t="shared" si="12"/>
        <v>6805.6591417794007</v>
      </c>
      <c r="AU53" s="275">
        <f t="shared" si="13"/>
        <v>166.900688476971</v>
      </c>
      <c r="AV53" s="276">
        <f t="shared" si="14"/>
        <v>166.900688476971</v>
      </c>
      <c r="AW53" s="277">
        <f t="shared" si="15"/>
        <v>7009.8289160327831</v>
      </c>
      <c r="AX53" s="275">
        <f t="shared" si="16"/>
        <v>171.90770913128014</v>
      </c>
      <c r="AY53" s="276">
        <f t="shared" si="17"/>
        <v>171.90770913128014</v>
      </c>
      <c r="AZ53" s="277">
        <f t="shared" si="18"/>
        <v>7220.1237835137672</v>
      </c>
      <c r="BA53" s="275">
        <f t="shared" si="26"/>
        <v>177.06494040521855</v>
      </c>
      <c r="BB53" s="276">
        <f t="shared" si="27"/>
        <v>177.06494040521855</v>
      </c>
      <c r="BC53" s="277">
        <f t="shared" si="28"/>
        <v>7436.7274970191802</v>
      </c>
      <c r="BD53" s="275">
        <f t="shared" si="29"/>
        <v>182.3768886173751</v>
      </c>
      <c r="BE53" s="276">
        <f t="shared" si="30"/>
        <v>182.3768886173751</v>
      </c>
      <c r="BF53" s="277">
        <f t="shared" si="31"/>
        <v>7659.8293219297557</v>
      </c>
      <c r="BG53" s="275">
        <f t="shared" si="5"/>
        <v>187.84819527589636</v>
      </c>
      <c r="BH53" s="276">
        <f t="shared" si="6"/>
        <v>187.84819527589636</v>
      </c>
      <c r="BI53" s="277">
        <f t="shared" si="7"/>
        <v>7889.6242015876487</v>
      </c>
    </row>
    <row r="54" spans="1:61" ht="14">
      <c r="A54" s="91">
        <v>221</v>
      </c>
      <c r="B54" s="82" t="s">
        <v>84</v>
      </c>
      <c r="C54" s="92">
        <v>40</v>
      </c>
      <c r="D54" s="93">
        <v>140</v>
      </c>
      <c r="E54" s="94">
        <v>5880</v>
      </c>
      <c r="F54" s="95">
        <v>40</v>
      </c>
      <c r="G54" s="93">
        <v>146.32</v>
      </c>
      <c r="H54" s="94">
        <v>6145.44</v>
      </c>
      <c r="I54" s="96">
        <v>42.2</v>
      </c>
      <c r="J54" s="93">
        <v>154.36759999999998</v>
      </c>
      <c r="K54" s="94">
        <v>6483.4391999999989</v>
      </c>
      <c r="L54" s="96">
        <v>44.31</v>
      </c>
      <c r="M54" s="93">
        <v>162.08598000000001</v>
      </c>
      <c r="N54" s="94">
        <v>6807.6111600000004</v>
      </c>
      <c r="O54" s="96">
        <v>46.30395</v>
      </c>
      <c r="P54" s="93">
        <v>169.3798491</v>
      </c>
      <c r="Q54" s="94">
        <v>7113.9536621999996</v>
      </c>
      <c r="R54" s="93">
        <v>46.30395</v>
      </c>
      <c r="S54" s="93">
        <v>169.3798491</v>
      </c>
      <c r="T54" s="93">
        <v>7113.9536621999996</v>
      </c>
      <c r="U54" s="96">
        <v>48.156108000000003</v>
      </c>
      <c r="V54" s="93">
        <v>176.15504306400001</v>
      </c>
      <c r="W54" s="94">
        <v>7398.5118086880002</v>
      </c>
      <c r="X54" s="93">
        <v>50.092352320000003</v>
      </c>
      <c r="Y54" s="93">
        <v>183.21124478656003</v>
      </c>
      <c r="Z54" s="93">
        <v>7694.8722810355212</v>
      </c>
      <c r="AA54" s="96">
        <v>52.58696993600001</v>
      </c>
      <c r="AB54" s="93">
        <v>192.36705702588804</v>
      </c>
      <c r="AC54" s="94">
        <v>8079.416395087298</v>
      </c>
      <c r="AD54" s="96">
        <v>54.17</v>
      </c>
      <c r="AE54" s="97">
        <v>198.14</v>
      </c>
      <c r="AF54" s="94">
        <f t="shared" si="20"/>
        <v>8321.8799999999992</v>
      </c>
      <c r="AG54" s="93">
        <f>AD54*(1+$AI$2)-0.01</f>
        <v>55.785100000000007</v>
      </c>
      <c r="AH54" s="97">
        <f t="shared" si="32"/>
        <v>204.08419999999998</v>
      </c>
      <c r="AI54" s="94">
        <f t="shared" si="21"/>
        <v>8571.536399999999</v>
      </c>
      <c r="AJ54" s="93">
        <f>AG54*(1+$AI$2)-0.01</f>
        <v>57.448653000000007</v>
      </c>
      <c r="AK54" s="97">
        <f>AH54*(1+$AI$2)-0.02</f>
        <v>210.18672599999996</v>
      </c>
      <c r="AL54" s="94">
        <f t="shared" si="22"/>
        <v>8827.8424919999979</v>
      </c>
      <c r="AM54" s="257" t="s">
        <v>83</v>
      </c>
      <c r="AN54" s="275">
        <v>32.672537300000002</v>
      </c>
      <c r="AO54" s="276">
        <v>189.99244349</v>
      </c>
      <c r="AP54" s="277">
        <v>7979.6826265800009</v>
      </c>
      <c r="AQ54" s="257" t="s">
        <v>83</v>
      </c>
      <c r="AR54" s="275">
        <f t="shared" si="10"/>
        <v>33.652713419000001</v>
      </c>
      <c r="AS54" s="276">
        <f t="shared" si="11"/>
        <v>195.69221679470002</v>
      </c>
      <c r="AT54" s="277">
        <f t="shared" si="12"/>
        <v>8219.0731053774016</v>
      </c>
      <c r="AU54" s="275">
        <f t="shared" si="13"/>
        <v>34.662294821570001</v>
      </c>
      <c r="AV54" s="276">
        <f t="shared" si="14"/>
        <v>201.56298329854101</v>
      </c>
      <c r="AW54" s="277">
        <f t="shared" si="15"/>
        <v>8465.6452985387241</v>
      </c>
      <c r="AX54" s="275">
        <f t="shared" si="16"/>
        <v>35.702163666217103</v>
      </c>
      <c r="AY54" s="276">
        <f t="shared" si="17"/>
        <v>207.60987279749725</v>
      </c>
      <c r="AZ54" s="277">
        <f t="shared" si="18"/>
        <v>8719.6146574948853</v>
      </c>
      <c r="BA54" s="275">
        <f t="shared" si="26"/>
        <v>36.773228576203614</v>
      </c>
      <c r="BB54" s="276">
        <f t="shared" si="27"/>
        <v>213.83816898142217</v>
      </c>
      <c r="BC54" s="277">
        <f t="shared" si="28"/>
        <v>8981.2030972197317</v>
      </c>
      <c r="BD54" s="275">
        <f t="shared" si="29"/>
        <v>37.876425433489722</v>
      </c>
      <c r="BE54" s="276">
        <f t="shared" si="30"/>
        <v>220.25331405086484</v>
      </c>
      <c r="BF54" s="277">
        <f t="shared" si="31"/>
        <v>9250.639190136324</v>
      </c>
      <c r="BG54" s="275">
        <f t="shared" si="5"/>
        <v>39.012718196494411</v>
      </c>
      <c r="BH54" s="276">
        <f t="shared" si="6"/>
        <v>226.86091347239079</v>
      </c>
      <c r="BI54" s="277">
        <f t="shared" si="7"/>
        <v>9528.1583658404143</v>
      </c>
    </row>
    <row r="55" spans="1:61" ht="14.5" thickBot="1">
      <c r="A55" s="91"/>
      <c r="B55" s="82" t="s">
        <v>146</v>
      </c>
      <c r="C55" s="92"/>
      <c r="D55" s="93"/>
      <c r="E55" s="94"/>
      <c r="F55" s="95"/>
      <c r="G55" s="93"/>
      <c r="H55" s="94"/>
      <c r="I55" s="96"/>
      <c r="J55" s="93"/>
      <c r="K55" s="94"/>
      <c r="L55" s="96"/>
      <c r="M55" s="93"/>
      <c r="N55" s="94"/>
      <c r="O55" s="96"/>
      <c r="P55" s="93"/>
      <c r="Q55" s="94"/>
      <c r="R55" s="93"/>
      <c r="S55" s="93"/>
      <c r="T55" s="93"/>
      <c r="U55" s="96"/>
      <c r="V55" s="93"/>
      <c r="W55" s="94"/>
      <c r="X55" s="93"/>
      <c r="Y55" s="93"/>
      <c r="Z55" s="93"/>
      <c r="AA55" s="96"/>
      <c r="AB55" s="93"/>
      <c r="AC55" s="94"/>
      <c r="AD55" s="137"/>
      <c r="AE55" s="140"/>
      <c r="AF55" s="138"/>
      <c r="AG55" s="137">
        <v>74.599999999999994</v>
      </c>
      <c r="AH55" s="140">
        <f>AH54+AG55</f>
        <v>278.68419999999998</v>
      </c>
      <c r="AI55" s="138">
        <f t="shared" si="21"/>
        <v>11704.7364</v>
      </c>
      <c r="AJ55" s="137">
        <f>AG55*(1+$AI$2)</f>
        <v>76.837999999999994</v>
      </c>
      <c r="AK55" s="140">
        <f>AK54+AJ55</f>
        <v>287.02472599999999</v>
      </c>
      <c r="AL55" s="138">
        <f t="shared" si="22"/>
        <v>12055.038492</v>
      </c>
      <c r="AM55" s="257" t="s">
        <v>84</v>
      </c>
      <c r="AN55" s="275">
        <v>59.172112590000012</v>
      </c>
      <c r="AO55" s="276">
        <v>216.49232777999998</v>
      </c>
      <c r="AP55" s="277">
        <v>9092.6777667599981</v>
      </c>
      <c r="AQ55" s="257" t="s">
        <v>84</v>
      </c>
      <c r="AR55" s="275">
        <f t="shared" si="10"/>
        <v>60.947275967700016</v>
      </c>
      <c r="AS55" s="276">
        <f t="shared" si="11"/>
        <v>222.98709761339998</v>
      </c>
      <c r="AT55" s="277">
        <f t="shared" si="12"/>
        <v>9365.4580997627982</v>
      </c>
      <c r="AU55" s="275">
        <f t="shared" si="13"/>
        <v>62.775694246731021</v>
      </c>
      <c r="AV55" s="276">
        <f t="shared" si="14"/>
        <v>229.67671054180198</v>
      </c>
      <c r="AW55" s="277">
        <f t="shared" si="15"/>
        <v>9646.4218427556825</v>
      </c>
      <c r="AX55" s="275">
        <f t="shared" si="16"/>
        <v>64.658965074132951</v>
      </c>
      <c r="AY55" s="276">
        <f t="shared" si="17"/>
        <v>236.56701185805605</v>
      </c>
      <c r="AZ55" s="277">
        <f t="shared" si="18"/>
        <v>9935.8144980383531</v>
      </c>
      <c r="BA55" s="275">
        <f t="shared" si="26"/>
        <v>66.598734026356937</v>
      </c>
      <c r="BB55" s="276">
        <f t="shared" si="27"/>
        <v>243.66402221379775</v>
      </c>
      <c r="BC55" s="277">
        <f t="shared" si="28"/>
        <v>10233.888932979504</v>
      </c>
      <c r="BD55" s="275">
        <f t="shared" si="29"/>
        <v>68.596696047147645</v>
      </c>
      <c r="BE55" s="276">
        <f t="shared" si="30"/>
        <v>250.97394288021169</v>
      </c>
      <c r="BF55" s="277">
        <f t="shared" si="31"/>
        <v>10540.905600968888</v>
      </c>
      <c r="BG55" s="275">
        <f t="shared" si="5"/>
        <v>70.654596928562071</v>
      </c>
      <c r="BH55" s="276">
        <f t="shared" si="6"/>
        <v>258.50316116661804</v>
      </c>
      <c r="BI55" s="277">
        <f t="shared" si="7"/>
        <v>10857.132768997955</v>
      </c>
    </row>
    <row r="56" spans="1:61" ht="14.5" thickBot="1">
      <c r="A56" s="84">
        <v>210</v>
      </c>
      <c r="B56" s="81" t="s">
        <v>78</v>
      </c>
      <c r="C56" s="85">
        <v>15</v>
      </c>
      <c r="D56" s="86">
        <v>15</v>
      </c>
      <c r="E56" s="87">
        <v>630</v>
      </c>
      <c r="F56" s="88">
        <v>35.32</v>
      </c>
      <c r="G56" s="86">
        <v>35.32</v>
      </c>
      <c r="H56" s="87">
        <v>1483.44</v>
      </c>
      <c r="I56" s="89">
        <v>37.262599999999999</v>
      </c>
      <c r="J56" s="86">
        <v>37.262599999999999</v>
      </c>
      <c r="K56" s="87">
        <v>1565.0291999999999</v>
      </c>
      <c r="L56" s="89">
        <v>39.125729999999997</v>
      </c>
      <c r="M56" s="86">
        <v>39.125729999999997</v>
      </c>
      <c r="N56" s="87">
        <v>1643.2806599999999</v>
      </c>
      <c r="O56" s="89">
        <v>40.886387849999991</v>
      </c>
      <c r="P56" s="86">
        <v>40.886387849999991</v>
      </c>
      <c r="Q56" s="87">
        <v>1717.2282896999996</v>
      </c>
      <c r="R56" s="86">
        <v>63.55</v>
      </c>
      <c r="S56" s="86">
        <v>63.55</v>
      </c>
      <c r="T56" s="86">
        <v>2669.1</v>
      </c>
      <c r="U56" s="89">
        <v>66.091999999999999</v>
      </c>
      <c r="V56" s="86">
        <v>66.091999999999999</v>
      </c>
      <c r="W56" s="87">
        <v>2775.864</v>
      </c>
      <c r="X56" s="86">
        <v>68.725679999999997</v>
      </c>
      <c r="Y56" s="86">
        <v>68.725679999999997</v>
      </c>
      <c r="Z56" s="86">
        <v>2886.47856</v>
      </c>
      <c r="AA56" s="89">
        <v>72.161963999999998</v>
      </c>
      <c r="AB56" s="86">
        <v>72.161963999999998</v>
      </c>
      <c r="AC56" s="87">
        <v>3030.8024879999998</v>
      </c>
      <c r="AD56" s="89">
        <v>74.319999999999993</v>
      </c>
      <c r="AE56" s="90">
        <v>74.319999999999993</v>
      </c>
      <c r="AF56" s="87">
        <f>AE56*42</f>
        <v>3121.4399999999996</v>
      </c>
      <c r="AG56" s="86">
        <f>AD56*(1+$AI$2)</f>
        <v>76.549599999999998</v>
      </c>
      <c r="AH56" s="90">
        <f>AE56*(1+$AI$2)</f>
        <v>76.549599999999998</v>
      </c>
      <c r="AI56" s="87">
        <f t="shared" si="21"/>
        <v>3215.0832</v>
      </c>
      <c r="AJ56" s="86">
        <f t="shared" ref="AJ56:AK59" si="34">AG56*(1+$AI$2)</f>
        <v>78.846087999999995</v>
      </c>
      <c r="AK56" s="90">
        <f t="shared" si="34"/>
        <v>78.846087999999995</v>
      </c>
      <c r="AL56" s="87">
        <f t="shared" si="22"/>
        <v>3311.5356959999999</v>
      </c>
      <c r="AM56" s="257" t="s">
        <v>146</v>
      </c>
      <c r="AN56" s="278">
        <v>53.436400000000006</v>
      </c>
      <c r="AO56" s="279">
        <v>269.92872777999997</v>
      </c>
      <c r="AP56" s="280">
        <v>11337.006566759999</v>
      </c>
      <c r="AQ56" s="257" t="s">
        <v>146</v>
      </c>
      <c r="AR56" s="278">
        <f t="shared" si="10"/>
        <v>55.03949200000001</v>
      </c>
      <c r="AS56" s="279">
        <f t="shared" si="11"/>
        <v>278.02658961340001</v>
      </c>
      <c r="AT56" s="280">
        <f t="shared" si="12"/>
        <v>11677.116763762799</v>
      </c>
      <c r="AU56" s="278">
        <f t="shared" si="13"/>
        <v>56.690676760000009</v>
      </c>
      <c r="AV56" s="279">
        <f t="shared" si="14"/>
        <v>286.36738730180201</v>
      </c>
      <c r="AW56" s="280">
        <f t="shared" si="15"/>
        <v>12027.430266675683</v>
      </c>
      <c r="AX56" s="278">
        <f t="shared" si="16"/>
        <v>58.39139706280001</v>
      </c>
      <c r="AY56" s="279">
        <f t="shared" si="17"/>
        <v>294.95840892085607</v>
      </c>
      <c r="AZ56" s="280">
        <f t="shared" si="18"/>
        <v>12388.253174675954</v>
      </c>
      <c r="BA56" s="278">
        <f t="shared" si="26"/>
        <v>60.143138974684014</v>
      </c>
      <c r="BB56" s="279">
        <f t="shared" si="27"/>
        <v>303.80716118848176</v>
      </c>
      <c r="BC56" s="280">
        <f t="shared" si="28"/>
        <v>12759.900769916234</v>
      </c>
      <c r="BD56" s="278">
        <f t="shared" si="29"/>
        <v>61.947433143924535</v>
      </c>
      <c r="BE56" s="279">
        <f t="shared" si="30"/>
        <v>312.92137602413624</v>
      </c>
      <c r="BF56" s="280">
        <f t="shared" si="31"/>
        <v>13142.697793013722</v>
      </c>
      <c r="BG56" s="278">
        <f t="shared" si="5"/>
        <v>63.80585613824227</v>
      </c>
      <c r="BH56" s="279">
        <f t="shared" si="6"/>
        <v>322.30901730486033</v>
      </c>
      <c r="BI56" s="280">
        <f t="shared" si="7"/>
        <v>13536.978726804135</v>
      </c>
    </row>
    <row r="57" spans="1:61" ht="14">
      <c r="A57" s="91">
        <v>260</v>
      </c>
      <c r="B57" s="82" t="s">
        <v>81</v>
      </c>
      <c r="C57" s="92">
        <v>100</v>
      </c>
      <c r="D57" s="93">
        <v>100</v>
      </c>
      <c r="E57" s="94">
        <v>4200</v>
      </c>
      <c r="F57" s="95">
        <v>106.32</v>
      </c>
      <c r="G57" s="93">
        <v>106.32</v>
      </c>
      <c r="H57" s="94">
        <v>4465.4399999999996</v>
      </c>
      <c r="I57" s="96">
        <v>112.16759999999999</v>
      </c>
      <c r="J57" s="93">
        <v>112.16759999999999</v>
      </c>
      <c r="K57" s="94">
        <v>4711.0391999999993</v>
      </c>
      <c r="L57" s="96">
        <v>117.77598</v>
      </c>
      <c r="M57" s="93">
        <v>117.77598</v>
      </c>
      <c r="N57" s="94">
        <v>4946.5911599999999</v>
      </c>
      <c r="O57" s="96">
        <v>123.0758991</v>
      </c>
      <c r="P57" s="93">
        <v>123.0758991</v>
      </c>
      <c r="Q57" s="94">
        <v>5169.1877622000002</v>
      </c>
      <c r="R57" s="93">
        <v>123.0758991</v>
      </c>
      <c r="S57" s="93">
        <v>123.0758991</v>
      </c>
      <c r="T57" s="93">
        <v>5169.1877622000002</v>
      </c>
      <c r="U57" s="96">
        <v>127.99893506400001</v>
      </c>
      <c r="V57" s="93">
        <v>127.99893506400001</v>
      </c>
      <c r="W57" s="94">
        <v>5375.9552726880002</v>
      </c>
      <c r="X57" s="93">
        <v>133.11889246656003</v>
      </c>
      <c r="Y57" s="93">
        <v>133.11889246656003</v>
      </c>
      <c r="Z57" s="93">
        <v>5590.993483595521</v>
      </c>
      <c r="AA57" s="96">
        <v>139.78008708988804</v>
      </c>
      <c r="AB57" s="93">
        <v>139.78008708988804</v>
      </c>
      <c r="AC57" s="94">
        <v>5870.7636577752974</v>
      </c>
      <c r="AD57" s="96">
        <v>143.97</v>
      </c>
      <c r="AE57" s="97">
        <v>143.97</v>
      </c>
      <c r="AF57" s="94">
        <f>AE57*42</f>
        <v>6046.74</v>
      </c>
      <c r="AG57" s="93">
        <f>AD57*(1+$AI$2)</f>
        <v>148.28909999999999</v>
      </c>
      <c r="AH57" s="97">
        <f>AE57*(1+$AI$2)</f>
        <v>148.28909999999999</v>
      </c>
      <c r="AI57" s="94">
        <f t="shared" si="21"/>
        <v>6228.1421999999993</v>
      </c>
      <c r="AJ57" s="93">
        <f t="shared" si="34"/>
        <v>152.737773</v>
      </c>
      <c r="AK57" s="97">
        <f t="shared" si="34"/>
        <v>152.737773</v>
      </c>
      <c r="AL57" s="94">
        <f t="shared" si="22"/>
        <v>6414.9864660000003</v>
      </c>
      <c r="AM57" s="260" t="s">
        <v>78</v>
      </c>
      <c r="AN57" s="272">
        <v>81.211470640000002</v>
      </c>
      <c r="AO57" s="273">
        <v>81.211470640000002</v>
      </c>
      <c r="AP57" s="274">
        <v>3410.8817668800002</v>
      </c>
      <c r="AQ57" s="260" t="s">
        <v>78</v>
      </c>
      <c r="AR57" s="272">
        <f t="shared" si="10"/>
        <v>83.647814759200003</v>
      </c>
      <c r="AS57" s="273">
        <f t="shared" si="11"/>
        <v>83.647814759200003</v>
      </c>
      <c r="AT57" s="274">
        <f t="shared" si="12"/>
        <v>3513.2082198864005</v>
      </c>
      <c r="AU57" s="272">
        <f t="shared" si="13"/>
        <v>86.157249201976001</v>
      </c>
      <c r="AV57" s="273">
        <f t="shared" si="14"/>
        <v>86.157249201976001</v>
      </c>
      <c r="AW57" s="274">
        <f t="shared" si="15"/>
        <v>3618.6044664829924</v>
      </c>
      <c r="AX57" s="272">
        <f t="shared" si="16"/>
        <v>88.741966678035283</v>
      </c>
      <c r="AY57" s="273">
        <f t="shared" si="17"/>
        <v>88.741966678035283</v>
      </c>
      <c r="AZ57" s="274">
        <f t="shared" si="18"/>
        <v>3727.1626004774821</v>
      </c>
      <c r="BA57" s="272">
        <f t="shared" si="26"/>
        <v>91.404225678376349</v>
      </c>
      <c r="BB57" s="273">
        <f t="shared" si="27"/>
        <v>91.404225678376349</v>
      </c>
      <c r="BC57" s="274">
        <f t="shared" si="28"/>
        <v>3838.9774784918068</v>
      </c>
      <c r="BD57" s="272">
        <f t="shared" si="29"/>
        <v>94.14635244872764</v>
      </c>
      <c r="BE57" s="273">
        <f t="shared" si="30"/>
        <v>94.14635244872764</v>
      </c>
      <c r="BF57" s="274">
        <f t="shared" si="31"/>
        <v>3954.1468028465611</v>
      </c>
      <c r="BG57" s="272">
        <f t="shared" si="5"/>
        <v>96.970743022189467</v>
      </c>
      <c r="BH57" s="273">
        <f t="shared" si="6"/>
        <v>96.970743022189467</v>
      </c>
      <c r="BI57" s="274">
        <f t="shared" si="7"/>
        <v>4072.7712069319582</v>
      </c>
    </row>
    <row r="58" spans="1:61" ht="14">
      <c r="A58" s="91"/>
      <c r="B58" s="82" t="s">
        <v>156</v>
      </c>
      <c r="C58" s="96"/>
      <c r="D58" s="93"/>
      <c r="E58" s="94"/>
      <c r="F58" s="96"/>
      <c r="G58" s="93"/>
      <c r="H58" s="94"/>
      <c r="I58" s="96"/>
      <c r="J58" s="93"/>
      <c r="K58" s="94"/>
      <c r="L58" s="96"/>
      <c r="M58" s="93"/>
      <c r="N58" s="94"/>
      <c r="O58" s="96"/>
      <c r="P58" s="93"/>
      <c r="Q58" s="94"/>
      <c r="R58" s="93"/>
      <c r="S58" s="93"/>
      <c r="T58" s="93"/>
      <c r="U58" s="96"/>
      <c r="V58" s="93"/>
      <c r="W58" s="94"/>
      <c r="X58" s="93"/>
      <c r="Y58" s="93"/>
      <c r="Z58" s="93"/>
      <c r="AA58" s="96"/>
      <c r="AB58" s="93"/>
      <c r="AC58" s="94"/>
      <c r="AD58" s="93"/>
      <c r="AE58" s="97"/>
      <c r="AF58" s="94"/>
      <c r="AG58" s="93">
        <v>116.27947684440193</v>
      </c>
      <c r="AH58" s="97">
        <f>+AG58+AH57</f>
        <v>264.56857684440195</v>
      </c>
      <c r="AI58" s="94">
        <f>AH58*42</f>
        <v>11111.880227464882</v>
      </c>
      <c r="AJ58" s="93">
        <f t="shared" si="34"/>
        <v>119.76786114973399</v>
      </c>
      <c r="AK58" s="97">
        <f>+AJ58+AK57</f>
        <v>272.50563414973396</v>
      </c>
      <c r="AL58" s="94">
        <f>AK58*42</f>
        <v>11445.236634288827</v>
      </c>
      <c r="AM58" s="257" t="s">
        <v>81</v>
      </c>
      <c r="AN58" s="275">
        <v>157.31990619000001</v>
      </c>
      <c r="AO58" s="276">
        <v>157.31990619000001</v>
      </c>
      <c r="AP58" s="277">
        <v>6607.4360599800002</v>
      </c>
      <c r="AQ58" s="257" t="s">
        <v>81</v>
      </c>
      <c r="AR58" s="275">
        <f t="shared" si="10"/>
        <v>162.03950337570001</v>
      </c>
      <c r="AS58" s="276">
        <f t="shared" si="11"/>
        <v>162.03950337570001</v>
      </c>
      <c r="AT58" s="277">
        <f t="shared" si="12"/>
        <v>6805.6591417794007</v>
      </c>
      <c r="AU58" s="275">
        <f t="shared" si="13"/>
        <v>166.900688476971</v>
      </c>
      <c r="AV58" s="276">
        <f t="shared" si="14"/>
        <v>166.900688476971</v>
      </c>
      <c r="AW58" s="277">
        <f t="shared" si="15"/>
        <v>7009.8289160327831</v>
      </c>
      <c r="AX58" s="275">
        <f t="shared" si="16"/>
        <v>171.90770913128014</v>
      </c>
      <c r="AY58" s="276">
        <f t="shared" si="17"/>
        <v>171.90770913128014</v>
      </c>
      <c r="AZ58" s="277">
        <f t="shared" si="18"/>
        <v>7220.1237835137672</v>
      </c>
      <c r="BA58" s="275">
        <f t="shared" si="26"/>
        <v>177.06494040521855</v>
      </c>
      <c r="BB58" s="276">
        <f t="shared" si="27"/>
        <v>177.06494040521855</v>
      </c>
      <c r="BC58" s="277">
        <f t="shared" si="28"/>
        <v>7436.7274970191802</v>
      </c>
      <c r="BD58" s="275">
        <f t="shared" si="29"/>
        <v>182.3768886173751</v>
      </c>
      <c r="BE58" s="276">
        <f t="shared" si="30"/>
        <v>182.3768886173751</v>
      </c>
      <c r="BF58" s="277">
        <f t="shared" si="31"/>
        <v>7659.8293219297557</v>
      </c>
      <c r="BG58" s="275">
        <f t="shared" si="5"/>
        <v>187.84819527589636</v>
      </c>
      <c r="BH58" s="276">
        <f t="shared" si="6"/>
        <v>187.84819527589636</v>
      </c>
      <c r="BI58" s="277">
        <f t="shared" si="7"/>
        <v>7889.6242015876487</v>
      </c>
    </row>
    <row r="59" spans="1:61" ht="14.5" thickBot="1">
      <c r="A59" s="134"/>
      <c r="B59" s="135" t="s">
        <v>157</v>
      </c>
      <c r="C59" s="143"/>
      <c r="D59" s="137"/>
      <c r="E59" s="138"/>
      <c r="F59" s="143"/>
      <c r="G59" s="137"/>
      <c r="H59" s="138"/>
      <c r="I59" s="143"/>
      <c r="J59" s="137"/>
      <c r="K59" s="138"/>
      <c r="L59" s="143"/>
      <c r="M59" s="137"/>
      <c r="N59" s="138"/>
      <c r="O59" s="143"/>
      <c r="P59" s="137"/>
      <c r="Q59" s="138"/>
      <c r="R59" s="137"/>
      <c r="S59" s="137"/>
      <c r="T59" s="137"/>
      <c r="U59" s="143"/>
      <c r="V59" s="137"/>
      <c r="W59" s="138"/>
      <c r="X59" s="137"/>
      <c r="Y59" s="137"/>
      <c r="Z59" s="137"/>
      <c r="AA59" s="143"/>
      <c r="AB59" s="137"/>
      <c r="AC59" s="138"/>
      <c r="AD59" s="137"/>
      <c r="AE59" s="140"/>
      <c r="AF59" s="138"/>
      <c r="AG59" s="137">
        <v>205.64</v>
      </c>
      <c r="AH59" s="140">
        <f>+AH58+AG59</f>
        <v>470.20857684440193</v>
      </c>
      <c r="AI59" s="138">
        <f t="shared" si="21"/>
        <v>19748.760227464882</v>
      </c>
      <c r="AJ59" s="137">
        <f t="shared" si="34"/>
        <v>211.8092</v>
      </c>
      <c r="AK59" s="140">
        <f>+AK58+AJ59</f>
        <v>484.314834149734</v>
      </c>
      <c r="AL59" s="138">
        <f>AK59*42</f>
        <v>20341.223034288829</v>
      </c>
      <c r="AM59" s="257" t="s">
        <v>156</v>
      </c>
      <c r="AN59" s="275">
        <v>127.0617238937528</v>
      </c>
      <c r="AO59" s="276">
        <v>284.38163008375284</v>
      </c>
      <c r="AP59" s="277">
        <v>11944.028463517619</v>
      </c>
      <c r="AQ59" s="257" t="s">
        <v>156</v>
      </c>
      <c r="AR59" s="275">
        <f t="shared" si="10"/>
        <v>130.87357561056538</v>
      </c>
      <c r="AS59" s="276">
        <f t="shared" si="11"/>
        <v>292.91307898626542</v>
      </c>
      <c r="AT59" s="277">
        <f t="shared" si="12"/>
        <v>12302.349317423148</v>
      </c>
      <c r="AU59" s="275">
        <f t="shared" si="13"/>
        <v>134.79978287888235</v>
      </c>
      <c r="AV59" s="276">
        <f t="shared" si="14"/>
        <v>301.70047135585338</v>
      </c>
      <c r="AW59" s="277">
        <f t="shared" si="15"/>
        <v>12671.419796945844</v>
      </c>
      <c r="AX59" s="275">
        <f t="shared" si="16"/>
        <v>138.84377636524883</v>
      </c>
      <c r="AY59" s="276">
        <f t="shared" si="17"/>
        <v>310.75148549652897</v>
      </c>
      <c r="AZ59" s="277">
        <f t="shared" si="18"/>
        <v>13051.56239085422</v>
      </c>
      <c r="BA59" s="275">
        <f t="shared" si="26"/>
        <v>143.0090896562063</v>
      </c>
      <c r="BB59" s="276">
        <f t="shared" si="27"/>
        <v>320.07403006142482</v>
      </c>
      <c r="BC59" s="277">
        <f t="shared" si="28"/>
        <v>13443.109262579846</v>
      </c>
      <c r="BD59" s="275">
        <f t="shared" si="29"/>
        <v>147.29936234589249</v>
      </c>
      <c r="BE59" s="276">
        <f t="shared" si="30"/>
        <v>329.67625096326759</v>
      </c>
      <c r="BF59" s="277">
        <f t="shared" si="31"/>
        <v>13846.402540457242</v>
      </c>
      <c r="BG59" s="275">
        <f t="shared" si="5"/>
        <v>151.71834321626926</v>
      </c>
      <c r="BH59" s="276">
        <f t="shared" si="6"/>
        <v>339.56653849216565</v>
      </c>
      <c r="BI59" s="277">
        <f t="shared" si="7"/>
        <v>14261.794616670959</v>
      </c>
    </row>
    <row r="60" spans="1:61" ht="14.5" thickBot="1">
      <c r="A60" s="102" t="s">
        <v>104</v>
      </c>
      <c r="B60" s="102"/>
      <c r="C60" s="102"/>
      <c r="D60" s="102"/>
      <c r="E60" s="102"/>
      <c r="F60" s="152"/>
      <c r="G60" s="152"/>
      <c r="H60" s="152"/>
      <c r="I60" s="152"/>
      <c r="J60" s="152"/>
      <c r="K60" s="152"/>
      <c r="L60" s="152"/>
      <c r="M60" s="152"/>
      <c r="N60" s="152"/>
      <c r="O60" s="152"/>
      <c r="P60" s="152"/>
      <c r="Q60" s="152"/>
      <c r="AE60" s="118"/>
      <c r="AF60" s="118"/>
      <c r="AM60" s="256" t="s">
        <v>157</v>
      </c>
      <c r="AN60" s="278">
        <v>218.163476</v>
      </c>
      <c r="AO60" s="279">
        <v>502.54510608375284</v>
      </c>
      <c r="AP60" s="280">
        <v>21106.89445551762</v>
      </c>
      <c r="AQ60" s="256" t="s">
        <v>157</v>
      </c>
      <c r="AR60" s="278">
        <f t="shared" si="10"/>
        <v>224.70838028</v>
      </c>
      <c r="AS60" s="279">
        <f t="shared" si="11"/>
        <v>517.62145926626545</v>
      </c>
      <c r="AT60" s="280">
        <f t="shared" si="12"/>
        <v>21740.101289183149</v>
      </c>
      <c r="AU60" s="278">
        <f t="shared" si="13"/>
        <v>231.44963168840002</v>
      </c>
      <c r="AV60" s="279">
        <f t="shared" si="14"/>
        <v>533.15010304425346</v>
      </c>
      <c r="AW60" s="280">
        <f t="shared" si="15"/>
        <v>22392.304327858645</v>
      </c>
      <c r="AX60" s="278">
        <f t="shared" si="16"/>
        <v>238.39312063905203</v>
      </c>
      <c r="AY60" s="279">
        <f t="shared" si="17"/>
        <v>549.14460613558106</v>
      </c>
      <c r="AZ60" s="280">
        <f t="shared" si="18"/>
        <v>23064.073457694405</v>
      </c>
      <c r="BA60" s="278">
        <f t="shared" si="26"/>
        <v>245.5449142582236</v>
      </c>
      <c r="BB60" s="279">
        <f t="shared" si="27"/>
        <v>565.61894431964845</v>
      </c>
      <c r="BC60" s="280">
        <f t="shared" si="28"/>
        <v>23755.995661425237</v>
      </c>
      <c r="BD60" s="278">
        <f t="shared" si="29"/>
        <v>252.91126168597032</v>
      </c>
      <c r="BE60" s="279">
        <f t="shared" si="30"/>
        <v>582.58751264923796</v>
      </c>
      <c r="BF60" s="280">
        <f t="shared" si="31"/>
        <v>24468.675531267996</v>
      </c>
      <c r="BG60" s="278">
        <f t="shared" si="5"/>
        <v>260.49859953654942</v>
      </c>
      <c r="BH60" s="279">
        <f t="shared" si="6"/>
        <v>600.06513802871507</v>
      </c>
      <c r="BI60" s="280">
        <f t="shared" si="7"/>
        <v>25202.735797206038</v>
      </c>
    </row>
    <row r="61" spans="1:61" ht="14.5" thickBot="1">
      <c r="A61" s="103" t="s">
        <v>105</v>
      </c>
      <c r="B61" s="104"/>
      <c r="C61" s="103"/>
      <c r="D61" s="103"/>
      <c r="E61" s="103"/>
      <c r="F61" s="118"/>
      <c r="G61" s="118"/>
      <c r="H61" s="152"/>
      <c r="I61" s="118"/>
      <c r="J61" s="118"/>
      <c r="K61" s="118"/>
      <c r="L61" s="152"/>
      <c r="M61" s="152"/>
      <c r="N61" s="152"/>
      <c r="O61" s="152"/>
      <c r="P61" s="152"/>
      <c r="Q61" s="152"/>
      <c r="AE61" s="118"/>
      <c r="AF61" s="118"/>
      <c r="AG61" s="93"/>
      <c r="AM61" s="261" t="s">
        <v>213</v>
      </c>
      <c r="AN61" s="282">
        <v>43.568999999999996</v>
      </c>
      <c r="AO61" s="283">
        <v>43.568999999999996</v>
      </c>
      <c r="AP61" s="280">
        <v>1829.8979999999999</v>
      </c>
      <c r="AQ61" s="261" t="s">
        <v>213</v>
      </c>
      <c r="AR61" s="282">
        <f t="shared" si="10"/>
        <v>44.876069999999999</v>
      </c>
      <c r="AS61" s="283">
        <f t="shared" si="11"/>
        <v>44.876069999999999</v>
      </c>
      <c r="AT61" s="280">
        <f t="shared" si="12"/>
        <v>1884.79494</v>
      </c>
      <c r="AU61" s="282">
        <f t="shared" si="13"/>
        <v>46.222352100000002</v>
      </c>
      <c r="AV61" s="283">
        <f t="shared" si="14"/>
        <v>46.222352100000002</v>
      </c>
      <c r="AW61" s="280">
        <f t="shared" si="15"/>
        <v>1941.3387882</v>
      </c>
      <c r="AX61" s="282">
        <f t="shared" si="16"/>
        <v>47.609022663000005</v>
      </c>
      <c r="AY61" s="283">
        <f t="shared" si="17"/>
        <v>47.609022663000005</v>
      </c>
      <c r="AZ61" s="280">
        <f t="shared" si="18"/>
        <v>1999.5789518460001</v>
      </c>
      <c r="BA61" s="282">
        <f t="shared" si="26"/>
        <v>49.037293342890003</v>
      </c>
      <c r="BB61" s="283">
        <f t="shared" si="27"/>
        <v>49.037293342890003</v>
      </c>
      <c r="BC61" s="280">
        <f t="shared" si="28"/>
        <v>2059.5663204013804</v>
      </c>
      <c r="BD61" s="282">
        <f t="shared" si="29"/>
        <v>50.508412143176706</v>
      </c>
      <c r="BE61" s="283">
        <f t="shared" si="30"/>
        <v>50.508412143176706</v>
      </c>
      <c r="BF61" s="280">
        <f t="shared" si="31"/>
        <v>2121.3533100134218</v>
      </c>
      <c r="BG61" s="282">
        <f t="shared" si="5"/>
        <v>52.023664507472006</v>
      </c>
      <c r="BH61" s="283">
        <f t="shared" si="6"/>
        <v>52.023664507472006</v>
      </c>
      <c r="BI61" s="280">
        <f t="shared" si="7"/>
        <v>2184.9939093138246</v>
      </c>
    </row>
    <row r="62" spans="1:61" ht="15" customHeight="1">
      <c r="A62" s="105" t="s">
        <v>106</v>
      </c>
      <c r="B62" s="105"/>
      <c r="C62" s="105"/>
      <c r="D62" s="105"/>
      <c r="E62" s="105"/>
      <c r="F62" s="118"/>
      <c r="G62" s="118"/>
      <c r="H62" s="152"/>
      <c r="I62" s="118"/>
      <c r="J62" s="118"/>
      <c r="K62" s="118"/>
      <c r="L62" s="118"/>
      <c r="M62" s="118"/>
      <c r="N62" s="118"/>
      <c r="O62" s="118"/>
      <c r="P62" s="118"/>
      <c r="Q62" s="118"/>
      <c r="AE62" s="118"/>
      <c r="AF62" s="118"/>
      <c r="AM62" s="102"/>
      <c r="AQ62" s="102"/>
    </row>
    <row r="63" spans="1:61" ht="14">
      <c r="A63" s="106" t="s">
        <v>107</v>
      </c>
      <c r="B63" s="106"/>
      <c r="C63" s="106"/>
      <c r="D63" s="106"/>
      <c r="E63" s="106"/>
      <c r="F63" s="153"/>
      <c r="G63" s="153"/>
      <c r="H63" s="153"/>
      <c r="I63" s="118"/>
      <c r="J63" s="118"/>
      <c r="K63" s="118"/>
      <c r="L63" s="118"/>
      <c r="M63" s="118"/>
      <c r="N63" s="118"/>
      <c r="O63" s="118"/>
      <c r="P63" s="118"/>
      <c r="Q63" s="118"/>
      <c r="AE63" s="118"/>
      <c r="AF63" s="118"/>
      <c r="AM63" s="104"/>
      <c r="AQ63" s="104"/>
    </row>
    <row r="64" spans="1:61" ht="14">
      <c r="A64" s="107" t="s">
        <v>147</v>
      </c>
      <c r="B64" s="107"/>
      <c r="C64" s="107"/>
      <c r="D64" s="107"/>
      <c r="E64" s="107"/>
      <c r="F64" s="153"/>
      <c r="G64" s="153"/>
      <c r="H64" s="153"/>
      <c r="I64" s="118"/>
      <c r="J64" s="118"/>
      <c r="K64" s="118"/>
      <c r="L64" s="118"/>
      <c r="M64" s="118"/>
      <c r="N64" s="118"/>
      <c r="O64" s="118"/>
      <c r="P64" s="118"/>
      <c r="Q64" s="118"/>
      <c r="AE64" s="118"/>
      <c r="AF64" s="118"/>
      <c r="AM64" s="105"/>
      <c r="AQ64" s="105"/>
    </row>
    <row r="65" spans="1:61" ht="14.5" thickBot="1">
      <c r="A65" s="154" t="s">
        <v>158</v>
      </c>
      <c r="B65" s="154"/>
      <c r="C65" s="154"/>
      <c r="D65" s="154"/>
      <c r="E65" s="154"/>
      <c r="F65" s="153"/>
      <c r="G65" s="153"/>
      <c r="H65" s="153"/>
      <c r="I65" s="118"/>
      <c r="J65" s="118"/>
      <c r="K65" s="118"/>
      <c r="L65" s="118"/>
      <c r="M65" s="118"/>
      <c r="N65" s="118"/>
      <c r="O65" s="118"/>
      <c r="P65" s="118"/>
      <c r="Q65" s="118"/>
      <c r="AE65" s="118"/>
      <c r="AF65" s="118"/>
      <c r="AM65" s="106"/>
      <c r="AQ65" s="106"/>
    </row>
    <row r="66" spans="1:61" ht="14.5" thickBot="1">
      <c r="A66" s="155">
        <v>279</v>
      </c>
      <c r="B66" s="156" t="s">
        <v>108</v>
      </c>
      <c r="C66" s="157"/>
      <c r="D66" s="157"/>
      <c r="E66" s="157"/>
      <c r="F66" s="157"/>
      <c r="G66" s="157"/>
      <c r="H66" s="157"/>
      <c r="I66" s="157"/>
      <c r="J66" s="157"/>
      <c r="K66" s="158">
        <v>6.4899999999999999E-2</v>
      </c>
      <c r="L66" s="118"/>
      <c r="M66" s="118"/>
      <c r="N66" s="158">
        <v>5.5E-2</v>
      </c>
      <c r="O66" s="118"/>
      <c r="P66" s="118"/>
      <c r="Q66" s="158">
        <v>4.8500000000000001E-2</v>
      </c>
      <c r="T66" s="158"/>
      <c r="V66" s="159" t="s">
        <v>109</v>
      </c>
      <c r="W66" s="158">
        <v>4.48E-2</v>
      </c>
      <c r="Y66" s="159" t="s">
        <v>110</v>
      </c>
      <c r="Z66" s="158">
        <v>5.6899999999999999E-2</v>
      </c>
      <c r="AB66" s="159"/>
      <c r="AC66" s="158">
        <v>7.6700000000000004E-2</v>
      </c>
      <c r="AE66" s="159"/>
      <c r="AF66" s="158">
        <v>0.02</v>
      </c>
      <c r="AG66" s="160" t="s">
        <v>144</v>
      </c>
      <c r="AI66" s="161">
        <v>3.1699999999999999E-2</v>
      </c>
      <c r="AJ66" s="160" t="s">
        <v>159</v>
      </c>
      <c r="AL66" s="161">
        <v>3.73E-2</v>
      </c>
      <c r="AM66" s="107"/>
      <c r="AQ66" s="107"/>
    </row>
    <row r="67" spans="1:61" ht="13.5" thickBot="1">
      <c r="A67" s="162"/>
      <c r="B67" s="163" t="s">
        <v>111</v>
      </c>
      <c r="C67" s="164" t="s">
        <v>112</v>
      </c>
      <c r="D67" s="165"/>
      <c r="E67" s="165"/>
      <c r="F67" s="166" t="s">
        <v>113</v>
      </c>
      <c r="G67" s="167"/>
      <c r="H67" s="167"/>
      <c r="I67" s="166" t="s">
        <v>114</v>
      </c>
      <c r="J67" s="167"/>
      <c r="K67" s="167"/>
      <c r="L67" s="166" t="s">
        <v>115</v>
      </c>
      <c r="M67" s="167"/>
      <c r="N67" s="167"/>
      <c r="O67" s="166" t="s">
        <v>116</v>
      </c>
      <c r="P67" s="167"/>
      <c r="Q67" s="167"/>
      <c r="R67" s="166" t="s">
        <v>116</v>
      </c>
      <c r="S67" s="167"/>
      <c r="T67" s="167"/>
      <c r="U67" s="166" t="s">
        <v>117</v>
      </c>
      <c r="V67" s="167"/>
      <c r="W67" s="167"/>
      <c r="X67" s="168" t="s">
        <v>118</v>
      </c>
      <c r="Y67" s="169"/>
      <c r="Z67" s="170"/>
      <c r="AA67" s="168" t="s">
        <v>119</v>
      </c>
      <c r="AB67" s="171"/>
      <c r="AC67" s="170"/>
      <c r="AD67" s="168" t="s">
        <v>120</v>
      </c>
      <c r="AE67" s="171"/>
      <c r="AF67" s="170"/>
      <c r="AG67" s="168" t="s">
        <v>145</v>
      </c>
      <c r="AH67" s="171"/>
      <c r="AI67" s="170"/>
      <c r="AJ67" s="168" t="s">
        <v>160</v>
      </c>
      <c r="AK67" s="171"/>
      <c r="AL67" s="170"/>
      <c r="AM67" s="154"/>
      <c r="AQ67" s="154"/>
    </row>
    <row r="68" spans="1:61" ht="13" thickBot="1">
      <c r="A68" s="172"/>
      <c r="B68" s="165" t="s">
        <v>121</v>
      </c>
      <c r="C68" s="165">
        <v>306.31</v>
      </c>
      <c r="D68" s="165">
        <v>306.31</v>
      </c>
      <c r="E68" s="173">
        <v>12865.02</v>
      </c>
      <c r="F68" s="165">
        <v>327.72</v>
      </c>
      <c r="G68" s="165">
        <v>327.72</v>
      </c>
      <c r="H68" s="173">
        <v>13764.240000000002</v>
      </c>
      <c r="I68" s="173">
        <v>348.98902800000002</v>
      </c>
      <c r="J68" s="173">
        <v>348.98902800000002</v>
      </c>
      <c r="K68" s="173">
        <v>14657.539176</v>
      </c>
      <c r="L68" s="173">
        <v>368.18342454000003</v>
      </c>
      <c r="M68" s="173">
        <v>368.18342454000003</v>
      </c>
      <c r="N68" s="173">
        <v>15463.703830680002</v>
      </c>
      <c r="O68" s="173">
        <v>386.04032063019002</v>
      </c>
      <c r="P68" s="173">
        <v>386.04032063019002</v>
      </c>
      <c r="Q68" s="173">
        <v>16213.693466467981</v>
      </c>
      <c r="R68" s="173">
        <v>386.04032063019002</v>
      </c>
      <c r="S68" s="173">
        <v>386.04032063019002</v>
      </c>
      <c r="T68" s="173">
        <v>16213.693466467981</v>
      </c>
      <c r="U68" s="173">
        <v>403.33492699442252</v>
      </c>
      <c r="V68" s="173">
        <v>403.33492699442252</v>
      </c>
      <c r="W68" s="173">
        <v>16940.066933765745</v>
      </c>
      <c r="X68" s="173">
        <v>426.28468434040514</v>
      </c>
      <c r="Y68" s="173">
        <v>426.28468434040514</v>
      </c>
      <c r="Z68" s="173">
        <v>17903.956742297014</v>
      </c>
      <c r="AA68" s="173">
        <v>458.98071962931419</v>
      </c>
      <c r="AB68" s="173">
        <v>458.98071962931419</v>
      </c>
      <c r="AC68" s="173">
        <v>19277.190224431197</v>
      </c>
      <c r="AD68" s="173">
        <v>468.16</v>
      </c>
      <c r="AE68" s="173">
        <v>468.16</v>
      </c>
      <c r="AF68" s="173">
        <f>AE68*42</f>
        <v>19662.72</v>
      </c>
      <c r="AG68" s="173">
        <f>AD68*(1+$AI$66)</f>
        <v>483.00067200000007</v>
      </c>
      <c r="AH68" s="173">
        <f>AE68*(1+$AI$66)</f>
        <v>483.00067200000007</v>
      </c>
      <c r="AI68" s="173">
        <f>AH68*42</f>
        <v>20286.028224000002</v>
      </c>
      <c r="AJ68" s="173">
        <f>AG68*(1+$AL$66)</f>
        <v>501.01659706560014</v>
      </c>
      <c r="AK68" s="173">
        <f>AH68*(1+$AL$66)</f>
        <v>501.01659706560014</v>
      </c>
      <c r="AL68" s="173">
        <f>AK68*42</f>
        <v>21042.697076755205</v>
      </c>
      <c r="AM68" s="154"/>
      <c r="AQ68" s="154"/>
    </row>
    <row r="69" spans="1:61" ht="13" thickBot="1">
      <c r="A69" s="172"/>
      <c r="B69" s="165" t="s">
        <v>122</v>
      </c>
      <c r="C69" s="174"/>
      <c r="D69" s="157"/>
      <c r="E69" s="175"/>
      <c r="F69" s="166" t="s">
        <v>123</v>
      </c>
      <c r="G69" s="171"/>
      <c r="H69" s="176"/>
      <c r="I69" s="166" t="s">
        <v>114</v>
      </c>
      <c r="J69" s="177"/>
      <c r="K69" s="176"/>
      <c r="L69" s="166" t="s">
        <v>115</v>
      </c>
      <c r="M69" s="177"/>
      <c r="N69" s="176"/>
      <c r="O69" s="166" t="s">
        <v>115</v>
      </c>
      <c r="P69" s="177"/>
      <c r="Q69" s="176"/>
      <c r="R69" s="166" t="s">
        <v>116</v>
      </c>
      <c r="S69" s="177"/>
      <c r="T69" s="176"/>
      <c r="U69" s="166" t="s">
        <v>117</v>
      </c>
      <c r="V69" s="177"/>
      <c r="W69" s="176"/>
      <c r="X69" s="168" t="s">
        <v>118</v>
      </c>
      <c r="Y69" s="177"/>
      <c r="Z69" s="176"/>
      <c r="AA69" s="168" t="s">
        <v>119</v>
      </c>
      <c r="AB69" s="177"/>
      <c r="AC69" s="176"/>
      <c r="AD69" s="168" t="s">
        <v>120</v>
      </c>
      <c r="AE69" s="177"/>
      <c r="AF69" s="176"/>
      <c r="AG69" s="168" t="s">
        <v>145</v>
      </c>
      <c r="AH69" s="177"/>
      <c r="AI69" s="176"/>
      <c r="AJ69" s="168" t="s">
        <v>160</v>
      </c>
      <c r="AK69" s="177"/>
      <c r="AL69" s="176"/>
      <c r="AM69" s="262"/>
      <c r="AQ69" s="262"/>
    </row>
    <row r="70" spans="1:61" ht="13" thickBot="1">
      <c r="A70" s="165"/>
      <c r="B70" s="165" t="s">
        <v>124</v>
      </c>
      <c r="C70" s="174"/>
      <c r="D70" s="157"/>
      <c r="E70" s="178"/>
      <c r="F70" s="173">
        <v>323</v>
      </c>
      <c r="G70" s="173">
        <v>323</v>
      </c>
      <c r="H70" s="173">
        <v>13566</v>
      </c>
      <c r="I70" s="173">
        <v>343.96269999999998</v>
      </c>
      <c r="J70" s="173">
        <v>343.96269999999998</v>
      </c>
      <c r="K70" s="173">
        <v>14446.4334</v>
      </c>
      <c r="L70" s="173">
        <v>362.88064850000001</v>
      </c>
      <c r="M70" s="173">
        <v>362.88064850000001</v>
      </c>
      <c r="N70" s="173">
        <v>15240.987237000001</v>
      </c>
      <c r="O70" s="173">
        <v>380.48035995225001</v>
      </c>
      <c r="P70" s="173">
        <v>380.48035995225001</v>
      </c>
      <c r="Q70" s="173">
        <v>15980.1751179945</v>
      </c>
      <c r="R70" s="173">
        <v>380.48035995225001</v>
      </c>
      <c r="S70" s="173">
        <v>380.48035995225001</v>
      </c>
      <c r="T70" s="173">
        <v>15980.1751179945</v>
      </c>
      <c r="U70" s="173">
        <v>397.52588007811079</v>
      </c>
      <c r="V70" s="173">
        <v>397.52588007811079</v>
      </c>
      <c r="W70" s="173">
        <v>16696.086963280653</v>
      </c>
      <c r="X70" s="173">
        <v>420.14510265455527</v>
      </c>
      <c r="Y70" s="173">
        <v>420.14510265455527</v>
      </c>
      <c r="Z70" s="173">
        <v>17646.094311491321</v>
      </c>
      <c r="AA70" s="173">
        <v>452.37023202815965</v>
      </c>
      <c r="AB70" s="173">
        <v>452.37023202815965</v>
      </c>
      <c r="AC70" s="173">
        <v>18999.549745182707</v>
      </c>
      <c r="AD70" s="173">
        <v>461.42</v>
      </c>
      <c r="AE70" s="173">
        <v>461.42</v>
      </c>
      <c r="AF70" s="173">
        <f>AE70*42</f>
        <v>19379.64</v>
      </c>
      <c r="AG70" s="173">
        <f>AD70*(1+$AI$66)</f>
        <v>476.04701400000005</v>
      </c>
      <c r="AH70" s="173">
        <f>AE70*(1+$AI$66)</f>
        <v>476.04701400000005</v>
      </c>
      <c r="AI70" s="173">
        <f>AH70*42</f>
        <v>19993.974588000001</v>
      </c>
      <c r="AJ70" s="173">
        <f>AG70*(1+$AL$66)</f>
        <v>493.80356762220009</v>
      </c>
      <c r="AK70" s="173">
        <f>AH70*(1+$AL$66)</f>
        <v>493.80356762220009</v>
      </c>
      <c r="AL70" s="173">
        <f>AK70*42</f>
        <v>20739.749840132405</v>
      </c>
      <c r="AM70" s="118"/>
      <c r="AQ70" s="118"/>
    </row>
    <row r="71" spans="1:61" ht="23.5" thickBot="1">
      <c r="A71" s="117"/>
      <c r="B71" s="165" t="s">
        <v>122</v>
      </c>
      <c r="C71" s="117"/>
      <c r="D71" s="117"/>
      <c r="E71" s="152"/>
      <c r="F71" s="117"/>
      <c r="G71" s="117"/>
      <c r="H71" s="152"/>
      <c r="I71" s="152"/>
      <c r="J71" s="152"/>
      <c r="K71" s="152"/>
      <c r="L71" s="118"/>
      <c r="M71" s="118"/>
      <c r="N71" s="152"/>
      <c r="O71" s="118"/>
      <c r="P71" s="118"/>
      <c r="Q71" s="152"/>
      <c r="T71" s="152"/>
      <c r="W71" s="152"/>
      <c r="Z71" s="152"/>
      <c r="AC71" s="152"/>
      <c r="AE71" s="118"/>
      <c r="AF71" s="152"/>
      <c r="AM71" s="263" t="s">
        <v>214</v>
      </c>
      <c r="AN71" s="284" t="s">
        <v>217</v>
      </c>
      <c r="AO71" s="285"/>
      <c r="AP71" s="286">
        <v>2.4400000000000002E-2</v>
      </c>
      <c r="AQ71" s="263" t="s">
        <v>214</v>
      </c>
      <c r="AR71" s="284" t="s">
        <v>233</v>
      </c>
      <c r="AS71" s="285"/>
      <c r="AT71" s="286">
        <v>1.9400000000000001E-2</v>
      </c>
      <c r="AU71" s="284" t="s">
        <v>234</v>
      </c>
      <c r="AV71" s="285"/>
      <c r="AW71" s="286">
        <v>3.6600000000000001E-2</v>
      </c>
      <c r="AX71" s="284" t="s">
        <v>236</v>
      </c>
      <c r="AY71" s="285"/>
      <c r="AZ71" s="286">
        <v>6.7699999999999996E-2</v>
      </c>
      <c r="BA71" s="284" t="s">
        <v>241</v>
      </c>
      <c r="BB71" s="285"/>
      <c r="BC71" s="286">
        <v>5.7500000000000002E-2</v>
      </c>
      <c r="BD71" s="284" t="s">
        <v>241</v>
      </c>
      <c r="BE71" s="285"/>
      <c r="BF71" s="286">
        <v>5.7500000000000002E-2</v>
      </c>
      <c r="BG71" s="284" t="s">
        <v>241</v>
      </c>
      <c r="BH71" s="285"/>
      <c r="BI71" s="286">
        <v>5.7500000000000002E-2</v>
      </c>
    </row>
    <row r="72" spans="1:61" ht="14" thickTop="1" thickBot="1">
      <c r="A72" s="179"/>
      <c r="B72" s="180" t="s">
        <v>125</v>
      </c>
      <c r="C72" s="181" t="s">
        <v>126</v>
      </c>
      <c r="D72" s="179"/>
      <c r="E72" s="182"/>
      <c r="F72" s="181" t="s">
        <v>123</v>
      </c>
      <c r="G72" s="183"/>
      <c r="H72" s="184"/>
      <c r="I72" s="185" t="s">
        <v>127</v>
      </c>
      <c r="J72" s="186"/>
      <c r="K72" s="186"/>
      <c r="L72" s="118"/>
      <c r="M72" s="118"/>
      <c r="N72" s="118"/>
      <c r="O72" s="118"/>
      <c r="P72" s="118"/>
      <c r="Q72" s="118"/>
      <c r="AD72" s="187"/>
      <c r="AE72" s="118"/>
      <c r="AF72" s="118"/>
      <c r="AM72" s="264" t="s">
        <v>111</v>
      </c>
      <c r="AN72" s="677" t="s">
        <v>218</v>
      </c>
      <c r="AO72" s="677"/>
      <c r="AP72" s="678"/>
      <c r="AQ72" s="264" t="s">
        <v>111</v>
      </c>
      <c r="AR72" s="677" t="s">
        <v>218</v>
      </c>
      <c r="AS72" s="677"/>
      <c r="AT72" s="678"/>
      <c r="AU72" s="677" t="s">
        <v>218</v>
      </c>
      <c r="AV72" s="677"/>
      <c r="AW72" s="678"/>
      <c r="AX72" s="677" t="s">
        <v>218</v>
      </c>
      <c r="AY72" s="677"/>
      <c r="AZ72" s="678"/>
      <c r="BA72" s="677" t="s">
        <v>218</v>
      </c>
      <c r="BB72" s="677"/>
      <c r="BC72" s="678"/>
      <c r="BD72" s="677" t="s">
        <v>218</v>
      </c>
      <c r="BE72" s="677"/>
      <c r="BF72" s="678"/>
      <c r="BG72" s="677" t="s">
        <v>218</v>
      </c>
      <c r="BH72" s="677"/>
      <c r="BI72" s="678"/>
    </row>
    <row r="73" spans="1:61" ht="13.5" thickTop="1" thickBot="1">
      <c r="A73" s="188"/>
      <c r="B73" s="179" t="s">
        <v>128</v>
      </c>
      <c r="C73" s="189">
        <v>320.31</v>
      </c>
      <c r="D73" s="189">
        <v>320.31</v>
      </c>
      <c r="E73" s="190">
        <v>13453.02</v>
      </c>
      <c r="F73" s="190">
        <v>297.03999999999996</v>
      </c>
      <c r="G73" s="190">
        <v>297.03999999999996</v>
      </c>
      <c r="H73" s="190">
        <v>12475.679999999998</v>
      </c>
      <c r="I73" s="182">
        <v>299.55292800000001</v>
      </c>
      <c r="J73" s="182">
        <v>299.55292800000001</v>
      </c>
      <c r="K73" s="182">
        <v>12581.222976000001</v>
      </c>
      <c r="L73" s="118"/>
      <c r="M73" s="118"/>
      <c r="N73" s="118"/>
      <c r="O73" s="118"/>
      <c r="P73" s="118"/>
      <c r="Q73" s="118"/>
      <c r="AE73" s="118"/>
      <c r="AF73" s="118"/>
      <c r="AM73" s="265" t="s">
        <v>121</v>
      </c>
      <c r="AN73" s="287">
        <v>513.24140203400077</v>
      </c>
      <c r="AO73" s="287">
        <v>513.24140203400077</v>
      </c>
      <c r="AP73" s="288">
        <v>21556.13888542803</v>
      </c>
      <c r="AQ73" s="265" t="s">
        <v>121</v>
      </c>
      <c r="AR73" s="287">
        <f>AN73*(1+$AT$71)</f>
        <v>523.19828523346041</v>
      </c>
      <c r="AS73" s="287">
        <f>AO73*(1+$AT$71)</f>
        <v>523.19828523346041</v>
      </c>
      <c r="AT73" s="287">
        <f>AP73*(1+$AT$71)</f>
        <v>21974.327979805337</v>
      </c>
      <c r="AU73" s="287">
        <f>AR73*(1+$AW$71)</f>
        <v>542.34734247300503</v>
      </c>
      <c r="AV73" s="287">
        <f>AS73*(1+$AW$71)</f>
        <v>542.34734247300503</v>
      </c>
      <c r="AW73" s="287">
        <f>AT73*(1+$AW$71)</f>
        <v>22778.588383866212</v>
      </c>
      <c r="AX73" s="287">
        <f>AU73*(1+$AZ$71)</f>
        <v>579.06425755842747</v>
      </c>
      <c r="AY73" s="287">
        <f>AV73*(1+$AZ$71)</f>
        <v>579.06425755842747</v>
      </c>
      <c r="AZ73" s="287">
        <f>AW73*(1+$AZ$71)</f>
        <v>24320.698817453958</v>
      </c>
      <c r="BA73" s="287">
        <f t="shared" ref="BA73:BF73" si="35">AX73*(1+$BC$71)</f>
        <v>612.36045236803716</v>
      </c>
      <c r="BB73" s="287">
        <f t="shared" si="35"/>
        <v>612.36045236803716</v>
      </c>
      <c r="BC73" s="287">
        <f t="shared" si="35"/>
        <v>25719.138999457562</v>
      </c>
      <c r="BD73" s="287">
        <f t="shared" si="35"/>
        <v>647.57117837919941</v>
      </c>
      <c r="BE73" s="287">
        <f t="shared" si="35"/>
        <v>647.57117837919941</v>
      </c>
      <c r="BF73" s="287">
        <f t="shared" si="35"/>
        <v>27197.989491926375</v>
      </c>
      <c r="BG73" s="287">
        <f>BD73*(1+$BC$71)</f>
        <v>684.80652113600343</v>
      </c>
      <c r="BH73" s="287">
        <f>BE73*(1+$BC$71)</f>
        <v>684.80652113600343</v>
      </c>
      <c r="BI73" s="287">
        <f>BF73*(1+$BC$71)</f>
        <v>28761.873887712143</v>
      </c>
    </row>
    <row r="74" spans="1:61" ht="13.5" thickTop="1" thickBot="1">
      <c r="A74" s="191"/>
      <c r="B74" s="192" t="s">
        <v>111</v>
      </c>
      <c r="C74" s="117"/>
      <c r="D74" s="117"/>
      <c r="E74" s="152"/>
      <c r="F74" s="152"/>
      <c r="G74" s="152"/>
      <c r="H74" s="152"/>
      <c r="I74" s="193" t="s">
        <v>129</v>
      </c>
      <c r="J74" s="194"/>
      <c r="K74" s="195"/>
      <c r="L74" s="193" t="s">
        <v>130</v>
      </c>
      <c r="M74" s="194"/>
      <c r="N74" s="195"/>
      <c r="O74" s="193" t="s">
        <v>130</v>
      </c>
      <c r="P74" s="194"/>
      <c r="Q74" s="195"/>
      <c r="R74" s="193" t="s">
        <v>116</v>
      </c>
      <c r="S74" s="194"/>
      <c r="T74" s="195"/>
      <c r="U74" s="193" t="s">
        <v>117</v>
      </c>
      <c r="V74" s="194"/>
      <c r="W74" s="195"/>
      <c r="X74" s="196" t="s">
        <v>118</v>
      </c>
      <c r="Y74" s="194"/>
      <c r="Z74" s="195"/>
      <c r="AA74" s="196" t="s">
        <v>119</v>
      </c>
      <c r="AB74" s="194"/>
      <c r="AC74" s="195"/>
      <c r="AD74" s="196" t="s">
        <v>120</v>
      </c>
      <c r="AE74" s="194"/>
      <c r="AF74" s="195"/>
      <c r="AG74" s="196" t="s">
        <v>145</v>
      </c>
      <c r="AH74" s="194"/>
      <c r="AI74" s="195"/>
      <c r="AJ74" s="196" t="s">
        <v>160</v>
      </c>
      <c r="AK74" s="194"/>
      <c r="AL74" s="195"/>
      <c r="AM74" s="265" t="s">
        <v>122</v>
      </c>
      <c r="AN74" s="664" t="s">
        <v>219</v>
      </c>
      <c r="AO74" s="664"/>
      <c r="AP74" s="665"/>
      <c r="AQ74" s="265" t="s">
        <v>122</v>
      </c>
      <c r="AR74" s="664"/>
      <c r="AS74" s="664"/>
      <c r="AT74" s="665"/>
      <c r="AU74" s="664"/>
      <c r="AV74" s="664"/>
      <c r="AW74" s="665"/>
      <c r="AX74" s="664"/>
      <c r="AY74" s="664"/>
      <c r="AZ74" s="665"/>
      <c r="BA74" s="664"/>
      <c r="BB74" s="664"/>
      <c r="BC74" s="665"/>
      <c r="BD74" s="664"/>
      <c r="BE74" s="664"/>
      <c r="BF74" s="665"/>
      <c r="BG74" s="664"/>
      <c r="BH74" s="664"/>
      <c r="BI74" s="665"/>
    </row>
    <row r="75" spans="1:61" ht="13.5" thickTop="1" thickBot="1">
      <c r="A75" s="197"/>
      <c r="B75" s="198" t="s">
        <v>122</v>
      </c>
      <c r="C75" s="199"/>
      <c r="D75" s="199"/>
      <c r="E75" s="200"/>
      <c r="F75" s="200"/>
      <c r="G75" s="200"/>
      <c r="H75" s="200"/>
      <c r="I75" s="190">
        <v>313.76052800000002</v>
      </c>
      <c r="J75" s="201">
        <v>313.76052800000002</v>
      </c>
      <c r="K75" s="202">
        <v>13177.942176</v>
      </c>
      <c r="L75" s="190">
        <v>329.66471903999997</v>
      </c>
      <c r="M75" s="201">
        <v>329.66471903999997</v>
      </c>
      <c r="N75" s="202">
        <v>13845.918199679998</v>
      </c>
      <c r="O75" s="190">
        <v>344.64763738343999</v>
      </c>
      <c r="P75" s="201">
        <v>344.64763738343999</v>
      </c>
      <c r="Q75" s="202">
        <v>14475.200770104479</v>
      </c>
      <c r="R75" s="190">
        <v>344.64763738343999</v>
      </c>
      <c r="S75" s="201">
        <v>344.64763738343999</v>
      </c>
      <c r="T75" s="202">
        <v>14475.200770104479</v>
      </c>
      <c r="U75" s="190">
        <v>358.65642186221817</v>
      </c>
      <c r="V75" s="201">
        <v>358.65642186221817</v>
      </c>
      <c r="W75" s="202">
        <v>15063.569718213163</v>
      </c>
      <c r="X75" s="190">
        <v>373.79802924783672</v>
      </c>
      <c r="Y75" s="201">
        <v>373.79802924783672</v>
      </c>
      <c r="Z75" s="202">
        <v>15699.517228409142</v>
      </c>
      <c r="AA75" s="190">
        <v>393.82793640870153</v>
      </c>
      <c r="AB75" s="201">
        <v>393.82793640870153</v>
      </c>
      <c r="AC75" s="202">
        <v>16540.773329165466</v>
      </c>
      <c r="AD75" s="190">
        <f>38.72*1.0649*1.055*1.0485*1.0448*1.0569*1.0767*1.02+AE40</f>
        <v>405.09297489725367</v>
      </c>
      <c r="AE75" s="201">
        <f>AD75</f>
        <v>405.09297489725367</v>
      </c>
      <c r="AF75" s="202">
        <f>AE75*42</f>
        <v>17013.904945684655</v>
      </c>
      <c r="AG75" s="190">
        <f>38.72*1.0649*1.055*1.0485*1.0448*1.0569*1.0767*1.02*1.0317+AH40</f>
        <v>417.33979620149665</v>
      </c>
      <c r="AH75" s="201">
        <f>AG75</f>
        <v>417.33979620149665</v>
      </c>
      <c r="AI75" s="202">
        <f>AH75*42</f>
        <v>17528.27144046286</v>
      </c>
      <c r="AJ75" s="190">
        <f>38.72*1.0649*1.055*1.0485*1.0448*1.0569*1.0767*1.02*1.0317*1.0373+AK40</f>
        <v>430.27657477981245</v>
      </c>
      <c r="AK75" s="201">
        <f>AJ75</f>
        <v>430.27657477981245</v>
      </c>
      <c r="AL75" s="202">
        <f>AK75*42</f>
        <v>18071.616140752121</v>
      </c>
      <c r="AM75" s="265" t="s">
        <v>124</v>
      </c>
      <c r="AN75" s="287">
        <v>505.85237467218178</v>
      </c>
      <c r="AO75" s="287">
        <v>505.85237467218178</v>
      </c>
      <c r="AP75" s="288">
        <v>21245.799736231635</v>
      </c>
      <c r="AQ75" s="265" t="s">
        <v>124</v>
      </c>
      <c r="AR75" s="287">
        <f>AN75*(1+$AT$71)</f>
        <v>515.66591074082214</v>
      </c>
      <c r="AS75" s="287">
        <f>AO75*(1+$AT$71)</f>
        <v>515.66591074082214</v>
      </c>
      <c r="AT75" s="287">
        <f>AP75*(1+$AT$71)</f>
        <v>21657.968251114529</v>
      </c>
      <c r="AU75" s="287">
        <f>AR75*(1+$AW$71)</f>
        <v>534.53928307393619</v>
      </c>
      <c r="AV75" s="287">
        <f>AS75*(1+$AW$71)</f>
        <v>534.53928307393619</v>
      </c>
      <c r="AW75" s="287">
        <f>AT75*(1+$AW$71)</f>
        <v>22450.64988910532</v>
      </c>
      <c r="AX75" s="287">
        <f>AU75*(1+$AZ$71)</f>
        <v>570.72759253804168</v>
      </c>
      <c r="AY75" s="287">
        <f>AV75*(1+$AZ$71)</f>
        <v>570.72759253804168</v>
      </c>
      <c r="AZ75" s="287">
        <f>AW75*(1+$AZ$71)</f>
        <v>23970.558886597752</v>
      </c>
      <c r="BA75" s="287">
        <f t="shared" ref="BA75:BF75" si="36">AX75*(1+$BC$71)</f>
        <v>603.5444291089791</v>
      </c>
      <c r="BB75" s="287">
        <f t="shared" si="36"/>
        <v>603.5444291089791</v>
      </c>
      <c r="BC75" s="287">
        <f t="shared" si="36"/>
        <v>25348.866022577124</v>
      </c>
      <c r="BD75" s="287">
        <f t="shared" si="36"/>
        <v>638.2482337827455</v>
      </c>
      <c r="BE75" s="287">
        <f t="shared" si="36"/>
        <v>638.2482337827455</v>
      </c>
      <c r="BF75" s="287">
        <f t="shared" si="36"/>
        <v>26806.425818875312</v>
      </c>
      <c r="BG75" s="287">
        <f>BD75*(1+$BC$71)</f>
        <v>674.94750722525339</v>
      </c>
      <c r="BH75" s="287">
        <f>BE75*(1+$BC$71)</f>
        <v>674.94750722525339</v>
      </c>
      <c r="BI75" s="287">
        <f>BF75*(1+$BC$71)</f>
        <v>28347.795303460643</v>
      </c>
    </row>
    <row r="76" spans="1:61" ht="12.75" customHeight="1" thickTop="1">
      <c r="A76" s="203"/>
      <c r="B76" s="204" t="s">
        <v>131</v>
      </c>
      <c r="C76" s="118"/>
      <c r="D76" s="118"/>
      <c r="E76" s="118"/>
      <c r="G76" s="118"/>
      <c r="H76" s="118"/>
      <c r="I76" s="187">
        <v>41.232927999999994</v>
      </c>
      <c r="J76" s="118"/>
      <c r="K76" s="118"/>
      <c r="L76" s="187">
        <v>43.500739039999992</v>
      </c>
      <c r="M76" s="118"/>
      <c r="N76" s="118"/>
      <c r="O76" s="187">
        <v>45.610524883439993</v>
      </c>
      <c r="P76" s="118"/>
      <c r="Q76" s="118"/>
      <c r="R76" s="187">
        <v>45.610524883439993</v>
      </c>
      <c r="U76" s="187">
        <v>47.653876398218102</v>
      </c>
      <c r="X76" s="187">
        <v>50.355381965276713</v>
      </c>
      <c r="AA76" s="187">
        <v>54.227639762013432</v>
      </c>
      <c r="AD76" s="187">
        <v>55.31</v>
      </c>
      <c r="AE76" s="118"/>
      <c r="AF76" s="118"/>
      <c r="AG76" s="205">
        <f>AD76*(1+AI66)</f>
        <v>57.063327000000008</v>
      </c>
      <c r="AJ76" s="290">
        <f>AG76*(1+AL66)</f>
        <v>59.191789097100013</v>
      </c>
      <c r="AM76" s="265" t="s">
        <v>122</v>
      </c>
      <c r="AN76" s="655"/>
      <c r="AO76" s="656"/>
      <c r="AP76" s="657"/>
      <c r="AQ76" s="265" t="s">
        <v>122</v>
      </c>
      <c r="AR76" s="655"/>
      <c r="AS76" s="656"/>
      <c r="AT76" s="657"/>
      <c r="AU76" s="655"/>
      <c r="AV76" s="656"/>
      <c r="AW76" s="657"/>
      <c r="AX76" s="655"/>
      <c r="AY76" s="656"/>
      <c r="AZ76" s="657"/>
      <c r="BA76" s="655"/>
      <c r="BB76" s="656"/>
      <c r="BC76" s="657"/>
      <c r="BD76" s="655"/>
      <c r="BE76" s="656"/>
      <c r="BF76" s="657"/>
      <c r="BG76" s="655"/>
      <c r="BH76" s="656"/>
      <c r="BI76" s="657"/>
    </row>
    <row r="77" spans="1:61" ht="13">
      <c r="A77" s="206" t="s">
        <v>132</v>
      </c>
      <c r="B77" s="118"/>
      <c r="C77" s="118"/>
      <c r="D77" s="118"/>
      <c r="E77" s="118"/>
      <c r="F77" s="152"/>
      <c r="G77" s="118"/>
      <c r="H77" s="118"/>
      <c r="I77" s="118"/>
      <c r="J77" s="118"/>
      <c r="K77" s="118"/>
      <c r="L77" s="118"/>
      <c r="M77" s="118"/>
      <c r="N77" s="118"/>
      <c r="O77" s="118"/>
      <c r="P77" s="118"/>
      <c r="Q77" s="118"/>
      <c r="AM77" s="266" t="s">
        <v>125</v>
      </c>
      <c r="AN77" s="658"/>
      <c r="AO77" s="659"/>
      <c r="AP77" s="660"/>
      <c r="AQ77" s="266" t="s">
        <v>125</v>
      </c>
      <c r="AR77" s="658"/>
      <c r="AS77" s="659"/>
      <c r="AT77" s="660"/>
      <c r="AU77" s="658"/>
      <c r="AV77" s="659"/>
      <c r="AW77" s="660"/>
      <c r="AX77" s="658"/>
      <c r="AY77" s="659"/>
      <c r="AZ77" s="660"/>
      <c r="BA77" s="658"/>
      <c r="BB77" s="659"/>
      <c r="BC77" s="660"/>
      <c r="BD77" s="658"/>
      <c r="BE77" s="659"/>
      <c r="BF77" s="660"/>
      <c r="BG77" s="658"/>
      <c r="BH77" s="659"/>
      <c r="BI77" s="660"/>
    </row>
    <row r="78" spans="1:61">
      <c r="A78" s="206" t="s">
        <v>133</v>
      </c>
      <c r="B78" s="118"/>
      <c r="C78" s="118"/>
      <c r="D78" s="118"/>
      <c r="E78" s="118"/>
      <c r="F78" s="152"/>
      <c r="G78" s="118"/>
      <c r="H78" s="118"/>
      <c r="I78" s="118"/>
      <c r="J78" s="118"/>
      <c r="K78" s="118"/>
      <c r="L78" s="207"/>
      <c r="M78" s="118"/>
      <c r="N78" s="118"/>
      <c r="O78" s="208"/>
      <c r="P78" s="118"/>
      <c r="Q78" s="118"/>
      <c r="AC78" s="209"/>
      <c r="AM78" s="265" t="s">
        <v>128</v>
      </c>
      <c r="AN78" s="661"/>
      <c r="AO78" s="662"/>
      <c r="AP78" s="663"/>
      <c r="AQ78" s="265" t="s">
        <v>128</v>
      </c>
      <c r="AR78" s="661"/>
      <c r="AS78" s="662"/>
      <c r="AT78" s="663"/>
      <c r="AU78" s="661"/>
      <c r="AV78" s="662"/>
      <c r="AW78" s="663"/>
      <c r="AX78" s="661"/>
      <c r="AY78" s="662"/>
      <c r="AZ78" s="663"/>
      <c r="BA78" s="661"/>
      <c r="BB78" s="662"/>
      <c r="BC78" s="663"/>
      <c r="BD78" s="661"/>
      <c r="BE78" s="662"/>
      <c r="BF78" s="663"/>
      <c r="BG78" s="661"/>
      <c r="BH78" s="662"/>
      <c r="BI78" s="663"/>
    </row>
    <row r="79" spans="1:61" ht="13">
      <c r="A79" s="203"/>
      <c r="B79" s="118"/>
      <c r="C79" s="118"/>
      <c r="D79" s="118"/>
      <c r="E79" s="118"/>
      <c r="F79" s="118"/>
      <c r="G79" s="118"/>
      <c r="H79" s="118"/>
      <c r="I79" s="118"/>
      <c r="J79" s="118"/>
      <c r="K79" s="118"/>
      <c r="L79" s="118"/>
      <c r="M79" s="118"/>
      <c r="N79" s="118"/>
      <c r="O79" s="118"/>
      <c r="P79" s="118"/>
      <c r="Q79" s="118"/>
      <c r="AC79" s="187"/>
      <c r="AM79" s="265" t="s">
        <v>111</v>
      </c>
      <c r="AN79" s="664" t="s">
        <v>219</v>
      </c>
      <c r="AO79" s="664"/>
      <c r="AP79" s="665"/>
      <c r="AQ79" s="265" t="s">
        <v>111</v>
      </c>
      <c r="AR79" s="664"/>
      <c r="AS79" s="664"/>
      <c r="AT79" s="665"/>
      <c r="AU79" s="664"/>
      <c r="AV79" s="664"/>
      <c r="AW79" s="665"/>
      <c r="AX79" s="664"/>
      <c r="AY79" s="664"/>
      <c r="AZ79" s="665"/>
      <c r="BA79" s="664"/>
      <c r="BB79" s="664"/>
      <c r="BC79" s="665"/>
      <c r="BD79" s="664"/>
      <c r="BE79" s="664"/>
      <c r="BF79" s="665"/>
      <c r="BG79" s="664"/>
      <c r="BH79" s="664"/>
      <c r="BI79" s="665"/>
    </row>
    <row r="80" spans="1:61">
      <c r="A80" s="118"/>
      <c r="B80" s="118"/>
      <c r="C80" s="118"/>
      <c r="D80" s="118"/>
      <c r="E80" s="118"/>
      <c r="F80" s="118"/>
      <c r="G80" s="118"/>
      <c r="H80" s="118"/>
      <c r="I80" s="118"/>
      <c r="J80" s="118"/>
      <c r="K80" s="118"/>
      <c r="L80" s="118"/>
      <c r="M80" s="118"/>
      <c r="N80" s="118"/>
      <c r="O80" s="118"/>
      <c r="P80" s="118"/>
      <c r="Q80" s="118"/>
      <c r="AM80" s="265" t="s">
        <v>122</v>
      </c>
      <c r="AN80" s="287">
        <v>442.85011881106925</v>
      </c>
      <c r="AO80" s="287">
        <v>442.85011881106925</v>
      </c>
      <c r="AP80" s="288">
        <v>18599.704990064907</v>
      </c>
      <c r="AQ80" s="265" t="s">
        <v>122</v>
      </c>
      <c r="AR80" s="287">
        <f>AN80*(1+$AT$71)</f>
        <v>451.44141111600402</v>
      </c>
      <c r="AS80" s="287">
        <f>AO80*(1+$AT$71)</f>
        <v>451.44141111600402</v>
      </c>
      <c r="AT80" s="287">
        <f>AP80*(1+$AT$71)</f>
        <v>18960.539266872169</v>
      </c>
      <c r="AU80" s="287">
        <f>AR80*(1+$AW$71)</f>
        <v>467.96416676284974</v>
      </c>
      <c r="AV80" s="287">
        <f>AS80*(1+$AW$71)</f>
        <v>467.96416676284974</v>
      </c>
      <c r="AW80" s="287">
        <f>AT80*(1+$AW$71)</f>
        <v>19654.495004039691</v>
      </c>
      <c r="AX80" s="287">
        <f>AU80*(1+$AZ$71)</f>
        <v>499.64534085269469</v>
      </c>
      <c r="AY80" s="287">
        <f>AV80*(1+$AZ$71)</f>
        <v>499.64534085269469</v>
      </c>
      <c r="AZ80" s="287">
        <f>AW80*(1+$AZ$71)</f>
        <v>20985.10431581318</v>
      </c>
      <c r="BA80" s="287">
        <f t="shared" ref="BA80:BF80" si="37">AX80*(1+$BC$71)</f>
        <v>528.37494795172472</v>
      </c>
      <c r="BB80" s="287">
        <f t="shared" si="37"/>
        <v>528.37494795172472</v>
      </c>
      <c r="BC80" s="287">
        <f t="shared" si="37"/>
        <v>22191.747813972441</v>
      </c>
      <c r="BD80" s="287">
        <f t="shared" si="37"/>
        <v>558.75650745894893</v>
      </c>
      <c r="BE80" s="287">
        <f t="shared" si="37"/>
        <v>558.75650745894893</v>
      </c>
      <c r="BF80" s="287">
        <f t="shared" si="37"/>
        <v>23467.773313275859</v>
      </c>
      <c r="BG80" s="287">
        <f>BD80*(1+$BC$71)</f>
        <v>590.8850066378385</v>
      </c>
      <c r="BH80" s="287">
        <f>BE80*(1+$BC$71)</f>
        <v>590.8850066378385</v>
      </c>
      <c r="BI80" s="287">
        <f>BF80*(1+$BC$71)</f>
        <v>24817.170278789225</v>
      </c>
    </row>
    <row r="81" spans="1:61" ht="14.25" customHeight="1" thickBot="1">
      <c r="A81" s="118"/>
      <c r="B81" s="118"/>
      <c r="C81" s="118"/>
      <c r="D81" s="118"/>
      <c r="E81" s="118"/>
      <c r="F81" s="118"/>
      <c r="G81" s="118"/>
      <c r="H81" s="118"/>
      <c r="I81" s="118"/>
      <c r="J81" s="118"/>
      <c r="K81" s="118"/>
      <c r="L81" s="118"/>
      <c r="M81" s="118"/>
      <c r="N81" s="118"/>
      <c r="O81" s="118"/>
      <c r="P81" s="118"/>
      <c r="Q81" s="118"/>
      <c r="Z81" s="688" t="s">
        <v>134</v>
      </c>
      <c r="AA81" s="688"/>
      <c r="AD81" s="688" t="s">
        <v>135</v>
      </c>
      <c r="AE81" s="688"/>
      <c r="AG81" s="688" t="s">
        <v>161</v>
      </c>
      <c r="AH81" s="688"/>
      <c r="AJ81" s="688" t="s">
        <v>161</v>
      </c>
      <c r="AK81" s="688"/>
      <c r="AM81" s="267" t="s">
        <v>131</v>
      </c>
      <c r="AN81" s="291">
        <v>60.636068751069253</v>
      </c>
      <c r="AO81" s="666"/>
      <c r="AP81" s="667"/>
      <c r="AQ81" s="267" t="s">
        <v>131</v>
      </c>
      <c r="AR81" s="291">
        <f>AN81*(1+$AT$71)</f>
        <v>61.812408484839999</v>
      </c>
      <c r="AS81" s="666"/>
      <c r="AT81" s="667"/>
      <c r="AU81" s="291">
        <f>AR81*(1+$AW$71)</f>
        <v>64.074742635385135</v>
      </c>
      <c r="AV81" s="666"/>
      <c r="AW81" s="667"/>
      <c r="AX81" s="291">
        <f>AU81*(1+$AZ$71)</f>
        <v>68.412602711800716</v>
      </c>
      <c r="AY81" s="666"/>
      <c r="AZ81" s="667"/>
      <c r="BA81" s="291">
        <f>AX81*(1+$BC$71)</f>
        <v>72.346327367729259</v>
      </c>
      <c r="BB81" s="666"/>
      <c r="BC81" s="667"/>
      <c r="BD81" s="291">
        <f>BA81*(1+$BC$71)</f>
        <v>76.506241191373704</v>
      </c>
      <c r="BE81" s="666"/>
      <c r="BF81" s="667"/>
      <c r="BG81" s="291">
        <f>BD81*(1+$BC$71)</f>
        <v>80.905350059877705</v>
      </c>
      <c r="BH81" s="666"/>
      <c r="BI81" s="667"/>
    </row>
    <row r="82" spans="1:61">
      <c r="A82" s="118"/>
      <c r="B82" s="118"/>
      <c r="C82" s="118"/>
      <c r="D82" s="118"/>
      <c r="E82" s="118"/>
      <c r="F82" s="118"/>
      <c r="G82" s="118"/>
      <c r="H82" s="118"/>
      <c r="I82" s="118"/>
      <c r="J82" s="118"/>
      <c r="K82" s="118"/>
      <c r="L82" s="118"/>
      <c r="M82" s="118"/>
      <c r="N82" s="118"/>
      <c r="O82" s="118"/>
      <c r="P82" s="118"/>
      <c r="Q82" s="118"/>
      <c r="Z82" s="688"/>
      <c r="AA82" s="688"/>
      <c r="AD82" s="688"/>
      <c r="AE82" s="688"/>
      <c r="AG82" s="688"/>
      <c r="AH82" s="688"/>
      <c r="AJ82" s="688"/>
      <c r="AK82" s="688"/>
    </row>
    <row r="83" spans="1:61" ht="83.25" customHeight="1">
      <c r="A83" s="118"/>
      <c r="B83" s="118"/>
      <c r="C83" s="118"/>
      <c r="D83" s="118"/>
      <c r="E83" s="118"/>
      <c r="F83" s="118"/>
      <c r="G83" s="118"/>
      <c r="H83" s="118"/>
      <c r="I83" s="118"/>
      <c r="J83" s="118"/>
      <c r="K83" s="118"/>
      <c r="L83" s="118"/>
      <c r="M83" s="118"/>
      <c r="N83" s="118"/>
      <c r="O83" s="118"/>
      <c r="P83" s="118"/>
      <c r="Q83" s="118"/>
      <c r="Z83" s="686" t="s">
        <v>136</v>
      </c>
      <c r="AA83" s="686"/>
      <c r="AD83" s="686" t="s">
        <v>137</v>
      </c>
      <c r="AE83" s="686"/>
      <c r="AG83" s="210" t="s">
        <v>162</v>
      </c>
      <c r="AJ83" s="210" t="s">
        <v>162</v>
      </c>
    </row>
    <row r="84" spans="1:61">
      <c r="A84" s="118"/>
      <c r="B84" s="118"/>
      <c r="C84" s="118"/>
      <c r="D84" s="118"/>
      <c r="E84" s="118"/>
      <c r="F84" s="118"/>
      <c r="G84" s="118"/>
      <c r="H84" s="118"/>
      <c r="I84" s="118"/>
      <c r="J84" s="118"/>
      <c r="K84" s="118"/>
      <c r="L84" s="118"/>
      <c r="M84" s="118"/>
      <c r="N84" s="118"/>
      <c r="O84" s="118"/>
      <c r="P84" s="118"/>
      <c r="Q84" s="118"/>
      <c r="AD84" s="686"/>
      <c r="AE84" s="686"/>
    </row>
    <row r="85" spans="1:61">
      <c r="A85" s="118"/>
      <c r="B85" s="118"/>
      <c r="C85" s="118"/>
      <c r="D85" s="118"/>
      <c r="E85" s="118"/>
      <c r="F85" s="118"/>
      <c r="G85" s="118"/>
      <c r="H85" s="118"/>
      <c r="I85" s="118"/>
      <c r="J85" s="118"/>
      <c r="K85" s="118"/>
      <c r="L85" s="118"/>
      <c r="M85" s="118"/>
      <c r="N85" s="118"/>
      <c r="O85" s="118"/>
      <c r="P85" s="118"/>
      <c r="Q85" s="118"/>
      <c r="AD85" s="686"/>
      <c r="AE85" s="686"/>
    </row>
    <row r="86" spans="1:61">
      <c r="A86" s="118"/>
      <c r="B86" s="118"/>
      <c r="C86" s="118"/>
      <c r="D86" s="118"/>
      <c r="E86" s="118"/>
      <c r="F86" s="118"/>
      <c r="G86" s="118"/>
      <c r="H86" s="118"/>
      <c r="I86" s="118"/>
      <c r="J86" s="118"/>
      <c r="K86" s="118"/>
      <c r="L86" s="118"/>
      <c r="M86" s="118"/>
      <c r="N86" s="118"/>
      <c r="O86" s="118"/>
      <c r="P86" s="118"/>
      <c r="Q86" s="118"/>
      <c r="AD86" s="686"/>
      <c r="AE86" s="686"/>
    </row>
    <row r="87" spans="1:61">
      <c r="A87" s="118"/>
      <c r="B87" s="118"/>
      <c r="C87" s="118"/>
      <c r="D87" s="118"/>
      <c r="E87" s="118"/>
      <c r="F87" s="118"/>
      <c r="G87" s="118"/>
      <c r="H87" s="118"/>
      <c r="I87" s="118"/>
      <c r="J87" s="118"/>
      <c r="K87" s="118"/>
      <c r="L87" s="118"/>
      <c r="M87" s="118"/>
      <c r="N87" s="118"/>
      <c r="O87" s="118"/>
      <c r="P87" s="118"/>
      <c r="Q87" s="118"/>
      <c r="AD87" s="686"/>
      <c r="AE87" s="686"/>
    </row>
    <row r="88" spans="1:61">
      <c r="A88" s="118"/>
      <c r="B88" s="118"/>
      <c r="C88" s="118"/>
      <c r="D88" s="118"/>
      <c r="E88" s="118"/>
      <c r="F88" s="118"/>
      <c r="G88" s="118"/>
      <c r="H88" s="118"/>
      <c r="I88" s="118"/>
      <c r="J88" s="118"/>
      <c r="K88" s="118"/>
      <c r="L88" s="118"/>
      <c r="M88" s="118"/>
      <c r="N88" s="118"/>
      <c r="O88" s="118"/>
      <c r="P88" s="118"/>
      <c r="Q88" s="118"/>
      <c r="AD88" s="686"/>
      <c r="AE88" s="686"/>
    </row>
    <row r="89" spans="1:61">
      <c r="A89" s="118"/>
      <c r="B89" s="118"/>
      <c r="C89" s="118"/>
      <c r="D89" s="118"/>
      <c r="E89" s="118"/>
      <c r="F89" s="118"/>
      <c r="G89" s="118"/>
      <c r="H89" s="118"/>
      <c r="I89" s="118"/>
      <c r="J89" s="118"/>
      <c r="K89" s="118"/>
      <c r="L89" s="118"/>
      <c r="M89" s="118"/>
      <c r="N89" s="118"/>
      <c r="O89" s="118"/>
      <c r="P89" s="118"/>
      <c r="Q89" s="118"/>
      <c r="AD89" s="686"/>
      <c r="AE89" s="686"/>
    </row>
    <row r="90" spans="1:61">
      <c r="A90" s="118"/>
      <c r="B90" s="118"/>
      <c r="C90" s="118"/>
      <c r="D90" s="118"/>
      <c r="E90" s="118"/>
      <c r="F90" s="118"/>
      <c r="G90" s="118"/>
      <c r="H90" s="118"/>
      <c r="I90" s="118"/>
      <c r="J90" s="118"/>
      <c r="K90" s="118"/>
      <c r="L90" s="118"/>
      <c r="M90" s="118"/>
      <c r="N90" s="118"/>
      <c r="O90" s="118"/>
      <c r="P90" s="118"/>
      <c r="Q90" s="118"/>
      <c r="AD90" s="118" t="s">
        <v>138</v>
      </c>
      <c r="AG90" s="119" t="s">
        <v>163</v>
      </c>
      <c r="AJ90" s="119" t="s">
        <v>163</v>
      </c>
    </row>
    <row r="91" spans="1:61">
      <c r="A91" s="118"/>
      <c r="B91" s="118"/>
      <c r="C91" s="118"/>
      <c r="D91" s="118"/>
      <c r="E91" s="118"/>
      <c r="F91" s="118"/>
      <c r="G91" s="118"/>
      <c r="H91" s="118"/>
      <c r="I91" s="118"/>
      <c r="J91" s="118"/>
      <c r="K91" s="118"/>
      <c r="L91" s="118"/>
      <c r="M91" s="118"/>
      <c r="N91" s="118"/>
      <c r="O91" s="118"/>
      <c r="P91" s="118"/>
      <c r="Q91" s="118"/>
    </row>
    <row r="92" spans="1:61">
      <c r="A92" s="118"/>
      <c r="B92" s="118"/>
      <c r="C92" s="118"/>
      <c r="D92" s="118"/>
      <c r="E92" s="118"/>
      <c r="F92" s="118"/>
      <c r="G92" s="118"/>
      <c r="H92" s="118"/>
      <c r="I92" s="118"/>
      <c r="J92" s="118"/>
      <c r="K92" s="118"/>
      <c r="L92" s="118"/>
      <c r="M92" s="118"/>
      <c r="N92" s="118"/>
      <c r="O92" s="118"/>
      <c r="P92" s="118"/>
      <c r="Q92" s="118"/>
    </row>
    <row r="93" spans="1:61">
      <c r="A93" s="118"/>
      <c r="B93" s="118"/>
      <c r="C93" s="118"/>
      <c r="D93" s="118"/>
      <c r="E93" s="118"/>
      <c r="F93" s="118"/>
      <c r="G93" s="118"/>
      <c r="H93" s="118"/>
      <c r="I93" s="118"/>
      <c r="J93" s="118"/>
      <c r="K93" s="118"/>
      <c r="L93" s="118"/>
      <c r="M93" s="118"/>
      <c r="N93" s="118"/>
      <c r="O93" s="118"/>
      <c r="P93" s="118"/>
      <c r="Q93" s="118"/>
    </row>
    <row r="94" spans="1:61">
      <c r="A94" s="118"/>
      <c r="B94" s="118"/>
      <c r="C94" s="118"/>
      <c r="D94" s="118"/>
      <c r="E94" s="118"/>
      <c r="F94" s="118"/>
      <c r="G94" s="118"/>
      <c r="H94" s="118"/>
      <c r="I94" s="118"/>
      <c r="J94" s="118"/>
      <c r="K94" s="118"/>
      <c r="L94" s="118"/>
      <c r="M94" s="118"/>
      <c r="N94" s="118"/>
      <c r="O94" s="118"/>
      <c r="P94" s="118"/>
      <c r="Q94" s="118"/>
    </row>
    <row r="95" spans="1:61">
      <c r="A95" s="118"/>
      <c r="B95" s="118"/>
      <c r="C95" s="118"/>
      <c r="D95" s="118"/>
      <c r="E95" s="118"/>
      <c r="F95" s="118"/>
      <c r="G95" s="118"/>
      <c r="H95" s="118"/>
      <c r="I95" s="118"/>
      <c r="J95" s="118"/>
      <c r="K95" s="118"/>
      <c r="L95" s="118"/>
      <c r="M95" s="118"/>
      <c r="N95" s="118"/>
      <c r="O95" s="118"/>
      <c r="P95" s="118"/>
      <c r="Q95" s="118"/>
    </row>
    <row r="96" spans="1:61">
      <c r="A96" s="118"/>
      <c r="B96" s="118"/>
      <c r="C96" s="118"/>
      <c r="D96" s="118"/>
      <c r="E96" s="118"/>
      <c r="F96" s="118"/>
      <c r="G96" s="118"/>
      <c r="H96" s="118"/>
      <c r="I96" s="118"/>
      <c r="J96" s="118"/>
      <c r="K96" s="118"/>
      <c r="L96" s="118"/>
      <c r="M96" s="118"/>
      <c r="N96" s="118"/>
      <c r="O96" s="118"/>
      <c r="P96" s="118"/>
      <c r="Q96" s="118"/>
    </row>
    <row r="97" spans="1:236">
      <c r="A97" s="118"/>
      <c r="B97" s="118"/>
      <c r="C97" s="118"/>
      <c r="D97" s="118"/>
      <c r="E97" s="118"/>
      <c r="F97" s="118"/>
      <c r="G97" s="118"/>
      <c r="H97" s="118"/>
      <c r="I97" s="118"/>
      <c r="J97" s="118"/>
      <c r="K97" s="118"/>
      <c r="L97" s="118"/>
      <c r="M97" s="118"/>
      <c r="N97" s="118"/>
      <c r="O97" s="118"/>
      <c r="P97" s="118"/>
      <c r="Q97" s="118"/>
    </row>
    <row r="98" spans="1:236">
      <c r="A98" s="118"/>
      <c r="B98" s="118"/>
      <c r="C98" s="118"/>
      <c r="D98" s="118"/>
      <c r="E98" s="118"/>
      <c r="F98" s="118"/>
      <c r="G98" s="118"/>
      <c r="H98" s="118"/>
      <c r="I98" s="118"/>
      <c r="J98" s="118"/>
      <c r="K98" s="118"/>
      <c r="L98" s="118"/>
      <c r="M98" s="118"/>
      <c r="N98" s="118"/>
      <c r="O98" s="118"/>
      <c r="P98" s="118"/>
      <c r="Q98" s="118"/>
    </row>
    <row r="99" spans="1:236">
      <c r="A99" s="118"/>
      <c r="B99" s="118"/>
      <c r="C99" s="118"/>
      <c r="D99" s="118"/>
      <c r="E99" s="118"/>
      <c r="F99" s="118"/>
      <c r="G99" s="118"/>
      <c r="H99" s="118"/>
      <c r="I99" s="118"/>
      <c r="J99" s="118"/>
      <c r="K99" s="118"/>
      <c r="L99" s="118"/>
      <c r="M99" s="118"/>
      <c r="N99" s="118"/>
      <c r="O99" s="118"/>
      <c r="P99" s="118"/>
      <c r="Q99" s="118"/>
    </row>
    <row r="100" spans="1:236">
      <c r="A100" s="118"/>
      <c r="B100" s="118"/>
      <c r="C100" s="118"/>
      <c r="D100" s="118"/>
      <c r="E100" s="118"/>
      <c r="F100" s="118"/>
      <c r="G100" s="118"/>
      <c r="H100" s="118"/>
      <c r="I100" s="118"/>
      <c r="J100" s="118"/>
      <c r="K100" s="118"/>
      <c r="L100" s="118"/>
      <c r="M100" s="118"/>
      <c r="N100" s="118"/>
      <c r="O100" s="118"/>
      <c r="P100" s="118"/>
      <c r="Q100" s="118"/>
    </row>
    <row r="101" spans="1:236">
      <c r="A101" s="118"/>
      <c r="B101" s="118"/>
      <c r="C101" s="118"/>
      <c r="D101" s="118"/>
      <c r="E101" s="118"/>
      <c r="F101" s="118"/>
      <c r="G101" s="118"/>
      <c r="H101" s="118"/>
      <c r="I101" s="118"/>
      <c r="J101" s="118"/>
      <c r="K101" s="118"/>
      <c r="L101" s="118"/>
      <c r="M101" s="118"/>
      <c r="N101" s="118"/>
      <c r="O101" s="118"/>
      <c r="P101" s="118"/>
      <c r="Q101" s="118"/>
    </row>
    <row r="102" spans="1:236">
      <c r="A102" s="118"/>
      <c r="B102" s="118"/>
      <c r="C102" s="118"/>
      <c r="D102" s="118"/>
      <c r="E102" s="118"/>
      <c r="F102" s="118"/>
      <c r="G102" s="118"/>
      <c r="H102" s="118"/>
      <c r="I102" s="118"/>
      <c r="J102" s="118"/>
      <c r="K102" s="118"/>
      <c r="L102" s="118"/>
      <c r="M102" s="118"/>
      <c r="N102" s="118"/>
      <c r="O102" s="118"/>
      <c r="P102" s="118"/>
      <c r="Q102" s="118"/>
    </row>
    <row r="103" spans="1:236" s="80" customFormat="1" ht="14">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c r="GK103" s="119"/>
      <c r="GL103" s="119"/>
      <c r="GM103" s="119"/>
      <c r="GN103" s="119"/>
      <c r="GO103" s="119"/>
      <c r="GP103" s="119"/>
      <c r="GQ103" s="119"/>
      <c r="GR103" s="119"/>
      <c r="GS103" s="119"/>
      <c r="GT103" s="119"/>
      <c r="GU103" s="119"/>
      <c r="GV103" s="119"/>
      <c r="GW103" s="119"/>
      <c r="GX103" s="119"/>
      <c r="GY103" s="119"/>
      <c r="GZ103" s="119"/>
      <c r="HA103" s="119"/>
      <c r="HB103" s="119"/>
      <c r="HC103" s="119"/>
      <c r="HD103" s="119"/>
      <c r="HE103" s="119"/>
      <c r="HF103" s="119"/>
      <c r="HG103" s="119"/>
      <c r="HH103" s="119"/>
      <c r="HI103" s="119"/>
      <c r="HJ103" s="119"/>
      <c r="HK103" s="119"/>
      <c r="HL103" s="119"/>
      <c r="HM103" s="119"/>
      <c r="HN103" s="119"/>
      <c r="HO103" s="119"/>
      <c r="HP103" s="119"/>
      <c r="HQ103" s="119"/>
      <c r="HR103" s="119"/>
      <c r="HS103" s="119"/>
      <c r="HT103" s="119"/>
      <c r="HU103" s="119"/>
      <c r="HV103" s="119"/>
      <c r="HW103" s="119"/>
      <c r="HX103" s="119"/>
      <c r="HY103" s="119"/>
      <c r="HZ103" s="119"/>
      <c r="IA103" s="119"/>
      <c r="IB103" s="119"/>
    </row>
    <row r="104" spans="1:236" s="80" customFormat="1" ht="14">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row>
    <row r="105" spans="1:236" s="80" customFormat="1" ht="14">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c r="GK105" s="119"/>
      <c r="GL105" s="119"/>
      <c r="GM105" s="119"/>
      <c r="GN105" s="119"/>
      <c r="GO105" s="119"/>
      <c r="GP105" s="119"/>
      <c r="GQ105" s="119"/>
      <c r="GR105" s="119"/>
      <c r="GS105" s="119"/>
      <c r="GT105" s="119"/>
      <c r="GU105" s="119"/>
      <c r="GV105" s="119"/>
      <c r="GW105" s="119"/>
      <c r="GX105" s="119"/>
      <c r="GY105" s="119"/>
      <c r="GZ105" s="119"/>
      <c r="HA105" s="119"/>
      <c r="HB105" s="119"/>
      <c r="HC105" s="119"/>
      <c r="HD105" s="119"/>
      <c r="HE105" s="119"/>
      <c r="HF105" s="119"/>
      <c r="HG105" s="119"/>
      <c r="HH105" s="119"/>
      <c r="HI105" s="119"/>
      <c r="HJ105" s="119"/>
      <c r="HK105" s="119"/>
      <c r="HL105" s="119"/>
      <c r="HM105" s="119"/>
      <c r="HN105" s="119"/>
      <c r="HO105" s="119"/>
      <c r="HP105" s="119"/>
      <c r="HQ105" s="119"/>
      <c r="HR105" s="119"/>
      <c r="HS105" s="119"/>
      <c r="HT105" s="119"/>
      <c r="HU105" s="119"/>
      <c r="HV105" s="119"/>
      <c r="HW105" s="119"/>
      <c r="HX105" s="119"/>
      <c r="HY105" s="119"/>
      <c r="HZ105" s="119"/>
      <c r="IA105" s="119"/>
      <c r="IB105" s="119"/>
    </row>
    <row r="106" spans="1:236" s="80" customFormat="1" ht="14">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row>
    <row r="107" spans="1:236" s="80" customFormat="1" ht="14">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c r="GK107" s="119"/>
      <c r="GL107" s="119"/>
      <c r="GM107" s="119"/>
      <c r="GN107" s="119"/>
      <c r="GO107" s="119"/>
      <c r="GP107" s="119"/>
      <c r="GQ107" s="119"/>
      <c r="GR107" s="119"/>
      <c r="GS107" s="119"/>
      <c r="GT107" s="119"/>
      <c r="GU107" s="119"/>
      <c r="GV107" s="119"/>
      <c r="GW107" s="119"/>
      <c r="GX107" s="119"/>
      <c r="GY107" s="119"/>
      <c r="GZ107" s="119"/>
      <c r="HA107" s="119"/>
      <c r="HB107" s="119"/>
      <c r="HC107" s="119"/>
      <c r="HD107" s="119"/>
      <c r="HE107" s="119"/>
      <c r="HF107" s="119"/>
      <c r="HG107" s="119"/>
      <c r="HH107" s="119"/>
      <c r="HI107" s="119"/>
      <c r="HJ107" s="119"/>
      <c r="HK107" s="119"/>
      <c r="HL107" s="119"/>
      <c r="HM107" s="119"/>
      <c r="HN107" s="119"/>
      <c r="HO107" s="119"/>
      <c r="HP107" s="119"/>
      <c r="HQ107" s="119"/>
      <c r="HR107" s="119"/>
      <c r="HS107" s="119"/>
      <c r="HT107" s="119"/>
      <c r="HU107" s="119"/>
      <c r="HV107" s="119"/>
      <c r="HW107" s="119"/>
      <c r="HX107" s="119"/>
      <c r="HY107" s="119"/>
      <c r="HZ107" s="119"/>
      <c r="IA107" s="119"/>
      <c r="IB107" s="119"/>
    </row>
    <row r="108" spans="1:236" s="80" customFormat="1" ht="14">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c r="HF108" s="118"/>
      <c r="HG108" s="118"/>
      <c r="HH108" s="118"/>
      <c r="HI108" s="118"/>
      <c r="HJ108" s="118"/>
      <c r="HK108" s="118"/>
      <c r="HL108" s="118"/>
      <c r="HM108" s="118"/>
      <c r="HN108" s="118"/>
      <c r="HO108" s="118"/>
      <c r="HP108" s="118"/>
      <c r="HQ108" s="118"/>
      <c r="HR108" s="118"/>
      <c r="HS108" s="118"/>
      <c r="HT108" s="118"/>
      <c r="HU108" s="118"/>
      <c r="HV108" s="118"/>
      <c r="HW108" s="118"/>
      <c r="HX108" s="118"/>
      <c r="HY108" s="118"/>
      <c r="HZ108" s="118"/>
      <c r="IA108" s="118"/>
      <c r="IB108" s="118"/>
    </row>
    <row r="109" spans="1:236" s="80" customFormat="1" ht="14">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c r="HC109" s="118"/>
      <c r="HD109" s="118"/>
      <c r="HE109" s="118"/>
      <c r="HF109" s="118"/>
      <c r="HG109" s="118"/>
      <c r="HH109" s="118"/>
      <c r="HI109" s="118"/>
      <c r="HJ109" s="118"/>
      <c r="HK109" s="118"/>
      <c r="HL109" s="118"/>
      <c r="HM109" s="118"/>
      <c r="HN109" s="118"/>
      <c r="HO109" s="118"/>
      <c r="HP109" s="118"/>
      <c r="HQ109" s="118"/>
      <c r="HR109" s="118"/>
      <c r="HS109" s="118"/>
      <c r="HT109" s="118"/>
      <c r="HU109" s="118"/>
      <c r="HV109" s="118"/>
      <c r="HW109" s="118"/>
      <c r="HX109" s="118"/>
      <c r="HY109" s="118"/>
      <c r="HZ109" s="118"/>
      <c r="IA109" s="118"/>
      <c r="IB109" s="118"/>
    </row>
    <row r="110" spans="1:236" s="80" customFormat="1" ht="14">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c r="HF110" s="118"/>
      <c r="HG110" s="118"/>
      <c r="HH110" s="118"/>
      <c r="HI110" s="118"/>
      <c r="HJ110" s="118"/>
      <c r="HK110" s="118"/>
      <c r="HL110" s="118"/>
      <c r="HM110" s="118"/>
      <c r="HN110" s="118"/>
      <c r="HO110" s="118"/>
      <c r="HP110" s="118"/>
      <c r="HQ110" s="118"/>
      <c r="HR110" s="118"/>
      <c r="HS110" s="118"/>
      <c r="HT110" s="118"/>
      <c r="HU110" s="118"/>
      <c r="HV110" s="118"/>
      <c r="HW110" s="118"/>
      <c r="HX110" s="118"/>
      <c r="HY110" s="118"/>
      <c r="HZ110" s="118"/>
      <c r="IA110" s="118"/>
      <c r="IB110" s="118"/>
    </row>
    <row r="111" spans="1:236" s="80" customFormat="1" ht="14">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c r="HG111" s="118"/>
      <c r="HH111" s="118"/>
      <c r="HI111" s="118"/>
      <c r="HJ111" s="118"/>
      <c r="HK111" s="118"/>
      <c r="HL111" s="118"/>
      <c r="HM111" s="118"/>
      <c r="HN111" s="118"/>
      <c r="HO111" s="118"/>
      <c r="HP111" s="118"/>
      <c r="HQ111" s="118"/>
      <c r="HR111" s="118"/>
      <c r="HS111" s="118"/>
      <c r="HT111" s="118"/>
      <c r="HU111" s="118"/>
      <c r="HV111" s="118"/>
      <c r="HW111" s="118"/>
      <c r="HX111" s="118"/>
      <c r="HY111" s="118"/>
      <c r="HZ111" s="118"/>
      <c r="IA111" s="118"/>
      <c r="IB111" s="118"/>
    </row>
    <row r="112" spans="1:236" s="80" customFormat="1" ht="14">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row>
    <row r="113" spans="1:236" s="80" customFormat="1" ht="14">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row>
    <row r="114" spans="1:236" s="80" customFormat="1" ht="14">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row>
    <row r="115" spans="1:236" s="80" customFormat="1" ht="14">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row>
    <row r="116" spans="1:236" s="80" customFormat="1" ht="14">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row>
    <row r="117" spans="1:236" s="80" customFormat="1" ht="14">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row>
    <row r="118" spans="1:236" s="80" customFormat="1" ht="14">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row>
    <row r="119" spans="1:236" s="80" customFormat="1" ht="14">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row>
    <row r="120" spans="1:236" s="80" customFormat="1" ht="14">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row>
    <row r="121" spans="1:236" s="80" customFormat="1" ht="14">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row>
    <row r="122" spans="1:236" s="80" customFormat="1" ht="14">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row>
    <row r="123" spans="1:236" s="80" customFormat="1" ht="14">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row>
    <row r="124" spans="1:236" s="80" customFormat="1" ht="14">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row>
    <row r="125" spans="1:236" s="80" customFormat="1" ht="14">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row>
    <row r="126" spans="1:236" s="80" customFormat="1" ht="14">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row>
    <row r="127" spans="1:236" s="80" customFormat="1" ht="14">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row>
    <row r="128" spans="1:236" s="80" customFormat="1" ht="14">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row>
    <row r="129" spans="1:236" s="80" customFormat="1" ht="14">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c r="HW129" s="118"/>
      <c r="HX129" s="118"/>
      <c r="HY129" s="118"/>
      <c r="HZ129" s="118"/>
      <c r="IA129" s="118"/>
      <c r="IB129" s="118"/>
    </row>
    <row r="130" spans="1:236" s="80" customFormat="1" ht="14">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c r="HW130" s="118"/>
      <c r="HX130" s="118"/>
      <c r="HY130" s="118"/>
      <c r="HZ130" s="118"/>
      <c r="IA130" s="118"/>
      <c r="IB130" s="118"/>
    </row>
    <row r="131" spans="1:236" s="80" customFormat="1" ht="14">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c r="HW131" s="118"/>
      <c r="HX131" s="118"/>
      <c r="HY131" s="118"/>
      <c r="HZ131" s="118"/>
      <c r="IA131" s="118"/>
      <c r="IB131" s="118"/>
    </row>
    <row r="132" spans="1:236" s="80" customFormat="1" ht="14">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row>
    <row r="133" spans="1:236" s="80" customFormat="1" ht="14">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c r="HW133" s="118"/>
      <c r="HX133" s="118"/>
      <c r="HY133" s="118"/>
      <c r="HZ133" s="118"/>
      <c r="IA133" s="118"/>
      <c r="IB133" s="118"/>
    </row>
    <row r="134" spans="1:236" s="80" customFormat="1" ht="14">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c r="HW134" s="118"/>
      <c r="HX134" s="118"/>
      <c r="HY134" s="118"/>
      <c r="HZ134" s="118"/>
      <c r="IA134" s="118"/>
      <c r="IB134" s="118"/>
    </row>
    <row r="135" spans="1:236" s="80" customFormat="1" ht="14">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c r="HW135" s="118"/>
      <c r="HX135" s="118"/>
      <c r="HY135" s="118"/>
      <c r="HZ135" s="118"/>
      <c r="IA135" s="118"/>
      <c r="IB135" s="118"/>
    </row>
    <row r="136" spans="1:236" s="80" customFormat="1" ht="14">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c r="HW136" s="118"/>
      <c r="HX136" s="118"/>
      <c r="HY136" s="118"/>
      <c r="HZ136" s="118"/>
      <c r="IA136" s="118"/>
      <c r="IB136" s="118"/>
    </row>
    <row r="137" spans="1:236" s="80" customFormat="1" ht="14">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c r="HW137" s="118"/>
      <c r="HX137" s="118"/>
      <c r="HY137" s="118"/>
      <c r="HZ137" s="118"/>
      <c r="IA137" s="118"/>
      <c r="IB137" s="118"/>
    </row>
    <row r="138" spans="1:236" s="80" customFormat="1" ht="14">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c r="HW138" s="118"/>
      <c r="HX138" s="118"/>
      <c r="HY138" s="118"/>
      <c r="HZ138" s="118"/>
      <c r="IA138" s="118"/>
      <c r="IB138" s="118"/>
    </row>
    <row r="139" spans="1:236" s="80" customFormat="1" ht="14">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c r="HW139" s="118"/>
      <c r="HX139" s="118"/>
      <c r="HY139" s="118"/>
      <c r="HZ139" s="118"/>
      <c r="IA139" s="118"/>
      <c r="IB139" s="118"/>
    </row>
    <row r="140" spans="1:236" s="80" customFormat="1" ht="14">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c r="HW140" s="118"/>
      <c r="HX140" s="118"/>
      <c r="HY140" s="118"/>
      <c r="HZ140" s="118"/>
      <c r="IA140" s="118"/>
      <c r="IB140" s="118"/>
    </row>
    <row r="141" spans="1:236" s="80" customFormat="1" ht="14">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c r="HW141" s="118"/>
      <c r="HX141" s="118"/>
      <c r="HY141" s="118"/>
      <c r="HZ141" s="118"/>
      <c r="IA141" s="118"/>
      <c r="IB141" s="118"/>
    </row>
    <row r="142" spans="1:236" s="80" customFormat="1" ht="14">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c r="HW142" s="118"/>
      <c r="HX142" s="118"/>
      <c r="HY142" s="118"/>
      <c r="HZ142" s="118"/>
      <c r="IA142" s="118"/>
      <c r="IB142" s="118"/>
    </row>
    <row r="143" spans="1:236" s="80" customFormat="1" ht="14">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c r="HW143" s="118"/>
      <c r="HX143" s="118"/>
      <c r="HY143" s="118"/>
      <c r="HZ143" s="118"/>
      <c r="IA143" s="118"/>
      <c r="IB143" s="118"/>
    </row>
    <row r="144" spans="1:236" s="80" customFormat="1" ht="14">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c r="HW144" s="118"/>
      <c r="HX144" s="118"/>
      <c r="HY144" s="118"/>
      <c r="HZ144" s="118"/>
      <c r="IA144" s="118"/>
      <c r="IB144" s="118"/>
    </row>
    <row r="145" spans="1:236" s="80" customFormat="1" ht="14">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8"/>
      <c r="EH145" s="118"/>
      <c r="EI145" s="118"/>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row>
    <row r="146" spans="1:236" s="80" customFormat="1" ht="14">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c r="HW146" s="118"/>
      <c r="HX146" s="118"/>
      <c r="HY146" s="118"/>
      <c r="HZ146" s="118"/>
      <c r="IA146" s="118"/>
      <c r="IB146" s="118"/>
    </row>
    <row r="147" spans="1:236" s="80" customFormat="1" ht="14">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c r="HW147" s="118"/>
      <c r="HX147" s="118"/>
      <c r="HY147" s="118"/>
      <c r="HZ147" s="118"/>
      <c r="IA147" s="118"/>
      <c r="IB147" s="118"/>
    </row>
    <row r="148" spans="1:236" s="80" customFormat="1" ht="14">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c r="HW148" s="118"/>
      <c r="HX148" s="118"/>
      <c r="HY148" s="118"/>
      <c r="HZ148" s="118"/>
      <c r="IA148" s="118"/>
      <c r="IB148" s="118"/>
    </row>
    <row r="149" spans="1:236" s="80" customFormat="1" ht="14">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c r="HW149" s="118"/>
      <c r="HX149" s="118"/>
      <c r="HY149" s="118"/>
      <c r="HZ149" s="118"/>
      <c r="IA149" s="118"/>
      <c r="IB149" s="118"/>
    </row>
    <row r="150" spans="1:236" s="80" customFormat="1" ht="14">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row>
    <row r="151" spans="1:236" s="80" customFormat="1" ht="14">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c r="HW151" s="118"/>
      <c r="HX151" s="118"/>
      <c r="HY151" s="118"/>
      <c r="HZ151" s="118"/>
      <c r="IA151" s="118"/>
      <c r="IB151" s="118"/>
    </row>
    <row r="152" spans="1:236" s="80" customFormat="1" ht="14">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18"/>
      <c r="DV152" s="118"/>
      <c r="DW152" s="118"/>
      <c r="DX152" s="118"/>
      <c r="DY152" s="118"/>
      <c r="DZ152" s="118"/>
      <c r="EA152" s="118"/>
      <c r="EB152" s="118"/>
      <c r="EC152" s="118"/>
      <c r="ED152" s="118"/>
      <c r="EE152" s="118"/>
      <c r="EF152" s="118"/>
      <c r="EG152" s="118"/>
      <c r="EH152" s="118"/>
      <c r="EI152" s="118"/>
      <c r="EJ152" s="118"/>
      <c r="EK152" s="118"/>
      <c r="EL152" s="118"/>
      <c r="EM152" s="118"/>
      <c r="EN152" s="118"/>
      <c r="EO152" s="118"/>
      <c r="EP152" s="118"/>
      <c r="EQ152" s="118"/>
      <c r="ER152" s="118"/>
      <c r="ES152" s="118"/>
      <c r="ET152" s="118"/>
      <c r="EU152" s="118"/>
      <c r="EV152" s="118"/>
      <c r="EW152" s="118"/>
      <c r="EX152" s="118"/>
      <c r="EY152" s="118"/>
      <c r="EZ152" s="118"/>
      <c r="FA152" s="118"/>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c r="HW152" s="118"/>
      <c r="HX152" s="118"/>
      <c r="HY152" s="118"/>
      <c r="HZ152" s="118"/>
      <c r="IA152" s="118"/>
      <c r="IB152" s="118"/>
    </row>
    <row r="153" spans="1:236" s="80" customFormat="1" ht="14">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c r="EB153" s="118"/>
      <c r="EC153" s="118"/>
      <c r="ED153" s="118"/>
      <c r="EE153" s="118"/>
      <c r="EF153" s="118"/>
      <c r="EG153" s="118"/>
      <c r="EH153" s="118"/>
      <c r="EI153" s="118"/>
      <c r="EJ153" s="118"/>
      <c r="EK153" s="118"/>
      <c r="EL153" s="118"/>
      <c r="EM153" s="118"/>
      <c r="EN153" s="118"/>
      <c r="EO153" s="118"/>
      <c r="EP153" s="118"/>
      <c r="EQ153" s="118"/>
      <c r="ER153" s="118"/>
      <c r="ES153" s="118"/>
      <c r="ET153" s="118"/>
      <c r="EU153" s="118"/>
      <c r="EV153" s="118"/>
      <c r="EW153" s="118"/>
      <c r="EX153" s="118"/>
      <c r="EY153" s="118"/>
      <c r="EZ153" s="118"/>
      <c r="FA153" s="118"/>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c r="HW153" s="118"/>
      <c r="HX153" s="118"/>
      <c r="HY153" s="118"/>
      <c r="HZ153" s="118"/>
      <c r="IA153" s="118"/>
      <c r="IB153" s="118"/>
    </row>
    <row r="154" spans="1:236" s="80" customFormat="1" ht="1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18"/>
      <c r="DV154" s="118"/>
      <c r="DW154" s="118"/>
      <c r="DX154" s="118"/>
      <c r="DY154" s="118"/>
      <c r="DZ154" s="118"/>
      <c r="EA154" s="118"/>
      <c r="EB154" s="118"/>
      <c r="EC154" s="118"/>
      <c r="ED154" s="118"/>
      <c r="EE154" s="118"/>
      <c r="EF154" s="118"/>
      <c r="EG154" s="118"/>
      <c r="EH154" s="118"/>
      <c r="EI154" s="118"/>
      <c r="EJ154" s="118"/>
      <c r="EK154" s="118"/>
      <c r="EL154" s="118"/>
      <c r="EM154" s="118"/>
      <c r="EN154" s="118"/>
      <c r="EO154" s="118"/>
      <c r="EP154" s="118"/>
      <c r="EQ154" s="118"/>
      <c r="ER154" s="118"/>
      <c r="ES154" s="118"/>
      <c r="ET154" s="118"/>
      <c r="EU154" s="118"/>
      <c r="EV154" s="118"/>
      <c r="EW154" s="118"/>
      <c r="EX154" s="118"/>
      <c r="EY154" s="118"/>
      <c r="EZ154" s="118"/>
      <c r="FA154" s="118"/>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c r="HW154" s="118"/>
      <c r="HX154" s="118"/>
      <c r="HY154" s="118"/>
      <c r="HZ154" s="118"/>
      <c r="IA154" s="118"/>
      <c r="IB154" s="118"/>
    </row>
    <row r="155" spans="1:236" s="80" customFormat="1" ht="14">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c r="HW155" s="118"/>
      <c r="HX155" s="118"/>
      <c r="HY155" s="118"/>
      <c r="HZ155" s="118"/>
      <c r="IA155" s="118"/>
      <c r="IB155" s="118"/>
    </row>
    <row r="156" spans="1:236" s="80" customFormat="1" ht="14">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c r="HW156" s="118"/>
      <c r="HX156" s="118"/>
      <c r="HY156" s="118"/>
      <c r="HZ156" s="118"/>
      <c r="IA156" s="118"/>
      <c r="IB156" s="118"/>
    </row>
    <row r="157" spans="1:236" s="80" customFormat="1" ht="14">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18"/>
      <c r="DV157" s="118"/>
      <c r="DW157" s="118"/>
      <c r="DX157" s="118"/>
      <c r="DY157" s="118"/>
      <c r="DZ157" s="118"/>
      <c r="EA157" s="118"/>
      <c r="EB157" s="118"/>
      <c r="EC157" s="118"/>
      <c r="ED157" s="118"/>
      <c r="EE157" s="118"/>
      <c r="EF157" s="118"/>
      <c r="EG157" s="118"/>
      <c r="EH157" s="118"/>
      <c r="EI157" s="118"/>
      <c r="EJ157" s="118"/>
      <c r="EK157" s="118"/>
      <c r="EL157" s="118"/>
      <c r="EM157" s="118"/>
      <c r="EN157" s="118"/>
      <c r="EO157" s="118"/>
      <c r="EP157" s="118"/>
      <c r="EQ157" s="118"/>
      <c r="ER157" s="118"/>
      <c r="ES157" s="118"/>
      <c r="ET157" s="118"/>
      <c r="EU157" s="118"/>
      <c r="EV157" s="118"/>
      <c r="EW157" s="118"/>
      <c r="EX157" s="118"/>
      <c r="EY157" s="118"/>
      <c r="EZ157" s="118"/>
      <c r="FA157" s="118"/>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c r="HW157" s="118"/>
      <c r="HX157" s="118"/>
      <c r="HY157" s="118"/>
      <c r="HZ157" s="118"/>
      <c r="IA157" s="118"/>
      <c r="IB157" s="118"/>
    </row>
    <row r="158" spans="1:236" s="80" customFormat="1" ht="14">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18"/>
      <c r="DV158" s="118"/>
      <c r="DW158" s="118"/>
      <c r="DX158" s="118"/>
      <c r="DY158" s="118"/>
      <c r="DZ158" s="118"/>
      <c r="EA158" s="118"/>
      <c r="EB158" s="118"/>
      <c r="EC158" s="118"/>
      <c r="ED158" s="118"/>
      <c r="EE158" s="118"/>
      <c r="EF158" s="118"/>
      <c r="EG158" s="118"/>
      <c r="EH158" s="118"/>
      <c r="EI158" s="118"/>
      <c r="EJ158" s="118"/>
      <c r="EK158" s="118"/>
      <c r="EL158" s="118"/>
      <c r="EM158" s="118"/>
      <c r="EN158" s="118"/>
      <c r="EO158" s="118"/>
      <c r="EP158" s="118"/>
      <c r="EQ158" s="118"/>
      <c r="ER158" s="118"/>
      <c r="ES158" s="118"/>
      <c r="ET158" s="118"/>
      <c r="EU158" s="118"/>
      <c r="EV158" s="118"/>
      <c r="EW158" s="118"/>
      <c r="EX158" s="118"/>
      <c r="EY158" s="118"/>
      <c r="EZ158" s="118"/>
      <c r="FA158" s="118"/>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c r="HW158" s="118"/>
      <c r="HX158" s="118"/>
      <c r="HY158" s="118"/>
      <c r="HZ158" s="118"/>
      <c r="IA158" s="118"/>
      <c r="IB158" s="118"/>
    </row>
    <row r="159" spans="1:236" s="80" customFormat="1" ht="14">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c r="HW159" s="118"/>
      <c r="HX159" s="118"/>
      <c r="HY159" s="118"/>
      <c r="HZ159" s="118"/>
      <c r="IA159" s="118"/>
      <c r="IB159" s="118"/>
    </row>
    <row r="160" spans="1:236" s="80" customFormat="1" ht="14">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row>
    <row r="161" spans="1:236" s="80" customFormat="1" ht="14">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18"/>
      <c r="DV161" s="118"/>
      <c r="DW161" s="118"/>
      <c r="DX161" s="118"/>
      <c r="DY161" s="118"/>
      <c r="DZ161" s="118"/>
      <c r="EA161" s="118"/>
      <c r="EB161" s="118"/>
      <c r="EC161" s="118"/>
      <c r="ED161" s="118"/>
      <c r="EE161" s="118"/>
      <c r="EF161" s="118"/>
      <c r="EG161" s="118"/>
      <c r="EH161" s="118"/>
      <c r="EI161" s="118"/>
      <c r="EJ161" s="118"/>
      <c r="EK161" s="118"/>
      <c r="EL161" s="118"/>
      <c r="EM161" s="118"/>
      <c r="EN161" s="118"/>
      <c r="EO161" s="118"/>
      <c r="EP161" s="118"/>
      <c r="EQ161" s="118"/>
      <c r="ER161" s="118"/>
      <c r="ES161" s="118"/>
      <c r="ET161" s="118"/>
      <c r="EU161" s="118"/>
      <c r="EV161" s="118"/>
      <c r="EW161" s="118"/>
      <c r="EX161" s="118"/>
      <c r="EY161" s="118"/>
      <c r="EZ161" s="118"/>
      <c r="FA161" s="118"/>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row>
    <row r="162" spans="1:236" s="80" customFormat="1" ht="14">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18"/>
      <c r="DV162" s="118"/>
      <c r="DW162" s="118"/>
      <c r="DX162" s="118"/>
      <c r="DY162" s="118"/>
      <c r="DZ162" s="118"/>
      <c r="EA162" s="118"/>
      <c r="EB162" s="118"/>
      <c r="EC162" s="118"/>
      <c r="ED162" s="118"/>
      <c r="EE162" s="118"/>
      <c r="EF162" s="118"/>
      <c r="EG162" s="118"/>
      <c r="EH162" s="118"/>
      <c r="EI162" s="118"/>
      <c r="EJ162" s="118"/>
      <c r="EK162" s="118"/>
      <c r="EL162" s="118"/>
      <c r="EM162" s="118"/>
      <c r="EN162" s="118"/>
      <c r="EO162" s="118"/>
      <c r="EP162" s="118"/>
      <c r="EQ162" s="118"/>
      <c r="ER162" s="118"/>
      <c r="ES162" s="118"/>
      <c r="ET162" s="118"/>
      <c r="EU162" s="118"/>
      <c r="EV162" s="118"/>
      <c r="EW162" s="118"/>
      <c r="EX162" s="118"/>
      <c r="EY162" s="118"/>
      <c r="EZ162" s="118"/>
      <c r="FA162" s="118"/>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c r="HW162" s="118"/>
      <c r="HX162" s="118"/>
      <c r="HY162" s="118"/>
      <c r="HZ162" s="118"/>
      <c r="IA162" s="118"/>
      <c r="IB162" s="118"/>
    </row>
    <row r="163" spans="1:236" s="80" customFormat="1" ht="14">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18"/>
      <c r="DV163" s="118"/>
      <c r="DW163" s="118"/>
      <c r="DX163" s="118"/>
      <c r="DY163" s="118"/>
      <c r="DZ163" s="118"/>
      <c r="EA163" s="118"/>
      <c r="EB163" s="118"/>
      <c r="EC163" s="118"/>
      <c r="ED163" s="118"/>
      <c r="EE163" s="118"/>
      <c r="EF163" s="118"/>
      <c r="EG163" s="118"/>
      <c r="EH163" s="118"/>
      <c r="EI163" s="118"/>
      <c r="EJ163" s="118"/>
      <c r="EK163" s="118"/>
      <c r="EL163" s="118"/>
      <c r="EM163" s="118"/>
      <c r="EN163" s="118"/>
      <c r="EO163" s="118"/>
      <c r="EP163" s="118"/>
      <c r="EQ163" s="118"/>
      <c r="ER163" s="118"/>
      <c r="ES163" s="118"/>
      <c r="ET163" s="118"/>
      <c r="EU163" s="118"/>
      <c r="EV163" s="118"/>
      <c r="EW163" s="118"/>
      <c r="EX163" s="118"/>
      <c r="EY163" s="118"/>
      <c r="EZ163" s="118"/>
      <c r="FA163" s="118"/>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c r="HW163" s="118"/>
      <c r="HX163" s="118"/>
      <c r="HY163" s="118"/>
      <c r="HZ163" s="118"/>
      <c r="IA163" s="118"/>
      <c r="IB163" s="118"/>
    </row>
    <row r="164" spans="1:236" s="80" customFormat="1" ht="14">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c r="HW164" s="118"/>
      <c r="HX164" s="118"/>
      <c r="HY164" s="118"/>
      <c r="HZ164" s="118"/>
      <c r="IA164" s="118"/>
      <c r="IB164" s="118"/>
    </row>
    <row r="165" spans="1:236" s="80" customFormat="1" ht="14">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row>
    <row r="166" spans="1:236" s="80" customFormat="1" ht="14">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18"/>
      <c r="DV166" s="118"/>
      <c r="DW166" s="118"/>
      <c r="DX166" s="118"/>
      <c r="DY166" s="118"/>
      <c r="DZ166" s="118"/>
      <c r="EA166" s="118"/>
      <c r="EB166" s="118"/>
      <c r="EC166" s="118"/>
      <c r="ED166" s="118"/>
      <c r="EE166" s="118"/>
      <c r="EF166" s="118"/>
      <c r="EG166" s="118"/>
      <c r="EH166" s="118"/>
      <c r="EI166" s="118"/>
      <c r="EJ166" s="118"/>
      <c r="EK166" s="118"/>
      <c r="EL166" s="118"/>
      <c r="EM166" s="118"/>
      <c r="EN166" s="118"/>
      <c r="EO166" s="118"/>
      <c r="EP166" s="118"/>
      <c r="EQ166" s="118"/>
      <c r="ER166" s="118"/>
      <c r="ES166" s="118"/>
      <c r="ET166" s="118"/>
      <c r="EU166" s="118"/>
      <c r="EV166" s="118"/>
      <c r="EW166" s="118"/>
      <c r="EX166" s="118"/>
      <c r="EY166" s="118"/>
      <c r="EZ166" s="118"/>
      <c r="FA166" s="118"/>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c r="HW166" s="118"/>
      <c r="HX166" s="118"/>
      <c r="HY166" s="118"/>
      <c r="HZ166" s="118"/>
      <c r="IA166" s="118"/>
      <c r="IB166" s="118"/>
    </row>
    <row r="167" spans="1:236" s="80" customFormat="1" ht="14">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18"/>
      <c r="DV167" s="118"/>
      <c r="DW167" s="118"/>
      <c r="DX167" s="118"/>
      <c r="DY167" s="118"/>
      <c r="DZ167" s="118"/>
      <c r="EA167" s="118"/>
      <c r="EB167" s="118"/>
      <c r="EC167" s="118"/>
      <c r="ED167" s="118"/>
      <c r="EE167" s="118"/>
      <c r="EF167" s="118"/>
      <c r="EG167" s="118"/>
      <c r="EH167" s="118"/>
      <c r="EI167" s="118"/>
      <c r="EJ167" s="118"/>
      <c r="EK167" s="118"/>
      <c r="EL167" s="118"/>
      <c r="EM167" s="118"/>
      <c r="EN167" s="118"/>
      <c r="EO167" s="118"/>
      <c r="EP167" s="118"/>
      <c r="EQ167" s="118"/>
      <c r="ER167" s="118"/>
      <c r="ES167" s="118"/>
      <c r="ET167" s="118"/>
      <c r="EU167" s="118"/>
      <c r="EV167" s="118"/>
      <c r="EW167" s="118"/>
      <c r="EX167" s="118"/>
      <c r="EY167" s="118"/>
      <c r="EZ167" s="118"/>
      <c r="FA167" s="118"/>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c r="HW167" s="118"/>
      <c r="HX167" s="118"/>
      <c r="HY167" s="118"/>
      <c r="HZ167" s="118"/>
      <c r="IA167" s="118"/>
      <c r="IB167" s="118"/>
    </row>
    <row r="168" spans="1:236" s="80" customFormat="1" ht="14">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18"/>
      <c r="DV168" s="118"/>
      <c r="DW168" s="118"/>
      <c r="DX168" s="118"/>
      <c r="DY168" s="118"/>
      <c r="DZ168" s="118"/>
      <c r="EA168" s="118"/>
      <c r="EB168" s="118"/>
      <c r="EC168" s="118"/>
      <c r="ED168" s="118"/>
      <c r="EE168" s="118"/>
      <c r="EF168" s="118"/>
      <c r="EG168" s="118"/>
      <c r="EH168" s="118"/>
      <c r="EI168" s="118"/>
      <c r="EJ168" s="118"/>
      <c r="EK168" s="118"/>
      <c r="EL168" s="118"/>
      <c r="EM168" s="118"/>
      <c r="EN168" s="118"/>
      <c r="EO168" s="118"/>
      <c r="EP168" s="118"/>
      <c r="EQ168" s="118"/>
      <c r="ER168" s="118"/>
      <c r="ES168" s="118"/>
      <c r="ET168" s="118"/>
      <c r="EU168" s="118"/>
      <c r="EV168" s="118"/>
      <c r="EW168" s="118"/>
      <c r="EX168" s="118"/>
      <c r="EY168" s="118"/>
      <c r="EZ168" s="118"/>
      <c r="FA168" s="118"/>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c r="HW168" s="118"/>
      <c r="HX168" s="118"/>
      <c r="HY168" s="118"/>
      <c r="HZ168" s="118"/>
      <c r="IA168" s="118"/>
      <c r="IB168" s="118"/>
    </row>
    <row r="169" spans="1:236" s="80" customFormat="1" ht="14">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18"/>
      <c r="DV169" s="118"/>
      <c r="DW169" s="118"/>
      <c r="DX169" s="118"/>
      <c r="DY169" s="118"/>
      <c r="DZ169" s="118"/>
      <c r="EA169" s="118"/>
      <c r="EB169" s="118"/>
      <c r="EC169" s="118"/>
      <c r="ED169" s="118"/>
      <c r="EE169" s="118"/>
      <c r="EF169" s="118"/>
      <c r="EG169" s="118"/>
      <c r="EH169" s="118"/>
      <c r="EI169" s="118"/>
      <c r="EJ169" s="118"/>
      <c r="EK169" s="118"/>
      <c r="EL169" s="118"/>
      <c r="EM169" s="118"/>
      <c r="EN169" s="118"/>
      <c r="EO169" s="118"/>
      <c r="EP169" s="118"/>
      <c r="EQ169" s="118"/>
      <c r="ER169" s="118"/>
      <c r="ES169" s="118"/>
      <c r="ET169" s="118"/>
      <c r="EU169" s="118"/>
      <c r="EV169" s="118"/>
      <c r="EW169" s="118"/>
      <c r="EX169" s="118"/>
      <c r="EY169" s="118"/>
      <c r="EZ169" s="118"/>
      <c r="FA169" s="118"/>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c r="HW169" s="118"/>
      <c r="HX169" s="118"/>
      <c r="HY169" s="118"/>
      <c r="HZ169" s="118"/>
      <c r="IA169" s="118"/>
      <c r="IB169" s="118"/>
    </row>
    <row r="170" spans="1:236" s="80" customFormat="1" ht="14">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row>
    <row r="171" spans="1:236" s="80" customFormat="1" ht="14">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18"/>
      <c r="DV171" s="118"/>
      <c r="DW171" s="118"/>
      <c r="DX171" s="118"/>
      <c r="DY171" s="118"/>
      <c r="DZ171" s="118"/>
      <c r="EA171" s="118"/>
      <c r="EB171" s="118"/>
      <c r="EC171" s="118"/>
      <c r="ED171" s="118"/>
      <c r="EE171" s="118"/>
      <c r="EF171" s="118"/>
      <c r="EG171" s="118"/>
      <c r="EH171" s="118"/>
      <c r="EI171" s="118"/>
      <c r="EJ171" s="118"/>
      <c r="EK171" s="118"/>
      <c r="EL171" s="118"/>
      <c r="EM171" s="118"/>
      <c r="EN171" s="118"/>
      <c r="EO171" s="118"/>
      <c r="EP171" s="118"/>
      <c r="EQ171" s="118"/>
      <c r="ER171" s="118"/>
      <c r="ES171" s="118"/>
      <c r="ET171" s="118"/>
      <c r="EU171" s="118"/>
      <c r="EV171" s="118"/>
      <c r="EW171" s="118"/>
      <c r="EX171" s="118"/>
      <c r="EY171" s="118"/>
      <c r="EZ171" s="118"/>
      <c r="FA171" s="118"/>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c r="HW171" s="118"/>
      <c r="HX171" s="118"/>
      <c r="HY171" s="118"/>
      <c r="HZ171" s="118"/>
      <c r="IA171" s="118"/>
      <c r="IB171" s="118"/>
    </row>
    <row r="172" spans="1:236" s="80" customFormat="1" ht="14">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18"/>
      <c r="DV172" s="118"/>
      <c r="DW172" s="118"/>
      <c r="DX172" s="118"/>
      <c r="DY172" s="118"/>
      <c r="DZ172" s="118"/>
      <c r="EA172" s="118"/>
      <c r="EB172" s="118"/>
      <c r="EC172" s="118"/>
      <c r="ED172" s="118"/>
      <c r="EE172" s="118"/>
      <c r="EF172" s="118"/>
      <c r="EG172" s="118"/>
      <c r="EH172" s="118"/>
      <c r="EI172" s="118"/>
      <c r="EJ172" s="118"/>
      <c r="EK172" s="118"/>
      <c r="EL172" s="118"/>
      <c r="EM172" s="118"/>
      <c r="EN172" s="118"/>
      <c r="EO172" s="118"/>
      <c r="EP172" s="118"/>
      <c r="EQ172" s="118"/>
      <c r="ER172" s="118"/>
      <c r="ES172" s="118"/>
      <c r="ET172" s="118"/>
      <c r="EU172" s="118"/>
      <c r="EV172" s="118"/>
      <c r="EW172" s="118"/>
      <c r="EX172" s="118"/>
      <c r="EY172" s="118"/>
      <c r="EZ172" s="118"/>
      <c r="FA172" s="118"/>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c r="HW172" s="118"/>
      <c r="HX172" s="118"/>
      <c r="HY172" s="118"/>
      <c r="HZ172" s="118"/>
      <c r="IA172" s="118"/>
      <c r="IB172" s="118"/>
    </row>
    <row r="173" spans="1:236" s="80" customFormat="1" ht="14">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18"/>
      <c r="DV173" s="118"/>
      <c r="DW173" s="118"/>
      <c r="DX173" s="118"/>
      <c r="DY173" s="118"/>
      <c r="DZ173" s="118"/>
      <c r="EA173" s="118"/>
      <c r="EB173" s="118"/>
      <c r="EC173" s="118"/>
      <c r="ED173" s="118"/>
      <c r="EE173" s="118"/>
      <c r="EF173" s="118"/>
      <c r="EG173" s="118"/>
      <c r="EH173" s="118"/>
      <c r="EI173" s="118"/>
      <c r="EJ173" s="118"/>
      <c r="EK173" s="118"/>
      <c r="EL173" s="118"/>
      <c r="EM173" s="118"/>
      <c r="EN173" s="118"/>
      <c r="EO173" s="118"/>
      <c r="EP173" s="118"/>
      <c r="EQ173" s="118"/>
      <c r="ER173" s="118"/>
      <c r="ES173" s="118"/>
      <c r="ET173" s="118"/>
      <c r="EU173" s="118"/>
      <c r="EV173" s="118"/>
      <c r="EW173" s="118"/>
      <c r="EX173" s="118"/>
      <c r="EY173" s="118"/>
      <c r="EZ173" s="118"/>
      <c r="FA173" s="118"/>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c r="HW173" s="118"/>
      <c r="HX173" s="118"/>
      <c r="HY173" s="118"/>
      <c r="HZ173" s="118"/>
      <c r="IA173" s="118"/>
      <c r="IB173" s="118"/>
    </row>
    <row r="174" spans="1:236">
      <c r="A174" s="118"/>
      <c r="B174" s="118"/>
      <c r="C174" s="118"/>
      <c r="D174" s="118"/>
      <c r="E174" s="118"/>
      <c r="F174" s="118"/>
      <c r="G174" s="118"/>
      <c r="H174" s="118"/>
      <c r="I174" s="118"/>
      <c r="J174" s="118"/>
      <c r="K174" s="118"/>
      <c r="L174" s="118"/>
      <c r="M174" s="118"/>
      <c r="N174" s="118"/>
      <c r="O174" s="118"/>
      <c r="P174" s="118"/>
      <c r="Q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row>
    <row r="175" spans="1:236">
      <c r="A175" s="118"/>
      <c r="B175" s="118"/>
      <c r="C175" s="118"/>
      <c r="D175" s="118"/>
      <c r="E175" s="118"/>
      <c r="F175" s="118"/>
      <c r="G175" s="118"/>
      <c r="H175" s="118"/>
      <c r="I175" s="118"/>
      <c r="J175" s="118"/>
      <c r="K175" s="118"/>
      <c r="L175" s="118"/>
      <c r="M175" s="118"/>
      <c r="N175" s="118"/>
      <c r="O175" s="118"/>
      <c r="P175" s="118"/>
      <c r="Q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18"/>
      <c r="DV175" s="118"/>
      <c r="DW175" s="118"/>
      <c r="DX175" s="118"/>
      <c r="DY175" s="118"/>
      <c r="DZ175" s="118"/>
      <c r="EA175" s="118"/>
      <c r="EB175" s="118"/>
      <c r="EC175" s="118"/>
      <c r="ED175" s="118"/>
      <c r="EE175" s="118"/>
      <c r="EF175" s="118"/>
      <c r="EG175" s="118"/>
      <c r="EH175" s="118"/>
      <c r="EI175" s="118"/>
      <c r="EJ175" s="118"/>
      <c r="EK175" s="118"/>
      <c r="EL175" s="118"/>
      <c r="EM175" s="118"/>
      <c r="EN175" s="118"/>
      <c r="EO175" s="118"/>
      <c r="EP175" s="118"/>
      <c r="EQ175" s="118"/>
      <c r="ER175" s="118"/>
      <c r="ES175" s="118"/>
      <c r="ET175" s="118"/>
      <c r="EU175" s="118"/>
      <c r="EV175" s="118"/>
      <c r="EW175" s="118"/>
      <c r="EX175" s="118"/>
      <c r="EY175" s="118"/>
      <c r="EZ175" s="118"/>
      <c r="FA175" s="118"/>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c r="HW175" s="118"/>
      <c r="HX175" s="118"/>
      <c r="HY175" s="118"/>
      <c r="HZ175" s="118"/>
      <c r="IA175" s="118"/>
      <c r="IB175" s="118"/>
    </row>
    <row r="176" spans="1:236">
      <c r="A176" s="118"/>
      <c r="B176" s="118"/>
      <c r="C176" s="118"/>
      <c r="D176" s="118"/>
      <c r="E176" s="118"/>
      <c r="F176" s="118"/>
      <c r="G176" s="118"/>
      <c r="H176" s="118"/>
      <c r="I176" s="118"/>
      <c r="J176" s="118"/>
      <c r="K176" s="118"/>
      <c r="L176" s="118"/>
      <c r="M176" s="118"/>
      <c r="N176" s="118"/>
      <c r="O176" s="118"/>
      <c r="P176" s="118"/>
      <c r="Q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18"/>
      <c r="DV176" s="118"/>
      <c r="DW176" s="118"/>
      <c r="DX176" s="118"/>
      <c r="DY176" s="118"/>
      <c r="DZ176" s="118"/>
      <c r="EA176" s="118"/>
      <c r="EB176" s="118"/>
      <c r="EC176" s="118"/>
      <c r="ED176" s="118"/>
      <c r="EE176" s="118"/>
      <c r="EF176" s="118"/>
      <c r="EG176" s="118"/>
      <c r="EH176" s="118"/>
      <c r="EI176" s="118"/>
      <c r="EJ176" s="118"/>
      <c r="EK176" s="118"/>
      <c r="EL176" s="118"/>
      <c r="EM176" s="118"/>
      <c r="EN176" s="118"/>
      <c r="EO176" s="118"/>
      <c r="EP176" s="118"/>
      <c r="EQ176" s="118"/>
      <c r="ER176" s="118"/>
      <c r="ES176" s="118"/>
      <c r="ET176" s="118"/>
      <c r="EU176" s="118"/>
      <c r="EV176" s="118"/>
      <c r="EW176" s="118"/>
      <c r="EX176" s="118"/>
      <c r="EY176" s="118"/>
      <c r="EZ176" s="118"/>
      <c r="FA176" s="118"/>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c r="HW176" s="118"/>
      <c r="HX176" s="118"/>
      <c r="HY176" s="118"/>
      <c r="HZ176" s="118"/>
      <c r="IA176" s="118"/>
      <c r="IB176" s="118"/>
    </row>
    <row r="177" spans="1:236">
      <c r="A177" s="118"/>
      <c r="B177" s="118"/>
      <c r="C177" s="118"/>
      <c r="D177" s="118"/>
      <c r="E177" s="118"/>
      <c r="F177" s="118"/>
      <c r="G177" s="118"/>
      <c r="H177" s="118"/>
      <c r="I177" s="118"/>
      <c r="J177" s="118"/>
      <c r="K177" s="118"/>
      <c r="L177" s="118"/>
      <c r="M177" s="118"/>
      <c r="N177" s="118"/>
      <c r="O177" s="118"/>
      <c r="P177" s="118"/>
      <c r="Q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18"/>
      <c r="DV177" s="118"/>
      <c r="DW177" s="118"/>
      <c r="DX177" s="118"/>
      <c r="DY177" s="118"/>
      <c r="DZ177" s="118"/>
      <c r="EA177" s="118"/>
      <c r="EB177" s="118"/>
      <c r="EC177" s="118"/>
      <c r="ED177" s="118"/>
      <c r="EE177" s="118"/>
      <c r="EF177" s="118"/>
      <c r="EG177" s="118"/>
      <c r="EH177" s="118"/>
      <c r="EI177" s="118"/>
      <c r="EJ177" s="118"/>
      <c r="EK177" s="118"/>
      <c r="EL177" s="118"/>
      <c r="EM177" s="118"/>
      <c r="EN177" s="118"/>
      <c r="EO177" s="118"/>
      <c r="EP177" s="118"/>
      <c r="EQ177" s="118"/>
      <c r="ER177" s="118"/>
      <c r="ES177" s="118"/>
      <c r="ET177" s="118"/>
      <c r="EU177" s="118"/>
      <c r="EV177" s="118"/>
      <c r="EW177" s="118"/>
      <c r="EX177" s="118"/>
      <c r="EY177" s="118"/>
      <c r="EZ177" s="118"/>
      <c r="FA177" s="118"/>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c r="HW177" s="118"/>
      <c r="HX177" s="118"/>
      <c r="HY177" s="118"/>
      <c r="HZ177" s="118"/>
      <c r="IA177" s="118"/>
      <c r="IB177" s="118"/>
    </row>
    <row r="178" spans="1:236">
      <c r="A178" s="118"/>
      <c r="B178" s="118"/>
      <c r="C178" s="118"/>
      <c r="D178" s="118"/>
      <c r="E178" s="118"/>
      <c r="F178" s="118"/>
      <c r="G178" s="118"/>
      <c r="H178" s="118"/>
      <c r="I178" s="118"/>
      <c r="J178" s="118"/>
      <c r="K178" s="118"/>
      <c r="L178" s="118"/>
      <c r="M178" s="118"/>
      <c r="N178" s="118"/>
      <c r="O178" s="118"/>
      <c r="P178" s="118"/>
      <c r="Q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18"/>
      <c r="DV178" s="118"/>
      <c r="DW178" s="118"/>
      <c r="DX178" s="118"/>
      <c r="DY178" s="118"/>
      <c r="DZ178" s="118"/>
      <c r="EA178" s="118"/>
      <c r="EB178" s="118"/>
      <c r="EC178" s="118"/>
      <c r="ED178" s="118"/>
      <c r="EE178" s="118"/>
      <c r="EF178" s="118"/>
      <c r="EG178" s="118"/>
      <c r="EH178" s="118"/>
      <c r="EI178" s="118"/>
      <c r="EJ178" s="118"/>
      <c r="EK178" s="118"/>
      <c r="EL178" s="118"/>
      <c r="EM178" s="118"/>
      <c r="EN178" s="118"/>
      <c r="EO178" s="118"/>
      <c r="EP178" s="118"/>
      <c r="EQ178" s="118"/>
      <c r="ER178" s="118"/>
      <c r="ES178" s="118"/>
      <c r="ET178" s="118"/>
      <c r="EU178" s="118"/>
      <c r="EV178" s="118"/>
      <c r="EW178" s="118"/>
      <c r="EX178" s="118"/>
      <c r="EY178" s="118"/>
      <c r="EZ178" s="118"/>
      <c r="FA178" s="118"/>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c r="HW178" s="118"/>
      <c r="HX178" s="118"/>
      <c r="HY178" s="118"/>
      <c r="HZ178" s="118"/>
      <c r="IA178" s="118"/>
      <c r="IB178" s="11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1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60"/>
  <sheetViews>
    <sheetView showGridLines="0" zoomScale="85" zoomScaleNormal="85" workbookViewId="0">
      <selection activeCell="A16" sqref="A16"/>
    </sheetView>
  </sheetViews>
  <sheetFormatPr baseColWidth="10" defaultColWidth="11.26953125" defaultRowHeight="14" outlineLevelCol="1"/>
  <cols>
    <col min="1" max="1" width="54.7265625" style="5" customWidth="1"/>
    <col min="2" max="2" width="18.81640625" style="5" customWidth="1" outlineLevel="1"/>
    <col min="3" max="3" width="20.1796875" style="5" customWidth="1"/>
    <col min="4" max="4" width="18.54296875" style="5" customWidth="1"/>
    <col min="5" max="5" width="17.26953125" style="5" customWidth="1" outlineLevel="1"/>
    <col min="6" max="6" width="18.1796875" style="5" customWidth="1" outlineLevel="1"/>
    <col min="7" max="7" width="16.81640625" style="5" bestFit="1" customWidth="1"/>
    <col min="8" max="8" width="16.453125" style="5" customWidth="1"/>
    <col min="9" max="9" width="14.7265625" style="5" customWidth="1"/>
    <col min="10" max="10" width="13.26953125" style="5" customWidth="1"/>
    <col min="11" max="11" width="20" style="5" customWidth="1"/>
    <col min="12" max="12" width="11.26953125" style="5"/>
    <col min="13" max="13" width="14.7265625" style="5" bestFit="1" customWidth="1"/>
    <col min="14" max="16384" width="11.26953125" style="5"/>
  </cols>
  <sheetData>
    <row r="1" spans="1:13" ht="14.5" thickBot="1">
      <c r="B1" s="1"/>
      <c r="C1" s="1">
        <v>7.2405999999999997</v>
      </c>
      <c r="D1" s="3"/>
      <c r="E1" s="4"/>
      <c r="F1" s="4"/>
      <c r="G1" s="2"/>
      <c r="H1" s="2"/>
    </row>
    <row r="2" spans="1:13" s="30" customFormat="1" ht="21.75" customHeight="1" thickTop="1" thickBot="1">
      <c r="A2" s="592" t="str">
        <f>CONCATENATE("ESTRUCTURAS DE PRECIOS DE COMBUSTIBLES LIQUIDOS VIGENTES A PARTIR DE ",TEXT($A$54, "dd MMM yyyy"),)</f>
        <v>ESTRUCTURAS DE PRECIOS DE COMBUSTIBLES LIQUIDOS VIGENTES A PARTIR DE 01 de Febrero de 2024</v>
      </c>
      <c r="B2" s="593"/>
      <c r="C2" s="593"/>
      <c r="D2" s="593"/>
      <c r="E2" s="593"/>
      <c r="F2" s="593"/>
      <c r="G2" s="593"/>
      <c r="H2" s="593"/>
      <c r="I2" s="594"/>
    </row>
    <row r="3" spans="1:13" s="30" customFormat="1" ht="21.75" customHeight="1" thickTop="1" thickBot="1">
      <c r="A3" s="595" t="s">
        <v>0</v>
      </c>
      <c r="B3" s="596"/>
      <c r="C3" s="596"/>
      <c r="D3" s="596"/>
      <c r="E3" s="596"/>
      <c r="F3" s="596"/>
      <c r="G3" s="596"/>
      <c r="H3" s="596"/>
      <c r="I3" s="597"/>
      <c r="K3" s="383"/>
      <c r="M3" s="407"/>
    </row>
    <row r="4" spans="1:13" s="27" customFormat="1" ht="23.9" customHeight="1" thickTop="1">
      <c r="A4" s="704" t="s">
        <v>1</v>
      </c>
      <c r="B4" s="706" t="s">
        <v>22</v>
      </c>
      <c r="C4" s="708" t="s">
        <v>339</v>
      </c>
      <c r="D4" s="709"/>
      <c r="E4" s="706" t="s">
        <v>269</v>
      </c>
      <c r="F4" s="708" t="s">
        <v>268</v>
      </c>
      <c r="G4" s="710"/>
      <c r="H4" s="711" t="s">
        <v>268</v>
      </c>
      <c r="I4" s="711"/>
      <c r="J4" s="382"/>
      <c r="K4" s="382"/>
      <c r="M4" s="406"/>
    </row>
    <row r="5" spans="1:13" s="27" customFormat="1" ht="42" customHeight="1">
      <c r="A5" s="704"/>
      <c r="B5" s="707"/>
      <c r="C5" s="35" t="s">
        <v>348</v>
      </c>
      <c r="D5" s="35" t="s">
        <v>347</v>
      </c>
      <c r="E5" s="707"/>
      <c r="F5" s="217" t="s">
        <v>272</v>
      </c>
      <c r="G5" s="217" t="s">
        <v>273</v>
      </c>
      <c r="H5" s="575" t="s">
        <v>279</v>
      </c>
      <c r="I5" s="217" t="s">
        <v>280</v>
      </c>
      <c r="J5" s="382"/>
      <c r="K5" s="383"/>
    </row>
    <row r="6" spans="1:13" s="27" customFormat="1" ht="23.9" customHeight="1" thickBot="1">
      <c r="A6" s="705"/>
      <c r="B6" s="111" t="str">
        <f>+A54</f>
        <v>01 de Febrero de 2024</v>
      </c>
      <c r="C6" s="111" t="str">
        <f>+B6</f>
        <v>01 de Febrero de 2024</v>
      </c>
      <c r="D6" s="112" t="str">
        <f>+A54</f>
        <v>01 de Febrero de 2024</v>
      </c>
      <c r="E6" s="111" t="str">
        <f>+D6</f>
        <v>01 de Febrero de 2024</v>
      </c>
      <c r="F6" s="218" t="str">
        <f>+E6</f>
        <v>01 de Febrero de 2024</v>
      </c>
      <c r="G6" s="218" t="str">
        <f>+F6</f>
        <v>01 de Febrero de 2024</v>
      </c>
      <c r="H6" s="576" t="str">
        <f>+E6</f>
        <v>01 de Febrero de 2024</v>
      </c>
      <c r="I6" s="218" t="str">
        <f>+H6</f>
        <v>01 de Febrero de 2024</v>
      </c>
      <c r="K6" s="383"/>
    </row>
    <row r="7" spans="1:13" ht="22.75" customHeight="1" thickTop="1">
      <c r="A7" s="598" t="s">
        <v>3</v>
      </c>
      <c r="B7" s="599">
        <v>10304.700000000001</v>
      </c>
      <c r="C7" s="599">
        <v>13220</v>
      </c>
      <c r="D7" s="599">
        <v>13406</v>
      </c>
      <c r="E7" s="599">
        <v>4743.38</v>
      </c>
      <c r="F7" s="599">
        <v>18426</v>
      </c>
      <c r="G7" s="599">
        <v>18612.32</v>
      </c>
      <c r="H7" s="600" t="s">
        <v>284</v>
      </c>
      <c r="I7" s="601" t="s">
        <v>284</v>
      </c>
      <c r="J7" s="334"/>
      <c r="K7" s="417"/>
    </row>
    <row r="8" spans="1:13" ht="22.75" customHeight="1">
      <c r="A8" s="58" t="s">
        <v>41</v>
      </c>
      <c r="B8" s="611">
        <f>+'Resoluciones, leyes'!$T$153</f>
        <v>9.16</v>
      </c>
      <c r="C8" s="611">
        <f>+'Resoluciones, leyes'!$T$153</f>
        <v>9.16</v>
      </c>
      <c r="D8" s="611">
        <f>+'Resoluciones, leyes'!$T$153</f>
        <v>9.16</v>
      </c>
      <c r="E8" s="611">
        <f>+'Resoluciones, leyes'!$T$153</f>
        <v>9.16</v>
      </c>
      <c r="F8" s="611"/>
      <c r="G8" s="611"/>
      <c r="H8" s="611"/>
      <c r="I8" s="612"/>
      <c r="J8" s="334"/>
      <c r="K8" s="416"/>
    </row>
    <row r="9" spans="1:13" ht="22.75" customHeight="1">
      <c r="A9" s="58" t="s">
        <v>183</v>
      </c>
      <c r="B9" s="613" t="s">
        <v>10</v>
      </c>
      <c r="C9" s="613" t="s">
        <v>10</v>
      </c>
      <c r="D9" s="613" t="s">
        <v>10</v>
      </c>
      <c r="E9" s="613" t="s">
        <v>10</v>
      </c>
      <c r="F9" s="613" t="s">
        <v>10</v>
      </c>
      <c r="G9" s="613" t="s">
        <v>10</v>
      </c>
      <c r="H9" s="614" t="s">
        <v>10</v>
      </c>
      <c r="I9" s="615" t="s">
        <v>10</v>
      </c>
      <c r="K9" s="416"/>
    </row>
    <row r="10" spans="1:13" ht="21.75" customHeight="1">
      <c r="A10" s="58" t="s">
        <v>190</v>
      </c>
      <c r="B10" s="611">
        <f>71.51*0</f>
        <v>0</v>
      </c>
      <c r="C10" s="611">
        <f>B10</f>
        <v>0</v>
      </c>
      <c r="D10" s="611">
        <f>B10</f>
        <v>0</v>
      </c>
      <c r="E10" s="611">
        <f>B10</f>
        <v>0</v>
      </c>
      <c r="F10" s="611"/>
      <c r="G10" s="611"/>
      <c r="H10" s="602"/>
      <c r="I10" s="603"/>
      <c r="K10" s="415" t="s">
        <v>282</v>
      </c>
    </row>
    <row r="11" spans="1:13" ht="22.75" customHeight="1">
      <c r="A11" s="58" t="s">
        <v>330</v>
      </c>
      <c r="B11" s="611">
        <f>+'Resoluciones, leyes'!V33</f>
        <v>724.7</v>
      </c>
      <c r="C11" s="611">
        <f>+'Resoluciones, leyes'!$V$34</f>
        <v>1375.46</v>
      </c>
      <c r="D11" s="611">
        <f>+'Resoluciones, leyes'!$V$34</f>
        <v>1375.46</v>
      </c>
      <c r="E11" s="611">
        <f>+'Resoluciones, leyes'!V35</f>
        <v>693.65</v>
      </c>
      <c r="F11" s="613"/>
      <c r="G11" s="613"/>
      <c r="H11" s="616"/>
      <c r="I11" s="603"/>
      <c r="J11" s="333"/>
      <c r="K11" s="415" t="s">
        <v>282</v>
      </c>
    </row>
    <row r="12" spans="1:13" ht="22.75" customHeight="1">
      <c r="A12" s="58" t="s">
        <v>211</v>
      </c>
      <c r="B12" s="617" t="s">
        <v>246</v>
      </c>
      <c r="C12" s="617" t="s">
        <v>246</v>
      </c>
      <c r="D12" s="617" t="s">
        <v>246</v>
      </c>
      <c r="E12" s="617" t="s">
        <v>246</v>
      </c>
      <c r="F12" s="617" t="s">
        <v>246</v>
      </c>
      <c r="G12" s="617" t="s">
        <v>246</v>
      </c>
      <c r="H12" s="617" t="s">
        <v>416</v>
      </c>
      <c r="I12" s="618" t="s">
        <v>416</v>
      </c>
      <c r="K12" s="415"/>
    </row>
    <row r="13" spans="1:13" ht="22.75" customHeight="1">
      <c r="A13" s="58" t="s">
        <v>238</v>
      </c>
      <c r="B13" s="616">
        <f>+'Resoluciones, leyes'!$V$89</f>
        <v>186.37</v>
      </c>
      <c r="C13" s="616">
        <f>+'Resoluciones, leyes'!$V$89</f>
        <v>186.37</v>
      </c>
      <c r="D13" s="616">
        <f>+'Resoluciones, leyes'!$V$89</f>
        <v>186.37</v>
      </c>
      <c r="E13" s="616">
        <f>+'Resoluciones, leyes'!$V$91</f>
        <v>210.63</v>
      </c>
      <c r="F13" s="616"/>
      <c r="G13" s="602"/>
      <c r="H13" s="611"/>
      <c r="I13" s="603"/>
      <c r="K13" s="415" t="s">
        <v>282</v>
      </c>
    </row>
    <row r="14" spans="1:13" ht="22.75" customHeight="1">
      <c r="A14" s="58" t="s">
        <v>20</v>
      </c>
      <c r="B14" s="614" t="s">
        <v>11</v>
      </c>
      <c r="C14" s="614" t="s">
        <v>11</v>
      </c>
      <c r="D14" s="614" t="s">
        <v>11</v>
      </c>
      <c r="E14" s="614" t="s">
        <v>11</v>
      </c>
      <c r="F14" s="614"/>
      <c r="G14" s="614"/>
      <c r="H14" s="614"/>
      <c r="I14" s="615"/>
    </row>
    <row r="15" spans="1:13" ht="22.75" customHeight="1">
      <c r="A15" s="58" t="s">
        <v>174</v>
      </c>
      <c r="B15" s="614" t="s">
        <v>19</v>
      </c>
      <c r="C15" s="614"/>
      <c r="D15" s="614"/>
      <c r="E15" s="614" t="str">
        <f>+B15</f>
        <v>(***)</v>
      </c>
      <c r="F15" s="602"/>
      <c r="G15" s="602"/>
      <c r="H15" s="602"/>
      <c r="I15" s="603"/>
      <c r="J15" s="334"/>
    </row>
    <row r="16" spans="1:13" ht="22.75" customHeight="1">
      <c r="A16" s="58" t="s">
        <v>318</v>
      </c>
      <c r="B16" s="619" t="s">
        <v>320</v>
      </c>
      <c r="C16" s="619" t="s">
        <v>320</v>
      </c>
      <c r="D16" s="619" t="s">
        <v>320</v>
      </c>
      <c r="E16" s="619" t="s">
        <v>320</v>
      </c>
      <c r="F16" s="604" t="s">
        <v>2</v>
      </c>
      <c r="G16" s="604" t="s">
        <v>2</v>
      </c>
      <c r="H16" s="616"/>
      <c r="I16" s="605"/>
      <c r="J16" s="334"/>
    </row>
    <row r="17" spans="1:13" ht="22.75" customHeight="1">
      <c r="A17" s="58" t="s">
        <v>5</v>
      </c>
      <c r="B17" s="614" t="s">
        <v>11</v>
      </c>
      <c r="C17" s="614" t="s">
        <v>11</v>
      </c>
      <c r="D17" s="614" t="s">
        <v>11</v>
      </c>
      <c r="E17" s="614" t="s">
        <v>11</v>
      </c>
      <c r="F17" s="604" t="s">
        <v>2</v>
      </c>
      <c r="G17" s="604" t="s">
        <v>2</v>
      </c>
      <c r="H17" s="611"/>
      <c r="I17" s="605"/>
      <c r="J17" s="335"/>
      <c r="K17" s="336"/>
    </row>
    <row r="18" spans="1:13" ht="22.75" customHeight="1">
      <c r="A18" s="58" t="s">
        <v>175</v>
      </c>
      <c r="B18" s="614" t="s">
        <v>19</v>
      </c>
      <c r="C18" s="614"/>
      <c r="D18" s="614"/>
      <c r="E18" s="614" t="str">
        <f>+B18</f>
        <v>(***)</v>
      </c>
      <c r="F18" s="604" t="s">
        <v>2</v>
      </c>
      <c r="G18" s="604" t="s">
        <v>2</v>
      </c>
      <c r="H18" s="611"/>
      <c r="I18" s="605"/>
      <c r="K18" s="410"/>
    </row>
    <row r="19" spans="1:13" ht="22.75" customHeight="1">
      <c r="A19" s="58" t="s">
        <v>7</v>
      </c>
      <c r="B19" s="614" t="s">
        <v>176</v>
      </c>
      <c r="C19" s="614"/>
      <c r="D19" s="614"/>
      <c r="E19" s="614"/>
      <c r="F19" s="620" t="s">
        <v>2</v>
      </c>
      <c r="G19" s="620" t="s">
        <v>2</v>
      </c>
      <c r="H19" s="614"/>
      <c r="I19" s="621"/>
      <c r="J19" s="337"/>
    </row>
    <row r="20" spans="1:13" ht="22.75" customHeight="1">
      <c r="A20" s="58" t="s">
        <v>180</v>
      </c>
      <c r="B20" s="614" t="s">
        <v>19</v>
      </c>
      <c r="C20" s="616"/>
      <c r="D20" s="616"/>
      <c r="E20" s="614" t="str">
        <f>+B20</f>
        <v>(***)</v>
      </c>
      <c r="F20" s="604" t="s">
        <v>2</v>
      </c>
      <c r="G20" s="604" t="s">
        <v>2</v>
      </c>
      <c r="H20" s="602"/>
      <c r="I20" s="605"/>
      <c r="J20" s="338"/>
      <c r="K20" s="410"/>
      <c r="M20" s="414"/>
    </row>
    <row r="21" spans="1:13" ht="22.75" customHeight="1" thickBot="1">
      <c r="A21" s="622" t="s">
        <v>9</v>
      </c>
      <c r="B21" s="623" t="s">
        <v>11</v>
      </c>
      <c r="C21" s="623" t="s">
        <v>11</v>
      </c>
      <c r="D21" s="623" t="s">
        <v>11</v>
      </c>
      <c r="E21" s="623" t="s">
        <v>11</v>
      </c>
      <c r="F21" s="623" t="s">
        <v>2</v>
      </c>
      <c r="G21" s="623" t="s">
        <v>2</v>
      </c>
      <c r="H21" s="623"/>
      <c r="I21" s="624"/>
      <c r="J21" s="334"/>
      <c r="K21" s="410"/>
      <c r="M21" s="414"/>
    </row>
    <row r="22" spans="1:13" ht="21.75" customHeight="1" thickTop="1">
      <c r="A22" s="701"/>
      <c r="B22" s="702"/>
      <c r="C22" s="702"/>
      <c r="D22" s="702"/>
      <c r="E22" s="702"/>
      <c r="F22" s="702"/>
      <c r="G22" s="702"/>
      <c r="H22" s="345"/>
      <c r="K22" s="410"/>
    </row>
    <row r="23" spans="1:13" s="14" customFormat="1" ht="36" customHeight="1">
      <c r="A23" s="703" t="s">
        <v>325</v>
      </c>
      <c r="B23" s="703"/>
      <c r="C23" s="703"/>
      <c r="D23" s="703"/>
      <c r="E23" s="703"/>
      <c r="F23" s="703"/>
      <c r="G23" s="703"/>
      <c r="H23" s="703"/>
      <c r="I23" s="703"/>
    </row>
    <row r="24" spans="1:13" s="14" customFormat="1" ht="11.25" customHeight="1">
      <c r="A24" s="698"/>
      <c r="B24" s="698"/>
      <c r="C24" s="698"/>
      <c r="D24" s="698"/>
      <c r="E24" s="698"/>
      <c r="F24" s="698"/>
      <c r="G24" s="698"/>
      <c r="H24" s="698"/>
      <c r="I24" s="698"/>
    </row>
    <row r="25" spans="1:13" s="14" customFormat="1" ht="31.75" customHeight="1">
      <c r="A25" s="703" t="s">
        <v>171</v>
      </c>
      <c r="B25" s="703"/>
      <c r="C25" s="703"/>
      <c r="D25" s="703"/>
      <c r="E25" s="703"/>
      <c r="F25" s="703"/>
      <c r="G25" s="703"/>
      <c r="H25" s="703"/>
      <c r="I25" s="703"/>
    </row>
    <row r="26" spans="1:13" s="14" customFormat="1" ht="7.5" customHeight="1">
      <c r="A26" s="698"/>
      <c r="B26" s="698"/>
      <c r="C26" s="698"/>
      <c r="D26" s="698"/>
      <c r="E26" s="698"/>
      <c r="F26" s="698"/>
      <c r="G26" s="698"/>
      <c r="H26" s="698"/>
      <c r="I26" s="698"/>
    </row>
    <row r="27" spans="1:13" ht="43.5" customHeight="1">
      <c r="A27" s="703" t="s">
        <v>331</v>
      </c>
      <c r="B27" s="703"/>
      <c r="C27" s="703"/>
      <c r="D27" s="703"/>
      <c r="E27" s="703"/>
      <c r="F27" s="703"/>
      <c r="G27" s="703"/>
      <c r="H27" s="703"/>
      <c r="I27" s="703"/>
    </row>
    <row r="28" spans="1:13" s="7" customFormat="1" ht="8.5" customHeight="1">
      <c r="A28" s="698"/>
      <c r="B28" s="698"/>
      <c r="C28" s="698"/>
      <c r="D28" s="698"/>
      <c r="E28" s="698"/>
      <c r="F28" s="698"/>
      <c r="G28" s="698"/>
      <c r="H28" s="698"/>
      <c r="I28" s="698"/>
    </row>
    <row r="29" spans="1:13" ht="18" customHeight="1">
      <c r="A29" s="699" t="s">
        <v>172</v>
      </c>
      <c r="B29" s="699"/>
      <c r="C29" s="699"/>
      <c r="D29" s="699"/>
      <c r="E29" s="699"/>
      <c r="F29" s="699"/>
      <c r="G29" s="699"/>
      <c r="H29" s="699"/>
      <c r="I29" s="699"/>
    </row>
    <row r="30" spans="1:13" ht="7.5" customHeight="1">
      <c r="A30" s="697"/>
      <c r="B30" s="697"/>
      <c r="C30" s="697"/>
      <c r="D30" s="697"/>
      <c r="E30" s="697"/>
      <c r="F30" s="697"/>
      <c r="G30" s="697"/>
      <c r="H30" s="697"/>
      <c r="I30" s="697"/>
    </row>
    <row r="31" spans="1:13" s="8" customFormat="1" ht="18" customHeight="1">
      <c r="A31" s="699" t="s">
        <v>227</v>
      </c>
      <c r="B31" s="699"/>
      <c r="C31" s="699"/>
      <c r="D31" s="699"/>
      <c r="E31" s="699"/>
      <c r="F31" s="699"/>
      <c r="G31" s="699"/>
      <c r="H31" s="699"/>
      <c r="I31" s="699"/>
    </row>
    <row r="32" spans="1:13" s="8" customFormat="1">
      <c r="A32" s="696" t="s">
        <v>275</v>
      </c>
      <c r="B32" s="696"/>
      <c r="C32" s="696"/>
      <c r="D32" s="696"/>
      <c r="E32" s="696"/>
      <c r="F32" s="696"/>
      <c r="G32" s="696"/>
      <c r="H32" s="696"/>
      <c r="I32" s="696"/>
    </row>
    <row r="33" spans="1:9" s="8" customFormat="1">
      <c r="A33" s="696" t="s">
        <v>274</v>
      </c>
      <c r="B33" s="696"/>
      <c r="C33" s="696"/>
      <c r="D33" s="696"/>
      <c r="E33" s="696"/>
      <c r="F33" s="696"/>
      <c r="G33" s="696"/>
      <c r="H33" s="696"/>
      <c r="I33" s="696"/>
    </row>
    <row r="34" spans="1:9" s="8" customFormat="1">
      <c r="A34" s="696" t="s">
        <v>270</v>
      </c>
      <c r="B34" s="696"/>
      <c r="C34" s="696"/>
      <c r="D34" s="696"/>
      <c r="E34" s="696"/>
      <c r="F34" s="696"/>
      <c r="G34" s="696"/>
      <c r="H34" s="696"/>
      <c r="I34" s="696"/>
    </row>
    <row r="35" spans="1:9" s="8" customFormat="1">
      <c r="A35" s="696" t="s">
        <v>271</v>
      </c>
      <c r="B35" s="696"/>
      <c r="C35" s="696"/>
      <c r="D35" s="696"/>
      <c r="E35" s="696"/>
      <c r="F35" s="696"/>
      <c r="G35" s="696"/>
      <c r="H35" s="696"/>
      <c r="I35" s="696"/>
    </row>
    <row r="36" spans="1:9" s="8" customFormat="1">
      <c r="A36" s="215" t="s">
        <v>344</v>
      </c>
      <c r="B36" s="215"/>
      <c r="C36" s="215"/>
      <c r="D36" s="215"/>
      <c r="E36" s="215"/>
      <c r="F36" s="215"/>
      <c r="G36" s="215"/>
      <c r="H36" s="215"/>
      <c r="I36" s="215"/>
    </row>
    <row r="37" spans="1:9" s="8" customFormat="1">
      <c r="A37" s="215" t="s">
        <v>345</v>
      </c>
      <c r="B37" s="215"/>
      <c r="C37" s="215"/>
      <c r="D37" s="215"/>
      <c r="E37" s="215"/>
      <c r="F37" s="215"/>
      <c r="G37" s="215"/>
      <c r="H37" s="215"/>
      <c r="I37" s="215"/>
    </row>
    <row r="38" spans="1:9" s="8" customFormat="1">
      <c r="A38" s="696"/>
      <c r="B38" s="696"/>
      <c r="C38" s="696"/>
      <c r="D38" s="696"/>
      <c r="E38" s="696"/>
      <c r="F38" s="696"/>
      <c r="G38" s="696"/>
      <c r="H38" s="696"/>
      <c r="I38" s="696"/>
    </row>
    <row r="39" spans="1:9" s="8" customFormat="1" ht="14.25" customHeight="1">
      <c r="A39" s="699" t="s">
        <v>266</v>
      </c>
      <c r="B39" s="699"/>
      <c r="C39" s="699"/>
      <c r="D39" s="699"/>
      <c r="E39" s="699"/>
      <c r="F39" s="699"/>
      <c r="G39" s="699"/>
      <c r="H39" s="699"/>
      <c r="I39" s="699"/>
    </row>
    <row r="40" spans="1:9" s="8" customFormat="1" ht="14.25" customHeight="1">
      <c r="A40" s="699"/>
      <c r="B40" s="699"/>
      <c r="C40" s="699"/>
      <c r="D40" s="699"/>
      <c r="E40" s="699"/>
      <c r="F40" s="699"/>
      <c r="G40" s="699"/>
      <c r="H40" s="699"/>
      <c r="I40" s="699"/>
    </row>
    <row r="41" spans="1:9" s="8" customFormat="1" ht="14.25" customHeight="1">
      <c r="A41" s="699"/>
      <c r="B41" s="699"/>
      <c r="C41" s="699"/>
      <c r="D41" s="699"/>
      <c r="E41" s="699"/>
      <c r="F41" s="699"/>
      <c r="G41" s="699"/>
      <c r="H41" s="699"/>
      <c r="I41" s="699"/>
    </row>
    <row r="42" spans="1:9" s="8" customFormat="1" ht="14.25" customHeight="1">
      <c r="A42" s="699"/>
      <c r="B42" s="699"/>
      <c r="C42" s="699"/>
      <c r="D42" s="699"/>
      <c r="E42" s="699"/>
      <c r="F42" s="699"/>
      <c r="G42" s="699"/>
      <c r="H42" s="699"/>
      <c r="I42" s="699"/>
    </row>
    <row r="43" spans="1:9" s="8" customFormat="1" ht="28.9" customHeight="1">
      <c r="A43" s="699" t="s">
        <v>267</v>
      </c>
      <c r="B43" s="699"/>
      <c r="C43" s="699"/>
      <c r="D43" s="699"/>
      <c r="E43" s="699"/>
      <c r="F43" s="699"/>
      <c r="G43" s="699"/>
      <c r="H43" s="699"/>
      <c r="I43" s="699"/>
    </row>
    <row r="44" spans="1:9" s="8" customFormat="1" ht="47.9" customHeight="1">
      <c r="A44" s="699" t="s">
        <v>332</v>
      </c>
      <c r="B44" s="699"/>
      <c r="C44" s="699"/>
      <c r="D44" s="699"/>
      <c r="E44" s="699"/>
      <c r="F44" s="699"/>
      <c r="G44" s="699"/>
      <c r="H44" s="699"/>
      <c r="I44" s="699"/>
    </row>
    <row r="45" spans="1:9" s="8" customFormat="1" ht="13.15" customHeight="1">
      <c r="A45" s="699"/>
      <c r="B45" s="699"/>
      <c r="C45" s="699"/>
      <c r="D45" s="699"/>
      <c r="E45" s="699"/>
      <c r="F45" s="699"/>
      <c r="G45" s="699"/>
      <c r="H45" s="430"/>
      <c r="I45" s="430"/>
    </row>
    <row r="46" spans="1:9" s="8" customFormat="1" ht="109.9" customHeight="1">
      <c r="A46" s="700" t="s">
        <v>335</v>
      </c>
      <c r="B46" s="700"/>
      <c r="C46" s="700"/>
      <c r="D46" s="700"/>
      <c r="E46" s="700"/>
      <c r="F46" s="700"/>
      <c r="G46" s="700"/>
      <c r="H46" s="700"/>
      <c r="I46" s="700"/>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c r="A54" s="460" t="s">
        <v>414</v>
      </c>
    </row>
    <row r="55" spans="1:8">
      <c r="A55" s="460" t="s">
        <v>407</v>
      </c>
    </row>
    <row r="56" spans="1:8">
      <c r="A56" s="460" t="s">
        <v>408</v>
      </c>
    </row>
    <row r="57" spans="1:8">
      <c r="A57" s="460" t="s">
        <v>409</v>
      </c>
    </row>
    <row r="58" spans="1:8">
      <c r="A58" s="460" t="s">
        <v>420</v>
      </c>
    </row>
    <row r="59" spans="1:8">
      <c r="A59" s="460" t="s">
        <v>418</v>
      </c>
    </row>
    <row r="60" spans="1:8">
      <c r="A60" s="460" t="s">
        <v>421</v>
      </c>
    </row>
  </sheetData>
  <sheetProtection algorithmName="SHA-512" hashValue="ct+d3PSsxwtOvD9cXv+gDyhv7E90loDibeIU3usi7Wu6qNRCL6kbbglTwIGrzMyuwHga3R6OjDN9gx1EjbXadw==" saltValue="+5QIHMIHkfpC+7fPmNNRuA==" spinCount="100000" sheet="1" objects="1" scenarios="1"/>
  <mergeCells count="26">
    <mergeCell ref="A22:G22"/>
    <mergeCell ref="A23:I23"/>
    <mergeCell ref="A25:I25"/>
    <mergeCell ref="A27:I27"/>
    <mergeCell ref="A4:A6"/>
    <mergeCell ref="B4:B5"/>
    <mergeCell ref="E4:E5"/>
    <mergeCell ref="C4:D4"/>
    <mergeCell ref="F4:G4"/>
    <mergeCell ref="H4:I4"/>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1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AU40"/>
  <sheetViews>
    <sheetView zoomScale="70" zoomScaleNormal="70" workbookViewId="0">
      <selection activeCell="C13" sqref="C13"/>
    </sheetView>
  </sheetViews>
  <sheetFormatPr baseColWidth="10" defaultColWidth="9.81640625" defaultRowHeight="14"/>
  <cols>
    <col min="1" max="1" width="60.7265625" style="2" customWidth="1"/>
    <col min="2" max="3" width="24.26953125" style="2" customWidth="1"/>
    <col min="4" max="16384" width="9.81640625" style="6"/>
  </cols>
  <sheetData>
    <row r="1" spans="1:47" s="5" customFormat="1" ht="15" customHeight="1" thickBot="1">
      <c r="A1" s="15"/>
      <c r="B1" s="15"/>
      <c r="C1" s="1"/>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s="30" customFormat="1" ht="40" customHeight="1" thickTop="1">
      <c r="A2" s="715" t="str">
        <f>CONCATENATE("ESTRUCTURAS DE PRECIOS PARA GASOLINA MOTOR CORRIENTE OXIGENADA VIGENTES A PARTIR DE ",TEXT('COMBUSTIBLES '!$A$54,"DD MMM YYY"))</f>
        <v>ESTRUCTURAS DE PRECIOS PARA GASOLINA MOTOR CORRIENTE OXIGENADA VIGENTES A PARTIR DE 01 de Febrero de 2024</v>
      </c>
      <c r="B2" s="716"/>
      <c r="C2" s="717"/>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s="30" customFormat="1" ht="27.65" customHeight="1">
      <c r="A3" s="718" t="s">
        <v>0</v>
      </c>
      <c r="B3" s="719"/>
      <c r="C3" s="720"/>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row>
    <row r="4" spans="1:47" s="27" customFormat="1" ht="36.65" customHeight="1">
      <c r="A4" s="722" t="s">
        <v>1</v>
      </c>
      <c r="B4" s="721" t="s">
        <v>24</v>
      </c>
      <c r="C4" s="723" t="s">
        <v>254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row>
    <row r="5" spans="1:47" s="27" customFormat="1" ht="12.65" customHeight="1">
      <c r="A5" s="704"/>
      <c r="B5" s="707"/>
      <c r="C5" s="724"/>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s="27" customFormat="1" ht="25.5" customHeight="1" thickBot="1">
      <c r="A6" s="705"/>
      <c r="B6" s="113" t="str">
        <f>+'COMBUSTIBLES '!B6</f>
        <v>01 de Febrero de 2024</v>
      </c>
      <c r="C6" s="579" t="str">
        <f>'COMBUSTIBLES '!B6</f>
        <v>01 de Febrero de 2024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s="5" customFormat="1" ht="31.75" customHeight="1" thickTop="1">
      <c r="A7" s="42" t="s">
        <v>3</v>
      </c>
      <c r="B7" s="578">
        <v>14973</v>
      </c>
      <c r="C7" s="578">
        <f>+'COMBUSTIBLES '!B7</f>
        <v>10304.700000000001</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s="5" customFormat="1" ht="31.75" customHeight="1">
      <c r="A8" s="36" t="s">
        <v>149</v>
      </c>
      <c r="B8" s="108"/>
      <c r="C8" s="4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s="5" customFormat="1" ht="31.75" customHeight="1">
      <c r="A9" s="36" t="s">
        <v>148</v>
      </c>
      <c r="B9" s="108"/>
      <c r="C9" s="45"/>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s="5" customFormat="1" ht="31.75" customHeight="1">
      <c r="A10" s="36" t="s">
        <v>38</v>
      </c>
      <c r="B10" s="108"/>
      <c r="C10" s="45"/>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s="5" customFormat="1" ht="31.75" customHeight="1">
      <c r="A11" s="36" t="str">
        <f>+'COMBUSTIBLES '!A11</f>
        <v>Impuesto Nacional a la Gasolina y al ACPM</v>
      </c>
      <c r="B11" s="108"/>
      <c r="C11" s="45">
        <f>+'Resoluciones, leyes'!$V$33</f>
        <v>724.7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s="5" customFormat="1" ht="31.75" customHeight="1">
      <c r="A12" s="36" t="str">
        <f>+'COMBUSTIBLES '!A12</f>
        <v>Impuesto sobre las Ventas</v>
      </c>
      <c r="B12" s="108"/>
      <c r="C12" s="577" t="str">
        <f>+'COMBUSTIBLES '!C12</f>
        <v>(3)</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s="5" customFormat="1" ht="31.75" customHeight="1">
      <c r="A13" s="36" t="str">
        <f>+'COMBUSTIBLES '!A13</f>
        <v>Impuesto al carbono</v>
      </c>
      <c r="B13" s="108"/>
      <c r="C13" s="45">
        <f>+'Resoluciones, leyes'!$V$89</f>
        <v>186.37</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s="5" customFormat="1" ht="31.75" customHeight="1">
      <c r="A14" s="36" t="s">
        <v>41</v>
      </c>
      <c r="B14" s="108"/>
      <c r="C14" s="45">
        <f>+'Resoluciones, leyes'!$V$153</f>
        <v>9.16</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s="5" customFormat="1" ht="31.75" customHeight="1">
      <c r="A15" s="36" t="s">
        <v>150</v>
      </c>
      <c r="B15" s="108"/>
      <c r="C15" s="4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s="5" customFormat="1" ht="31.75" customHeight="1">
      <c r="A16" s="36" t="s">
        <v>151</v>
      </c>
      <c r="B16" s="108"/>
      <c r="C16" s="580"/>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5" customFormat="1" ht="31.75" hidden="1" customHeight="1">
      <c r="A17" s="36" t="s">
        <v>173</v>
      </c>
      <c r="B17" s="108"/>
      <c r="C17" s="45">
        <f>'COMBUSTIBLES '!B10</f>
        <v>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5" customFormat="1" ht="31.75" customHeight="1">
      <c r="A18" s="36" t="s">
        <v>39</v>
      </c>
      <c r="B18" s="108"/>
      <c r="C18" s="45" t="s">
        <v>19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5" customFormat="1" ht="31.75" customHeight="1">
      <c r="A19" s="36" t="s">
        <v>318</v>
      </c>
      <c r="B19" s="108"/>
      <c r="C19" s="581" t="s">
        <v>320</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5" customFormat="1" ht="31.75" customHeight="1">
      <c r="A20" s="36" t="s">
        <v>36</v>
      </c>
      <c r="B20" s="108"/>
      <c r="C20" s="45" t="s">
        <v>139</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5" customFormat="1" ht="31.75" customHeight="1">
      <c r="A21" s="36" t="s">
        <v>45</v>
      </c>
      <c r="B21" s="108"/>
      <c r="C21" s="45" t="s">
        <v>139</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5" customFormat="1" ht="31.75" customHeight="1">
      <c r="A22" s="36" t="s">
        <v>37</v>
      </c>
      <c r="B22" s="108"/>
      <c r="C22" s="41" t="s">
        <v>139</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5" customFormat="1" ht="31.75" customHeight="1">
      <c r="A23" s="36" t="s">
        <v>43</v>
      </c>
      <c r="B23" s="108"/>
      <c r="C23" s="45" t="s">
        <v>139</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5" customFormat="1" ht="31.75" customHeight="1">
      <c r="A24" s="36" t="s">
        <v>180</v>
      </c>
      <c r="B24" s="108"/>
      <c r="C24" s="45" t="s">
        <v>139</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5" customFormat="1" ht="31.75" customHeight="1" thickBot="1">
      <c r="A25" s="40" t="s">
        <v>44</v>
      </c>
      <c r="B25" s="109"/>
      <c r="C25" s="47" t="s">
        <v>139</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5" customFormat="1" ht="14.25" customHeight="1" thickTop="1">
      <c r="A26" s="6"/>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216" customFormat="1" ht="51" customHeight="1">
      <c r="A27" s="712" t="s">
        <v>341</v>
      </c>
      <c r="B27" s="712"/>
      <c r="C27" s="712"/>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row>
    <row r="28" spans="1:47" s="220" customFormat="1" ht="74.25" customHeight="1">
      <c r="A28" s="712" t="s">
        <v>340</v>
      </c>
      <c r="B28" s="712"/>
      <c r="C28" s="712"/>
    </row>
    <row r="29" spans="1:47" s="220" customFormat="1" ht="40.15" customHeight="1">
      <c r="A29" s="712" t="s">
        <v>177</v>
      </c>
      <c r="B29" s="712"/>
      <c r="C29" s="712"/>
    </row>
    <row r="30" spans="1:47" s="220" customFormat="1" ht="13">
      <c r="A30" s="403"/>
      <c r="B30" s="403"/>
      <c r="C30" s="404"/>
    </row>
    <row r="31" spans="1:47" s="252" customFormat="1" ht="51" customHeight="1">
      <c r="A31" s="713" t="s">
        <v>178</v>
      </c>
      <c r="B31" s="713"/>
      <c r="C31" s="713"/>
    </row>
    <row r="32" spans="1:47" s="220" customFormat="1" ht="12.5">
      <c r="A32" s="714" t="s">
        <v>179</v>
      </c>
      <c r="B32" s="714"/>
      <c r="C32" s="714"/>
    </row>
    <row r="33" spans="1:3" s="220" customFormat="1" ht="17.649999999999999" customHeight="1">
      <c r="A33" s="346"/>
      <c r="B33" s="346"/>
      <c r="C33" s="346"/>
    </row>
    <row r="34" spans="1:3" s="220" customFormat="1" ht="12.75" customHeight="1">
      <c r="A34" s="713" t="s">
        <v>255</v>
      </c>
      <c r="B34" s="713"/>
      <c r="C34" s="713"/>
    </row>
    <row r="35" spans="1:3" s="220" customFormat="1" ht="12.5">
      <c r="A35" s="713"/>
      <c r="B35" s="713"/>
      <c r="C35" s="713"/>
    </row>
    <row r="36" spans="1:3">
      <c r="A36" s="713"/>
      <c r="B36" s="713"/>
      <c r="C36" s="713"/>
    </row>
    <row r="37" spans="1:3">
      <c r="A37" s="713"/>
      <c r="B37" s="713"/>
      <c r="C37" s="713"/>
    </row>
    <row r="38" spans="1:3" ht="38.5" customHeight="1">
      <c r="A38" s="696" t="s">
        <v>321</v>
      </c>
      <c r="B38" s="696"/>
      <c r="C38" s="696"/>
    </row>
    <row r="39" spans="1:3" ht="15.65" customHeight="1">
      <c r="A39" s="699"/>
      <c r="B39" s="699"/>
      <c r="C39" s="699"/>
    </row>
    <row r="40" spans="1:3" ht="120.65" customHeight="1">
      <c r="A40" s="700" t="s">
        <v>335</v>
      </c>
      <c r="B40" s="700"/>
      <c r="C40" s="700"/>
    </row>
  </sheetData>
  <sheetProtection algorithmName="SHA-512" hashValue="GlAgCSsXlP8PkRKLjeVXtZFk4kL/ndc6YIhkz5pZI0GY77/EdTxzLv4fT7iXj1V0i/M7x6mVupdy/MD4/Z5Xng==" saltValue="ay+KrRu6TI8nRd2EtgsEsg==" spinCount="100000" sheet="1" objects="1" scenarios="1"/>
  <mergeCells count="14">
    <mergeCell ref="A27:C27"/>
    <mergeCell ref="A28:C28"/>
    <mergeCell ref="A2:C2"/>
    <mergeCell ref="A3:C3"/>
    <mergeCell ref="B4:B5"/>
    <mergeCell ref="A4:A6"/>
    <mergeCell ref="C4:C5"/>
    <mergeCell ref="A29:C29"/>
    <mergeCell ref="A31:C31"/>
    <mergeCell ref="A34:C37"/>
    <mergeCell ref="A38:C38"/>
    <mergeCell ref="A40:C40"/>
    <mergeCell ref="A32:C32"/>
    <mergeCell ref="A39:C39"/>
  </mergeCells>
  <phoneticPr fontId="1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6"/>
  <sheetViews>
    <sheetView showGridLines="0" zoomScale="70" zoomScaleNormal="70" workbookViewId="0">
      <selection activeCell="C16" sqref="C16"/>
    </sheetView>
  </sheetViews>
  <sheetFormatPr baseColWidth="10" defaultRowHeight="12.5"/>
  <cols>
    <col min="1" max="1" width="53.26953125" customWidth="1"/>
    <col min="2" max="2" width="20.81640625" customWidth="1"/>
    <col min="3" max="3" width="25.26953125" customWidth="1"/>
    <col min="4" max="4" width="26" customWidth="1"/>
    <col min="5" max="5" width="18" customWidth="1"/>
    <col min="6" max="6" width="0" hidden="1" customWidth="1"/>
  </cols>
  <sheetData>
    <row r="1" spans="1:9" ht="13" thickBot="1"/>
    <row r="2" spans="1:9" ht="54.75" customHeight="1" thickTop="1">
      <c r="A2" s="725" t="str">
        <f>CONCATENATE("ESTRUCTURAS DE PRECIOS PARA GASOLINA EXTRA OXIGENADA VIGENTES A PARTIR DE ",TEXT('COMBUSTIBLES '!$A$54,"DD MMM YYYY"))</f>
        <v>ESTRUCTURAS DE PRECIOS PARA GASOLINA EXTRA OXIGENADA VIGENTES A PARTIR DE 01 de Febrero de 2024</v>
      </c>
      <c r="B2" s="726"/>
      <c r="C2" s="726"/>
      <c r="D2" s="727"/>
    </row>
    <row r="3" spans="1:9" ht="16.5">
      <c r="A3" s="728" t="s">
        <v>0</v>
      </c>
      <c r="B3" s="729"/>
      <c r="C3" s="729"/>
      <c r="D3" s="730"/>
    </row>
    <row r="4" spans="1:9" ht="37.9" customHeight="1">
      <c r="A4" s="722" t="s">
        <v>1</v>
      </c>
      <c r="B4" s="721" t="s">
        <v>24</v>
      </c>
      <c r="C4" s="721" t="s">
        <v>349</v>
      </c>
      <c r="D4" s="723" t="s">
        <v>350</v>
      </c>
      <c r="F4" s="293"/>
    </row>
    <row r="5" spans="1:9" ht="34.15" customHeight="1">
      <c r="A5" s="704"/>
      <c r="B5" s="707"/>
      <c r="C5" s="707"/>
      <c r="D5" s="724"/>
      <c r="E5" s="26"/>
    </row>
    <row r="6" spans="1:9" ht="30.25" customHeight="1" thickBot="1">
      <c r="A6" s="705"/>
      <c r="B6" s="43" t="str">
        <f>+'GASOLINA CORRIENTE '!B6</f>
        <v>01 de Febrero de 2024</v>
      </c>
      <c r="C6" s="43" t="str">
        <f>+B6</f>
        <v>01 de Febrero de 2024</v>
      </c>
      <c r="D6" s="44" t="str">
        <f>+B6</f>
        <v>01 de Febrero de 2024</v>
      </c>
      <c r="F6" s="420"/>
    </row>
    <row r="7" spans="1:9" ht="23.5" customHeight="1" thickTop="1">
      <c r="A7" s="42" t="s">
        <v>3</v>
      </c>
      <c r="B7" s="423">
        <f>+'GASOLINA CORRIENTE '!B7</f>
        <v>14973</v>
      </c>
      <c r="C7" s="439">
        <f>+'COMBUSTIBLES '!$C$7</f>
        <v>13220</v>
      </c>
      <c r="D7" s="582">
        <f>+'COMBUSTIBLES '!D7</f>
        <v>13406</v>
      </c>
      <c r="E7" s="405"/>
      <c r="F7" s="420" t="e">
        <f>+'GASOLINA CORRIENTE '!#REF!</f>
        <v>#REF!</v>
      </c>
      <c r="I7" s="293"/>
    </row>
    <row r="8" spans="1:9" ht="23.5" customHeight="1">
      <c r="A8" s="36" t="s">
        <v>23</v>
      </c>
      <c r="B8" s="37"/>
      <c r="C8" s="37">
        <f>+'COMBUSTIBLES '!C8</f>
        <v>9.16</v>
      </c>
      <c r="D8" s="41">
        <f>+'COMBUSTIBLES '!E8</f>
        <v>9.16</v>
      </c>
      <c r="F8" s="293"/>
    </row>
    <row r="9" spans="1:9" ht="23.5" customHeight="1">
      <c r="A9" s="36" t="s">
        <v>183</v>
      </c>
      <c r="B9" s="39"/>
      <c r="C9" s="39" t="s">
        <v>10</v>
      </c>
      <c r="D9" s="45" t="s">
        <v>10</v>
      </c>
      <c r="E9" s="405"/>
    </row>
    <row r="10" spans="1:9" ht="23.9" hidden="1" customHeight="1">
      <c r="A10" s="36" t="s">
        <v>181</v>
      </c>
      <c r="B10" s="39"/>
      <c r="C10" s="39">
        <f>+'COMBUSTIBLES '!C10</f>
        <v>0</v>
      </c>
      <c r="D10" s="45">
        <f>+'COMBUSTIBLES '!D10</f>
        <v>0</v>
      </c>
    </row>
    <row r="11" spans="1:9" ht="23.5" customHeight="1">
      <c r="A11" s="36" t="s">
        <v>330</v>
      </c>
      <c r="B11" s="37"/>
      <c r="C11" s="37">
        <f>+'COMBUSTIBLES '!C11</f>
        <v>1375.46</v>
      </c>
      <c r="D11" s="41">
        <f>+'COMBUSTIBLES '!D11</f>
        <v>1375.46</v>
      </c>
      <c r="E11" s="293"/>
      <c r="F11" s="390"/>
      <c r="G11" s="390"/>
    </row>
    <row r="12" spans="1:9" ht="23.5" customHeight="1">
      <c r="A12" s="36" t="s">
        <v>211</v>
      </c>
      <c r="B12" s="37"/>
      <c r="C12" s="300" t="s">
        <v>246</v>
      </c>
      <c r="D12" s="577" t="s">
        <v>246</v>
      </c>
    </row>
    <row r="13" spans="1:9" ht="23.5" customHeight="1">
      <c r="A13" s="36" t="s">
        <v>238</v>
      </c>
      <c r="B13" s="37"/>
      <c r="C13" s="37">
        <f>+'Resoluciones, leyes'!$V$89</f>
        <v>186.37</v>
      </c>
      <c r="D13" s="41">
        <f>+'Resoluciones, leyes'!$V$89</f>
        <v>186.37</v>
      </c>
    </row>
    <row r="14" spans="1:9" ht="23.5" customHeight="1">
      <c r="A14" s="36" t="s">
        <v>205</v>
      </c>
      <c r="B14" s="39"/>
      <c r="C14" s="39" t="s">
        <v>11</v>
      </c>
      <c r="D14" s="45" t="s">
        <v>11</v>
      </c>
    </row>
    <row r="15" spans="1:9" ht="23.5" customHeight="1">
      <c r="A15" s="36" t="s">
        <v>4</v>
      </c>
      <c r="B15" s="37"/>
      <c r="C15" s="50"/>
      <c r="D15" s="219"/>
    </row>
    <row r="16" spans="1:9" ht="23.5" customHeight="1">
      <c r="A16" s="36" t="s">
        <v>318</v>
      </c>
      <c r="B16" s="37"/>
      <c r="C16" s="300" t="str">
        <f>+'COMBUSTIBLES '!C16</f>
        <v>(5)</v>
      </c>
      <c r="D16" s="577" t="str">
        <f>+'COMBUSTIBLES '!D16</f>
        <v>(5)</v>
      </c>
    </row>
    <row r="17" spans="1:7" ht="23.5" customHeight="1">
      <c r="A17" s="36" t="s">
        <v>5</v>
      </c>
      <c r="B17" s="38"/>
      <c r="C17" s="38"/>
      <c r="D17" s="583"/>
    </row>
    <row r="18" spans="1:7" ht="23.5" customHeight="1">
      <c r="A18" s="36" t="s">
        <v>6</v>
      </c>
      <c r="B18" s="37"/>
      <c r="C18" s="50"/>
      <c r="D18" s="219"/>
    </row>
    <row r="19" spans="1:7" ht="23.5" customHeight="1">
      <c r="A19" s="36" t="s">
        <v>7</v>
      </c>
      <c r="B19" s="37"/>
      <c r="C19" s="37"/>
      <c r="D19" s="41"/>
    </row>
    <row r="20" spans="1:7" ht="23.5" customHeight="1">
      <c r="A20" s="36" t="s">
        <v>180</v>
      </c>
      <c r="B20" s="37"/>
      <c r="C20" s="37"/>
      <c r="D20" s="41"/>
    </row>
    <row r="21" spans="1:7" ht="23.5" customHeight="1" thickBot="1">
      <c r="A21" s="40" t="s">
        <v>9</v>
      </c>
      <c r="B21" s="46"/>
      <c r="C21" s="46" t="s">
        <v>11</v>
      </c>
      <c r="D21" s="47" t="s">
        <v>11</v>
      </c>
    </row>
    <row r="22" spans="1:7" ht="14.5" thickTop="1">
      <c r="A22" s="9"/>
      <c r="B22" s="10"/>
      <c r="C22" s="10"/>
      <c r="D22" s="10"/>
    </row>
    <row r="23" spans="1:7" ht="21" customHeight="1">
      <c r="A23" s="713" t="s">
        <v>326</v>
      </c>
      <c r="B23" s="713"/>
      <c r="C23" s="713"/>
      <c r="D23" s="713"/>
    </row>
    <row r="24" spans="1:7">
      <c r="A24" s="396"/>
      <c r="B24" s="396"/>
      <c r="C24" s="396"/>
      <c r="D24" s="396"/>
    </row>
    <row r="25" spans="1:7" ht="26.5" customHeight="1">
      <c r="A25" s="713" t="s">
        <v>182</v>
      </c>
      <c r="B25" s="713"/>
      <c r="C25" s="713"/>
      <c r="D25" s="713"/>
    </row>
    <row r="26" spans="1:7">
      <c r="A26" s="396"/>
      <c r="B26" s="396"/>
      <c r="C26" s="396"/>
      <c r="D26" s="396"/>
    </row>
    <row r="27" spans="1:7" ht="14.25" hidden="1" customHeight="1">
      <c r="A27" s="732" t="s">
        <v>223</v>
      </c>
      <c r="B27" s="732"/>
      <c r="C27" s="732"/>
      <c r="D27" s="732"/>
    </row>
    <row r="28" spans="1:7" ht="14.25" customHeight="1">
      <c r="A28" s="713" t="s">
        <v>336</v>
      </c>
      <c r="B28" s="713"/>
      <c r="C28" s="713"/>
      <c r="D28" s="713"/>
    </row>
    <row r="29" spans="1:7" ht="14.25" customHeight="1">
      <c r="A29" s="713"/>
      <c r="B29" s="713"/>
      <c r="C29" s="713"/>
      <c r="D29" s="713"/>
    </row>
    <row r="30" spans="1:7" ht="14.25" customHeight="1">
      <c r="A30" s="713"/>
      <c r="B30" s="713"/>
      <c r="C30" s="713"/>
      <c r="D30" s="713"/>
    </row>
    <row r="31" spans="1:7" ht="14.25" customHeight="1">
      <c r="A31" s="713"/>
      <c r="B31" s="713"/>
      <c r="C31" s="713"/>
      <c r="D31" s="713"/>
    </row>
    <row r="32" spans="1:7" ht="19.75" customHeight="1">
      <c r="A32" s="733" t="s">
        <v>319</v>
      </c>
      <c r="B32" s="733"/>
      <c r="C32" s="733"/>
      <c r="D32" s="733"/>
      <c r="E32" s="733"/>
      <c r="F32" s="733"/>
      <c r="G32" s="733"/>
    </row>
    <row r="33" spans="1:7" ht="28.15" customHeight="1">
      <c r="A33" s="438" t="s">
        <v>346</v>
      </c>
      <c r="B33" s="431"/>
      <c r="C33" s="431"/>
      <c r="D33" s="431"/>
      <c r="E33" s="431"/>
      <c r="F33" s="431"/>
      <c r="G33" s="431"/>
    </row>
    <row r="34" spans="1:7" ht="19.75" customHeight="1">
      <c r="A34" s="431"/>
      <c r="B34" s="431"/>
      <c r="C34" s="431"/>
      <c r="D34" s="431"/>
      <c r="E34" s="431"/>
      <c r="F34" s="431"/>
      <c r="G34" s="431"/>
    </row>
    <row r="35" spans="1:7" ht="15" customHeight="1">
      <c r="A35" s="734" t="s">
        <v>337</v>
      </c>
      <c r="B35" s="699"/>
      <c r="C35" s="699"/>
      <c r="D35" s="699"/>
      <c r="E35" s="431"/>
      <c r="F35" s="431"/>
      <c r="G35" s="431"/>
    </row>
    <row r="36" spans="1:7" ht="185.25" customHeight="1">
      <c r="A36" s="731" t="s">
        <v>334</v>
      </c>
      <c r="B36" s="731"/>
      <c r="C36" s="731"/>
      <c r="D36" s="731"/>
    </row>
  </sheetData>
  <sheetProtection algorithmName="SHA-512" hashValue="hKXHWxVg7a/4jGpudqkuBejNN/UtESN74MAoiG1eGSxDCS0yRD5JozJIxachmo0cr5iDdNtu47lMvg5ckPBJWg==" saltValue="vgvSVtiZjQuIvc4q5auDDg==" spinCount="100000" sheet="1" objects="1" scenarios="1"/>
  <mergeCells count="13">
    <mergeCell ref="A36:D36"/>
    <mergeCell ref="A25:D25"/>
    <mergeCell ref="A23:D23"/>
    <mergeCell ref="A27:D27"/>
    <mergeCell ref="A28:D31"/>
    <mergeCell ref="A32:G32"/>
    <mergeCell ref="A35:D35"/>
    <mergeCell ref="A2:D2"/>
    <mergeCell ref="A3:D3"/>
    <mergeCell ref="A4:A6"/>
    <mergeCell ref="B4:B5"/>
    <mergeCell ref="C4:C5"/>
    <mergeCell ref="D4:D5"/>
  </mergeCells>
  <pageMargins left="0.7" right="0.7" top="0.75" bottom="0.75" header="0.3" footer="0.3"/>
  <pageSetup orientation="portrait" r:id="rId1"/>
  <ignoredErrors>
    <ignoredError sqref="D7:D12 D14:D1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T42"/>
  <sheetViews>
    <sheetView showGridLines="0" zoomScale="70" zoomScaleNormal="70" workbookViewId="0">
      <selection activeCell="C4" sqref="C4:C5"/>
    </sheetView>
  </sheetViews>
  <sheetFormatPr baseColWidth="10" defaultColWidth="9.81640625" defaultRowHeight="14"/>
  <cols>
    <col min="1" max="1" width="58.7265625" style="6" customWidth="1"/>
    <col min="2" max="2" width="21.26953125" style="6" customWidth="1"/>
    <col min="3" max="3" width="26.7265625" style="6" customWidth="1"/>
    <col min="4" max="4" width="23.26953125" style="6" customWidth="1"/>
    <col min="5" max="10" width="12.7265625" style="6" customWidth="1"/>
    <col min="11" max="11" width="12.7265625" style="6" hidden="1" customWidth="1"/>
    <col min="12" max="12" width="23.7265625" style="6" customWidth="1"/>
    <col min="13" max="13" width="9.81640625" style="6" customWidth="1"/>
    <col min="14" max="14" width="13.54296875" style="6" customWidth="1"/>
    <col min="15" max="72" width="9.81640625" style="6" customWidth="1"/>
    <col min="73" max="16384" width="9.81640625" style="6"/>
  </cols>
  <sheetData>
    <row r="1" spans="1:72" s="5" customFormat="1" ht="14.5" thickBot="1">
      <c r="A1" s="29"/>
    </row>
    <row r="2" spans="1:72" s="27" customFormat="1" ht="42.75" customHeight="1" thickTop="1">
      <c r="A2" s="736"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01 de Febrero de 2024</v>
      </c>
      <c r="B2" s="737"/>
      <c r="C2" s="737"/>
      <c r="D2" s="73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row>
    <row r="3" spans="1:72" s="27" customFormat="1" ht="19.75" customHeight="1">
      <c r="A3" s="739" t="s">
        <v>0</v>
      </c>
      <c r="B3" s="740"/>
      <c r="C3" s="740"/>
      <c r="D3" s="741"/>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row>
    <row r="4" spans="1:72" s="5" customFormat="1" ht="45.65" customHeight="1">
      <c r="A4" s="742" t="s">
        <v>1</v>
      </c>
      <c r="B4" s="48" t="s">
        <v>141</v>
      </c>
      <c r="C4" s="745" t="s">
        <v>423</v>
      </c>
      <c r="D4" s="589" t="s">
        <v>256</v>
      </c>
      <c r="E4" s="411"/>
      <c r="F4" s="6"/>
      <c r="G4" s="6"/>
      <c r="H4" s="6"/>
      <c r="I4" s="6"/>
      <c r="J4" s="6"/>
      <c r="K4" s="41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5" customFormat="1" ht="18.649999999999999" customHeight="1">
      <c r="A5" s="743"/>
      <c r="B5" s="49">
        <v>1</v>
      </c>
      <c r="C5" s="746"/>
      <c r="D5" s="590">
        <v>0.02</v>
      </c>
      <c r="E5" s="411"/>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5" customFormat="1" ht="24" customHeight="1" thickBot="1">
      <c r="A6" s="744"/>
      <c r="B6" s="110" t="str">
        <f>+'COMBUSTIBLES '!A54</f>
        <v>01 de Febrero de 2024</v>
      </c>
      <c r="C6" s="110" t="str">
        <f>+B6</f>
        <v>01 de Febrero de 2024</v>
      </c>
      <c r="D6" s="591" t="str">
        <f>+B6</f>
        <v>01 de Febrero de 2024</v>
      </c>
      <c r="E6" s="408"/>
      <c r="F6" s="40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76" customFormat="1" ht="31.75" customHeight="1" thickTop="1">
      <c r="A7" s="587" t="s">
        <v>3</v>
      </c>
      <c r="B7" s="634">
        <v>16033.62</v>
      </c>
      <c r="C7" s="634">
        <f>+'COMBUSTIBLES '!E7</f>
        <v>4743.38</v>
      </c>
      <c r="D7" s="588"/>
      <c r="E7" s="75"/>
      <c r="F7" s="6"/>
      <c r="G7" s="6"/>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row>
    <row r="8" spans="1:72" s="76" customFormat="1" ht="31.75" customHeight="1">
      <c r="A8" s="584" t="s">
        <v>46</v>
      </c>
      <c r="B8" s="625"/>
      <c r="C8" s="626"/>
      <c r="D8" s="627">
        <f>+ROUND(C7*(1-D5), 2)</f>
        <v>4648.51</v>
      </c>
      <c r="E8" s="77"/>
      <c r="F8" s="77"/>
      <c r="G8" s="75"/>
      <c r="H8" s="75"/>
      <c r="I8" s="75"/>
      <c r="J8" s="75"/>
      <c r="K8" s="421" t="s">
        <v>283</v>
      </c>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row>
    <row r="9" spans="1:72" s="76" customFormat="1" ht="31.75" customHeight="1">
      <c r="A9" s="584" t="s">
        <v>152</v>
      </c>
      <c r="B9" s="626"/>
      <c r="C9" s="626"/>
      <c r="D9" s="627">
        <f>+ROUND($B$7*D5,2)</f>
        <v>320.67</v>
      </c>
      <c r="E9" s="77"/>
      <c r="F9" s="77"/>
      <c r="G9" s="77"/>
      <c r="H9" s="75"/>
      <c r="I9" s="75"/>
      <c r="J9" s="75"/>
      <c r="K9" s="75" t="s">
        <v>281</v>
      </c>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row>
    <row r="10" spans="1:72" s="76" customFormat="1" ht="31.75" customHeight="1">
      <c r="A10" s="584" t="s">
        <v>259</v>
      </c>
      <c r="B10" s="626"/>
      <c r="C10" s="626"/>
      <c r="D10" s="627">
        <f>+D9+D8</f>
        <v>4969.18</v>
      </c>
      <c r="E10" s="77"/>
      <c r="F10" s="350"/>
      <c r="G10" s="350"/>
      <c r="H10" s="75"/>
      <c r="I10" s="75"/>
      <c r="J10" s="75"/>
      <c r="K10" s="418">
        <f>+B7*0.02+ROUND(C7*0.98,2)</f>
        <v>4969.1824000000006</v>
      </c>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row>
    <row r="11" spans="1:72" s="76" customFormat="1" ht="31.75" customHeight="1">
      <c r="A11" s="584" t="str">
        <f>+'COMBUSTIBLES '!A11</f>
        <v>Impuesto Nacional a la Gasolina y al ACPM</v>
      </c>
      <c r="B11" s="626"/>
      <c r="C11" s="626">
        <f>+'Resoluciones, leyes'!$V$35</f>
        <v>693.65</v>
      </c>
      <c r="D11" s="627">
        <f>+'Resoluciones, leyes'!$V$37</f>
        <v>679.77</v>
      </c>
      <c r="E11" s="77"/>
      <c r="F11" s="75"/>
      <c r="G11" s="75"/>
      <c r="H11" s="75"/>
      <c r="I11" s="75"/>
      <c r="J11" s="75"/>
      <c r="K11" s="75">
        <f>+B7*0.02</f>
        <v>320.67240000000004</v>
      </c>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row>
    <row r="12" spans="1:72" s="76" customFormat="1" ht="31.75" customHeight="1">
      <c r="A12" s="584" t="str">
        <f>+'COMBUSTIBLES '!A12</f>
        <v>Impuesto sobre las Ventas</v>
      </c>
      <c r="B12" s="626"/>
      <c r="C12" s="628" t="s">
        <v>246</v>
      </c>
      <c r="D12" s="629" t="s">
        <v>246</v>
      </c>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row>
    <row r="13" spans="1:72" s="76" customFormat="1" ht="31.75" customHeight="1">
      <c r="A13" s="584" t="str">
        <f>+'COMBUSTIBLES '!A13</f>
        <v>Impuesto al carbono</v>
      </c>
      <c r="B13" s="626"/>
      <c r="C13" s="626">
        <f>+'Resoluciones, leyes'!$V$91</f>
        <v>210.63</v>
      </c>
      <c r="D13" s="627">
        <f>ROUND('Resoluciones, leyes'!$V$91*(1-D5),2)</f>
        <v>206.42</v>
      </c>
      <c r="E13" s="75"/>
      <c r="F13" s="606"/>
      <c r="G13" s="311"/>
      <c r="H13" s="75"/>
      <c r="I13" s="75"/>
      <c r="J13" s="75"/>
      <c r="K13" s="397">
        <f>+C13*0.98</f>
        <v>206.41739999999999</v>
      </c>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row>
    <row r="14" spans="1:72" s="76" customFormat="1" ht="31.75" customHeight="1">
      <c r="A14" s="584" t="s">
        <v>41</v>
      </c>
      <c r="B14" s="626"/>
      <c r="C14" s="626">
        <f>+'Resoluciones, leyes'!$V$153</f>
        <v>9.16</v>
      </c>
      <c r="D14" s="627">
        <f>+'Resoluciones, leyes'!$V$153</f>
        <v>9.16</v>
      </c>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row>
    <row r="15" spans="1:72" s="76" customFormat="1" ht="31.75" customHeight="1">
      <c r="A15" s="584" t="s">
        <v>184</v>
      </c>
      <c r="B15" s="626"/>
      <c r="C15" s="626" t="s">
        <v>10</v>
      </c>
      <c r="D15" s="627" t="s">
        <v>10</v>
      </c>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row>
    <row r="16" spans="1:72" s="76" customFormat="1" ht="31.75" customHeight="1">
      <c r="A16" s="584" t="s">
        <v>185</v>
      </c>
      <c r="B16" s="626" t="s">
        <v>139</v>
      </c>
      <c r="C16" s="626"/>
      <c r="D16" s="627" t="s">
        <v>11</v>
      </c>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row>
    <row r="17" spans="1:72" s="76" customFormat="1" ht="31.75" hidden="1" customHeight="1">
      <c r="A17" s="36" t="s">
        <v>173</v>
      </c>
      <c r="B17" s="626"/>
      <c r="C17" s="626">
        <f>'COMBUSTIBLES '!E10</f>
        <v>0</v>
      </c>
      <c r="D17" s="627">
        <f>+C17</f>
        <v>0</v>
      </c>
      <c r="E17" s="75"/>
      <c r="F17" s="386"/>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row>
    <row r="18" spans="1:72" s="76" customFormat="1" ht="31.75" customHeight="1">
      <c r="A18" s="584" t="s">
        <v>39</v>
      </c>
      <c r="B18" s="626"/>
      <c r="C18" s="626"/>
      <c r="D18" s="627"/>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row>
    <row r="19" spans="1:72" s="76" customFormat="1" ht="31.75" customHeight="1">
      <c r="A19" s="584" t="s">
        <v>36</v>
      </c>
      <c r="B19" s="630"/>
      <c r="C19" s="630"/>
      <c r="D19" s="631" t="s">
        <v>139</v>
      </c>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row>
    <row r="20" spans="1:72" s="76" customFormat="1" ht="31.75" customHeight="1">
      <c r="A20" s="584" t="s">
        <v>45</v>
      </c>
      <c r="B20" s="630"/>
      <c r="C20" s="630"/>
      <c r="D20" s="631" t="s">
        <v>139</v>
      </c>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row>
    <row r="21" spans="1:72" s="76" customFormat="1" ht="31.75" customHeight="1">
      <c r="A21" s="584" t="s">
        <v>37</v>
      </c>
      <c r="B21" s="630"/>
      <c r="C21" s="630"/>
      <c r="D21" s="631" t="s">
        <v>139</v>
      </c>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row>
    <row r="22" spans="1:72" s="76" customFormat="1" ht="31.75" customHeight="1">
      <c r="A22" s="584" t="s">
        <v>187</v>
      </c>
      <c r="B22" s="630"/>
      <c r="C22" s="630"/>
      <c r="D22" s="631" t="s">
        <v>139</v>
      </c>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row>
    <row r="23" spans="1:72" s="78" customFormat="1" ht="31.75" customHeight="1">
      <c r="A23" s="585" t="s">
        <v>8</v>
      </c>
      <c r="B23" s="626"/>
      <c r="C23" s="628" t="s">
        <v>320</v>
      </c>
      <c r="D23" s="629" t="s">
        <v>320</v>
      </c>
      <c r="E23" s="75"/>
      <c r="F23" s="75"/>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row>
    <row r="24" spans="1:72" s="33" customFormat="1" ht="31.75" customHeight="1" thickBot="1">
      <c r="A24" s="586" t="s">
        <v>44</v>
      </c>
      <c r="B24" s="632"/>
      <c r="C24" s="632"/>
      <c r="D24" s="633" t="s">
        <v>139</v>
      </c>
      <c r="E24" s="75"/>
      <c r="F24" s="75"/>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row>
    <row r="25" spans="1:72" s="5" customFormat="1" ht="9.65" customHeight="1" thickTop="1">
      <c r="A25" s="9"/>
      <c r="B25" s="10"/>
      <c r="C25" s="10"/>
      <c r="D25" s="10"/>
      <c r="E25" s="75"/>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33" customFormat="1" ht="15" customHeight="1">
      <c r="A26" s="419" t="s">
        <v>422</v>
      </c>
      <c r="B26" s="314"/>
      <c r="C26" s="314"/>
      <c r="D26" s="315"/>
      <c r="E26" s="75"/>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row>
    <row r="27" spans="1:72" s="33" customFormat="1">
      <c r="A27" s="747" t="s">
        <v>324</v>
      </c>
      <c r="B27" s="747"/>
      <c r="C27" s="747"/>
      <c r="D27" s="747"/>
      <c r="E27" s="75"/>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row>
    <row r="28" spans="1:72" s="33" customFormat="1" ht="6.75" customHeight="1">
      <c r="A28" s="316"/>
      <c r="B28" s="316"/>
      <c r="C28" s="316"/>
      <c r="D28" s="317"/>
      <c r="E28" s="75"/>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row>
    <row r="29" spans="1:72" s="33" customFormat="1">
      <c r="A29" s="747" t="s">
        <v>323</v>
      </c>
      <c r="B29" s="747"/>
      <c r="C29" s="747"/>
      <c r="D29" s="747"/>
      <c r="E29" s="75"/>
    </row>
    <row r="30" spans="1:72" s="33" customFormat="1" ht="11.25" customHeight="1">
      <c r="A30" s="318" t="s">
        <v>139</v>
      </c>
      <c r="B30" s="319"/>
      <c r="C30" s="319"/>
      <c r="E30" s="75"/>
    </row>
    <row r="31" spans="1:72" s="33" customFormat="1">
      <c r="A31" s="747" t="s">
        <v>186</v>
      </c>
      <c r="B31" s="747"/>
      <c r="C31" s="747"/>
      <c r="D31" s="747"/>
      <c r="E31" s="75"/>
    </row>
    <row r="32" spans="1:72" s="33" customFormat="1" ht="10.5" customHeight="1">
      <c r="A32" s="316"/>
      <c r="B32" s="316"/>
      <c r="C32" s="316"/>
      <c r="E32" s="75"/>
    </row>
    <row r="33" spans="1:6" s="33" customFormat="1" ht="42.75" customHeight="1">
      <c r="A33" s="747" t="s">
        <v>178</v>
      </c>
      <c r="B33" s="747"/>
      <c r="C33" s="747"/>
      <c r="D33" s="747"/>
      <c r="E33" s="75"/>
    </row>
    <row r="34" spans="1:6" s="33" customFormat="1" ht="17.649999999999999" customHeight="1">
      <c r="A34" s="318"/>
      <c r="B34" s="319"/>
      <c r="C34" s="319"/>
      <c r="E34" s="75"/>
    </row>
    <row r="35" spans="1:6" s="5" customFormat="1" ht="14.25" customHeight="1">
      <c r="A35" s="735" t="s">
        <v>255</v>
      </c>
      <c r="B35" s="735"/>
      <c r="C35" s="735"/>
      <c r="D35" s="735"/>
      <c r="E35" s="75"/>
    </row>
    <row r="36" spans="1:6" s="5" customFormat="1">
      <c r="A36" s="735"/>
      <c r="B36" s="735"/>
      <c r="C36" s="735"/>
      <c r="D36" s="735"/>
      <c r="E36" s="75"/>
    </row>
    <row r="37" spans="1:6" s="5" customFormat="1" ht="24.75" customHeight="1">
      <c r="A37" s="735"/>
      <c r="B37" s="735"/>
      <c r="C37" s="735"/>
      <c r="D37" s="735"/>
      <c r="E37" s="75"/>
    </row>
    <row r="38" spans="1:6" s="5" customFormat="1" ht="24.75" customHeight="1">
      <c r="A38" s="735"/>
      <c r="B38" s="735"/>
      <c r="C38" s="735"/>
      <c r="D38" s="735"/>
    </row>
    <row r="39" spans="1:6" s="5" customFormat="1" ht="84" customHeight="1">
      <c r="A39" s="735" t="s">
        <v>319</v>
      </c>
      <c r="B39" s="735"/>
      <c r="C39" s="735"/>
      <c r="D39" s="735"/>
      <c r="E39" s="735"/>
      <c r="F39" s="735"/>
    </row>
    <row r="40" spans="1:6" s="5" customFormat="1" ht="125.5" customHeight="1"/>
    <row r="42" spans="1:6" ht="18.5">
      <c r="A42" s="731" t="s">
        <v>334</v>
      </c>
      <c r="B42" s="731"/>
      <c r="C42" s="731"/>
      <c r="D42" s="731"/>
    </row>
  </sheetData>
  <sheetProtection algorithmName="SHA-512" hashValue="fPJpq00u6Z0B8F9YkNXHc0AYONJw+QtTMeWwFbbMN/XcUljWc039d8xHuyXs+FCX5e3tEuSIo4kmz8aauAynfA==" saltValue="42d75nkPopV0zA7HpN6s6Q==" spinCount="100000" sheet="1" objects="1" scenarios="1"/>
  <mergeCells count="12">
    <mergeCell ref="E39:F39"/>
    <mergeCell ref="A2:D2"/>
    <mergeCell ref="A3:D3"/>
    <mergeCell ref="A42:D42"/>
    <mergeCell ref="A4:A6"/>
    <mergeCell ref="C4:C5"/>
    <mergeCell ref="A39:D39"/>
    <mergeCell ref="A27:D27"/>
    <mergeCell ref="A29:D29"/>
    <mergeCell ref="A31:D31"/>
    <mergeCell ref="A33:D33"/>
    <mergeCell ref="A35:D38"/>
  </mergeCells>
  <phoneticPr fontId="13" type="noConversion"/>
  <printOptions horizontalCentered="1" verticalCentered="1"/>
  <pageMargins left="0.59055118110236227" right="0.39370078740157483" top="0.19685039370078741" bottom="0.19685039370078741" header="0" footer="0"/>
  <pageSetup scale="8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39"/>
  <sheetViews>
    <sheetView showGridLines="0" zoomScale="70" zoomScaleNormal="70" workbookViewId="0">
      <selection activeCell="I7" sqref="I7"/>
    </sheetView>
  </sheetViews>
  <sheetFormatPr baseColWidth="10" defaultColWidth="9.81640625" defaultRowHeight="14"/>
  <cols>
    <col min="1" max="1" width="9.81640625" style="5"/>
    <col min="2" max="2" width="47.81640625" style="5" customWidth="1"/>
    <col min="3" max="3" width="23.81640625" style="5" customWidth="1"/>
    <col min="4" max="5" width="21.26953125" style="5" customWidth="1"/>
    <col min="6" max="6" width="19.453125" style="5" customWidth="1"/>
    <col min="7" max="7" width="21" style="5" customWidth="1"/>
    <col min="8" max="8" width="22.26953125" style="5" customWidth="1"/>
    <col min="9" max="9" width="15.26953125" style="5" customWidth="1"/>
    <col min="10" max="13" width="9.81640625" style="5" customWidth="1"/>
    <col min="14" max="16384" width="9.81640625" style="5"/>
  </cols>
  <sheetData>
    <row r="1" spans="2:16" s="32" customFormat="1" ht="20.149999999999999" customHeight="1" thickTop="1">
      <c r="B1" s="753" t="s">
        <v>12</v>
      </c>
      <c r="C1" s="754"/>
      <c r="D1" s="754"/>
      <c r="E1" s="754"/>
      <c r="F1" s="754"/>
      <c r="G1" s="755"/>
      <c r="I1" s="751" t="s">
        <v>265</v>
      </c>
      <c r="J1" s="751"/>
      <c r="K1" s="751"/>
      <c r="L1" s="751"/>
      <c r="M1" s="751"/>
      <c r="N1" s="339"/>
    </row>
    <row r="2" spans="2:16" s="32" customFormat="1" ht="20.149999999999999" customHeight="1">
      <c r="B2" s="748" t="s">
        <v>309</v>
      </c>
      <c r="C2" s="749"/>
      <c r="D2" s="749"/>
      <c r="E2" s="749"/>
      <c r="F2" s="749"/>
      <c r="G2" s="750"/>
      <c r="I2" s="751"/>
      <c r="J2" s="751"/>
      <c r="K2" s="751"/>
      <c r="L2" s="751"/>
      <c r="M2" s="751"/>
      <c r="N2" s="339"/>
    </row>
    <row r="3" spans="2:16" s="32" customFormat="1" ht="20">
      <c r="B3" s="748" t="s">
        <v>13</v>
      </c>
      <c r="C3" s="749"/>
      <c r="D3" s="749"/>
      <c r="E3" s="749"/>
      <c r="F3" s="749"/>
      <c r="G3" s="750"/>
      <c r="I3" s="339"/>
      <c r="J3" s="339"/>
      <c r="K3" s="339"/>
      <c r="L3" s="339"/>
      <c r="M3" s="339"/>
      <c r="N3" s="339"/>
    </row>
    <row r="4" spans="2:16">
      <c r="B4" s="607"/>
      <c r="C4" s="608"/>
      <c r="D4" s="608"/>
      <c r="E4" s="608"/>
      <c r="F4" s="608"/>
      <c r="G4" s="609"/>
      <c r="I4" s="432">
        <v>0</v>
      </c>
      <c r="J4" s="340" t="s">
        <v>263</v>
      </c>
      <c r="K4" s="340"/>
      <c r="L4" s="340"/>
      <c r="M4" s="340"/>
    </row>
    <row r="5" spans="2:16" ht="14.5" thickBot="1">
      <c r="B5" s="610" t="str">
        <f>+'COMBUSTIBLES '!A54</f>
        <v>01 de Febrero de 2024</v>
      </c>
      <c r="G5" s="609"/>
      <c r="I5" s="432">
        <v>0</v>
      </c>
      <c r="J5" s="340" t="s">
        <v>264</v>
      </c>
      <c r="K5" s="340"/>
      <c r="L5" s="340"/>
      <c r="M5" s="340"/>
    </row>
    <row r="6" spans="2:16" ht="45.25" customHeight="1" thickTop="1">
      <c r="B6" s="52" t="s">
        <v>14</v>
      </c>
      <c r="C6" s="53" t="s">
        <v>15</v>
      </c>
      <c r="D6" s="53" t="s">
        <v>353</v>
      </c>
      <c r="E6" s="53" t="s">
        <v>354</v>
      </c>
      <c r="F6" s="53" t="s">
        <v>16</v>
      </c>
      <c r="G6" s="54" t="s">
        <v>247</v>
      </c>
      <c r="P6" s="409"/>
    </row>
    <row r="7" spans="2:16" ht="30.25" customHeight="1" thickBot="1">
      <c r="B7" s="70"/>
      <c r="C7" s="43" t="str">
        <f>+'COMBUSTIBLES '!B6</f>
        <v>01 de Febrero de 2024</v>
      </c>
      <c r="D7" s="43" t="str">
        <f>+C7</f>
        <v>01 de Febrero de 2024</v>
      </c>
      <c r="E7" s="43" t="str">
        <f>+D7</f>
        <v>01 de Febrero de 2024</v>
      </c>
      <c r="F7" s="43" t="str">
        <f>+D7</f>
        <v>01 de Febrero de 2024</v>
      </c>
      <c r="G7" s="44" t="str">
        <f>+F7</f>
        <v>01 de Febrero de 2024</v>
      </c>
      <c r="H7" s="51"/>
    </row>
    <row r="8" spans="2:16" ht="27.25" customHeight="1" thickTop="1">
      <c r="B8" s="67" t="s">
        <v>17</v>
      </c>
      <c r="C8" s="68">
        <f>'COMBUSTIBLES '!B7-I4</f>
        <v>10304.700000000001</v>
      </c>
      <c r="D8" s="68">
        <f>+'COMBUSTIBLES '!C7</f>
        <v>13220</v>
      </c>
      <c r="E8" s="68">
        <f>+'COMBUSTIBLES '!D7</f>
        <v>13406</v>
      </c>
      <c r="F8" s="68">
        <f>'COMBUSTIBLES '!E7-I5</f>
        <v>4743.38</v>
      </c>
      <c r="G8" s="69">
        <f>+(F8*98%)+BIODIESEL!D9</f>
        <v>4969.1823999999997</v>
      </c>
      <c r="H8" s="51"/>
    </row>
    <row r="9" spans="2:16" ht="27.25" customHeight="1">
      <c r="B9" s="253" t="s">
        <v>189</v>
      </c>
      <c r="C9" s="56" t="s">
        <v>42</v>
      </c>
      <c r="D9" s="56" t="str">
        <f>+C9</f>
        <v>(*****)</v>
      </c>
      <c r="E9" s="56" t="str">
        <f>+D9</f>
        <v>(*****)</v>
      </c>
      <c r="F9" s="56" t="str">
        <f>+C9</f>
        <v>(*****)</v>
      </c>
      <c r="G9" s="57" t="str">
        <f>+D9</f>
        <v>(*****)</v>
      </c>
      <c r="H9" s="51"/>
    </row>
    <row r="10" spans="2:16" ht="27.25" customHeight="1">
      <c r="B10" s="55" t="s">
        <v>221</v>
      </c>
      <c r="C10" s="56">
        <f>+'Resoluciones, leyes'!$V$153</f>
        <v>9.16</v>
      </c>
      <c r="D10" s="56">
        <f>+'Resoluciones, leyes'!$V$153</f>
        <v>9.16</v>
      </c>
      <c r="E10" s="56">
        <f>+'Resoluciones, leyes'!$V$153</f>
        <v>9.16</v>
      </c>
      <c r="F10" s="56">
        <f>+'Resoluciones, leyes'!$V$153</f>
        <v>9.16</v>
      </c>
      <c r="G10" s="57">
        <f>+'Resoluciones, leyes'!$V$153</f>
        <v>9.16</v>
      </c>
      <c r="H10" s="51"/>
    </row>
    <row r="11" spans="2:16" ht="27.25" hidden="1" customHeight="1">
      <c r="B11" s="58" t="s">
        <v>190</v>
      </c>
      <c r="C11" s="56">
        <f>'COMBUSTIBLES '!B10</f>
        <v>0</v>
      </c>
      <c r="D11" s="56">
        <f>'COMBUSTIBLES '!B10</f>
        <v>0</v>
      </c>
      <c r="E11" s="56">
        <f>'COMBUSTIBLES '!C10</f>
        <v>0</v>
      </c>
      <c r="F11" s="56">
        <f>'COMBUSTIBLES '!E10</f>
        <v>0</v>
      </c>
      <c r="G11" s="57">
        <f>+F11</f>
        <v>0</v>
      </c>
      <c r="H11" s="51"/>
      <c r="I11" s="27">
        <f>+F8*0.98</f>
        <v>4648.5123999999996</v>
      </c>
    </row>
    <row r="12" spans="2:16" ht="27.25" customHeight="1">
      <c r="B12" s="55" t="s">
        <v>242</v>
      </c>
      <c r="C12" s="56">
        <f>+'Resoluciones, leyes'!$V$66</f>
        <v>1427.5723909888</v>
      </c>
      <c r="D12" s="56">
        <f>+'Resoluciones, leyes'!$V$67</f>
        <v>1510.5073958912001</v>
      </c>
      <c r="E12" s="56">
        <f>+'Resoluciones, leyes'!$V$67</f>
        <v>1510.5073958912001</v>
      </c>
      <c r="F12" s="56">
        <f>+'Resoluciones, leyes'!$V$68</f>
        <v>945.82932800000003</v>
      </c>
      <c r="G12" s="57">
        <f>F12*98%</f>
        <v>926.91274143999999</v>
      </c>
      <c r="H12" s="51"/>
      <c r="I12" s="329">
        <f>+BIODIESEL!D9</f>
        <v>320.67</v>
      </c>
    </row>
    <row r="13" spans="2:16" ht="27.25" customHeight="1">
      <c r="B13" s="55" t="s">
        <v>211</v>
      </c>
      <c r="C13" s="56"/>
      <c r="D13" s="56"/>
      <c r="E13" s="56"/>
      <c r="F13" s="56"/>
      <c r="G13" s="57"/>
      <c r="H13" s="51"/>
      <c r="I13" s="329">
        <f>+I11+I12</f>
        <v>4969.1823999999997</v>
      </c>
    </row>
    <row r="14" spans="2:16" ht="27.25" customHeight="1">
      <c r="B14" s="55" t="s">
        <v>238</v>
      </c>
      <c r="C14" s="56">
        <f>+'Resoluciones, leyes'!$V$89</f>
        <v>186.37</v>
      </c>
      <c r="D14" s="56">
        <f>+'Resoluciones, leyes'!$V$89</f>
        <v>186.37</v>
      </c>
      <c r="E14" s="56">
        <f>+'Resoluciones, leyes'!$V$89</f>
        <v>186.37</v>
      </c>
      <c r="F14" s="56">
        <f>+'Resoluciones, leyes'!$V$91</f>
        <v>210.63</v>
      </c>
      <c r="G14" s="57">
        <f>+BIODIESEL!D13</f>
        <v>206.42</v>
      </c>
      <c r="H14" s="51"/>
    </row>
    <row r="15" spans="2:16" ht="44.5" customHeight="1">
      <c r="B15" s="59" t="s">
        <v>20</v>
      </c>
      <c r="C15" s="60">
        <f t="shared" ref="C15:G15" si="0">SUM(C8:C14)</f>
        <v>11927.802390988802</v>
      </c>
      <c r="D15" s="60">
        <f t="shared" si="0"/>
        <v>14926.037395891201</v>
      </c>
      <c r="E15" s="60">
        <f t="shared" ref="E15" si="1">SUM(E8:E14)</f>
        <v>15112.037395891201</v>
      </c>
      <c r="F15" s="60">
        <f t="shared" si="0"/>
        <v>5908.9993279999999</v>
      </c>
      <c r="G15" s="61">
        <f t="shared" si="0"/>
        <v>6111.6751414399996</v>
      </c>
      <c r="H15" s="51"/>
      <c r="I15"/>
      <c r="J15"/>
    </row>
    <row r="16" spans="2:16" ht="32.25" customHeight="1">
      <c r="B16" s="55" t="s">
        <v>4</v>
      </c>
      <c r="C16" s="62" t="s">
        <v>11</v>
      </c>
      <c r="D16" s="56"/>
      <c r="E16" s="56"/>
      <c r="F16" s="62" t="str">
        <f>+C16</f>
        <v>(**)</v>
      </c>
      <c r="G16" s="63" t="str">
        <f t="shared" ref="G16:G18" si="2">+F16</f>
        <v>(**)</v>
      </c>
      <c r="H16" s="51"/>
      <c r="I16"/>
    </row>
    <row r="17" spans="2:19" s="26" customFormat="1" ht="29.25" customHeight="1">
      <c r="B17" s="79" t="s">
        <v>194</v>
      </c>
      <c r="C17" s="62" t="s">
        <v>19</v>
      </c>
      <c r="D17" s="62" t="str">
        <f>+C17</f>
        <v>(***)</v>
      </c>
      <c r="E17" s="62" t="str">
        <f>+D17</f>
        <v>(***)</v>
      </c>
      <c r="F17" s="62" t="str">
        <f>+D17</f>
        <v>(***)</v>
      </c>
      <c r="G17" s="63" t="str">
        <f t="shared" si="2"/>
        <v>(***)</v>
      </c>
      <c r="H17" s="51"/>
      <c r="S17" s="6"/>
    </row>
    <row r="18" spans="2:19" ht="30.25" customHeight="1" thickBot="1">
      <c r="B18" s="64" t="s">
        <v>169</v>
      </c>
      <c r="C18" s="65" t="s">
        <v>176</v>
      </c>
      <c r="D18" s="65" t="str">
        <f>+C18</f>
        <v>(****)</v>
      </c>
      <c r="E18" s="65" t="str">
        <f>+D18</f>
        <v>(****)</v>
      </c>
      <c r="F18" s="65" t="str">
        <f>+D18</f>
        <v>(****)</v>
      </c>
      <c r="G18" s="66" t="str">
        <f t="shared" si="2"/>
        <v>(****)</v>
      </c>
      <c r="H18" s="51"/>
    </row>
    <row r="19" spans="2:19" ht="14.5" thickTop="1">
      <c r="G19" s="6"/>
    </row>
    <row r="20" spans="2:19" s="51" customFormat="1" ht="40.75" customHeight="1">
      <c r="B20" s="696" t="s">
        <v>188</v>
      </c>
      <c r="C20" s="696"/>
      <c r="D20" s="696"/>
      <c r="E20" s="696"/>
      <c r="F20" s="696"/>
    </row>
    <row r="21" spans="2:19" s="51" customFormat="1" ht="24" customHeight="1">
      <c r="B21" s="752" t="s">
        <v>220</v>
      </c>
      <c r="C21" s="752"/>
      <c r="D21" s="752"/>
      <c r="E21" s="752"/>
      <c r="F21" s="752"/>
    </row>
    <row r="22" spans="2:19" s="51" customFormat="1" ht="5.5" customHeight="1">
      <c r="B22" s="221"/>
      <c r="C22" s="221"/>
      <c r="D22" s="221"/>
      <c r="E22" s="221"/>
      <c r="F22" s="221"/>
    </row>
    <row r="23" spans="2:19" s="51" customFormat="1" ht="17.5" customHeight="1">
      <c r="B23" s="696" t="s">
        <v>191</v>
      </c>
      <c r="C23" s="696"/>
      <c r="D23" s="696"/>
      <c r="E23" s="696"/>
      <c r="F23" s="696"/>
    </row>
    <row r="24" spans="2:19" s="51" customFormat="1" ht="3.75" customHeight="1">
      <c r="B24" s="215"/>
      <c r="C24" s="215"/>
      <c r="D24" s="215"/>
      <c r="E24" s="215"/>
      <c r="F24" s="215"/>
    </row>
    <row r="25" spans="2:19" s="51" customFormat="1" ht="17.5" customHeight="1">
      <c r="B25" s="696" t="s">
        <v>206</v>
      </c>
      <c r="C25" s="696"/>
      <c r="D25" s="696"/>
      <c r="E25" s="696"/>
      <c r="F25" s="696"/>
    </row>
    <row r="26" spans="2:19" s="51" customFormat="1" ht="8.5" customHeight="1">
      <c r="B26" s="215"/>
      <c r="C26" s="215"/>
      <c r="D26" s="215"/>
      <c r="E26" s="215"/>
      <c r="F26" s="215"/>
    </row>
    <row r="27" spans="2:19" s="51" customFormat="1" ht="25.5" customHeight="1">
      <c r="B27" s="696" t="s">
        <v>192</v>
      </c>
      <c r="C27" s="696"/>
      <c r="D27" s="696"/>
      <c r="E27" s="696"/>
      <c r="F27" s="696"/>
      <c r="G27" s="696"/>
    </row>
    <row r="28" spans="2:19" ht="7.5" customHeight="1">
      <c r="B28" s="216"/>
      <c r="C28" s="216"/>
      <c r="D28" s="216"/>
      <c r="E28" s="216"/>
      <c r="F28" s="216"/>
    </row>
    <row r="29" spans="2:19" ht="45.65" customHeight="1">
      <c r="B29" s="699" t="s">
        <v>231</v>
      </c>
      <c r="C29" s="699"/>
      <c r="D29" s="699"/>
      <c r="E29" s="699"/>
      <c r="F29" s="699"/>
      <c r="G29" s="699"/>
    </row>
    <row r="30" spans="2:19" ht="10.9" customHeight="1"/>
    <row r="31" spans="2:19">
      <c r="B31" s="752" t="s">
        <v>222</v>
      </c>
      <c r="C31" s="752"/>
      <c r="D31" s="752"/>
      <c r="E31" s="752"/>
      <c r="F31" s="752"/>
    </row>
    <row r="33" spans="2:7">
      <c r="B33" s="221"/>
      <c r="C33" s="221"/>
      <c r="D33" s="221"/>
      <c r="E33" s="221"/>
      <c r="F33" s="221"/>
    </row>
    <row r="34" spans="2:7" ht="94.15" customHeight="1">
      <c r="B34" s="756" t="s">
        <v>333</v>
      </c>
      <c r="C34" s="756"/>
      <c r="D34" s="756"/>
      <c r="E34" s="756"/>
      <c r="F34" s="756"/>
      <c r="G34" s="756"/>
    </row>
    <row r="39" spans="2:7">
      <c r="B39" s="735"/>
      <c r="C39" s="735"/>
      <c r="D39" s="735"/>
      <c r="E39" s="735"/>
      <c r="F39" s="735"/>
    </row>
  </sheetData>
  <sheetProtection algorithmName="SHA-512" hashValue="PAC5Szm9ygCzdhwZPBLZBo7ZHQMlWCbpUFbcMCRcZCdKXIf3kX4BENhOMSH8Eljb10N57ja8T2R0gUgB1ro8/g==" saltValue="FYpZFIGbWwNEgullC0zgQA==" spinCount="100000" sheet="1" objects="1" scenarios="1"/>
  <mergeCells count="13">
    <mergeCell ref="B29:G29"/>
    <mergeCell ref="B3:G3"/>
    <mergeCell ref="I1:M2"/>
    <mergeCell ref="B39:F39"/>
    <mergeCell ref="B20:F20"/>
    <mergeCell ref="B21:F21"/>
    <mergeCell ref="B31:F31"/>
    <mergeCell ref="B23:F23"/>
    <mergeCell ref="B25:F25"/>
    <mergeCell ref="B1:G1"/>
    <mergeCell ref="B2:G2"/>
    <mergeCell ref="B34:G34"/>
    <mergeCell ref="B27:G27"/>
  </mergeCells>
  <phoneticPr fontId="1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abSelected="1" zoomScale="70" zoomScaleNormal="70" workbookViewId="0">
      <selection activeCell="C3" sqref="C3:H3"/>
    </sheetView>
  </sheetViews>
  <sheetFormatPr baseColWidth="10" defaultColWidth="9.81640625" defaultRowHeight="14" outlineLevelRow="1" outlineLevelCol="2"/>
  <cols>
    <col min="1" max="2" width="9.81640625" style="2" customWidth="1"/>
    <col min="3" max="3" width="46.7265625" style="2" customWidth="1"/>
    <col min="4" max="4" width="23.7265625" style="2" customWidth="1"/>
    <col min="5" max="5" width="27.7265625" style="2" customWidth="1"/>
    <col min="6" max="6" width="28.54296875" style="2" customWidth="1" outlineLevel="1"/>
    <col min="7" max="7" width="10.26953125" style="2" hidden="1" customWidth="1" outlineLevel="2"/>
    <col min="8" max="8" width="12.54296875" style="2" hidden="1" customWidth="1" outlineLevel="2"/>
    <col min="9" max="9" width="15.54296875" style="2" hidden="1" customWidth="1" outlineLevel="1" collapsed="1"/>
    <col min="10" max="10" width="29.26953125" style="2" customWidth="1" outlineLevel="1"/>
    <col min="11" max="11" width="14" style="2" customWidth="1"/>
    <col min="12" max="12" width="18.81640625" style="2" customWidth="1"/>
    <col min="13" max="13" width="15.7265625" style="2" bestFit="1" customWidth="1"/>
    <col min="14" max="16384" width="9.81640625" style="2"/>
  </cols>
  <sheetData>
    <row r="1" spans="3:13" ht="15.5">
      <c r="C1" s="762" t="s">
        <v>168</v>
      </c>
      <c r="D1" s="762"/>
      <c r="E1" s="762"/>
      <c r="F1" s="762"/>
      <c r="G1" s="762"/>
      <c r="H1" s="762"/>
    </row>
    <row r="2" spans="3:13" ht="15.5">
      <c r="C2" s="762" t="s">
        <v>26</v>
      </c>
      <c r="D2" s="762"/>
      <c r="E2" s="762"/>
      <c r="F2" s="762"/>
      <c r="G2" s="762"/>
      <c r="H2" s="762"/>
    </row>
    <row r="3" spans="3:13" ht="15.5">
      <c r="C3" s="762" t="s">
        <v>13</v>
      </c>
      <c r="D3" s="762"/>
      <c r="E3" s="762"/>
      <c r="F3" s="762"/>
      <c r="G3" s="762"/>
      <c r="H3" s="762"/>
      <c r="J3" s="4"/>
    </row>
    <row r="4" spans="3:13" ht="24.75" customHeight="1" thickBot="1">
      <c r="C4" s="214" t="str">
        <f>+'COMBUSTIBLES '!A54</f>
        <v>01 de Febrero de 2024</v>
      </c>
      <c r="D4" s="19"/>
      <c r="E4" s="20"/>
      <c r="F4" s="764"/>
      <c r="G4" s="764"/>
      <c r="H4" s="27"/>
      <c r="I4" s="27"/>
      <c r="J4" s="427"/>
    </row>
    <row r="5" spans="3:13" ht="45.25" customHeight="1" thickTop="1">
      <c r="C5" s="72" t="s">
        <v>14</v>
      </c>
      <c r="D5" s="228" t="s">
        <v>315</v>
      </c>
      <c r="E5" s="228" t="s">
        <v>209</v>
      </c>
      <c r="F5" s="228" t="s">
        <v>228</v>
      </c>
      <c r="I5" s="228" t="s">
        <v>210</v>
      </c>
      <c r="J5" s="229" t="s">
        <v>260</v>
      </c>
    </row>
    <row r="6" spans="3:13" ht="22.75" customHeight="1">
      <c r="C6" s="230" t="s">
        <v>17</v>
      </c>
      <c r="D6" s="223">
        <f>'COMBUSTIBLES '!E7</f>
        <v>4743.38</v>
      </c>
      <c r="E6" s="223">
        <f>+D6</f>
        <v>4743.38</v>
      </c>
      <c r="F6" s="223">
        <f>+E6*80%</f>
        <v>3794.7040000000002</v>
      </c>
      <c r="I6" s="223">
        <f>+BIODIESEL!B7*4%+(F6)*96%</f>
        <v>4284.2606400000004</v>
      </c>
      <c r="J6" s="232">
        <f>+BIODIESEL!B7*2%+(F6)*98%</f>
        <v>4039.4823200000001</v>
      </c>
      <c r="K6" s="21"/>
      <c r="L6" s="21"/>
      <c r="M6" s="21"/>
    </row>
    <row r="7" spans="3:13" ht="22.75" customHeight="1">
      <c r="C7" s="233" t="str">
        <f>+'GASOLINA CORRIENTE '!A11</f>
        <v>Impuesto Nacional a la Gasolina y al ACPM</v>
      </c>
      <c r="D7" s="226">
        <f>+'Resoluciones, leyes'!$V$35</f>
        <v>693.65</v>
      </c>
      <c r="E7" s="226">
        <f>+'Resoluciones, leyes'!$V$38</f>
        <v>884.07</v>
      </c>
      <c r="F7" s="226">
        <f>+'Resoluciones, leyes'!$V$38</f>
        <v>884.07</v>
      </c>
      <c r="G7" s="5"/>
      <c r="H7" s="5"/>
      <c r="I7" s="226">
        <f>ROUND(F7*96%,2)</f>
        <v>848.71</v>
      </c>
      <c r="J7" s="73">
        <f>+'Resoluciones, leyes'!$V$37</f>
        <v>679.77</v>
      </c>
      <c r="K7" s="537"/>
    </row>
    <row r="8" spans="3:13" ht="22.75" customHeight="1">
      <c r="C8" s="233" t="str">
        <f>+'GASOLINA CORRIENTE '!A12</f>
        <v>Impuesto sobre las Ventas</v>
      </c>
      <c r="D8" s="304" t="str">
        <f>'COMBUSTIBLES '!E12</f>
        <v>(3)</v>
      </c>
      <c r="E8" s="304" t="str">
        <f>'COMBUSTIBLES '!E12</f>
        <v>(3)</v>
      </c>
      <c r="F8" s="304" t="str">
        <f>+E8</f>
        <v>(3)</v>
      </c>
      <c r="G8" s="305"/>
      <c r="H8" s="305"/>
      <c r="I8" s="304" t="str">
        <f>+F8</f>
        <v>(3)</v>
      </c>
      <c r="J8" s="306" t="str">
        <f>+I8</f>
        <v>(3)</v>
      </c>
    </row>
    <row r="9" spans="3:13" ht="22.75" customHeight="1">
      <c r="C9" s="233" t="str">
        <f>+'GASOLINA CORRIENTE '!A13</f>
        <v>Impuesto al carbono</v>
      </c>
      <c r="D9" s="223">
        <f>+'Resoluciones, leyes'!$V$91</f>
        <v>210.63</v>
      </c>
      <c r="E9" s="223">
        <f>+'Resoluciones, leyes'!$V$91</f>
        <v>210.63</v>
      </c>
      <c r="F9" s="223">
        <f>+'Resoluciones, leyes'!$V$91</f>
        <v>210.63</v>
      </c>
      <c r="I9" s="223">
        <f>ROUND(F9*96%,2)</f>
        <v>202.2</v>
      </c>
      <c r="J9" s="232">
        <f>ROUND(E9*98%,2)</f>
        <v>206.42</v>
      </c>
    </row>
    <row r="10" spans="3:13" ht="22.75" customHeight="1">
      <c r="C10" s="230" t="s">
        <v>193</v>
      </c>
      <c r="D10" s="225" t="str">
        <f>+I10</f>
        <v>(*)</v>
      </c>
      <c r="E10" s="225" t="str">
        <f>+D10</f>
        <v>(*)</v>
      </c>
      <c r="F10" s="225" t="str">
        <f>+E10</f>
        <v>(*)</v>
      </c>
      <c r="I10" s="225" t="s">
        <v>10</v>
      </c>
      <c r="J10" s="292" t="str">
        <f>+I10</f>
        <v>(*)</v>
      </c>
    </row>
    <row r="11" spans="3:13" ht="17.149999999999999" hidden="1" customHeight="1">
      <c r="C11" s="58" t="s">
        <v>190</v>
      </c>
      <c r="D11" s="226"/>
      <c r="E11" s="226"/>
      <c r="F11" s="226"/>
      <c r="I11" s="226">
        <f>+F11</f>
        <v>0</v>
      </c>
      <c r="J11" s="73"/>
    </row>
    <row r="12" spans="3:13" ht="26.5" customHeight="1">
      <c r="C12" s="234" t="s">
        <v>170</v>
      </c>
      <c r="D12" s="227">
        <f>SUM(D6:D11)</f>
        <v>5647.66</v>
      </c>
      <c r="E12" s="227">
        <f>SUM(E6:E11)</f>
        <v>5838.08</v>
      </c>
      <c r="F12" s="227">
        <f>SUM(F6:F11)</f>
        <v>4889.4040000000005</v>
      </c>
      <c r="I12" s="227">
        <f>SUM(I6:I11)</f>
        <v>5335.1706400000003</v>
      </c>
      <c r="J12" s="235">
        <f>SUM(J6:J11)</f>
        <v>4925.6723199999997</v>
      </c>
    </row>
    <row r="13" spans="3:13" ht="22.75" customHeight="1" thickBot="1">
      <c r="C13" s="236" t="s">
        <v>8</v>
      </c>
      <c r="D13" s="412" t="str">
        <f>'COMBUSTIBLES '!E16</f>
        <v>(5)</v>
      </c>
      <c r="E13" s="237"/>
      <c r="F13" s="237"/>
      <c r="I13" s="237"/>
      <c r="J13" s="238"/>
    </row>
    <row r="14" spans="3:13" ht="12.25" customHeight="1" thickTop="1">
      <c r="C14" s="222"/>
      <c r="D14" s="18"/>
      <c r="E14" s="18"/>
      <c r="F14" s="295"/>
      <c r="G14" s="295"/>
      <c r="H14" s="295"/>
      <c r="I14" s="27"/>
    </row>
    <row r="15" spans="3:13" ht="18.649999999999999" customHeight="1">
      <c r="C15" s="765" t="s">
        <v>207</v>
      </c>
      <c r="D15" s="765"/>
      <c r="E15" s="765"/>
      <c r="F15" s="765"/>
      <c r="G15" s="765"/>
      <c r="H15" s="765"/>
    </row>
    <row r="16" spans="3:13" ht="49.75" customHeight="1">
      <c r="C16" s="763" t="s">
        <v>327</v>
      </c>
      <c r="D16" s="763"/>
      <c r="E16" s="763"/>
      <c r="F16" s="763"/>
      <c r="G16" s="763"/>
      <c r="H16" s="763"/>
    </row>
    <row r="17" spans="3:11" ht="21" hidden="1" customHeight="1">
      <c r="C17" s="761"/>
      <c r="D17" s="761"/>
      <c r="E17" s="761"/>
      <c r="F17" s="761"/>
      <c r="G17" s="761"/>
      <c r="H17" s="761"/>
    </row>
    <row r="18" spans="3:11">
      <c r="C18" s="761" t="s">
        <v>229</v>
      </c>
      <c r="D18" s="761"/>
      <c r="E18" s="761"/>
      <c r="F18" s="761"/>
      <c r="G18" s="761"/>
      <c r="H18" s="761"/>
    </row>
    <row r="19" spans="3:11" ht="10" customHeight="1">
      <c r="C19" s="239"/>
      <c r="D19" s="239"/>
      <c r="E19" s="239"/>
      <c r="F19" s="239"/>
      <c r="G19" s="239"/>
      <c r="H19" s="239"/>
    </row>
    <row r="20" spans="3:11">
      <c r="C20" s="713" t="s">
        <v>245</v>
      </c>
      <c r="D20" s="713"/>
      <c r="E20" s="713"/>
      <c r="F20" s="713"/>
      <c r="G20" s="713"/>
      <c r="H20" s="713"/>
      <c r="I20" s="713"/>
      <c r="J20" s="2" t="s">
        <v>139</v>
      </c>
    </row>
    <row r="21" spans="3:11">
      <c r="C21" s="713" t="s">
        <v>243</v>
      </c>
      <c r="D21" s="713"/>
      <c r="E21" s="713"/>
      <c r="F21" s="713"/>
      <c r="G21" s="713"/>
      <c r="H21" s="713"/>
      <c r="I21" s="713"/>
    </row>
    <row r="22" spans="3:11">
      <c r="C22" s="713" t="s">
        <v>244</v>
      </c>
      <c r="D22" s="713"/>
      <c r="E22" s="713"/>
      <c r="F22" s="713"/>
      <c r="G22" s="713"/>
      <c r="H22" s="713"/>
      <c r="I22" s="713"/>
    </row>
    <row r="23" spans="3:11">
      <c r="C23" s="346"/>
      <c r="D23" s="346"/>
      <c r="E23" s="346"/>
      <c r="F23" s="346"/>
      <c r="G23" s="346"/>
      <c r="H23" s="346"/>
      <c r="I23" s="346"/>
    </row>
    <row r="24" spans="3:11">
      <c r="C24" s="346"/>
      <c r="D24" s="346"/>
      <c r="E24" s="346"/>
      <c r="F24" s="346"/>
      <c r="G24" s="346"/>
      <c r="H24" s="346"/>
      <c r="I24" s="346"/>
    </row>
    <row r="25" spans="3:11" ht="15.5">
      <c r="C25" s="762" t="s">
        <v>34</v>
      </c>
      <c r="D25" s="762"/>
      <c r="E25" s="762"/>
      <c r="F25" s="762"/>
      <c r="G25" s="762"/>
      <c r="H25" s="762"/>
      <c r="J25" s="2" t="s">
        <v>139</v>
      </c>
    </row>
    <row r="26" spans="3:11" ht="15.5">
      <c r="C26" s="762" t="s">
        <v>28</v>
      </c>
      <c r="D26" s="762"/>
      <c r="E26" s="762"/>
      <c r="F26" s="762"/>
      <c r="G26" s="762"/>
      <c r="H26" s="762"/>
    </row>
    <row r="27" spans="3:11" ht="15.5">
      <c r="C27" s="762" t="s">
        <v>13</v>
      </c>
      <c r="D27" s="762"/>
      <c r="E27" s="762"/>
      <c r="F27" s="762"/>
      <c r="G27" s="762"/>
      <c r="H27" s="762"/>
    </row>
    <row r="28" spans="3:11" ht="14.5" thickBot="1">
      <c r="C28" s="214" t="str">
        <f>+C4</f>
        <v>01 de Febrero de 2024</v>
      </c>
      <c r="D28" s="19"/>
      <c r="E28" s="20"/>
      <c r="F28"/>
      <c r="J28" s="5"/>
    </row>
    <row r="29" spans="3:11" ht="57.25" customHeight="1" thickTop="1">
      <c r="C29" s="72" t="s">
        <v>14</v>
      </c>
      <c r="D29" s="228" t="str">
        <f>+D5</f>
        <v>DIESEL MARINO DM0</v>
      </c>
      <c r="E29" s="228" t="str">
        <f>+E5</f>
        <v>DIESEL MARINO CON CUPO (ART 174 LEY 1607/12)</v>
      </c>
      <c r="F29" s="228" t="str">
        <f>+F5</f>
        <v>DIESEL MARINO CON CUPO (ART 174 LEY 1607/12) CON DESCUENTO****</v>
      </c>
      <c r="G29" s="228" t="s">
        <v>224</v>
      </c>
      <c r="H29" s="228" t="s">
        <v>225</v>
      </c>
      <c r="J29" s="228" t="s">
        <v>312</v>
      </c>
    </row>
    <row r="30" spans="3:11" ht="23.5" customHeight="1">
      <c r="C30" s="230" t="s">
        <v>17</v>
      </c>
      <c r="D30" s="226">
        <f>'COMBUSTIBLES '!E7</f>
        <v>4743.38</v>
      </c>
      <c r="E30" s="223">
        <f>+D30</f>
        <v>4743.38</v>
      </c>
      <c r="F30" s="224">
        <f>+D30*80%</f>
        <v>3794.7040000000002</v>
      </c>
      <c r="G30" s="322">
        <v>1903.2</v>
      </c>
      <c r="H30" s="231">
        <v>1280.03</v>
      </c>
      <c r="J30" s="231">
        <f>+(F30*98%)+(BIODIESEL!B7*2%)</f>
        <v>4039.4823200000001</v>
      </c>
      <c r="K30" s="21"/>
    </row>
    <row r="31" spans="3:11" ht="23.5" customHeight="1">
      <c r="C31" s="233" t="str">
        <f>+C7</f>
        <v>Impuesto Nacional a la Gasolina y al ACPM</v>
      </c>
      <c r="D31" s="226">
        <f>+D7</f>
        <v>693.65</v>
      </c>
      <c r="E31" s="226">
        <f>+'Resoluciones, leyes'!$V$38</f>
        <v>884.07</v>
      </c>
      <c r="F31" s="226">
        <f>+'Resoluciones, leyes'!$V$38</f>
        <v>884.07</v>
      </c>
      <c r="G31" s="323">
        <f>+D31</f>
        <v>693.65</v>
      </c>
      <c r="H31" s="232">
        <f>+F31</f>
        <v>884.07</v>
      </c>
      <c r="J31" s="73">
        <f>+$J$7</f>
        <v>679.77</v>
      </c>
    </row>
    <row r="32" spans="3:11" ht="23.5" customHeight="1">
      <c r="C32" s="233" t="str">
        <f t="shared" ref="C32:C33" si="0">+C8</f>
        <v>Impuesto sobre las Ventas</v>
      </c>
      <c r="D32" s="223"/>
      <c r="E32" s="223"/>
      <c r="F32" s="223"/>
      <c r="G32" s="323"/>
      <c r="H32" s="232"/>
      <c r="J32" s="232"/>
    </row>
    <row r="33" spans="1:10" ht="23.5" customHeight="1">
      <c r="C33" s="233" t="str">
        <f t="shared" si="0"/>
        <v>Impuesto al carbono</v>
      </c>
      <c r="D33" s="223">
        <f>+'Resoluciones, leyes'!$V$91</f>
        <v>210.63</v>
      </c>
      <c r="E33" s="223">
        <f>+'Resoluciones, leyes'!$V$91</f>
        <v>210.63</v>
      </c>
      <c r="F33" s="223">
        <f>+'Resoluciones, leyes'!$V$91</f>
        <v>210.63</v>
      </c>
      <c r="G33" s="323"/>
      <c r="H33" s="232"/>
      <c r="J33" s="73">
        <f>ROUND(F33*98%,2)</f>
        <v>206.42</v>
      </c>
    </row>
    <row r="34" spans="1:10" ht="23.5" customHeight="1">
      <c r="C34" s="230" t="s">
        <v>18</v>
      </c>
      <c r="D34" s="226" t="str">
        <f>+D10</f>
        <v>(*)</v>
      </c>
      <c r="E34" s="226" t="str">
        <f>+D34</f>
        <v>(*)</v>
      </c>
      <c r="F34" s="226" t="str">
        <f>+E34</f>
        <v>(*)</v>
      </c>
      <c r="G34" s="324" t="str">
        <f>+F34</f>
        <v>(*)</v>
      </c>
      <c r="H34" s="73" t="str">
        <f>+G34</f>
        <v>(*)</v>
      </c>
      <c r="J34" s="73">
        <f>+I34</f>
        <v>0</v>
      </c>
    </row>
    <row r="35" spans="1:10" ht="23.5" hidden="1" customHeight="1">
      <c r="C35" s="58"/>
      <c r="D35" s="223"/>
      <c r="E35" s="223"/>
      <c r="F35" s="223"/>
      <c r="G35" s="325"/>
      <c r="H35" s="232"/>
      <c r="J35" s="232"/>
    </row>
    <row r="36" spans="1:10" ht="23.5" customHeight="1">
      <c r="C36" s="240" t="s">
        <v>29</v>
      </c>
      <c r="D36" s="227">
        <f>SUM(D30:D35)</f>
        <v>5647.66</v>
      </c>
      <c r="E36" s="227">
        <f>SUM(E30:E35)</f>
        <v>5838.08</v>
      </c>
      <c r="F36" s="227">
        <f>SUM(F30:F35)</f>
        <v>4889.4040000000005</v>
      </c>
      <c r="G36" s="326">
        <f>SUM(G30:G35)</f>
        <v>2596.85</v>
      </c>
      <c r="H36" s="235">
        <f>SUM(H30:H35)</f>
        <v>2164.1</v>
      </c>
      <c r="J36" s="235">
        <f>SUM(J30:J35)</f>
        <v>4925.6723199999997</v>
      </c>
    </row>
    <row r="37" spans="1:10" ht="23.5" customHeight="1">
      <c r="C37" s="74" t="s">
        <v>194</v>
      </c>
      <c r="D37" s="56" t="s">
        <v>10</v>
      </c>
      <c r="E37" s="56" t="str">
        <f>+D37</f>
        <v>(*)</v>
      </c>
      <c r="F37" s="56" t="str">
        <f>E37</f>
        <v>(*)</v>
      </c>
      <c r="G37" s="327" t="str">
        <f>+F37</f>
        <v>(*)</v>
      </c>
      <c r="H37" s="57" t="str">
        <f>G37</f>
        <v>(*)</v>
      </c>
      <c r="J37" s="57" t="str">
        <f>+F37</f>
        <v>(*)</v>
      </c>
    </row>
    <row r="38" spans="1:10" ht="23.5" customHeight="1">
      <c r="C38" s="74" t="s">
        <v>196</v>
      </c>
      <c r="D38" s="56" t="s">
        <v>11</v>
      </c>
      <c r="E38" s="56" t="str">
        <f>+D38</f>
        <v>(**)</v>
      </c>
      <c r="F38" s="56" t="str">
        <f>E38</f>
        <v>(**)</v>
      </c>
      <c r="G38" s="327" t="str">
        <f>+F38</f>
        <v>(**)</v>
      </c>
      <c r="H38" s="57" t="str">
        <f>G38</f>
        <v>(**)</v>
      </c>
      <c r="I38" s="21"/>
      <c r="J38" s="57" t="str">
        <f>+F37</f>
        <v>(*)</v>
      </c>
    </row>
    <row r="39" spans="1:10" ht="23.5" customHeight="1">
      <c r="C39" s="234" t="s">
        <v>30</v>
      </c>
      <c r="D39" s="227">
        <f>SUM(D36:D38)</f>
        <v>5647.66</v>
      </c>
      <c r="E39" s="227">
        <f>SUM(E36:E38)</f>
        <v>5838.08</v>
      </c>
      <c r="F39" s="227">
        <f>SUM(F36:F38)</f>
        <v>4889.4040000000005</v>
      </c>
      <c r="G39" s="326">
        <f>SUM(G36:G38)</f>
        <v>2596.85</v>
      </c>
      <c r="H39" s="235">
        <f>SUM(H36:H38)</f>
        <v>2164.1</v>
      </c>
      <c r="J39" s="235">
        <f>SUM(J36:J38)</f>
        <v>4925.6723199999997</v>
      </c>
    </row>
    <row r="40" spans="1:10" ht="23.5" customHeight="1" thickBot="1">
      <c r="C40" s="236" t="s">
        <v>8</v>
      </c>
      <c r="D40" s="413" t="str">
        <f>'COMBUSTIBLES '!E16</f>
        <v>(5)</v>
      </c>
      <c r="E40" s="237"/>
      <c r="F40" s="237"/>
      <c r="G40" s="321"/>
      <c r="H40" s="238"/>
      <c r="J40" s="238"/>
    </row>
    <row r="41" spans="1:10" ht="14.5" thickTop="1">
      <c r="A41" s="2" t="s">
        <v>139</v>
      </c>
      <c r="C41" s="22" t="s">
        <v>139</v>
      </c>
      <c r="D41" s="23"/>
      <c r="E41" s="23"/>
      <c r="F41" s="5"/>
      <c r="G41" s="5"/>
      <c r="H41" s="5"/>
    </row>
    <row r="42" spans="1:10" ht="15" customHeight="1">
      <c r="C42" s="712" t="s">
        <v>208</v>
      </c>
      <c r="D42" s="712"/>
      <c r="E42" s="712"/>
      <c r="F42" s="712"/>
      <c r="G42" s="712"/>
      <c r="H42" s="712"/>
      <c r="I42" s="712"/>
      <c r="J42" s="712"/>
    </row>
    <row r="43" spans="1:10" ht="18" customHeight="1">
      <c r="C43" s="712" t="s">
        <v>195</v>
      </c>
      <c r="D43" s="712"/>
      <c r="E43" s="712"/>
      <c r="F43" s="712"/>
      <c r="G43" s="712"/>
      <c r="H43" s="712"/>
      <c r="I43" s="712"/>
      <c r="J43" s="712"/>
    </row>
    <row r="44" spans="1:10" ht="65.25" customHeight="1">
      <c r="C44" s="714" t="s">
        <v>226</v>
      </c>
      <c r="D44" s="714"/>
      <c r="E44" s="714"/>
      <c r="F44" s="714"/>
      <c r="G44" s="714"/>
      <c r="H44" s="714"/>
      <c r="I44" s="714"/>
      <c r="J44" s="714"/>
    </row>
    <row r="45" spans="1:10" ht="28.5" customHeight="1">
      <c r="C45" s="761" t="s">
        <v>301</v>
      </c>
      <c r="D45" s="761"/>
      <c r="E45" s="761"/>
      <c r="F45" s="761"/>
      <c r="G45" s="761"/>
      <c r="H45" s="761"/>
      <c r="I45" s="6"/>
      <c r="J45" s="6"/>
    </row>
    <row r="46" spans="1:10" s="6" customFormat="1" ht="18" customHeight="1">
      <c r="C46" s="24"/>
      <c r="D46" s="25"/>
      <c r="E46" s="25"/>
    </row>
    <row r="47" spans="1:10" ht="19.75" customHeight="1">
      <c r="C47" s="398" t="s">
        <v>35</v>
      </c>
      <c r="D47" s="399"/>
      <c r="E47" s="400"/>
      <c r="F47" s="401"/>
    </row>
    <row r="48" spans="1:10" ht="15.5">
      <c r="C48" s="398" t="s">
        <v>31</v>
      </c>
      <c r="D48" s="399"/>
      <c r="E48" s="400"/>
      <c r="F48" s="401"/>
    </row>
    <row r="49" spans="3:13" ht="15.5">
      <c r="C49" s="398" t="s">
        <v>32</v>
      </c>
      <c r="D49" s="399"/>
      <c r="E49" s="400"/>
      <c r="F49" s="401"/>
    </row>
    <row r="50" spans="3:13" ht="15.5">
      <c r="C50" s="398" t="s">
        <v>13</v>
      </c>
      <c r="D50" s="399"/>
      <c r="E50" s="400"/>
      <c r="F50" s="401"/>
    </row>
    <row r="51" spans="3:13" ht="14.5" thickBot="1">
      <c r="C51" s="214" t="str">
        <f>+C28</f>
        <v>01 de Febrero de 2024</v>
      </c>
      <c r="D51" s="19"/>
      <c r="E51" s="428"/>
      <c r="F51" s="429"/>
    </row>
    <row r="52" spans="3:13" ht="33" customHeight="1" thickTop="1">
      <c r="C52" s="72" t="s">
        <v>14</v>
      </c>
      <c r="D52" s="228" t="s">
        <v>198</v>
      </c>
      <c r="E52" s="228" t="s">
        <v>314</v>
      </c>
      <c r="F52" s="229" t="s">
        <v>313</v>
      </c>
    </row>
    <row r="53" spans="3:13" ht="26.5" customHeight="1">
      <c r="C53" s="230" t="s">
        <v>199</v>
      </c>
      <c r="D53" s="223">
        <f>+BIODIESEL!D10</f>
        <v>4969.18</v>
      </c>
      <c r="E53" s="223">
        <f>+D53</f>
        <v>4969.18</v>
      </c>
      <c r="F53" s="73">
        <f>+BIODIESEL!B7*2%+('COMBUSTIBLES '!E7*77%)*98%</f>
        <v>3900.0269480000002</v>
      </c>
      <c r="G53" s="294"/>
      <c r="J53" s="330"/>
      <c r="K53" s="21"/>
      <c r="L53" s="330"/>
      <c r="M53" s="21"/>
    </row>
    <row r="54" spans="3:13" ht="26.5" customHeight="1">
      <c r="C54" s="230" t="str">
        <f>+C31</f>
        <v>Impuesto Nacional a la Gasolina y al ACPM</v>
      </c>
      <c r="D54" s="226">
        <f>+'Resoluciones, leyes'!V37</f>
        <v>679.77</v>
      </c>
      <c r="E54" s="226">
        <f>+ROUND('Resoluciones, leyes'!$V$38*98%,2)</f>
        <v>866.39</v>
      </c>
      <c r="F54" s="226">
        <f>+ROUND('Resoluciones, leyes'!$V$38*98%,2)</f>
        <v>866.39</v>
      </c>
      <c r="G54" s="21"/>
      <c r="J54" s="395"/>
    </row>
    <row r="55" spans="3:13" ht="26.5" customHeight="1">
      <c r="C55" s="230" t="str">
        <f>+C32</f>
        <v>Impuesto sobre las Ventas</v>
      </c>
      <c r="D55" s="304" t="str">
        <f>+'COMBUSTIBLES '!C12</f>
        <v>(3)</v>
      </c>
      <c r="E55" s="304" t="str">
        <f>+D55</f>
        <v>(3)</v>
      </c>
      <c r="F55" s="306" t="str">
        <f>+E55</f>
        <v>(3)</v>
      </c>
      <c r="G55" s="21"/>
    </row>
    <row r="56" spans="3:13" ht="26.5" customHeight="1">
      <c r="C56" s="230" t="str">
        <f>+C33</f>
        <v>Impuesto al carbono</v>
      </c>
      <c r="D56" s="223">
        <f>+D9*98%</f>
        <v>206.41739999999999</v>
      </c>
      <c r="E56" s="223">
        <f>+E33*98%</f>
        <v>206.41739999999999</v>
      </c>
      <c r="F56" s="232">
        <f>E56</f>
        <v>206.41739999999999</v>
      </c>
      <c r="G56" s="21"/>
    </row>
    <row r="57" spans="3:13" ht="26.5" customHeight="1">
      <c r="C57" s="230" t="s">
        <v>197</v>
      </c>
      <c r="D57" s="328" t="s">
        <v>10</v>
      </c>
      <c r="E57" s="56" t="str">
        <f>+D57</f>
        <v>(*)</v>
      </c>
      <c r="F57" s="57" t="str">
        <f>+E57</f>
        <v>(*)</v>
      </c>
    </row>
    <row r="58" spans="3:13" ht="26.5" customHeight="1">
      <c r="C58" s="230" t="s">
        <v>185</v>
      </c>
      <c r="D58" s="301">
        <v>30.83</v>
      </c>
      <c r="E58" s="226">
        <f>+D58</f>
        <v>30.83</v>
      </c>
      <c r="F58" s="73">
        <f>+E58</f>
        <v>30.83</v>
      </c>
    </row>
    <row r="59" spans="3:13" ht="26.5" hidden="1" customHeight="1">
      <c r="C59" s="58"/>
      <c r="D59" s="223"/>
      <c r="E59" s="223"/>
      <c r="F59" s="232"/>
    </row>
    <row r="60" spans="3:13" ht="26.5" customHeight="1">
      <c r="C60" s="230" t="s">
        <v>27</v>
      </c>
      <c r="D60" s="241">
        <f>SUM(D53:D59)</f>
        <v>5886.1974000000009</v>
      </c>
      <c r="E60" s="241">
        <f>SUM(E53:E59)</f>
        <v>6072.8174000000008</v>
      </c>
      <c r="F60" s="242">
        <f>SUM(F53:F59)</f>
        <v>5003.6643480000002</v>
      </c>
      <c r="I60" s="21"/>
    </row>
    <row r="61" spans="3:13" ht="37.15" customHeight="1">
      <c r="C61" s="234" t="s">
        <v>33</v>
      </c>
      <c r="D61" s="243">
        <f>SUM(D60:D60)</f>
        <v>5886.1974000000009</v>
      </c>
      <c r="E61" s="243">
        <f>SUM(E60:E60)</f>
        <v>6072.8174000000008</v>
      </c>
      <c r="F61" s="244">
        <f>SUM(F60:F60)</f>
        <v>5003.6643480000002</v>
      </c>
    </row>
    <row r="62" spans="3:13" ht="37.15" customHeight="1" thickBot="1">
      <c r="C62" s="236" t="s">
        <v>40</v>
      </c>
      <c r="D62" s="413" t="str">
        <f>D40</f>
        <v>(5)</v>
      </c>
      <c r="E62" s="237"/>
      <c r="F62" s="238"/>
    </row>
    <row r="63" spans="3:13" ht="18.649999999999999" customHeight="1" thickTop="1">
      <c r="C63" s="758" t="s">
        <v>139</v>
      </c>
      <c r="D63" s="759"/>
      <c r="E63" s="759"/>
      <c r="F63" s="5"/>
    </row>
    <row r="64" spans="3:13" ht="18.649999999999999" customHeight="1">
      <c r="C64" s="713" t="s">
        <v>261</v>
      </c>
      <c r="D64" s="713"/>
      <c r="E64" s="713"/>
      <c r="F64" s="713"/>
    </row>
    <row r="65" spans="3:16" ht="18.649999999999999" customHeight="1">
      <c r="C65" s="713" t="s">
        <v>328</v>
      </c>
      <c r="D65" s="713"/>
      <c r="E65" s="713"/>
      <c r="F65" s="713"/>
    </row>
    <row r="66" spans="3:16" ht="10" customHeight="1">
      <c r="C66" s="346"/>
      <c r="D66" s="346"/>
      <c r="E66" s="346"/>
      <c r="F66" s="346"/>
    </row>
    <row r="67" spans="3:16" ht="40.75" customHeight="1">
      <c r="C67" s="699" t="s">
        <v>258</v>
      </c>
      <c r="D67" s="699"/>
      <c r="E67" s="699"/>
      <c r="F67" s="699"/>
      <c r="G67" s="699"/>
      <c r="H67" s="699"/>
      <c r="I67" s="699"/>
    </row>
    <row r="68" spans="3:16" ht="44.5" customHeight="1">
      <c r="C68" s="760"/>
      <c r="D68" s="760"/>
      <c r="E68" s="760"/>
      <c r="F68" s="760"/>
    </row>
    <row r="72" spans="3:16" ht="19.75" hidden="1" customHeight="1" outlineLevel="1">
      <c r="C72" s="213" t="s">
        <v>250</v>
      </c>
      <c r="D72" s="213" t="s">
        <v>164</v>
      </c>
      <c r="E72" s="213" t="s">
        <v>165</v>
      </c>
      <c r="F72" s="213" t="s">
        <v>166</v>
      </c>
    </row>
    <row r="73" spans="3:16" ht="19.75" hidden="1" customHeight="1" outlineLevel="1">
      <c r="C73" s="211" t="s">
        <v>316</v>
      </c>
      <c r="D73" s="212">
        <f>+E6</f>
        <v>4743.38</v>
      </c>
      <c r="E73" s="212">
        <f>+F6</f>
        <v>3794.7040000000002</v>
      </c>
      <c r="F73" s="307">
        <f t="shared" ref="F73:F76" si="1">+D73-E73</f>
        <v>948.67599999999993</v>
      </c>
      <c r="I73" s="313" t="s">
        <v>253</v>
      </c>
      <c r="J73" s="349" t="s">
        <v>253</v>
      </c>
      <c r="K73" s="342">
        <v>912.6</v>
      </c>
      <c r="L73" s="21">
        <f>+F73-K73</f>
        <v>36.075999999999908</v>
      </c>
      <c r="N73" s="2" t="s">
        <v>276</v>
      </c>
    </row>
    <row r="74" spans="3:16" ht="20.149999999999999" hidden="1" customHeight="1" outlineLevel="1">
      <c r="C74" s="211" t="s">
        <v>317</v>
      </c>
      <c r="D74" s="211">
        <f>+BIODIESEL!D10</f>
        <v>4969.18</v>
      </c>
      <c r="E74" s="212">
        <f>+J6</f>
        <v>4039.4823200000001</v>
      </c>
      <c r="F74" s="307">
        <f t="shared" si="1"/>
        <v>929.69768000000022</v>
      </c>
      <c r="I74" s="313" t="s">
        <v>253</v>
      </c>
      <c r="J74" s="349" t="s">
        <v>352</v>
      </c>
      <c r="K74" s="342">
        <v>894.35</v>
      </c>
      <c r="L74" s="21">
        <f t="shared" ref="L74:L77" si="2">+F74-K74</f>
        <v>35.347680000000196</v>
      </c>
      <c r="O74" s="348" t="s">
        <v>277</v>
      </c>
    </row>
    <row r="75" spans="3:16" ht="19.75" hidden="1" customHeight="1" outlineLevel="1">
      <c r="C75" s="308" t="s">
        <v>249</v>
      </c>
      <c r="D75" s="309">
        <f>+E6</f>
        <v>4743.38</v>
      </c>
      <c r="E75" s="341">
        <f>+D75*77%</f>
        <v>3652.4026000000003</v>
      </c>
      <c r="F75" s="347">
        <f t="shared" si="1"/>
        <v>1090.9773999999998</v>
      </c>
      <c r="I75" s="313" t="s">
        <v>253</v>
      </c>
      <c r="J75" s="349" t="s">
        <v>253</v>
      </c>
      <c r="K75" s="342">
        <v>2281.5</v>
      </c>
      <c r="L75" s="21">
        <f t="shared" si="2"/>
        <v>-1190.5226000000002</v>
      </c>
      <c r="O75" s="349">
        <f>+D75-D75*0.77</f>
        <v>1090.9773999999998</v>
      </c>
      <c r="P75" s="2" t="s">
        <v>278</v>
      </c>
    </row>
    <row r="76" spans="3:16" ht="19.75" hidden="1" customHeight="1" outlineLevel="1">
      <c r="C76" s="308" t="s">
        <v>248</v>
      </c>
      <c r="D76" s="309">
        <f>D53</f>
        <v>4969.18</v>
      </c>
      <c r="E76" s="309">
        <f>F53</f>
        <v>3900.0269480000002</v>
      </c>
      <c r="F76" s="347">
        <f t="shared" si="1"/>
        <v>1069.1530520000001</v>
      </c>
      <c r="I76" s="313"/>
      <c r="J76" s="349" t="s">
        <v>351</v>
      </c>
      <c r="K76" s="342">
        <v>2235.87</v>
      </c>
      <c r="L76" s="21">
        <f t="shared" si="2"/>
        <v>-1166.7169479999998</v>
      </c>
      <c r="O76" s="384">
        <f>+D76-D75*0.98*0.77-13242.08*0.02</f>
        <v>1124.9838520000005</v>
      </c>
    </row>
    <row r="77" spans="3:16" ht="22.9" hidden="1" customHeight="1" outlineLevel="1">
      <c r="C77" s="211" t="s">
        <v>262</v>
      </c>
      <c r="D77" s="422">
        <f>+D30</f>
        <v>4743.38</v>
      </c>
      <c r="E77" s="212">
        <f>+F30</f>
        <v>3794.7040000000002</v>
      </c>
      <c r="F77" s="212">
        <f>+D77-E77</f>
        <v>948.67599999999993</v>
      </c>
      <c r="J77" s="349" t="s">
        <v>253</v>
      </c>
      <c r="K77" s="342">
        <v>912.6</v>
      </c>
      <c r="L77" s="21">
        <f t="shared" si="2"/>
        <v>36.075999999999908</v>
      </c>
      <c r="O77" s="21"/>
    </row>
    <row r="78" spans="3:16" collapsed="1">
      <c r="D78" s="330"/>
      <c r="K78" s="342"/>
    </row>
    <row r="79" spans="3:16">
      <c r="D79" s="330"/>
      <c r="J79" s="21"/>
    </row>
    <row r="80" spans="3:16" ht="143.5" customHeight="1">
      <c r="C80" s="757" t="s">
        <v>334</v>
      </c>
      <c r="D80" s="757"/>
      <c r="E80" s="757"/>
      <c r="F80" s="757"/>
      <c r="G80" s="757"/>
      <c r="J80" s="21"/>
    </row>
  </sheetData>
  <sheetProtection algorithmName="SHA-512" hashValue="rvZN/EywmbHPqvLVa3dglf9JzT0dO/6p6j0dbNXEavA43poqL1ZG/7CZPIRxsVCoDgjmrJmjRONsgZtQKfSmaQ==" saltValue="SH9H3Ac8sOVSRBuqpTisKQ=="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116"/>
  <sheetViews>
    <sheetView zoomScale="85" zoomScaleNormal="85" workbookViewId="0">
      <selection activeCell="N103" sqref="N103"/>
    </sheetView>
  </sheetViews>
  <sheetFormatPr baseColWidth="10" defaultRowHeight="12.5"/>
  <cols>
    <col min="15" max="15" width="14.7265625" bestFit="1" customWidth="1"/>
    <col min="16" max="16" width="12.1796875" bestFit="1" customWidth="1"/>
    <col min="21" max="21" width="21.54296875" bestFit="1" customWidth="1"/>
  </cols>
  <sheetData>
    <row r="1" spans="1:22" ht="14.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4.5">
      <c r="A2" s="443" t="s">
        <v>377</v>
      </c>
      <c r="B2" s="444">
        <v>930</v>
      </c>
      <c r="C2" s="445" t="s">
        <v>378</v>
      </c>
      <c r="D2" s="445"/>
      <c r="E2" s="445"/>
      <c r="F2" s="445">
        <v>3010</v>
      </c>
      <c r="G2" s="445"/>
      <c r="H2" s="445"/>
      <c r="I2" s="445"/>
      <c r="J2" s="445"/>
      <c r="K2" s="445"/>
      <c r="L2" s="445"/>
      <c r="M2" s="445"/>
      <c r="N2" s="445"/>
      <c r="O2" s="445">
        <v>30000009420</v>
      </c>
      <c r="P2" s="446">
        <f>+BIODIESEL!$D$8</f>
        <v>4648.51</v>
      </c>
      <c r="Q2" s="447" t="s">
        <v>379</v>
      </c>
      <c r="R2" s="447">
        <v>1</v>
      </c>
      <c r="S2" t="s">
        <v>380</v>
      </c>
      <c r="T2" s="447" t="s">
        <v>401</v>
      </c>
      <c r="U2" s="489" t="s">
        <v>403</v>
      </c>
      <c r="V2" s="462" t="s">
        <v>404</v>
      </c>
    </row>
    <row r="3" spans="1:22" ht="14.5">
      <c r="A3" s="443" t="s">
        <v>381</v>
      </c>
      <c r="B3" s="444">
        <v>930</v>
      </c>
      <c r="C3" s="445" t="s">
        <v>378</v>
      </c>
      <c r="D3" s="445"/>
      <c r="E3" s="445"/>
      <c r="F3" s="445">
        <v>3010</v>
      </c>
      <c r="G3" s="445"/>
      <c r="H3" s="445"/>
      <c r="I3" s="445"/>
      <c r="J3" s="445"/>
      <c r="K3" s="445"/>
      <c r="L3" s="445"/>
      <c r="M3" s="447"/>
      <c r="N3" s="445"/>
      <c r="O3" s="445">
        <v>30000009420</v>
      </c>
      <c r="P3" s="446">
        <f>+BIODIESEL!$D$9</f>
        <v>320.67</v>
      </c>
      <c r="Q3" s="447" t="s">
        <v>379</v>
      </c>
      <c r="R3" s="447">
        <v>1</v>
      </c>
      <c r="S3" t="s">
        <v>380</v>
      </c>
      <c r="T3" s="447" t="s">
        <v>401</v>
      </c>
      <c r="U3" s="489" t="str">
        <f t="shared" ref="U3:V43" si="0">+U2</f>
        <v>04.11.2023</v>
      </c>
      <c r="V3" s="461" t="str">
        <f t="shared" si="0"/>
        <v>30.11.2023</v>
      </c>
    </row>
    <row r="4" spans="1:22" ht="14.5">
      <c r="A4" s="447" t="s">
        <v>377</v>
      </c>
      <c r="B4" s="444">
        <v>930</v>
      </c>
      <c r="C4" s="447" t="s">
        <v>378</v>
      </c>
      <c r="D4" s="447"/>
      <c r="E4" s="447"/>
      <c r="F4" s="447">
        <v>4531</v>
      </c>
      <c r="G4" s="447"/>
      <c r="H4" s="447"/>
      <c r="I4" s="447"/>
      <c r="J4" s="447"/>
      <c r="K4" s="447"/>
      <c r="L4" s="447"/>
      <c r="M4" s="447"/>
      <c r="N4" s="447"/>
      <c r="O4" s="447">
        <v>30000009250</v>
      </c>
      <c r="P4" s="446">
        <f>+BIODIESEL!$D$8</f>
        <v>4648.51</v>
      </c>
      <c r="Q4" s="447" t="s">
        <v>379</v>
      </c>
      <c r="R4" s="447">
        <v>1</v>
      </c>
      <c r="S4" t="s">
        <v>380</v>
      </c>
      <c r="T4" s="447" t="s">
        <v>401</v>
      </c>
      <c r="U4" s="489" t="str">
        <f t="shared" si="0"/>
        <v>04.11.2023</v>
      </c>
      <c r="V4" s="461" t="str">
        <f t="shared" si="0"/>
        <v>30.11.2023</v>
      </c>
    </row>
    <row r="5" spans="1:22" ht="14.5">
      <c r="A5" s="447" t="s">
        <v>381</v>
      </c>
      <c r="B5" s="444">
        <v>930</v>
      </c>
      <c r="C5" s="448" t="s">
        <v>378</v>
      </c>
      <c r="D5" s="448"/>
      <c r="E5" s="448"/>
      <c r="F5" s="448">
        <v>4531</v>
      </c>
      <c r="G5" s="448"/>
      <c r="H5" s="448"/>
      <c r="I5" s="448"/>
      <c r="J5" s="448"/>
      <c r="K5" s="448"/>
      <c r="L5" s="448"/>
      <c r="M5" s="448"/>
      <c r="N5" s="448"/>
      <c r="O5" s="447">
        <v>30000009250</v>
      </c>
      <c r="P5" s="446">
        <f>+BIODIESEL!$D$9</f>
        <v>320.67</v>
      </c>
      <c r="Q5" s="448" t="s">
        <v>379</v>
      </c>
      <c r="R5" s="448">
        <v>1</v>
      </c>
      <c r="S5" s="449" t="s">
        <v>380</v>
      </c>
      <c r="T5" s="447" t="s">
        <v>401</v>
      </c>
      <c r="U5" s="489" t="str">
        <f t="shared" si="0"/>
        <v>04.11.2023</v>
      </c>
      <c r="V5" s="461" t="str">
        <f t="shared" si="0"/>
        <v>30.11.2023</v>
      </c>
    </row>
    <row r="6" spans="1:22" ht="14.5">
      <c r="A6" s="447" t="s">
        <v>377</v>
      </c>
      <c r="B6" s="444">
        <v>929</v>
      </c>
      <c r="C6" s="447" t="s">
        <v>378</v>
      </c>
      <c r="D6" s="447"/>
      <c r="E6" s="447"/>
      <c r="F6" s="447">
        <v>4523</v>
      </c>
      <c r="G6" s="447"/>
      <c r="H6" s="447"/>
      <c r="I6" s="447"/>
      <c r="J6" s="447"/>
      <c r="K6" s="447"/>
      <c r="L6" s="447"/>
      <c r="M6" s="447" t="s">
        <v>382</v>
      </c>
      <c r="N6" s="447"/>
      <c r="O6" s="447">
        <v>30000009420</v>
      </c>
      <c r="P6" s="446">
        <f>+BIODIESEL!$D$8</f>
        <v>4648.51</v>
      </c>
      <c r="Q6" s="447" t="s">
        <v>379</v>
      </c>
      <c r="R6" s="447">
        <v>1</v>
      </c>
      <c r="S6" t="s">
        <v>380</v>
      </c>
      <c r="T6" s="447" t="s">
        <v>401</v>
      </c>
      <c r="U6" s="489" t="str">
        <f t="shared" si="0"/>
        <v>04.11.2023</v>
      </c>
      <c r="V6" s="461" t="str">
        <f t="shared" si="0"/>
        <v>30.11.2023</v>
      </c>
    </row>
    <row r="7" spans="1:22" ht="14.5">
      <c r="A7" s="447" t="s">
        <v>381</v>
      </c>
      <c r="B7" s="444">
        <v>929</v>
      </c>
      <c r="C7" s="448" t="s">
        <v>378</v>
      </c>
      <c r="D7" s="448"/>
      <c r="E7" s="448"/>
      <c r="F7" s="448">
        <v>4523</v>
      </c>
      <c r="G7" s="448"/>
      <c r="H7" s="448"/>
      <c r="I7" s="448"/>
      <c r="J7" s="448"/>
      <c r="K7" s="448"/>
      <c r="L7" s="448"/>
      <c r="M7" s="448" t="s">
        <v>382</v>
      </c>
      <c r="N7" s="448"/>
      <c r="O7" s="448">
        <v>30000009420</v>
      </c>
      <c r="P7" s="446">
        <f>+BIODIESEL!$D$9</f>
        <v>320.67</v>
      </c>
      <c r="Q7" s="448" t="s">
        <v>379</v>
      </c>
      <c r="R7" s="448">
        <v>1</v>
      </c>
      <c r="S7" s="449" t="s">
        <v>380</v>
      </c>
      <c r="T7" s="447" t="s">
        <v>401</v>
      </c>
      <c r="U7" s="489" t="str">
        <f t="shared" si="0"/>
        <v>04.11.2023</v>
      </c>
      <c r="V7" s="461" t="str">
        <f t="shared" si="0"/>
        <v>30.11.2023</v>
      </c>
    </row>
    <row r="8" spans="1:22" ht="14.5">
      <c r="A8" s="447" t="s">
        <v>377</v>
      </c>
      <c r="B8" s="444">
        <v>929</v>
      </c>
      <c r="C8" s="447" t="s">
        <v>378</v>
      </c>
      <c r="D8" s="447"/>
      <c r="E8" s="447"/>
      <c r="F8" s="447">
        <v>4523</v>
      </c>
      <c r="G8" s="447"/>
      <c r="H8" s="447"/>
      <c r="I8" s="447"/>
      <c r="J8" s="447"/>
      <c r="K8" s="447"/>
      <c r="L8" s="447"/>
      <c r="M8" s="447" t="s">
        <v>383</v>
      </c>
      <c r="N8" s="447"/>
      <c r="O8" s="447">
        <v>30000009420</v>
      </c>
      <c r="P8" s="446">
        <f>+BIODIESEL!$D$8</f>
        <v>4648.51</v>
      </c>
      <c r="Q8" s="447" t="s">
        <v>379</v>
      </c>
      <c r="R8" s="447">
        <v>1</v>
      </c>
      <c r="S8" t="s">
        <v>380</v>
      </c>
      <c r="T8" s="447" t="s">
        <v>401</v>
      </c>
      <c r="U8" s="489" t="str">
        <f t="shared" si="0"/>
        <v>04.11.2023</v>
      </c>
      <c r="V8" s="461" t="str">
        <f t="shared" si="0"/>
        <v>30.11.2023</v>
      </c>
    </row>
    <row r="9" spans="1:22" ht="14.5">
      <c r="A9" s="447" t="s">
        <v>381</v>
      </c>
      <c r="B9" s="444">
        <v>929</v>
      </c>
      <c r="C9" s="448" t="s">
        <v>378</v>
      </c>
      <c r="D9" s="448"/>
      <c r="E9" s="448"/>
      <c r="F9" s="448">
        <v>4523</v>
      </c>
      <c r="G9" s="448"/>
      <c r="H9" s="448"/>
      <c r="I9" s="448"/>
      <c r="J9" s="448"/>
      <c r="K9" s="448"/>
      <c r="L9" s="448"/>
      <c r="M9" s="448" t="s">
        <v>383</v>
      </c>
      <c r="N9" s="448"/>
      <c r="O9" s="448">
        <v>30000009420</v>
      </c>
      <c r="P9" s="446">
        <f>+BIODIESEL!$D$9</f>
        <v>320.67</v>
      </c>
      <c r="Q9" s="448" t="s">
        <v>379</v>
      </c>
      <c r="R9" s="448">
        <v>1</v>
      </c>
      <c r="S9" s="449" t="s">
        <v>380</v>
      </c>
      <c r="T9" s="447" t="s">
        <v>401</v>
      </c>
      <c r="U9" s="489" t="str">
        <f t="shared" si="0"/>
        <v>04.11.2023</v>
      </c>
      <c r="V9" s="461" t="str">
        <f t="shared" si="0"/>
        <v>30.11.2023</v>
      </c>
    </row>
    <row r="10" spans="1:22" ht="14.5">
      <c r="A10" s="443" t="s">
        <v>377</v>
      </c>
      <c r="B10" s="444">
        <v>929</v>
      </c>
      <c r="C10" s="447" t="s">
        <v>378</v>
      </c>
      <c r="D10" s="447"/>
      <c r="E10" s="447"/>
      <c r="F10" s="447">
        <v>4502</v>
      </c>
      <c r="G10" s="447"/>
      <c r="H10" s="447"/>
      <c r="I10" s="447"/>
      <c r="J10" s="447"/>
      <c r="K10" s="447"/>
      <c r="L10" s="447"/>
      <c r="M10" s="447" t="s">
        <v>382</v>
      </c>
      <c r="N10" s="447"/>
      <c r="O10" s="447">
        <v>30000009291</v>
      </c>
      <c r="P10" s="446">
        <f>+BIODIESEL!$D$8</f>
        <v>4648.51</v>
      </c>
      <c r="Q10" s="447" t="s">
        <v>379</v>
      </c>
      <c r="R10" s="447">
        <v>1</v>
      </c>
      <c r="S10" t="s">
        <v>380</v>
      </c>
      <c r="T10" s="447" t="s">
        <v>401</v>
      </c>
      <c r="U10" s="489" t="str">
        <f t="shared" si="0"/>
        <v>04.11.2023</v>
      </c>
      <c r="V10" s="461" t="str">
        <f t="shared" si="0"/>
        <v>30.11.2023</v>
      </c>
    </row>
    <row r="11" spans="1:22" ht="14.5">
      <c r="A11" s="447" t="s">
        <v>381</v>
      </c>
      <c r="B11" s="444">
        <v>929</v>
      </c>
      <c r="C11" s="447" t="s">
        <v>378</v>
      </c>
      <c r="D11" s="447"/>
      <c r="E11" s="447"/>
      <c r="F11" s="447">
        <v>4502</v>
      </c>
      <c r="G11" s="447"/>
      <c r="H11" s="447"/>
      <c r="I11" s="447"/>
      <c r="J11" s="447"/>
      <c r="K11" s="447"/>
      <c r="L11" s="447"/>
      <c r="M11" s="447" t="s">
        <v>382</v>
      </c>
      <c r="N11" s="447"/>
      <c r="O11" s="447">
        <v>30000009291</v>
      </c>
      <c r="P11" s="446">
        <f>+BIODIESEL!$D$9</f>
        <v>320.67</v>
      </c>
      <c r="Q11" s="447" t="s">
        <v>379</v>
      </c>
      <c r="R11" s="447">
        <v>1</v>
      </c>
      <c r="S11" t="s">
        <v>380</v>
      </c>
      <c r="T11" s="447" t="s">
        <v>401</v>
      </c>
      <c r="U11" s="489" t="str">
        <f t="shared" si="0"/>
        <v>04.11.2023</v>
      </c>
      <c r="V11" s="461" t="str">
        <f t="shared" si="0"/>
        <v>30.11.2023</v>
      </c>
    </row>
    <row r="12" spans="1:22" ht="14.5">
      <c r="A12" s="443" t="s">
        <v>377</v>
      </c>
      <c r="B12" s="444">
        <v>929</v>
      </c>
      <c r="C12" s="447" t="s">
        <v>378</v>
      </c>
      <c r="D12" s="447"/>
      <c r="E12" s="447"/>
      <c r="F12" s="447">
        <v>4502</v>
      </c>
      <c r="G12" s="447"/>
      <c r="H12" s="447"/>
      <c r="I12" s="447"/>
      <c r="J12" s="447"/>
      <c r="K12" s="447"/>
      <c r="L12" s="447"/>
      <c r="M12" s="447" t="s">
        <v>383</v>
      </c>
      <c r="N12" s="447"/>
      <c r="O12" s="447">
        <v>30000009291</v>
      </c>
      <c r="P12" s="446">
        <f>+BIODIESEL!$D$8</f>
        <v>4648.51</v>
      </c>
      <c r="Q12" s="447" t="s">
        <v>379</v>
      </c>
      <c r="R12" s="447">
        <v>1</v>
      </c>
      <c r="S12" t="s">
        <v>380</v>
      </c>
      <c r="T12" s="447" t="s">
        <v>401</v>
      </c>
      <c r="U12" s="489" t="str">
        <f t="shared" si="0"/>
        <v>04.11.2023</v>
      </c>
      <c r="V12" s="461" t="str">
        <f t="shared" si="0"/>
        <v>30.11.2023</v>
      </c>
    </row>
    <row r="13" spans="1:22" ht="14.5">
      <c r="A13" s="445" t="s">
        <v>381</v>
      </c>
      <c r="B13" s="444">
        <v>929</v>
      </c>
      <c r="C13" s="445" t="s">
        <v>378</v>
      </c>
      <c r="D13" s="445"/>
      <c r="E13" s="445"/>
      <c r="F13" s="445">
        <v>4502</v>
      </c>
      <c r="G13" s="445"/>
      <c r="H13" s="445"/>
      <c r="I13" s="445"/>
      <c r="J13" s="445"/>
      <c r="K13" s="445"/>
      <c r="L13" s="445"/>
      <c r="M13" s="445" t="s">
        <v>383</v>
      </c>
      <c r="N13" s="445"/>
      <c r="O13" s="445">
        <v>30000009291</v>
      </c>
      <c r="P13" s="446">
        <f>+BIODIESEL!$D$9</f>
        <v>320.67</v>
      </c>
      <c r="Q13" s="445" t="s">
        <v>379</v>
      </c>
      <c r="R13" s="445">
        <v>1</v>
      </c>
      <c r="S13" s="451" t="s">
        <v>380</v>
      </c>
      <c r="T13" s="447" t="s">
        <v>401</v>
      </c>
      <c r="U13" s="489" t="str">
        <f t="shared" si="0"/>
        <v>04.11.2023</v>
      </c>
      <c r="V13" s="461" t="str">
        <f t="shared" si="0"/>
        <v>30.11.2023</v>
      </c>
    </row>
    <row r="14" spans="1:22" ht="14.5">
      <c r="A14" s="447" t="s">
        <v>377</v>
      </c>
      <c r="B14" s="444">
        <v>929</v>
      </c>
      <c r="C14" s="447" t="s">
        <v>378</v>
      </c>
      <c r="D14" s="447"/>
      <c r="E14" s="447"/>
      <c r="F14" s="447">
        <v>3010</v>
      </c>
      <c r="G14" s="447"/>
      <c r="H14" s="447"/>
      <c r="I14" s="447"/>
      <c r="J14" s="447"/>
      <c r="K14" s="447"/>
      <c r="L14" s="447"/>
      <c r="M14" s="447" t="s">
        <v>382</v>
      </c>
      <c r="N14" s="447"/>
      <c r="O14" s="447">
        <v>30000009531</v>
      </c>
      <c r="P14" s="446">
        <f>+BIODIESEL!$D$8</f>
        <v>4648.51</v>
      </c>
      <c r="Q14" s="447" t="s">
        <v>379</v>
      </c>
      <c r="R14" s="447">
        <v>1</v>
      </c>
      <c r="S14" t="s">
        <v>380</v>
      </c>
      <c r="T14" s="447" t="s">
        <v>401</v>
      </c>
      <c r="U14" s="489" t="str">
        <f t="shared" si="0"/>
        <v>04.11.2023</v>
      </c>
      <c r="V14" s="461" t="str">
        <f t="shared" si="0"/>
        <v>30.11.2023</v>
      </c>
    </row>
    <row r="15" spans="1:22" ht="14.5">
      <c r="A15" s="447" t="s">
        <v>381</v>
      </c>
      <c r="B15" s="444">
        <v>929</v>
      </c>
      <c r="C15" s="447" t="s">
        <v>378</v>
      </c>
      <c r="D15" s="447"/>
      <c r="E15" s="447"/>
      <c r="F15" s="447">
        <v>3010</v>
      </c>
      <c r="G15" s="447"/>
      <c r="H15" s="447"/>
      <c r="I15" s="447"/>
      <c r="J15" s="447"/>
      <c r="K15" s="447"/>
      <c r="L15" s="447"/>
      <c r="M15" s="447" t="s">
        <v>382</v>
      </c>
      <c r="N15" s="447"/>
      <c r="O15" s="447">
        <v>30000009531</v>
      </c>
      <c r="P15" s="446">
        <f>+BIODIESEL!$D$9</f>
        <v>320.67</v>
      </c>
      <c r="Q15" s="447" t="s">
        <v>379</v>
      </c>
      <c r="R15" s="447">
        <v>1</v>
      </c>
      <c r="S15" t="s">
        <v>380</v>
      </c>
      <c r="T15" s="447" t="s">
        <v>401</v>
      </c>
      <c r="U15" s="489" t="str">
        <f t="shared" si="0"/>
        <v>04.11.2023</v>
      </c>
      <c r="V15" s="461" t="str">
        <f t="shared" si="0"/>
        <v>30.11.2023</v>
      </c>
    </row>
    <row r="16" spans="1:22" ht="14.5">
      <c r="A16" s="452" t="s">
        <v>377</v>
      </c>
      <c r="B16" s="444">
        <v>929</v>
      </c>
      <c r="C16" s="453" t="s">
        <v>378</v>
      </c>
      <c r="D16" s="453"/>
      <c r="E16" s="453"/>
      <c r="F16" s="453">
        <v>3010</v>
      </c>
      <c r="G16" s="453"/>
      <c r="H16" s="453"/>
      <c r="I16" s="453"/>
      <c r="J16" s="453"/>
      <c r="K16" s="453"/>
      <c r="L16" s="453"/>
      <c r="M16" s="453" t="s">
        <v>383</v>
      </c>
      <c r="N16" s="453"/>
      <c r="O16" s="453">
        <v>30000009531</v>
      </c>
      <c r="P16" s="446">
        <f>+BIODIESEL!$D$8</f>
        <v>4648.51</v>
      </c>
      <c r="Q16" s="453" t="s">
        <v>379</v>
      </c>
      <c r="R16" s="453">
        <v>1</v>
      </c>
      <c r="S16" s="454" t="s">
        <v>380</v>
      </c>
      <c r="T16" s="447" t="s">
        <v>401</v>
      </c>
      <c r="U16" s="489" t="str">
        <f t="shared" si="0"/>
        <v>04.11.2023</v>
      </c>
      <c r="V16" s="461" t="str">
        <f t="shared" si="0"/>
        <v>30.11.2023</v>
      </c>
    </row>
    <row r="17" spans="1:22" ht="14.5">
      <c r="A17" s="455" t="s">
        <v>381</v>
      </c>
      <c r="B17" s="444">
        <v>929</v>
      </c>
      <c r="C17" s="445" t="s">
        <v>378</v>
      </c>
      <c r="D17" s="445"/>
      <c r="E17" s="445"/>
      <c r="F17" s="445">
        <v>3010</v>
      </c>
      <c r="G17" s="445"/>
      <c r="H17" s="445"/>
      <c r="I17" s="445"/>
      <c r="J17" s="445"/>
      <c r="K17" s="445"/>
      <c r="L17" s="445"/>
      <c r="M17" s="445" t="s">
        <v>383</v>
      </c>
      <c r="N17" s="445"/>
      <c r="O17" s="445">
        <v>30000009531</v>
      </c>
      <c r="P17" s="446">
        <f>+BIODIESEL!$D$9</f>
        <v>320.67</v>
      </c>
      <c r="Q17" s="445" t="s">
        <v>379</v>
      </c>
      <c r="R17" s="445">
        <v>1</v>
      </c>
      <c r="S17" s="451" t="s">
        <v>380</v>
      </c>
      <c r="T17" s="447" t="s">
        <v>401</v>
      </c>
      <c r="U17" s="489" t="str">
        <f t="shared" si="0"/>
        <v>04.11.2023</v>
      </c>
      <c r="V17" s="461" t="str">
        <f t="shared" si="0"/>
        <v>30.11.2023</v>
      </c>
    </row>
    <row r="18" spans="1:22" ht="14.5">
      <c r="A18" s="452" t="s">
        <v>377</v>
      </c>
      <c r="B18" s="444">
        <v>929</v>
      </c>
      <c r="C18" s="453" t="s">
        <v>378</v>
      </c>
      <c r="D18" s="453"/>
      <c r="E18" s="453"/>
      <c r="F18" s="453">
        <v>4502</v>
      </c>
      <c r="G18" s="453"/>
      <c r="H18" s="453"/>
      <c r="I18" s="453"/>
      <c r="J18" s="453"/>
      <c r="K18" s="453"/>
      <c r="L18" s="453"/>
      <c r="M18" s="453" t="s">
        <v>382</v>
      </c>
      <c r="N18" s="453"/>
      <c r="O18" s="453">
        <v>30000009531</v>
      </c>
      <c r="P18" s="446">
        <f>+BIODIESEL!$D$8</f>
        <v>4648.51</v>
      </c>
      <c r="Q18" s="453" t="s">
        <v>379</v>
      </c>
      <c r="R18" s="453">
        <v>1</v>
      </c>
      <c r="S18" s="454" t="s">
        <v>380</v>
      </c>
      <c r="T18" s="447" t="s">
        <v>401</v>
      </c>
      <c r="U18" s="489" t="str">
        <f t="shared" si="0"/>
        <v>04.11.2023</v>
      </c>
      <c r="V18" s="461" t="str">
        <f t="shared" si="0"/>
        <v>30.11.2023</v>
      </c>
    </row>
    <row r="19" spans="1:22" ht="14.5">
      <c r="A19" s="455" t="s">
        <v>381</v>
      </c>
      <c r="B19" s="444">
        <v>929</v>
      </c>
      <c r="C19" s="445" t="s">
        <v>378</v>
      </c>
      <c r="D19" s="445"/>
      <c r="E19" s="445"/>
      <c r="F19" s="445">
        <v>4502</v>
      </c>
      <c r="G19" s="445"/>
      <c r="H19" s="445"/>
      <c r="I19" s="445"/>
      <c r="J19" s="445"/>
      <c r="K19" s="445"/>
      <c r="L19" s="445"/>
      <c r="M19" s="445" t="s">
        <v>382</v>
      </c>
      <c r="N19" s="445"/>
      <c r="O19" s="445">
        <v>30000009531</v>
      </c>
      <c r="P19" s="446">
        <f>+BIODIESEL!$D$9</f>
        <v>320.67</v>
      </c>
      <c r="Q19" s="445" t="s">
        <v>379</v>
      </c>
      <c r="R19" s="445">
        <v>1</v>
      </c>
      <c r="S19" s="451" t="s">
        <v>380</v>
      </c>
      <c r="T19" s="447" t="s">
        <v>401</v>
      </c>
      <c r="U19" s="489" t="str">
        <f t="shared" si="0"/>
        <v>04.11.2023</v>
      </c>
      <c r="V19" s="461" t="str">
        <f t="shared" si="0"/>
        <v>30.11.2023</v>
      </c>
    </row>
    <row r="20" spans="1:22" ht="14.5">
      <c r="A20" s="452" t="s">
        <v>377</v>
      </c>
      <c r="B20" s="444">
        <v>929</v>
      </c>
      <c r="C20" s="453" t="s">
        <v>378</v>
      </c>
      <c r="D20" s="453"/>
      <c r="E20" s="453"/>
      <c r="F20" s="453">
        <v>4502</v>
      </c>
      <c r="G20" s="453"/>
      <c r="H20" s="453"/>
      <c r="I20" s="453"/>
      <c r="J20" s="453"/>
      <c r="K20" s="453"/>
      <c r="L20" s="453"/>
      <c r="M20" s="453" t="s">
        <v>383</v>
      </c>
      <c r="N20" s="453"/>
      <c r="O20" s="453">
        <v>30000009531</v>
      </c>
      <c r="P20" s="446">
        <f>+BIODIESEL!$D$8</f>
        <v>4648.51</v>
      </c>
      <c r="Q20" s="453" t="s">
        <v>379</v>
      </c>
      <c r="R20" s="453">
        <v>1</v>
      </c>
      <c r="S20" s="454" t="s">
        <v>380</v>
      </c>
      <c r="T20" s="447" t="s">
        <v>401</v>
      </c>
      <c r="U20" s="489" t="str">
        <f t="shared" si="0"/>
        <v>04.11.2023</v>
      </c>
      <c r="V20" s="461" t="str">
        <f t="shared" si="0"/>
        <v>30.11.2023</v>
      </c>
    </row>
    <row r="21" spans="1:22" ht="14.5">
      <c r="A21" s="455" t="s">
        <v>381</v>
      </c>
      <c r="B21" s="444">
        <v>929</v>
      </c>
      <c r="C21" s="445" t="s">
        <v>378</v>
      </c>
      <c r="D21" s="445"/>
      <c r="E21" s="445"/>
      <c r="F21" s="445">
        <v>4502</v>
      </c>
      <c r="G21" s="445"/>
      <c r="H21" s="445"/>
      <c r="I21" s="445"/>
      <c r="J21" s="445"/>
      <c r="K21" s="445"/>
      <c r="L21" s="445"/>
      <c r="M21" s="445" t="s">
        <v>383</v>
      </c>
      <c r="N21" s="445"/>
      <c r="O21" s="445">
        <v>30000009531</v>
      </c>
      <c r="P21" s="446">
        <f>+BIODIESEL!$D$9</f>
        <v>320.67</v>
      </c>
      <c r="Q21" s="445" t="s">
        <v>379</v>
      </c>
      <c r="R21" s="445">
        <v>1</v>
      </c>
      <c r="S21" s="451" t="s">
        <v>380</v>
      </c>
      <c r="T21" s="447" t="s">
        <v>401</v>
      </c>
      <c r="U21" s="489" t="str">
        <f t="shared" si="0"/>
        <v>04.11.2023</v>
      </c>
      <c r="V21" s="461" t="str">
        <f t="shared" si="0"/>
        <v>30.11.2023</v>
      </c>
    </row>
    <row r="22" spans="1:22" ht="14.5">
      <c r="A22" s="456" t="s">
        <v>384</v>
      </c>
      <c r="B22" s="457">
        <v>930</v>
      </c>
      <c r="C22" s="456" t="s">
        <v>378</v>
      </c>
      <c r="D22" s="456"/>
      <c r="E22" s="456"/>
      <c r="F22" s="456">
        <v>4525</v>
      </c>
      <c r="G22" s="456"/>
      <c r="H22" s="456"/>
      <c r="I22" s="456"/>
      <c r="J22" s="456"/>
      <c r="K22" s="456"/>
      <c r="L22" s="456"/>
      <c r="M22" s="456"/>
      <c r="N22" s="456"/>
      <c r="O22" s="456">
        <v>30000009113</v>
      </c>
      <c r="P22" s="458">
        <f>+'COMBUSTIBLES '!$B$7</f>
        <v>10304.700000000001</v>
      </c>
      <c r="Q22" s="456" t="s">
        <v>379</v>
      </c>
      <c r="R22" s="456">
        <v>1</v>
      </c>
      <c r="S22" s="459" t="s">
        <v>380</v>
      </c>
      <c r="T22" s="447" t="s">
        <v>401</v>
      </c>
      <c r="U22" s="489" t="str">
        <f t="shared" si="0"/>
        <v>04.11.2023</v>
      </c>
      <c r="V22" s="461" t="str">
        <f t="shared" si="0"/>
        <v>30.11.2023</v>
      </c>
    </row>
    <row r="23" spans="1:22" ht="14.5">
      <c r="A23" s="447" t="s">
        <v>377</v>
      </c>
      <c r="B23" s="444">
        <v>587</v>
      </c>
      <c r="C23" s="445" t="s">
        <v>378</v>
      </c>
      <c r="D23" s="447"/>
      <c r="E23" s="447"/>
      <c r="F23" s="447"/>
      <c r="G23" s="447"/>
      <c r="H23" s="447"/>
      <c r="I23" s="447"/>
      <c r="J23" s="447"/>
      <c r="K23" s="447"/>
      <c r="L23" s="447"/>
      <c r="M23" s="447"/>
      <c r="N23" s="447"/>
      <c r="O23" s="445">
        <v>30000002129</v>
      </c>
      <c r="P23" s="446">
        <f>+BIODIESEL!$D$8</f>
        <v>4648.51</v>
      </c>
      <c r="Q23" s="445" t="s">
        <v>379</v>
      </c>
      <c r="R23" s="445">
        <v>1</v>
      </c>
      <c r="S23" s="451" t="s">
        <v>380</v>
      </c>
      <c r="T23" s="447" t="s">
        <v>401</v>
      </c>
      <c r="U23" s="489" t="str">
        <f t="shared" si="0"/>
        <v>04.11.2023</v>
      </c>
      <c r="V23" s="461" t="str">
        <f t="shared" si="0"/>
        <v>30.11.2023</v>
      </c>
    </row>
    <row r="24" spans="1:22" ht="14.5">
      <c r="A24" s="447" t="s">
        <v>377</v>
      </c>
      <c r="B24" s="444">
        <v>587</v>
      </c>
      <c r="C24" s="445" t="s">
        <v>378</v>
      </c>
      <c r="D24" s="447"/>
      <c r="E24" s="447"/>
      <c r="F24" s="447"/>
      <c r="G24" s="447"/>
      <c r="H24" s="447"/>
      <c r="I24" s="447"/>
      <c r="J24" s="447"/>
      <c r="K24" s="447"/>
      <c r="L24" s="447"/>
      <c r="M24" s="447"/>
      <c r="N24" s="447"/>
      <c r="O24" s="445">
        <v>30000002317</v>
      </c>
      <c r="P24" s="446">
        <f>+BIODIESEL!$D$8</f>
        <v>4648.51</v>
      </c>
      <c r="Q24" s="445" t="s">
        <v>379</v>
      </c>
      <c r="R24" s="445">
        <v>1</v>
      </c>
      <c r="S24" s="451" t="s">
        <v>380</v>
      </c>
      <c r="T24" s="447" t="s">
        <v>401</v>
      </c>
      <c r="U24" s="489" t="str">
        <f t="shared" si="0"/>
        <v>04.11.2023</v>
      </c>
      <c r="V24" s="461" t="str">
        <f t="shared" si="0"/>
        <v>30.11.2023</v>
      </c>
    </row>
    <row r="25" spans="1:22" ht="14.5">
      <c r="A25" s="447" t="s">
        <v>377</v>
      </c>
      <c r="B25" s="444">
        <v>587</v>
      </c>
      <c r="C25" s="445" t="s">
        <v>378</v>
      </c>
      <c r="D25" s="447"/>
      <c r="E25" s="447"/>
      <c r="F25" s="447"/>
      <c r="G25" s="447"/>
      <c r="H25" s="447"/>
      <c r="I25" s="447"/>
      <c r="J25" s="447"/>
      <c r="K25" s="447"/>
      <c r="L25" s="447"/>
      <c r="M25" s="447"/>
      <c r="N25" s="447"/>
      <c r="O25" s="445">
        <v>30000009242</v>
      </c>
      <c r="P25" s="446">
        <f>+BIODIESEL!$D$8</f>
        <v>4648.51</v>
      </c>
      <c r="Q25" s="445" t="s">
        <v>379</v>
      </c>
      <c r="R25" s="445">
        <v>1</v>
      </c>
      <c r="S25" s="451" t="s">
        <v>380</v>
      </c>
      <c r="T25" s="447" t="s">
        <v>401</v>
      </c>
      <c r="U25" s="489" t="str">
        <f t="shared" si="0"/>
        <v>04.11.2023</v>
      </c>
      <c r="V25" s="461" t="str">
        <f t="shared" si="0"/>
        <v>30.11.2023</v>
      </c>
    </row>
    <row r="26" spans="1:22" ht="14.5">
      <c r="A26" s="447" t="s">
        <v>377</v>
      </c>
      <c r="B26" s="444">
        <v>587</v>
      </c>
      <c r="C26" s="445" t="s">
        <v>378</v>
      </c>
      <c r="D26" s="447"/>
      <c r="E26" s="447"/>
      <c r="F26" s="447"/>
      <c r="G26" s="447"/>
      <c r="H26" s="447"/>
      <c r="I26" s="447"/>
      <c r="J26" s="447"/>
      <c r="K26" s="447"/>
      <c r="L26" s="447"/>
      <c r="M26" s="447"/>
      <c r="N26" s="447"/>
      <c r="O26" s="445">
        <v>30000009250</v>
      </c>
      <c r="P26" s="446">
        <f>+BIODIESEL!$D$8</f>
        <v>4648.51</v>
      </c>
      <c r="Q26" s="445" t="s">
        <v>379</v>
      </c>
      <c r="R26" s="445">
        <v>1</v>
      </c>
      <c r="S26" s="451" t="s">
        <v>380</v>
      </c>
      <c r="T26" s="447" t="s">
        <v>401</v>
      </c>
      <c r="U26" s="489" t="str">
        <f t="shared" si="0"/>
        <v>04.11.2023</v>
      </c>
      <c r="V26" s="461" t="str">
        <f t="shared" si="0"/>
        <v>30.11.2023</v>
      </c>
    </row>
    <row r="27" spans="1:22" ht="14.5">
      <c r="A27" s="456" t="s">
        <v>377</v>
      </c>
      <c r="B27" s="444">
        <v>587</v>
      </c>
      <c r="C27" s="456" t="s">
        <v>378</v>
      </c>
      <c r="D27" s="456"/>
      <c r="E27" s="456"/>
      <c r="F27" s="456"/>
      <c r="G27" s="456"/>
      <c r="H27" s="456"/>
      <c r="I27" s="456"/>
      <c r="J27" s="456"/>
      <c r="K27" s="456"/>
      <c r="L27" s="456"/>
      <c r="M27" s="456"/>
      <c r="N27" s="456"/>
      <c r="O27" s="456">
        <v>30000009300</v>
      </c>
      <c r="P27" s="446">
        <f>+BIODIESEL!$D$8</f>
        <v>4648.51</v>
      </c>
      <c r="Q27" s="456" t="s">
        <v>379</v>
      </c>
      <c r="R27" s="456">
        <v>1</v>
      </c>
      <c r="S27" s="459" t="s">
        <v>380</v>
      </c>
      <c r="T27" s="447" t="s">
        <v>401</v>
      </c>
      <c r="U27" s="489" t="str">
        <f t="shared" si="0"/>
        <v>04.11.2023</v>
      </c>
      <c r="V27" s="461" t="str">
        <f t="shared" si="0"/>
        <v>30.11.2023</v>
      </c>
    </row>
    <row r="28" spans="1:22" ht="14.5">
      <c r="A28" s="447" t="s">
        <v>381</v>
      </c>
      <c r="B28" s="444">
        <v>587</v>
      </c>
      <c r="C28" s="445" t="s">
        <v>378</v>
      </c>
      <c r="D28" s="447"/>
      <c r="E28" s="447"/>
      <c r="F28" s="447"/>
      <c r="G28" s="447"/>
      <c r="H28" s="447"/>
      <c r="I28" s="447"/>
      <c r="J28" s="447"/>
      <c r="K28" s="447"/>
      <c r="L28" s="447"/>
      <c r="M28" s="447"/>
      <c r="N28" s="447"/>
      <c r="O28" s="445">
        <v>30000002129</v>
      </c>
      <c r="P28" s="446">
        <f>+BIODIESEL!$D$9</f>
        <v>320.67</v>
      </c>
      <c r="Q28" s="445" t="s">
        <v>379</v>
      </c>
      <c r="R28" s="445">
        <v>1</v>
      </c>
      <c r="S28" s="451" t="s">
        <v>380</v>
      </c>
      <c r="T28" s="447" t="s">
        <v>401</v>
      </c>
      <c r="U28" s="489" t="str">
        <f t="shared" si="0"/>
        <v>04.11.2023</v>
      </c>
      <c r="V28" s="461" t="str">
        <f t="shared" si="0"/>
        <v>30.11.2023</v>
      </c>
    </row>
    <row r="29" spans="1:22" ht="14.5">
      <c r="A29" s="447" t="s">
        <v>381</v>
      </c>
      <c r="B29" s="444">
        <v>587</v>
      </c>
      <c r="C29" s="445" t="s">
        <v>378</v>
      </c>
      <c r="D29" s="447"/>
      <c r="E29" s="447"/>
      <c r="F29" s="447"/>
      <c r="G29" s="447"/>
      <c r="H29" s="447"/>
      <c r="I29" s="447"/>
      <c r="J29" s="447"/>
      <c r="K29" s="447"/>
      <c r="L29" s="447"/>
      <c r="M29" s="447"/>
      <c r="N29" s="447"/>
      <c r="O29" s="445">
        <v>30000002317</v>
      </c>
      <c r="P29" s="446">
        <f>+BIODIESEL!$D$9</f>
        <v>320.67</v>
      </c>
      <c r="Q29" s="445" t="s">
        <v>379</v>
      </c>
      <c r="R29" s="445">
        <v>1</v>
      </c>
      <c r="S29" s="451" t="s">
        <v>380</v>
      </c>
      <c r="T29" s="447" t="s">
        <v>401</v>
      </c>
      <c r="U29" s="489" t="str">
        <f t="shared" si="0"/>
        <v>04.11.2023</v>
      </c>
      <c r="V29" s="461" t="str">
        <f t="shared" si="0"/>
        <v>30.11.2023</v>
      </c>
    </row>
    <row r="30" spans="1:22" ht="14.5">
      <c r="A30" s="447" t="s">
        <v>381</v>
      </c>
      <c r="B30" s="444">
        <v>587</v>
      </c>
      <c r="C30" s="445" t="s">
        <v>378</v>
      </c>
      <c r="D30" s="447"/>
      <c r="E30" s="447"/>
      <c r="F30" s="447"/>
      <c r="G30" s="447"/>
      <c r="H30" s="447"/>
      <c r="I30" s="447"/>
      <c r="J30" s="447"/>
      <c r="K30" s="447"/>
      <c r="L30" s="447"/>
      <c r="M30" s="447"/>
      <c r="N30" s="447"/>
      <c r="O30" s="445">
        <v>30000009242</v>
      </c>
      <c r="P30" s="446">
        <f>+BIODIESEL!$D$9</f>
        <v>320.67</v>
      </c>
      <c r="Q30" s="445" t="s">
        <v>379</v>
      </c>
      <c r="R30" s="445">
        <v>1</v>
      </c>
      <c r="S30" s="451" t="s">
        <v>380</v>
      </c>
      <c r="T30" s="447" t="s">
        <v>401</v>
      </c>
      <c r="U30" s="489" t="str">
        <f t="shared" si="0"/>
        <v>04.11.2023</v>
      </c>
      <c r="V30" s="461" t="str">
        <f t="shared" si="0"/>
        <v>30.11.2023</v>
      </c>
    </row>
    <row r="31" spans="1:22" ht="14.5">
      <c r="A31" s="447" t="s">
        <v>381</v>
      </c>
      <c r="B31" s="444">
        <v>587</v>
      </c>
      <c r="C31" s="445" t="s">
        <v>378</v>
      </c>
      <c r="D31" s="447"/>
      <c r="E31" s="447"/>
      <c r="F31" s="447"/>
      <c r="G31" s="447"/>
      <c r="H31" s="447"/>
      <c r="I31" s="447"/>
      <c r="J31" s="447"/>
      <c r="K31" s="447"/>
      <c r="L31" s="447"/>
      <c r="M31" s="447"/>
      <c r="N31" s="447"/>
      <c r="O31" s="445">
        <v>30000009250</v>
      </c>
      <c r="P31" s="446">
        <f>+BIODIESEL!$D$9</f>
        <v>320.67</v>
      </c>
      <c r="Q31" s="445" t="s">
        <v>379</v>
      </c>
      <c r="R31" s="445">
        <v>1</v>
      </c>
      <c r="S31" s="451" t="s">
        <v>380</v>
      </c>
      <c r="T31" s="447" t="s">
        <v>401</v>
      </c>
      <c r="U31" s="489" t="str">
        <f t="shared" si="0"/>
        <v>04.11.2023</v>
      </c>
      <c r="V31" s="461" t="str">
        <f t="shared" si="0"/>
        <v>30.11.2023</v>
      </c>
    </row>
    <row r="32" spans="1:22" ht="14.5">
      <c r="A32" s="456" t="s">
        <v>381</v>
      </c>
      <c r="B32" s="444">
        <v>587</v>
      </c>
      <c r="C32" s="456" t="s">
        <v>378</v>
      </c>
      <c r="D32" s="456"/>
      <c r="E32" s="456"/>
      <c r="F32" s="456"/>
      <c r="G32" s="456"/>
      <c r="H32" s="456"/>
      <c r="I32" s="456"/>
      <c r="J32" s="456"/>
      <c r="K32" s="456"/>
      <c r="L32" s="456"/>
      <c r="M32" s="456"/>
      <c r="N32" s="456"/>
      <c r="O32" s="456">
        <v>30000009300</v>
      </c>
      <c r="P32" s="446">
        <f>+BIODIESEL!$D$9</f>
        <v>320.67</v>
      </c>
      <c r="Q32" s="456" t="s">
        <v>379</v>
      </c>
      <c r="R32" s="456">
        <v>1</v>
      </c>
      <c r="S32" s="459" t="s">
        <v>380</v>
      </c>
      <c r="T32" s="447" t="s">
        <v>401</v>
      </c>
      <c r="U32" s="489" t="str">
        <f t="shared" si="0"/>
        <v>04.11.2023</v>
      </c>
      <c r="V32" s="461" t="str">
        <f t="shared" si="0"/>
        <v>30.11.2023</v>
      </c>
    </row>
    <row r="33" spans="1:22" ht="14.5">
      <c r="A33" s="447" t="s">
        <v>384</v>
      </c>
      <c r="B33" s="444">
        <v>587</v>
      </c>
      <c r="C33" s="445" t="s">
        <v>378</v>
      </c>
      <c r="D33" s="447"/>
      <c r="E33" s="447"/>
      <c r="F33" s="447"/>
      <c r="G33" s="447"/>
      <c r="H33" s="447"/>
      <c r="I33" s="447"/>
      <c r="J33" s="447"/>
      <c r="K33" s="447"/>
      <c r="L33" s="447"/>
      <c r="M33" s="447"/>
      <c r="N33" s="447"/>
      <c r="O33" s="456">
        <v>30000000004</v>
      </c>
      <c r="P33" s="446">
        <f>+BIODIESEL!$C$7</f>
        <v>4743.38</v>
      </c>
      <c r="Q33" s="445" t="s">
        <v>379</v>
      </c>
      <c r="R33" s="445">
        <v>1</v>
      </c>
      <c r="S33" s="451" t="s">
        <v>380</v>
      </c>
      <c r="T33" s="447" t="s">
        <v>401</v>
      </c>
      <c r="U33" s="489" t="str">
        <f t="shared" si="0"/>
        <v>04.11.2023</v>
      </c>
      <c r="V33" s="461" t="str">
        <f t="shared" si="0"/>
        <v>30.11.2023</v>
      </c>
    </row>
    <row r="34" spans="1:22" ht="14.5">
      <c r="A34" s="447" t="s">
        <v>384</v>
      </c>
      <c r="B34" s="444">
        <v>567</v>
      </c>
      <c r="C34" s="445" t="s">
        <v>378</v>
      </c>
      <c r="D34" s="447"/>
      <c r="E34" s="447"/>
      <c r="F34" s="447"/>
      <c r="G34" s="447"/>
      <c r="H34" s="447"/>
      <c r="I34" s="447"/>
      <c r="J34" s="447"/>
      <c r="K34" s="447"/>
      <c r="L34" s="447"/>
      <c r="M34" s="447" t="s">
        <v>383</v>
      </c>
      <c r="N34" s="447"/>
      <c r="O34" s="456">
        <v>30000000004</v>
      </c>
      <c r="P34" s="446">
        <f>+BIODIESEL!$C$7</f>
        <v>4743.38</v>
      </c>
      <c r="Q34" s="445" t="s">
        <v>379</v>
      </c>
      <c r="R34" s="445">
        <v>1</v>
      </c>
      <c r="S34" s="451" t="s">
        <v>380</v>
      </c>
      <c r="T34" s="447" t="s">
        <v>401</v>
      </c>
      <c r="U34" s="489" t="str">
        <f t="shared" si="0"/>
        <v>04.11.2023</v>
      </c>
      <c r="V34" s="461" t="str">
        <f t="shared" si="0"/>
        <v>30.11.2023</v>
      </c>
    </row>
    <row r="35" spans="1:22" ht="14.5">
      <c r="A35" s="447" t="s">
        <v>384</v>
      </c>
      <c r="B35" s="444">
        <v>587</v>
      </c>
      <c r="C35" s="445" t="s">
        <v>378</v>
      </c>
      <c r="D35" s="447"/>
      <c r="E35" s="447"/>
      <c r="F35" s="447"/>
      <c r="G35" s="447"/>
      <c r="H35" s="447"/>
      <c r="I35" s="447"/>
      <c r="J35" s="447"/>
      <c r="K35" s="447"/>
      <c r="L35" s="447"/>
      <c r="M35" s="447"/>
      <c r="N35" s="447"/>
      <c r="O35" s="456">
        <v>30000000002</v>
      </c>
      <c r="P35" s="446">
        <f>+BIODIESEL!$C$7</f>
        <v>4743.38</v>
      </c>
      <c r="Q35" s="445" t="s">
        <v>379</v>
      </c>
      <c r="R35" s="445">
        <v>1</v>
      </c>
      <c r="S35" s="451" t="s">
        <v>380</v>
      </c>
      <c r="T35" s="447" t="s">
        <v>401</v>
      </c>
      <c r="U35" s="489" t="str">
        <f>+U33</f>
        <v>04.11.2023</v>
      </c>
      <c r="V35" s="461" t="str">
        <f>+V33</f>
        <v>30.11.2023</v>
      </c>
    </row>
    <row r="36" spans="1:22" ht="14.5">
      <c r="A36" s="447" t="s">
        <v>384</v>
      </c>
      <c r="B36" s="444">
        <v>587</v>
      </c>
      <c r="C36" s="445" t="s">
        <v>378</v>
      </c>
      <c r="D36" s="447"/>
      <c r="E36" s="447"/>
      <c r="F36" s="447"/>
      <c r="G36" s="447"/>
      <c r="H36" s="447"/>
      <c r="I36" s="447"/>
      <c r="J36" s="447"/>
      <c r="K36" s="447"/>
      <c r="L36" s="447"/>
      <c r="M36" s="447"/>
      <c r="N36" s="447"/>
      <c r="O36" s="456">
        <v>30000002116</v>
      </c>
      <c r="P36" s="446">
        <f>+BIODIESEL!$C$7</f>
        <v>4743.38</v>
      </c>
      <c r="Q36" s="445" t="s">
        <v>379</v>
      </c>
      <c r="R36" s="445">
        <v>1</v>
      </c>
      <c r="S36" s="451" t="s">
        <v>380</v>
      </c>
      <c r="T36" s="447" t="s">
        <v>401</v>
      </c>
      <c r="U36" s="489" t="str">
        <f t="shared" si="0"/>
        <v>04.11.2023</v>
      </c>
      <c r="V36" s="461" t="str">
        <f t="shared" si="0"/>
        <v>30.11.2023</v>
      </c>
    </row>
    <row r="37" spans="1:22" ht="14.5">
      <c r="A37" s="447" t="s">
        <v>384</v>
      </c>
      <c r="B37" s="444">
        <v>587</v>
      </c>
      <c r="C37" s="445" t="s">
        <v>378</v>
      </c>
      <c r="D37" s="447"/>
      <c r="E37" s="447"/>
      <c r="F37" s="447"/>
      <c r="G37" s="447"/>
      <c r="H37" s="447"/>
      <c r="I37" s="447"/>
      <c r="J37" s="447"/>
      <c r="K37" s="447"/>
      <c r="L37" s="447"/>
      <c r="M37" s="447"/>
      <c r="N37" s="447"/>
      <c r="O37" s="456">
        <v>30000000070</v>
      </c>
      <c r="P37" s="458">
        <f>+'COMBUSTIBLES '!$B$7</f>
        <v>10304.700000000001</v>
      </c>
      <c r="Q37" s="445" t="s">
        <v>379</v>
      </c>
      <c r="R37" s="445">
        <v>1</v>
      </c>
      <c r="S37" s="451" t="s">
        <v>380</v>
      </c>
      <c r="T37" s="447" t="s">
        <v>401</v>
      </c>
      <c r="U37" s="489" t="str">
        <f t="shared" si="0"/>
        <v>04.11.2023</v>
      </c>
      <c r="V37" s="461" t="str">
        <f t="shared" si="0"/>
        <v>30.11.2023</v>
      </c>
    </row>
    <row r="38" spans="1:22" ht="14.5">
      <c r="A38" s="447" t="s">
        <v>384</v>
      </c>
      <c r="B38" s="444">
        <v>587</v>
      </c>
      <c r="C38" s="445" t="s">
        <v>378</v>
      </c>
      <c r="D38" s="447"/>
      <c r="E38" s="447"/>
      <c r="F38" s="447"/>
      <c r="G38" s="447"/>
      <c r="H38" s="447"/>
      <c r="I38" s="447"/>
      <c r="J38" s="447"/>
      <c r="K38" s="447"/>
      <c r="L38" s="447"/>
      <c r="M38" s="447"/>
      <c r="N38" s="447"/>
      <c r="O38" s="456">
        <v>30000009113</v>
      </c>
      <c r="P38" s="458">
        <f>+'COMBUSTIBLES '!$B$7</f>
        <v>10304.700000000001</v>
      </c>
      <c r="Q38" s="445" t="s">
        <v>379</v>
      </c>
      <c r="R38" s="445">
        <v>1</v>
      </c>
      <c r="S38" s="451" t="s">
        <v>380</v>
      </c>
      <c r="T38" s="447" t="s">
        <v>401</v>
      </c>
      <c r="U38" s="489" t="str">
        <f t="shared" si="0"/>
        <v>04.11.2023</v>
      </c>
      <c r="V38" s="461" t="str">
        <f t="shared" si="0"/>
        <v>30.11.2023</v>
      </c>
    </row>
    <row r="39" spans="1:22" ht="14.5">
      <c r="A39" s="456" t="s">
        <v>384</v>
      </c>
      <c r="B39" s="444">
        <v>587</v>
      </c>
      <c r="C39" s="445" t="s">
        <v>378</v>
      </c>
      <c r="D39" s="456"/>
      <c r="E39" s="456"/>
      <c r="F39" s="456"/>
      <c r="G39" s="456"/>
      <c r="H39" s="456"/>
      <c r="I39" s="456"/>
      <c r="J39" s="456"/>
      <c r="K39" s="456"/>
      <c r="L39" s="456"/>
      <c r="M39" s="456"/>
      <c r="N39" s="456"/>
      <c r="O39" s="456">
        <v>30000000003</v>
      </c>
      <c r="P39" s="446">
        <f>+BIODIESEL!$C$7</f>
        <v>4743.38</v>
      </c>
      <c r="Q39" s="445" t="s">
        <v>379</v>
      </c>
      <c r="R39" s="445">
        <v>1</v>
      </c>
      <c r="S39" s="451" t="s">
        <v>380</v>
      </c>
      <c r="T39" s="447" t="s">
        <v>401</v>
      </c>
      <c r="U39" s="489" t="str">
        <f t="shared" si="0"/>
        <v>04.11.2023</v>
      </c>
      <c r="V39" s="461" t="str">
        <f t="shared" si="0"/>
        <v>30.11.2023</v>
      </c>
    </row>
    <row r="40" spans="1:22" ht="14.5">
      <c r="A40" s="447" t="s">
        <v>377</v>
      </c>
      <c r="B40" s="444">
        <v>567</v>
      </c>
      <c r="C40" s="445" t="s">
        <v>378</v>
      </c>
      <c r="D40" s="447"/>
      <c r="E40" s="447"/>
      <c r="F40" s="447"/>
      <c r="G40" s="447"/>
      <c r="H40" s="447"/>
      <c r="I40" s="447"/>
      <c r="J40" s="447"/>
      <c r="K40" s="447"/>
      <c r="L40" s="447"/>
      <c r="M40" s="447" t="s">
        <v>385</v>
      </c>
      <c r="N40" s="447"/>
      <c r="O40" s="445">
        <v>30000002129</v>
      </c>
      <c r="P40" s="446">
        <f>+BIODIESEL!$D$8</f>
        <v>4648.51</v>
      </c>
      <c r="Q40" s="445" t="s">
        <v>379</v>
      </c>
      <c r="R40" s="445">
        <v>1</v>
      </c>
      <c r="S40" s="451" t="s">
        <v>380</v>
      </c>
      <c r="T40" s="447" t="s">
        <v>401</v>
      </c>
      <c r="U40" s="489" t="str">
        <f t="shared" si="0"/>
        <v>04.11.2023</v>
      </c>
      <c r="V40" s="461" t="str">
        <f t="shared" si="0"/>
        <v>30.11.2023</v>
      </c>
    </row>
    <row r="41" spans="1:22" ht="14.5">
      <c r="A41" s="447" t="s">
        <v>381</v>
      </c>
      <c r="B41" s="444">
        <v>567</v>
      </c>
      <c r="C41" s="445" t="s">
        <v>378</v>
      </c>
      <c r="D41" s="447"/>
      <c r="E41" s="447"/>
      <c r="F41" s="447"/>
      <c r="G41" s="447"/>
      <c r="H41" s="447"/>
      <c r="I41" s="447"/>
      <c r="J41" s="447"/>
      <c r="K41" s="447"/>
      <c r="L41" s="447"/>
      <c r="M41" s="447" t="s">
        <v>385</v>
      </c>
      <c r="N41" s="447"/>
      <c r="O41" s="445">
        <v>30000002129</v>
      </c>
      <c r="P41" s="446">
        <f>+BIODIESEL!$D$9</f>
        <v>320.67</v>
      </c>
      <c r="Q41" s="445" t="s">
        <v>379</v>
      </c>
      <c r="R41" s="445">
        <v>1</v>
      </c>
      <c r="S41" s="451" t="s">
        <v>380</v>
      </c>
      <c r="T41" s="447" t="s">
        <v>401</v>
      </c>
      <c r="U41" s="489" t="str">
        <f t="shared" si="0"/>
        <v>04.11.2023</v>
      </c>
      <c r="V41" s="461" t="str">
        <f t="shared" si="0"/>
        <v>30.11.2023</v>
      </c>
    </row>
    <row r="42" spans="1:22" ht="14.5">
      <c r="A42" s="447" t="s">
        <v>377</v>
      </c>
      <c r="B42" s="444">
        <v>567</v>
      </c>
      <c r="C42" s="445" t="s">
        <v>378</v>
      </c>
      <c r="D42" s="447"/>
      <c r="E42" s="447"/>
      <c r="F42" s="447"/>
      <c r="G42" s="447"/>
      <c r="H42" s="447"/>
      <c r="I42" s="447"/>
      <c r="J42" s="447"/>
      <c r="K42" s="447"/>
      <c r="L42" s="447"/>
      <c r="M42" s="447" t="s">
        <v>402</v>
      </c>
      <c r="N42" s="447"/>
      <c r="O42" s="445">
        <v>30000009250</v>
      </c>
      <c r="P42" s="446">
        <f>+BIODIESEL!$D$8</f>
        <v>4648.51</v>
      </c>
      <c r="Q42" s="445" t="s">
        <v>379</v>
      </c>
      <c r="R42" s="445">
        <v>1</v>
      </c>
      <c r="S42" s="451" t="s">
        <v>380</v>
      </c>
      <c r="T42" s="447" t="s">
        <v>401</v>
      </c>
      <c r="U42" s="489" t="str">
        <f t="shared" si="0"/>
        <v>04.11.2023</v>
      </c>
      <c r="V42" s="461" t="str">
        <f t="shared" si="0"/>
        <v>30.11.2023</v>
      </c>
    </row>
    <row r="43" spans="1:22" ht="14.5">
      <c r="A43" s="447" t="s">
        <v>381</v>
      </c>
      <c r="B43" s="444">
        <v>567</v>
      </c>
      <c r="C43" s="445" t="s">
        <v>378</v>
      </c>
      <c r="D43" s="447"/>
      <c r="E43" s="447"/>
      <c r="F43" s="447"/>
      <c r="G43" s="447"/>
      <c r="H43" s="447"/>
      <c r="I43" s="447"/>
      <c r="J43" s="447"/>
      <c r="K43" s="447"/>
      <c r="L43" s="447"/>
      <c r="M43" s="447" t="s">
        <v>402</v>
      </c>
      <c r="N43" s="447"/>
      <c r="O43" s="445">
        <v>30000009250</v>
      </c>
      <c r="P43" s="446">
        <f>+BIODIESEL!$D$9</f>
        <v>320.67</v>
      </c>
      <c r="Q43" s="445" t="s">
        <v>379</v>
      </c>
      <c r="R43" s="445">
        <v>1</v>
      </c>
      <c r="S43" s="451" t="s">
        <v>380</v>
      </c>
      <c r="T43" s="447" t="s">
        <v>401</v>
      </c>
      <c r="U43" s="489" t="str">
        <f t="shared" si="0"/>
        <v>04.11.2023</v>
      </c>
      <c r="V43" s="461" t="str">
        <f t="shared" si="0"/>
        <v>30.11.2023</v>
      </c>
    </row>
    <row r="44" spans="1:22" ht="43.5">
      <c r="A44" s="542" t="s">
        <v>355</v>
      </c>
      <c r="B44" s="542" t="s">
        <v>356</v>
      </c>
      <c r="C44" s="542" t="s">
        <v>357</v>
      </c>
      <c r="D44" s="542" t="s">
        <v>358</v>
      </c>
      <c r="E44" s="542" t="s">
        <v>359</v>
      </c>
      <c r="F44" s="542" t="s">
        <v>360</v>
      </c>
      <c r="G44" s="542" t="s">
        <v>361</v>
      </c>
      <c r="H44" s="542" t="s">
        <v>362</v>
      </c>
      <c r="I44" s="542" t="s">
        <v>363</v>
      </c>
      <c r="J44" s="542" t="s">
        <v>364</v>
      </c>
      <c r="K44" s="542" t="s">
        <v>365</v>
      </c>
      <c r="L44" s="542" t="s">
        <v>366</v>
      </c>
      <c r="M44" s="542" t="s">
        <v>367</v>
      </c>
      <c r="N44" s="542" t="s">
        <v>368</v>
      </c>
      <c r="O44" s="542" t="s">
        <v>369</v>
      </c>
      <c r="P44" s="542" t="s">
        <v>370</v>
      </c>
      <c r="Q44" s="542" t="s">
        <v>371</v>
      </c>
      <c r="R44" s="542" t="s">
        <v>372</v>
      </c>
      <c r="S44" s="542" t="s">
        <v>373</v>
      </c>
      <c r="T44" s="542" t="s">
        <v>374</v>
      </c>
      <c r="U44" s="542" t="s">
        <v>375</v>
      </c>
      <c r="V44" s="542" t="s">
        <v>376</v>
      </c>
    </row>
    <row r="45" spans="1:22" ht="14.5">
      <c r="A45" s="463" t="s">
        <v>384</v>
      </c>
      <c r="B45" s="450">
        <v>931</v>
      </c>
      <c r="C45" s="464" t="s">
        <v>378</v>
      </c>
      <c r="D45" s="464"/>
      <c r="E45" s="464"/>
      <c r="F45" s="464"/>
      <c r="G45" s="464"/>
      <c r="H45" s="464"/>
      <c r="I45" s="465">
        <v>90001437</v>
      </c>
      <c r="J45" s="464"/>
      <c r="K45" s="464"/>
      <c r="L45" s="464"/>
      <c r="M45" s="464" t="s">
        <v>383</v>
      </c>
      <c r="N45" s="464"/>
      <c r="O45" s="466">
        <v>30000000074</v>
      </c>
      <c r="P45" s="467">
        <f>+'COMBUSTIBLES '!$C$7</f>
        <v>13220</v>
      </c>
      <c r="Q45" s="464" t="s">
        <v>391</v>
      </c>
      <c r="R45" s="464">
        <v>1</v>
      </c>
      <c r="S45" s="464" t="s">
        <v>380</v>
      </c>
      <c r="T45" s="447" t="s">
        <v>401</v>
      </c>
      <c r="U45" s="490" t="s">
        <v>405</v>
      </c>
      <c r="V45" s="468" t="str">
        <f>+V41</f>
        <v>30.11.2023</v>
      </c>
    </row>
    <row r="46" spans="1:22" ht="14.5">
      <c r="A46" s="463" t="s">
        <v>384</v>
      </c>
      <c r="B46" s="450">
        <v>931</v>
      </c>
      <c r="C46" s="464" t="s">
        <v>378</v>
      </c>
      <c r="D46" s="464"/>
      <c r="E46" s="464"/>
      <c r="F46" s="464"/>
      <c r="G46" s="464"/>
      <c r="H46" s="464"/>
      <c r="I46" s="465">
        <v>90002757</v>
      </c>
      <c r="J46" s="464"/>
      <c r="K46" s="464"/>
      <c r="L46" s="464"/>
      <c r="M46" s="464" t="s">
        <v>383</v>
      </c>
      <c r="N46" s="464"/>
      <c r="O46" s="466">
        <v>30000000074</v>
      </c>
      <c r="P46" s="467">
        <f>+'COMBUSTIBLES '!$C$7</f>
        <v>13220</v>
      </c>
      <c r="Q46" s="464" t="s">
        <v>391</v>
      </c>
      <c r="R46" s="464">
        <v>1</v>
      </c>
      <c r="S46" s="464" t="s">
        <v>380</v>
      </c>
      <c r="T46" s="447" t="s">
        <v>401</v>
      </c>
      <c r="U46" s="490" t="str">
        <f t="shared" ref="U46:V79" si="1">+U45</f>
        <v>01.11.2023</v>
      </c>
      <c r="V46" s="468" t="str">
        <f t="shared" si="1"/>
        <v>30.11.2023</v>
      </c>
    </row>
    <row r="47" spans="1:22" ht="14.5">
      <c r="A47" s="463" t="s">
        <v>384</v>
      </c>
      <c r="B47" s="450">
        <v>931</v>
      </c>
      <c r="C47" s="464" t="s">
        <v>378</v>
      </c>
      <c r="D47" s="464"/>
      <c r="E47" s="464"/>
      <c r="F47" s="464"/>
      <c r="G47" s="464"/>
      <c r="H47" s="464"/>
      <c r="I47" s="465">
        <v>90001641</v>
      </c>
      <c r="J47" s="464"/>
      <c r="K47" s="464"/>
      <c r="L47" s="464"/>
      <c r="M47" s="464" t="s">
        <v>383</v>
      </c>
      <c r="N47" s="464"/>
      <c r="O47" s="466">
        <v>30000000074</v>
      </c>
      <c r="P47" s="467">
        <f>+'COMBUSTIBLES '!$C$7</f>
        <v>13220</v>
      </c>
      <c r="Q47" s="464" t="s">
        <v>391</v>
      </c>
      <c r="R47" s="464">
        <v>1</v>
      </c>
      <c r="S47" s="464" t="s">
        <v>380</v>
      </c>
      <c r="T47" s="447" t="s">
        <v>401</v>
      </c>
      <c r="U47" s="490" t="str">
        <f t="shared" si="1"/>
        <v>01.11.2023</v>
      </c>
      <c r="V47" s="468" t="str">
        <f t="shared" si="1"/>
        <v>30.11.2023</v>
      </c>
    </row>
    <row r="48" spans="1:22" ht="14.5">
      <c r="A48" s="463" t="s">
        <v>384</v>
      </c>
      <c r="B48" s="450">
        <v>931</v>
      </c>
      <c r="C48" s="464" t="s">
        <v>378</v>
      </c>
      <c r="D48" s="464"/>
      <c r="E48" s="464"/>
      <c r="F48" s="464"/>
      <c r="G48" s="464"/>
      <c r="H48" s="464"/>
      <c r="I48" s="465">
        <v>90001602</v>
      </c>
      <c r="J48" s="464"/>
      <c r="K48" s="464"/>
      <c r="L48" s="464"/>
      <c r="M48" s="464" t="s">
        <v>383</v>
      </c>
      <c r="N48" s="464"/>
      <c r="O48" s="466">
        <v>30000000074</v>
      </c>
      <c r="P48" s="467">
        <f>+'COMBUSTIBLES '!$C$7</f>
        <v>13220</v>
      </c>
      <c r="Q48" s="464" t="s">
        <v>391</v>
      </c>
      <c r="R48" s="464">
        <v>1</v>
      </c>
      <c r="S48" s="464" t="s">
        <v>380</v>
      </c>
      <c r="T48" s="447" t="s">
        <v>401</v>
      </c>
      <c r="U48" s="490" t="str">
        <f t="shared" si="1"/>
        <v>01.11.2023</v>
      </c>
      <c r="V48" s="468" t="str">
        <f t="shared" si="1"/>
        <v>30.11.2023</v>
      </c>
    </row>
    <row r="49" spans="1:22" ht="14.5">
      <c r="A49" s="463" t="s">
        <v>384</v>
      </c>
      <c r="B49" s="450">
        <v>931</v>
      </c>
      <c r="C49" s="464" t="s">
        <v>378</v>
      </c>
      <c r="D49" s="464"/>
      <c r="E49" s="464"/>
      <c r="F49" s="464"/>
      <c r="G49" s="464"/>
      <c r="H49" s="464"/>
      <c r="I49" s="465">
        <v>90001432</v>
      </c>
      <c r="J49" s="464"/>
      <c r="K49" s="464"/>
      <c r="L49" s="464"/>
      <c r="M49" s="464" t="s">
        <v>383</v>
      </c>
      <c r="N49" s="464"/>
      <c r="O49" s="466">
        <v>30000000074</v>
      </c>
      <c r="P49" s="467">
        <f>+'COMBUSTIBLES '!$C$7</f>
        <v>13220</v>
      </c>
      <c r="Q49" s="464" t="s">
        <v>391</v>
      </c>
      <c r="R49" s="464">
        <v>1</v>
      </c>
      <c r="S49" s="464" t="s">
        <v>380</v>
      </c>
      <c r="T49" s="447" t="s">
        <v>401</v>
      </c>
      <c r="U49" s="490" t="str">
        <f t="shared" si="1"/>
        <v>01.11.2023</v>
      </c>
      <c r="V49" s="468" t="str">
        <f t="shared" si="1"/>
        <v>30.11.2023</v>
      </c>
    </row>
    <row r="50" spans="1:22" ht="14.5">
      <c r="A50" s="463" t="s">
        <v>384</v>
      </c>
      <c r="B50" s="450">
        <v>931</v>
      </c>
      <c r="C50" s="464" t="s">
        <v>378</v>
      </c>
      <c r="D50" s="464"/>
      <c r="E50" s="464"/>
      <c r="F50" s="464"/>
      <c r="G50" s="464"/>
      <c r="H50" s="464"/>
      <c r="I50" s="465">
        <v>90002368</v>
      </c>
      <c r="J50" s="464"/>
      <c r="K50" s="464"/>
      <c r="L50" s="464"/>
      <c r="M50" s="464" t="s">
        <v>383</v>
      </c>
      <c r="N50" s="464"/>
      <c r="O50" s="466">
        <v>30000000074</v>
      </c>
      <c r="P50" s="467">
        <f>+'COMBUSTIBLES '!$C$7</f>
        <v>13220</v>
      </c>
      <c r="Q50" s="464" t="s">
        <v>391</v>
      </c>
      <c r="R50" s="464">
        <v>1</v>
      </c>
      <c r="S50" s="464" t="s">
        <v>380</v>
      </c>
      <c r="T50" s="447" t="s">
        <v>401</v>
      </c>
      <c r="U50" s="490" t="str">
        <f t="shared" si="1"/>
        <v>01.11.2023</v>
      </c>
      <c r="V50" s="468" t="str">
        <f t="shared" si="1"/>
        <v>30.11.2023</v>
      </c>
    </row>
    <row r="51" spans="1:22" ht="14.5">
      <c r="A51" s="469" t="s">
        <v>384</v>
      </c>
      <c r="B51" s="470">
        <v>931</v>
      </c>
      <c r="C51" s="469" t="s">
        <v>378</v>
      </c>
      <c r="D51" s="469"/>
      <c r="E51" s="469"/>
      <c r="F51" s="469"/>
      <c r="G51" s="469"/>
      <c r="H51" s="469"/>
      <c r="I51" s="471">
        <v>90001229</v>
      </c>
      <c r="J51" s="469"/>
      <c r="K51" s="469"/>
      <c r="L51" s="469"/>
      <c r="M51" s="469" t="s">
        <v>383</v>
      </c>
      <c r="N51" s="469"/>
      <c r="O51" s="472">
        <v>30000000074</v>
      </c>
      <c r="P51" s="467">
        <f>+'COMBUSTIBLES '!$C$7</f>
        <v>13220</v>
      </c>
      <c r="Q51" s="464" t="s">
        <v>391</v>
      </c>
      <c r="R51" s="464">
        <v>1</v>
      </c>
      <c r="S51" s="464" t="s">
        <v>380</v>
      </c>
      <c r="T51" s="447" t="s">
        <v>401</v>
      </c>
      <c r="U51" s="490" t="str">
        <f t="shared" si="1"/>
        <v>01.11.2023</v>
      </c>
      <c r="V51" s="468" t="str">
        <f t="shared" si="1"/>
        <v>30.11.2023</v>
      </c>
    </row>
    <row r="52" spans="1:22" ht="14.5">
      <c r="A52" s="463" t="s">
        <v>384</v>
      </c>
      <c r="B52" s="450">
        <v>931</v>
      </c>
      <c r="C52" s="464" t="s">
        <v>378</v>
      </c>
      <c r="D52" s="464"/>
      <c r="E52" s="464"/>
      <c r="F52" s="464"/>
      <c r="G52" s="464"/>
      <c r="H52" s="464"/>
      <c r="I52" s="465">
        <v>90001437</v>
      </c>
      <c r="J52" s="464"/>
      <c r="K52" s="464"/>
      <c r="L52" s="464"/>
      <c r="M52" s="464" t="s">
        <v>383</v>
      </c>
      <c r="N52" s="464"/>
      <c r="O52" s="466">
        <v>30000009504</v>
      </c>
      <c r="P52" s="467">
        <f>+'COMBUSTIBLES '!$C$7</f>
        <v>13220</v>
      </c>
      <c r="Q52" s="464" t="s">
        <v>391</v>
      </c>
      <c r="R52" s="464">
        <v>1</v>
      </c>
      <c r="S52" s="464" t="s">
        <v>380</v>
      </c>
      <c r="T52" s="447" t="s">
        <v>401</v>
      </c>
      <c r="U52" s="490" t="str">
        <f t="shared" si="1"/>
        <v>01.11.2023</v>
      </c>
      <c r="V52" s="468" t="str">
        <f t="shared" si="1"/>
        <v>30.11.2023</v>
      </c>
    </row>
    <row r="53" spans="1:22" ht="14.5">
      <c r="A53" s="463" t="s">
        <v>384</v>
      </c>
      <c r="B53" s="450">
        <v>931</v>
      </c>
      <c r="C53" s="464" t="s">
        <v>378</v>
      </c>
      <c r="D53" s="464"/>
      <c r="E53" s="464"/>
      <c r="F53" s="464"/>
      <c r="G53" s="464"/>
      <c r="H53" s="464"/>
      <c r="I53" s="465">
        <v>90002757</v>
      </c>
      <c r="J53" s="464"/>
      <c r="K53" s="464"/>
      <c r="L53" s="464"/>
      <c r="M53" s="464" t="s">
        <v>383</v>
      </c>
      <c r="N53" s="464"/>
      <c r="O53" s="466">
        <v>30000009504</v>
      </c>
      <c r="P53" s="467">
        <f>+'COMBUSTIBLES '!$C$7</f>
        <v>13220</v>
      </c>
      <c r="Q53" s="464" t="s">
        <v>391</v>
      </c>
      <c r="R53" s="464">
        <v>1</v>
      </c>
      <c r="S53" s="464" t="s">
        <v>380</v>
      </c>
      <c r="T53" s="447" t="s">
        <v>401</v>
      </c>
      <c r="U53" s="490" t="str">
        <f t="shared" si="1"/>
        <v>01.11.2023</v>
      </c>
      <c r="V53" s="468" t="str">
        <f t="shared" si="1"/>
        <v>30.11.2023</v>
      </c>
    </row>
    <row r="54" spans="1:22" ht="14.5">
      <c r="A54" s="463" t="s">
        <v>384</v>
      </c>
      <c r="B54" s="450">
        <v>931</v>
      </c>
      <c r="C54" s="464" t="s">
        <v>378</v>
      </c>
      <c r="D54" s="464"/>
      <c r="E54" s="464"/>
      <c r="F54" s="464"/>
      <c r="G54" s="464"/>
      <c r="H54" s="464"/>
      <c r="I54" s="465">
        <v>90001641</v>
      </c>
      <c r="J54" s="464"/>
      <c r="K54" s="464"/>
      <c r="L54" s="464"/>
      <c r="M54" s="464" t="s">
        <v>383</v>
      </c>
      <c r="N54" s="464"/>
      <c r="O54" s="466">
        <v>30000009504</v>
      </c>
      <c r="P54" s="467">
        <f>+'COMBUSTIBLES '!$C$7</f>
        <v>13220</v>
      </c>
      <c r="Q54" s="464" t="s">
        <v>391</v>
      </c>
      <c r="R54" s="464">
        <v>1</v>
      </c>
      <c r="S54" s="464" t="s">
        <v>380</v>
      </c>
      <c r="T54" s="447" t="s">
        <v>401</v>
      </c>
      <c r="U54" s="490" t="str">
        <f t="shared" si="1"/>
        <v>01.11.2023</v>
      </c>
      <c r="V54" s="468" t="str">
        <f t="shared" si="1"/>
        <v>30.11.2023</v>
      </c>
    </row>
    <row r="55" spans="1:22" ht="14.5">
      <c r="A55" s="463" t="s">
        <v>384</v>
      </c>
      <c r="B55" s="450">
        <v>931</v>
      </c>
      <c r="C55" s="464" t="s">
        <v>378</v>
      </c>
      <c r="D55" s="464"/>
      <c r="E55" s="464"/>
      <c r="F55" s="464"/>
      <c r="G55" s="464"/>
      <c r="H55" s="464"/>
      <c r="I55" s="465">
        <v>90001602</v>
      </c>
      <c r="J55" s="464"/>
      <c r="K55" s="464"/>
      <c r="L55" s="464"/>
      <c r="M55" s="464" t="s">
        <v>382</v>
      </c>
      <c r="N55" s="464"/>
      <c r="O55" s="466">
        <v>30000009504</v>
      </c>
      <c r="P55" s="467">
        <f>+'COMBUSTIBLES '!$C$7</f>
        <v>13220</v>
      </c>
      <c r="Q55" s="464" t="s">
        <v>391</v>
      </c>
      <c r="R55" s="464">
        <v>1</v>
      </c>
      <c r="S55" s="464" t="s">
        <v>380</v>
      </c>
      <c r="T55" s="447" t="s">
        <v>401</v>
      </c>
      <c r="U55" s="490" t="str">
        <f t="shared" si="1"/>
        <v>01.11.2023</v>
      </c>
      <c r="V55" s="468" t="str">
        <f t="shared" si="1"/>
        <v>30.11.2023</v>
      </c>
    </row>
    <row r="56" spans="1:22" ht="14.5">
      <c r="A56" s="463" t="s">
        <v>384</v>
      </c>
      <c r="B56" s="450">
        <v>931</v>
      </c>
      <c r="C56" s="464" t="s">
        <v>378</v>
      </c>
      <c r="D56" s="464"/>
      <c r="E56" s="464"/>
      <c r="F56" s="464"/>
      <c r="G56" s="464"/>
      <c r="H56" s="464"/>
      <c r="I56" s="465">
        <v>90001432</v>
      </c>
      <c r="J56" s="464"/>
      <c r="K56" s="464"/>
      <c r="L56" s="464"/>
      <c r="M56" s="464" t="s">
        <v>383</v>
      </c>
      <c r="N56" s="464"/>
      <c r="O56" s="466">
        <v>30000009504</v>
      </c>
      <c r="P56" s="467">
        <f>+'COMBUSTIBLES '!$C$7</f>
        <v>13220</v>
      </c>
      <c r="Q56" s="464" t="s">
        <v>391</v>
      </c>
      <c r="R56" s="464">
        <v>1</v>
      </c>
      <c r="S56" s="464" t="s">
        <v>380</v>
      </c>
      <c r="T56" s="447" t="s">
        <v>401</v>
      </c>
      <c r="U56" s="490" t="str">
        <f t="shared" si="1"/>
        <v>01.11.2023</v>
      </c>
      <c r="V56" s="468" t="str">
        <f t="shared" si="1"/>
        <v>30.11.2023</v>
      </c>
    </row>
    <row r="57" spans="1:22" ht="14.5">
      <c r="A57" s="463" t="s">
        <v>384</v>
      </c>
      <c r="B57" s="450">
        <v>931</v>
      </c>
      <c r="C57" s="464" t="s">
        <v>378</v>
      </c>
      <c r="D57" s="464"/>
      <c r="E57" s="464"/>
      <c r="F57" s="464"/>
      <c r="G57" s="464"/>
      <c r="H57" s="464"/>
      <c r="I57" s="465">
        <v>90002368</v>
      </c>
      <c r="J57" s="464"/>
      <c r="K57" s="464"/>
      <c r="L57" s="464"/>
      <c r="M57" s="464" t="s">
        <v>383</v>
      </c>
      <c r="N57" s="464"/>
      <c r="O57" s="466">
        <v>30000009504</v>
      </c>
      <c r="P57" s="467">
        <f>+'COMBUSTIBLES '!$C$7</f>
        <v>13220</v>
      </c>
      <c r="Q57" s="464" t="s">
        <v>391</v>
      </c>
      <c r="R57" s="464">
        <v>1</v>
      </c>
      <c r="S57" s="464" t="s">
        <v>380</v>
      </c>
      <c r="T57" s="447" t="s">
        <v>401</v>
      </c>
      <c r="U57" s="490" t="str">
        <f t="shared" si="1"/>
        <v>01.11.2023</v>
      </c>
      <c r="V57" s="468" t="str">
        <f t="shared" si="1"/>
        <v>30.11.2023</v>
      </c>
    </row>
    <row r="58" spans="1:22" ht="14.5">
      <c r="A58" s="473" t="s">
        <v>384</v>
      </c>
      <c r="B58" s="474">
        <v>931</v>
      </c>
      <c r="C58" s="473" t="s">
        <v>378</v>
      </c>
      <c r="D58" s="473"/>
      <c r="E58" s="473"/>
      <c r="F58" s="473"/>
      <c r="G58" s="473"/>
      <c r="H58" s="473"/>
      <c r="I58" s="475">
        <v>90001229</v>
      </c>
      <c r="J58" s="473"/>
      <c r="K58" s="473"/>
      <c r="L58" s="473"/>
      <c r="M58" s="473" t="s">
        <v>383</v>
      </c>
      <c r="N58" s="473"/>
      <c r="O58" s="476">
        <v>30000009504</v>
      </c>
      <c r="P58" s="467">
        <f>+'COMBUSTIBLES '!$C$7</f>
        <v>13220</v>
      </c>
      <c r="Q58" s="464" t="s">
        <v>391</v>
      </c>
      <c r="R58" s="464">
        <v>1</v>
      </c>
      <c r="S58" s="464" t="s">
        <v>380</v>
      </c>
      <c r="T58" s="447" t="s">
        <v>401</v>
      </c>
      <c r="U58" s="490" t="str">
        <f t="shared" si="1"/>
        <v>01.11.2023</v>
      </c>
      <c r="V58" s="468" t="str">
        <f t="shared" si="1"/>
        <v>30.11.2023</v>
      </c>
    </row>
    <row r="59" spans="1:22" ht="14.5">
      <c r="A59" s="463" t="s">
        <v>384</v>
      </c>
      <c r="B59" s="450">
        <v>931</v>
      </c>
      <c r="C59" s="464" t="s">
        <v>378</v>
      </c>
      <c r="D59" s="464"/>
      <c r="E59" s="464"/>
      <c r="F59" s="464"/>
      <c r="G59" s="464"/>
      <c r="H59" s="464"/>
      <c r="I59" s="465">
        <v>90001437</v>
      </c>
      <c r="J59" s="464"/>
      <c r="K59" s="464"/>
      <c r="L59" s="464"/>
      <c r="M59" s="464" t="s">
        <v>382</v>
      </c>
      <c r="N59" s="464"/>
      <c r="O59" s="466">
        <v>30000000074</v>
      </c>
      <c r="P59" s="467">
        <f>+'COMBUSTIBLES '!$C$7</f>
        <v>13220</v>
      </c>
      <c r="Q59" s="464" t="s">
        <v>391</v>
      </c>
      <c r="R59" s="464">
        <v>1</v>
      </c>
      <c r="S59" s="464" t="s">
        <v>380</v>
      </c>
      <c r="T59" s="447" t="s">
        <v>401</v>
      </c>
      <c r="U59" s="490" t="str">
        <f t="shared" si="1"/>
        <v>01.11.2023</v>
      </c>
      <c r="V59" s="468" t="str">
        <f t="shared" si="1"/>
        <v>30.11.2023</v>
      </c>
    </row>
    <row r="60" spans="1:22" ht="14.5">
      <c r="A60" s="463" t="s">
        <v>384</v>
      </c>
      <c r="B60" s="450">
        <v>931</v>
      </c>
      <c r="C60" s="464" t="s">
        <v>378</v>
      </c>
      <c r="D60" s="464"/>
      <c r="E60" s="464"/>
      <c r="F60" s="464"/>
      <c r="G60" s="464"/>
      <c r="H60" s="464"/>
      <c r="I60" s="465">
        <v>90002757</v>
      </c>
      <c r="J60" s="464"/>
      <c r="K60" s="464"/>
      <c r="L60" s="464"/>
      <c r="M60" s="464" t="s">
        <v>382</v>
      </c>
      <c r="N60" s="464"/>
      <c r="O60" s="466">
        <v>30000000074</v>
      </c>
      <c r="P60" s="467">
        <f>+'COMBUSTIBLES '!$C$7</f>
        <v>13220</v>
      </c>
      <c r="Q60" s="464" t="s">
        <v>391</v>
      </c>
      <c r="R60" s="464">
        <v>1</v>
      </c>
      <c r="S60" s="464" t="s">
        <v>380</v>
      </c>
      <c r="T60" s="447" t="s">
        <v>401</v>
      </c>
      <c r="U60" s="490" t="str">
        <f t="shared" si="1"/>
        <v>01.11.2023</v>
      </c>
      <c r="V60" s="468" t="str">
        <f t="shared" si="1"/>
        <v>30.11.2023</v>
      </c>
    </row>
    <row r="61" spans="1:22" ht="14.5">
      <c r="A61" s="463" t="s">
        <v>384</v>
      </c>
      <c r="B61" s="450">
        <v>931</v>
      </c>
      <c r="C61" s="464" t="s">
        <v>378</v>
      </c>
      <c r="D61" s="464"/>
      <c r="E61" s="464"/>
      <c r="F61" s="464"/>
      <c r="G61" s="464"/>
      <c r="H61" s="464"/>
      <c r="I61" s="465">
        <v>90001641</v>
      </c>
      <c r="J61" s="464"/>
      <c r="K61" s="464"/>
      <c r="L61" s="464"/>
      <c r="M61" s="464" t="s">
        <v>382</v>
      </c>
      <c r="N61" s="464"/>
      <c r="O61" s="466">
        <v>30000000074</v>
      </c>
      <c r="P61" s="467">
        <f>+'COMBUSTIBLES '!$C$7</f>
        <v>13220</v>
      </c>
      <c r="Q61" s="464" t="s">
        <v>391</v>
      </c>
      <c r="R61" s="464">
        <v>1</v>
      </c>
      <c r="S61" s="464" t="s">
        <v>380</v>
      </c>
      <c r="T61" s="447" t="s">
        <v>401</v>
      </c>
      <c r="U61" s="490" t="str">
        <f t="shared" si="1"/>
        <v>01.11.2023</v>
      </c>
      <c r="V61" s="468" t="str">
        <f t="shared" si="1"/>
        <v>30.11.2023</v>
      </c>
    </row>
    <row r="62" spans="1:22" ht="14.5">
      <c r="A62" s="463" t="s">
        <v>384</v>
      </c>
      <c r="B62" s="450">
        <v>931</v>
      </c>
      <c r="C62" s="464" t="s">
        <v>378</v>
      </c>
      <c r="D62" s="464"/>
      <c r="E62" s="464"/>
      <c r="F62" s="464"/>
      <c r="G62" s="464"/>
      <c r="H62" s="464"/>
      <c r="I62" s="465">
        <v>90001602</v>
      </c>
      <c r="J62" s="464"/>
      <c r="K62" s="464"/>
      <c r="L62" s="464"/>
      <c r="M62" s="464" t="s">
        <v>382</v>
      </c>
      <c r="N62" s="464"/>
      <c r="O62" s="466">
        <v>30000000074</v>
      </c>
      <c r="P62" s="467">
        <f>+'COMBUSTIBLES '!$C$7</f>
        <v>13220</v>
      </c>
      <c r="Q62" s="464" t="s">
        <v>391</v>
      </c>
      <c r="R62" s="464">
        <v>1</v>
      </c>
      <c r="S62" s="464" t="s">
        <v>380</v>
      </c>
      <c r="T62" s="447" t="s">
        <v>401</v>
      </c>
      <c r="U62" s="490" t="str">
        <f t="shared" si="1"/>
        <v>01.11.2023</v>
      </c>
      <c r="V62" s="468" t="str">
        <f t="shared" si="1"/>
        <v>30.11.2023</v>
      </c>
    </row>
    <row r="63" spans="1:22" ht="14.5">
      <c r="A63" s="463" t="s">
        <v>384</v>
      </c>
      <c r="B63" s="450">
        <v>931</v>
      </c>
      <c r="C63" s="464" t="s">
        <v>378</v>
      </c>
      <c r="D63" s="464"/>
      <c r="E63" s="464"/>
      <c r="F63" s="464"/>
      <c r="G63" s="464"/>
      <c r="H63" s="464"/>
      <c r="I63" s="465">
        <v>90001432</v>
      </c>
      <c r="J63" s="464"/>
      <c r="K63" s="464"/>
      <c r="L63" s="464"/>
      <c r="M63" s="464" t="s">
        <v>382</v>
      </c>
      <c r="N63" s="464"/>
      <c r="O63" s="466">
        <v>30000000074</v>
      </c>
      <c r="P63" s="467">
        <f>+'COMBUSTIBLES '!$C$7</f>
        <v>13220</v>
      </c>
      <c r="Q63" s="464" t="s">
        <v>391</v>
      </c>
      <c r="R63" s="464">
        <v>1</v>
      </c>
      <c r="S63" s="464" t="s">
        <v>380</v>
      </c>
      <c r="T63" s="447" t="s">
        <v>401</v>
      </c>
      <c r="U63" s="490" t="str">
        <f t="shared" si="1"/>
        <v>01.11.2023</v>
      </c>
      <c r="V63" s="468" t="str">
        <f t="shared" si="1"/>
        <v>30.11.2023</v>
      </c>
    </row>
    <row r="64" spans="1:22" ht="14.5">
      <c r="A64" s="463" t="s">
        <v>384</v>
      </c>
      <c r="B64" s="450">
        <v>931</v>
      </c>
      <c r="C64" s="464" t="s">
        <v>378</v>
      </c>
      <c r="D64" s="464"/>
      <c r="E64" s="464"/>
      <c r="F64" s="464"/>
      <c r="G64" s="464"/>
      <c r="H64" s="464"/>
      <c r="I64" s="465">
        <v>90002368</v>
      </c>
      <c r="J64" s="464"/>
      <c r="K64" s="464"/>
      <c r="L64" s="464"/>
      <c r="M64" s="464" t="s">
        <v>382</v>
      </c>
      <c r="N64" s="464"/>
      <c r="O64" s="466">
        <v>30000000074</v>
      </c>
      <c r="P64" s="467">
        <f>+'COMBUSTIBLES '!$C$7</f>
        <v>13220</v>
      </c>
      <c r="Q64" s="464" t="s">
        <v>391</v>
      </c>
      <c r="R64" s="464">
        <v>1</v>
      </c>
      <c r="S64" s="464" t="s">
        <v>380</v>
      </c>
      <c r="T64" s="447" t="s">
        <v>401</v>
      </c>
      <c r="U64" s="490" t="str">
        <f t="shared" si="1"/>
        <v>01.11.2023</v>
      </c>
      <c r="V64" s="468" t="str">
        <f t="shared" si="1"/>
        <v>30.11.2023</v>
      </c>
    </row>
    <row r="65" spans="1:22" ht="14.5">
      <c r="A65" s="477" t="s">
        <v>384</v>
      </c>
      <c r="B65" s="478">
        <v>931</v>
      </c>
      <c r="C65" s="477" t="s">
        <v>378</v>
      </c>
      <c r="D65" s="477"/>
      <c r="E65" s="477"/>
      <c r="F65" s="477"/>
      <c r="G65" s="477"/>
      <c r="H65" s="477"/>
      <c r="I65" s="479">
        <v>90001229</v>
      </c>
      <c r="J65" s="477"/>
      <c r="K65" s="477"/>
      <c r="L65" s="477"/>
      <c r="M65" s="477" t="s">
        <v>382</v>
      </c>
      <c r="N65" s="477"/>
      <c r="O65" s="480">
        <v>30000000074</v>
      </c>
      <c r="P65" s="467">
        <f>+'COMBUSTIBLES '!$C$7</f>
        <v>13220</v>
      </c>
      <c r="Q65" s="464" t="s">
        <v>391</v>
      </c>
      <c r="R65" s="464">
        <v>1</v>
      </c>
      <c r="S65" s="464" t="s">
        <v>380</v>
      </c>
      <c r="T65" s="447" t="s">
        <v>401</v>
      </c>
      <c r="U65" s="490" t="str">
        <f t="shared" si="1"/>
        <v>01.11.2023</v>
      </c>
      <c r="V65" s="468" t="str">
        <f t="shared" si="1"/>
        <v>30.11.2023</v>
      </c>
    </row>
    <row r="66" spans="1:22" ht="14.5">
      <c r="A66" s="463" t="s">
        <v>384</v>
      </c>
      <c r="B66" s="450">
        <v>931</v>
      </c>
      <c r="C66" s="464" t="s">
        <v>378</v>
      </c>
      <c r="D66" s="464"/>
      <c r="E66" s="464"/>
      <c r="F66" s="464"/>
      <c r="G66" s="464"/>
      <c r="H66" s="464"/>
      <c r="I66" s="465">
        <v>90001437</v>
      </c>
      <c r="J66" s="464"/>
      <c r="K66" s="464"/>
      <c r="L66" s="464"/>
      <c r="M66" s="464" t="s">
        <v>382</v>
      </c>
      <c r="N66" s="464"/>
      <c r="O66" s="466">
        <v>30000009504</v>
      </c>
      <c r="P66" s="467">
        <f>+'COMBUSTIBLES '!$C$7</f>
        <v>13220</v>
      </c>
      <c r="Q66" s="464" t="s">
        <v>391</v>
      </c>
      <c r="R66" s="464">
        <v>1</v>
      </c>
      <c r="S66" s="464" t="s">
        <v>380</v>
      </c>
      <c r="T66" s="447" t="s">
        <v>401</v>
      </c>
      <c r="U66" s="490" t="str">
        <f t="shared" si="1"/>
        <v>01.11.2023</v>
      </c>
      <c r="V66" s="468" t="str">
        <f t="shared" si="1"/>
        <v>30.11.2023</v>
      </c>
    </row>
    <row r="67" spans="1:22" ht="14.5">
      <c r="A67" s="463" t="s">
        <v>384</v>
      </c>
      <c r="B67" s="450">
        <v>931</v>
      </c>
      <c r="C67" s="464" t="s">
        <v>378</v>
      </c>
      <c r="D67" s="464"/>
      <c r="E67" s="464"/>
      <c r="F67" s="464"/>
      <c r="G67" s="464"/>
      <c r="H67" s="464"/>
      <c r="I67" s="465">
        <v>90002757</v>
      </c>
      <c r="J67" s="464"/>
      <c r="K67" s="464"/>
      <c r="L67" s="464"/>
      <c r="M67" s="464" t="s">
        <v>382</v>
      </c>
      <c r="N67" s="464"/>
      <c r="O67" s="466">
        <v>30000009504</v>
      </c>
      <c r="P67" s="467">
        <f>+'COMBUSTIBLES '!$C$7</f>
        <v>13220</v>
      </c>
      <c r="Q67" s="464" t="s">
        <v>391</v>
      </c>
      <c r="R67" s="464">
        <v>1</v>
      </c>
      <c r="S67" s="464" t="s">
        <v>380</v>
      </c>
      <c r="T67" s="447" t="s">
        <v>401</v>
      </c>
      <c r="U67" s="490" t="str">
        <f t="shared" si="1"/>
        <v>01.11.2023</v>
      </c>
      <c r="V67" s="468" t="str">
        <f t="shared" si="1"/>
        <v>30.11.2023</v>
      </c>
    </row>
    <row r="68" spans="1:22" ht="14.5">
      <c r="A68" s="463" t="s">
        <v>384</v>
      </c>
      <c r="B68" s="450">
        <v>931</v>
      </c>
      <c r="C68" s="464" t="s">
        <v>378</v>
      </c>
      <c r="D68" s="464"/>
      <c r="E68" s="464"/>
      <c r="F68" s="464"/>
      <c r="G68" s="464"/>
      <c r="H68" s="464"/>
      <c r="I68" s="465">
        <v>90001641</v>
      </c>
      <c r="J68" s="464"/>
      <c r="K68" s="464"/>
      <c r="L68" s="464"/>
      <c r="M68" s="464" t="s">
        <v>382</v>
      </c>
      <c r="N68" s="464"/>
      <c r="O68" s="466">
        <v>30000009504</v>
      </c>
      <c r="P68" s="467">
        <f>+'COMBUSTIBLES '!$C$7</f>
        <v>13220</v>
      </c>
      <c r="Q68" s="464" t="s">
        <v>391</v>
      </c>
      <c r="R68" s="464">
        <v>1</v>
      </c>
      <c r="S68" s="464" t="s">
        <v>380</v>
      </c>
      <c r="T68" s="447" t="s">
        <v>401</v>
      </c>
      <c r="U68" s="490" t="str">
        <f t="shared" si="1"/>
        <v>01.11.2023</v>
      </c>
      <c r="V68" s="468" t="str">
        <f t="shared" si="1"/>
        <v>30.11.2023</v>
      </c>
    </row>
    <row r="69" spans="1:22" ht="14.5">
      <c r="A69" s="463" t="s">
        <v>384</v>
      </c>
      <c r="B69" s="450">
        <v>931</v>
      </c>
      <c r="C69" s="464" t="s">
        <v>378</v>
      </c>
      <c r="D69" s="464"/>
      <c r="E69" s="464"/>
      <c r="F69" s="464"/>
      <c r="G69" s="464"/>
      <c r="H69" s="464"/>
      <c r="I69" s="465">
        <v>90001602</v>
      </c>
      <c r="J69" s="464"/>
      <c r="K69" s="464"/>
      <c r="L69" s="464"/>
      <c r="M69" s="464" t="s">
        <v>382</v>
      </c>
      <c r="N69" s="464"/>
      <c r="O69" s="466">
        <v>30000009504</v>
      </c>
      <c r="P69" s="467">
        <f>+'COMBUSTIBLES '!$C$7</f>
        <v>13220</v>
      </c>
      <c r="Q69" s="464" t="s">
        <v>391</v>
      </c>
      <c r="R69" s="464">
        <v>1</v>
      </c>
      <c r="S69" s="464" t="s">
        <v>380</v>
      </c>
      <c r="T69" s="447" t="s">
        <v>401</v>
      </c>
      <c r="U69" s="490" t="str">
        <f t="shared" si="1"/>
        <v>01.11.2023</v>
      </c>
      <c r="V69" s="468" t="str">
        <f t="shared" si="1"/>
        <v>30.11.2023</v>
      </c>
    </row>
    <row r="70" spans="1:22" ht="14.5">
      <c r="A70" s="463" t="s">
        <v>384</v>
      </c>
      <c r="B70" s="450">
        <v>931</v>
      </c>
      <c r="C70" s="464" t="s">
        <v>378</v>
      </c>
      <c r="D70" s="464"/>
      <c r="E70" s="464"/>
      <c r="F70" s="464"/>
      <c r="G70" s="464"/>
      <c r="H70" s="464"/>
      <c r="I70" s="465">
        <v>90001432</v>
      </c>
      <c r="J70" s="464"/>
      <c r="K70" s="464"/>
      <c r="L70" s="464"/>
      <c r="M70" s="464" t="s">
        <v>382</v>
      </c>
      <c r="N70" s="464"/>
      <c r="O70" s="466">
        <v>30000009504</v>
      </c>
      <c r="P70" s="467">
        <f>+'COMBUSTIBLES '!$C$7</f>
        <v>13220</v>
      </c>
      <c r="Q70" s="464" t="s">
        <v>391</v>
      </c>
      <c r="R70" s="464">
        <v>1</v>
      </c>
      <c r="S70" s="464" t="s">
        <v>380</v>
      </c>
      <c r="T70" s="447" t="s">
        <v>401</v>
      </c>
      <c r="U70" s="490" t="str">
        <f t="shared" si="1"/>
        <v>01.11.2023</v>
      </c>
      <c r="V70" s="468" t="str">
        <f t="shared" si="1"/>
        <v>30.11.2023</v>
      </c>
    </row>
    <row r="71" spans="1:22" ht="14.5">
      <c r="A71" s="463" t="s">
        <v>384</v>
      </c>
      <c r="B71" s="450">
        <v>931</v>
      </c>
      <c r="C71" s="464" t="s">
        <v>378</v>
      </c>
      <c r="D71" s="464"/>
      <c r="E71" s="464"/>
      <c r="F71" s="464"/>
      <c r="G71" s="464"/>
      <c r="H71" s="464"/>
      <c r="I71" s="465">
        <v>90002368</v>
      </c>
      <c r="J71" s="464"/>
      <c r="K71" s="464"/>
      <c r="L71" s="464"/>
      <c r="M71" s="464" t="s">
        <v>382</v>
      </c>
      <c r="N71" s="464"/>
      <c r="O71" s="466">
        <v>30000009504</v>
      </c>
      <c r="P71" s="467">
        <f>+'COMBUSTIBLES '!$C$7</f>
        <v>13220</v>
      </c>
      <c r="Q71" s="464" t="s">
        <v>391</v>
      </c>
      <c r="R71" s="464">
        <v>1</v>
      </c>
      <c r="S71" s="464" t="s">
        <v>380</v>
      </c>
      <c r="T71" s="447" t="s">
        <v>401</v>
      </c>
      <c r="U71" s="490" t="str">
        <f t="shared" si="1"/>
        <v>01.11.2023</v>
      </c>
      <c r="V71" s="468" t="str">
        <f t="shared" si="1"/>
        <v>30.11.2023</v>
      </c>
    </row>
    <row r="72" spans="1:22" ht="14.5">
      <c r="A72" s="473" t="s">
        <v>384</v>
      </c>
      <c r="B72" s="474">
        <v>931</v>
      </c>
      <c r="C72" s="473" t="s">
        <v>378</v>
      </c>
      <c r="D72" s="473"/>
      <c r="E72" s="473"/>
      <c r="F72" s="473"/>
      <c r="G72" s="473"/>
      <c r="H72" s="473"/>
      <c r="I72" s="475">
        <v>90001229</v>
      </c>
      <c r="J72" s="473"/>
      <c r="K72" s="473"/>
      <c r="L72" s="473"/>
      <c r="M72" s="464" t="s">
        <v>382</v>
      </c>
      <c r="N72" s="473"/>
      <c r="O72" s="476">
        <v>30000009504</v>
      </c>
      <c r="P72" s="467">
        <f>+'COMBUSTIBLES '!$C$7</f>
        <v>13220</v>
      </c>
      <c r="Q72" s="464" t="s">
        <v>391</v>
      </c>
      <c r="R72" s="464">
        <v>1</v>
      </c>
      <c r="S72" s="464" t="s">
        <v>380</v>
      </c>
      <c r="T72" s="447" t="s">
        <v>401</v>
      </c>
      <c r="U72" s="490" t="str">
        <f t="shared" si="1"/>
        <v>01.11.2023</v>
      </c>
      <c r="V72" s="468" t="str">
        <f t="shared" si="1"/>
        <v>30.11.2023</v>
      </c>
    </row>
    <row r="73" spans="1:22" ht="14.5">
      <c r="A73" s="463" t="s">
        <v>384</v>
      </c>
      <c r="B73" s="450">
        <v>567</v>
      </c>
      <c r="C73" s="464" t="s">
        <v>378</v>
      </c>
      <c r="D73" s="464"/>
      <c r="E73" s="464"/>
      <c r="F73" s="464"/>
      <c r="G73" s="464"/>
      <c r="H73" s="464"/>
      <c r="I73" s="464"/>
      <c r="J73" s="464"/>
      <c r="K73" s="464"/>
      <c r="L73" s="464"/>
      <c r="M73" s="464" t="s">
        <v>382</v>
      </c>
      <c r="N73" s="464"/>
      <c r="O73" s="464">
        <v>30000009504</v>
      </c>
      <c r="P73" s="467">
        <f>+'COMBUSTIBLES '!$D$7</f>
        <v>13406</v>
      </c>
      <c r="Q73" s="464" t="s">
        <v>379</v>
      </c>
      <c r="R73" s="464">
        <v>1</v>
      </c>
      <c r="S73" s="464" t="s">
        <v>380</v>
      </c>
      <c r="T73" s="447" t="s">
        <v>401</v>
      </c>
      <c r="U73" s="490" t="str">
        <f t="shared" si="1"/>
        <v>01.11.2023</v>
      </c>
      <c r="V73" s="468" t="str">
        <f t="shared" si="1"/>
        <v>30.11.2023</v>
      </c>
    </row>
    <row r="74" spans="1:22" ht="14.5">
      <c r="A74" s="463" t="s">
        <v>384</v>
      </c>
      <c r="B74" s="450">
        <v>567</v>
      </c>
      <c r="C74" s="464" t="s">
        <v>378</v>
      </c>
      <c r="D74" s="464"/>
      <c r="E74" s="464"/>
      <c r="F74" s="464"/>
      <c r="G74" s="464"/>
      <c r="H74" s="464"/>
      <c r="I74" s="464"/>
      <c r="J74" s="464"/>
      <c r="K74" s="464"/>
      <c r="L74" s="464"/>
      <c r="M74" s="464" t="s">
        <v>383</v>
      </c>
      <c r="N74" s="464"/>
      <c r="O74" s="464">
        <v>30000009504</v>
      </c>
      <c r="P74" s="467">
        <f>+'COMBUSTIBLES '!$D$7</f>
        <v>13406</v>
      </c>
      <c r="Q74" s="464" t="s">
        <v>379</v>
      </c>
      <c r="R74" s="464">
        <v>1</v>
      </c>
      <c r="S74" s="464" t="s">
        <v>380</v>
      </c>
      <c r="T74" s="447" t="s">
        <v>401</v>
      </c>
      <c r="U74" s="490" t="str">
        <f t="shared" si="1"/>
        <v>01.11.2023</v>
      </c>
      <c r="V74" s="468" t="str">
        <f t="shared" si="1"/>
        <v>30.11.2023</v>
      </c>
    </row>
    <row r="75" spans="1:22" ht="14.5">
      <c r="A75" s="463" t="s">
        <v>384</v>
      </c>
      <c r="B75" s="450">
        <v>567</v>
      </c>
      <c r="C75" s="464" t="s">
        <v>378</v>
      </c>
      <c r="D75" s="464"/>
      <c r="E75" s="464"/>
      <c r="F75" s="464"/>
      <c r="G75" s="464"/>
      <c r="H75" s="464"/>
      <c r="I75" s="464"/>
      <c r="J75" s="464"/>
      <c r="K75" s="464"/>
      <c r="L75" s="464"/>
      <c r="M75" s="464" t="s">
        <v>382</v>
      </c>
      <c r="N75" s="464"/>
      <c r="O75" s="464">
        <v>30000000074</v>
      </c>
      <c r="P75" s="467">
        <f>+'COMBUSTIBLES '!$D$7</f>
        <v>13406</v>
      </c>
      <c r="Q75" s="464" t="s">
        <v>379</v>
      </c>
      <c r="R75" s="464">
        <v>1</v>
      </c>
      <c r="S75" s="464" t="s">
        <v>380</v>
      </c>
      <c r="T75" s="447" t="s">
        <v>401</v>
      </c>
      <c r="U75" s="490" t="str">
        <f t="shared" si="1"/>
        <v>01.11.2023</v>
      </c>
      <c r="V75" s="468" t="str">
        <f t="shared" si="1"/>
        <v>30.11.2023</v>
      </c>
    </row>
    <row r="76" spans="1:22" ht="14.5">
      <c r="A76" s="481" t="s">
        <v>384</v>
      </c>
      <c r="B76" s="478">
        <v>567</v>
      </c>
      <c r="C76" s="477" t="s">
        <v>378</v>
      </c>
      <c r="D76" s="477"/>
      <c r="E76" s="477"/>
      <c r="F76" s="477"/>
      <c r="G76" s="477"/>
      <c r="H76" s="477"/>
      <c r="I76" s="477"/>
      <c r="J76" s="477"/>
      <c r="K76" s="477"/>
      <c r="L76" s="477"/>
      <c r="M76" s="477" t="s">
        <v>383</v>
      </c>
      <c r="N76" s="477"/>
      <c r="O76" s="477">
        <v>30000000074</v>
      </c>
      <c r="P76" s="467">
        <f>+'COMBUSTIBLES '!$D$7</f>
        <v>13406</v>
      </c>
      <c r="Q76" s="464" t="s">
        <v>379</v>
      </c>
      <c r="R76" s="464">
        <v>1</v>
      </c>
      <c r="S76" s="464" t="s">
        <v>380</v>
      </c>
      <c r="T76" s="447" t="s">
        <v>401</v>
      </c>
      <c r="U76" s="490" t="str">
        <f t="shared" si="1"/>
        <v>01.11.2023</v>
      </c>
      <c r="V76" s="468" t="str">
        <f t="shared" si="1"/>
        <v>30.11.2023</v>
      </c>
    </row>
    <row r="77" spans="1:22" ht="14.5">
      <c r="A77" s="481" t="s">
        <v>384</v>
      </c>
      <c r="B77" s="478">
        <v>567</v>
      </c>
      <c r="C77" s="477" t="s">
        <v>378</v>
      </c>
      <c r="D77" s="477"/>
      <c r="E77" s="477"/>
      <c r="F77" s="477"/>
      <c r="G77" s="477"/>
      <c r="H77" s="477"/>
      <c r="I77" s="477"/>
      <c r="J77" s="477"/>
      <c r="K77" s="477"/>
      <c r="L77" s="477"/>
      <c r="M77" s="477" t="s">
        <v>392</v>
      </c>
      <c r="N77" s="477"/>
      <c r="O77" s="476">
        <v>30000009504</v>
      </c>
      <c r="P77" s="467">
        <f>+P72</f>
        <v>13220</v>
      </c>
      <c r="Q77" s="464" t="s">
        <v>379</v>
      </c>
      <c r="R77" s="464">
        <v>1</v>
      </c>
      <c r="S77" s="464" t="s">
        <v>380</v>
      </c>
      <c r="T77" s="447" t="s">
        <v>401</v>
      </c>
      <c r="U77" s="490" t="str">
        <f t="shared" si="1"/>
        <v>01.11.2023</v>
      </c>
      <c r="V77" s="468" t="str">
        <f t="shared" si="1"/>
        <v>30.11.2023</v>
      </c>
    </row>
    <row r="78" spans="1:22" ht="14.5">
      <c r="A78" s="481" t="s">
        <v>384</v>
      </c>
      <c r="B78" s="478">
        <v>567</v>
      </c>
      <c r="C78" s="477" t="s">
        <v>378</v>
      </c>
      <c r="D78" s="477"/>
      <c r="E78" s="477"/>
      <c r="F78" s="477"/>
      <c r="G78" s="477"/>
      <c r="H78" s="477"/>
      <c r="I78" s="477"/>
      <c r="J78" s="477"/>
      <c r="K78" s="477"/>
      <c r="L78" s="477"/>
      <c r="M78" s="477" t="s">
        <v>392</v>
      </c>
      <c r="N78" s="477"/>
      <c r="O78" s="472">
        <v>30000000074</v>
      </c>
      <c r="P78" s="467">
        <f>+P73</f>
        <v>13406</v>
      </c>
      <c r="Q78" s="464" t="s">
        <v>379</v>
      </c>
      <c r="R78" s="464">
        <v>1</v>
      </c>
      <c r="S78" s="464" t="s">
        <v>380</v>
      </c>
      <c r="T78" s="447" t="s">
        <v>401</v>
      </c>
      <c r="U78" s="490" t="str">
        <f t="shared" si="1"/>
        <v>01.11.2023</v>
      </c>
      <c r="V78" s="468" t="str">
        <f t="shared" si="1"/>
        <v>30.11.2023</v>
      </c>
    </row>
    <row r="79" spans="1:22" ht="14.5">
      <c r="A79" s="481" t="s">
        <v>384</v>
      </c>
      <c r="B79" s="478">
        <v>931</v>
      </c>
      <c r="C79" s="477" t="s">
        <v>378</v>
      </c>
      <c r="D79" s="477"/>
      <c r="E79" s="477"/>
      <c r="F79" s="477"/>
      <c r="G79" s="477"/>
      <c r="H79" s="477"/>
      <c r="I79" s="477">
        <v>90001602</v>
      </c>
      <c r="J79" s="477"/>
      <c r="K79" s="477"/>
      <c r="L79" s="477"/>
      <c r="M79" s="477" t="s">
        <v>402</v>
      </c>
      <c r="N79" s="477"/>
      <c r="O79" s="472">
        <v>30000009504</v>
      </c>
      <c r="P79" s="467">
        <f>+'COMBUSTIBLES '!$C$7</f>
        <v>13220</v>
      </c>
      <c r="Q79" s="464" t="s">
        <v>391</v>
      </c>
      <c r="R79" s="464">
        <v>1</v>
      </c>
      <c r="S79" s="464" t="s">
        <v>380</v>
      </c>
      <c r="T79" s="447" t="s">
        <v>401</v>
      </c>
      <c r="U79" s="490" t="str">
        <f t="shared" si="1"/>
        <v>01.11.2023</v>
      </c>
      <c r="V79" s="468" t="str">
        <f t="shared" si="1"/>
        <v>30.11.2023</v>
      </c>
    </row>
    <row r="80" spans="1:22" ht="14.5">
      <c r="A80" s="464" t="s">
        <v>384</v>
      </c>
      <c r="B80" s="450">
        <v>567</v>
      </c>
      <c r="C80" s="464" t="s">
        <v>378</v>
      </c>
      <c r="D80" s="464"/>
      <c r="E80" s="464"/>
      <c r="F80" s="464"/>
      <c r="G80" s="464"/>
      <c r="H80" s="464"/>
      <c r="I80" s="464"/>
      <c r="J80" s="464"/>
      <c r="K80" s="464"/>
      <c r="L80" s="464"/>
      <c r="M80" s="464" t="s">
        <v>392</v>
      </c>
      <c r="N80" s="464"/>
      <c r="O80" s="466">
        <v>30000009418</v>
      </c>
      <c r="P80" s="467">
        <f>+'COMBUSTIBLES '!$F$7</f>
        <v>18426</v>
      </c>
      <c r="Q80" s="464" t="s">
        <v>379</v>
      </c>
      <c r="R80" s="464">
        <v>1</v>
      </c>
      <c r="S80" s="464" t="s">
        <v>393</v>
      </c>
      <c r="T80" s="447" t="s">
        <v>401</v>
      </c>
      <c r="U80" s="490" t="str">
        <f>+U76</f>
        <v>01.11.2023</v>
      </c>
      <c r="V80" s="468" t="str">
        <f>+V76</f>
        <v>30.11.2023</v>
      </c>
    </row>
    <row r="81" spans="1:22" ht="14.5">
      <c r="A81" s="464" t="s">
        <v>384</v>
      </c>
      <c r="B81" s="450">
        <v>567</v>
      </c>
      <c r="C81" s="464" t="s">
        <v>378</v>
      </c>
      <c r="D81" s="464"/>
      <c r="E81" s="464"/>
      <c r="F81" s="464"/>
      <c r="G81" s="464"/>
      <c r="H81" s="464"/>
      <c r="I81" s="464"/>
      <c r="J81" s="464"/>
      <c r="K81" s="464"/>
      <c r="L81" s="464"/>
      <c r="M81" s="464" t="s">
        <v>389</v>
      </c>
      <c r="N81" s="464"/>
      <c r="O81" s="466">
        <v>30000009418</v>
      </c>
      <c r="P81" s="467">
        <f>+'COMBUSTIBLES '!$F$7</f>
        <v>18426</v>
      </c>
      <c r="Q81" s="464" t="s">
        <v>379</v>
      </c>
      <c r="R81" s="464">
        <v>1</v>
      </c>
      <c r="S81" s="464" t="s">
        <v>393</v>
      </c>
      <c r="T81" s="447" t="s">
        <v>401</v>
      </c>
      <c r="U81" s="490" t="str">
        <f>+U80</f>
        <v>01.11.2023</v>
      </c>
      <c r="V81" s="468" t="str">
        <f>+V80</f>
        <v>30.11.2023</v>
      </c>
    </row>
    <row r="82" spans="1:22" ht="14.5">
      <c r="A82" s="464" t="s">
        <v>384</v>
      </c>
      <c r="B82" s="450">
        <v>567</v>
      </c>
      <c r="C82" s="464" t="s">
        <v>378</v>
      </c>
      <c r="D82" s="464"/>
      <c r="E82" s="464"/>
      <c r="F82" s="464"/>
      <c r="G82" s="464"/>
      <c r="H82" s="464"/>
      <c r="I82" s="464"/>
      <c r="J82" s="464"/>
      <c r="K82" s="464"/>
      <c r="L82" s="464"/>
      <c r="M82" s="464" t="s">
        <v>382</v>
      </c>
      <c r="N82" s="464"/>
      <c r="O82" s="466">
        <v>30000009418</v>
      </c>
      <c r="P82" s="467">
        <f>+'COMBUSTIBLES '!$F$7</f>
        <v>18426</v>
      </c>
      <c r="Q82" s="464" t="s">
        <v>379</v>
      </c>
      <c r="R82" s="464">
        <v>1</v>
      </c>
      <c r="S82" s="464" t="s">
        <v>393</v>
      </c>
      <c r="T82" s="447" t="s">
        <v>401</v>
      </c>
      <c r="U82" s="490" t="str">
        <f>+U78</f>
        <v>01.11.2023</v>
      </c>
      <c r="V82" s="468" t="str">
        <f>+V78</f>
        <v>30.11.2023</v>
      </c>
    </row>
    <row r="83" spans="1:22" ht="14.5">
      <c r="A83" s="464" t="s">
        <v>384</v>
      </c>
      <c r="B83" s="450">
        <v>567</v>
      </c>
      <c r="C83" s="464" t="s">
        <v>378</v>
      </c>
      <c r="D83" s="464"/>
      <c r="E83" s="464"/>
      <c r="F83" s="464"/>
      <c r="G83" s="464"/>
      <c r="H83" s="464"/>
      <c r="I83" s="464"/>
      <c r="J83" s="464"/>
      <c r="K83" s="464"/>
      <c r="L83" s="464"/>
      <c r="M83" s="464" t="s">
        <v>383</v>
      </c>
      <c r="N83" s="464"/>
      <c r="O83" s="466">
        <v>30000009418</v>
      </c>
      <c r="P83" s="467">
        <f>+'COMBUSTIBLES '!$F$7</f>
        <v>18426</v>
      </c>
      <c r="Q83" s="464" t="s">
        <v>379</v>
      </c>
      <c r="R83" s="464">
        <v>1</v>
      </c>
      <c r="S83" s="464" t="s">
        <v>393</v>
      </c>
      <c r="T83" s="447" t="s">
        <v>401</v>
      </c>
      <c r="U83" s="490" t="str">
        <f>+U82</f>
        <v>01.11.2023</v>
      </c>
      <c r="V83" s="468" t="str">
        <f>+V82</f>
        <v>30.11.2023</v>
      </c>
    </row>
    <row r="84" spans="1:22" ht="43.5">
      <c r="A84" s="542" t="s">
        <v>355</v>
      </c>
      <c r="B84" s="542" t="s">
        <v>356</v>
      </c>
      <c r="C84" s="542" t="s">
        <v>357</v>
      </c>
      <c r="D84" s="542" t="s">
        <v>358</v>
      </c>
      <c r="E84" s="542" t="s">
        <v>359</v>
      </c>
      <c r="F84" s="542" t="s">
        <v>360</v>
      </c>
      <c r="G84" s="542" t="s">
        <v>361</v>
      </c>
      <c r="H84" s="542" t="s">
        <v>362</v>
      </c>
      <c r="I84" s="542" t="s">
        <v>363</v>
      </c>
      <c r="J84" s="542" t="s">
        <v>364</v>
      </c>
      <c r="K84" s="542" t="s">
        <v>365</v>
      </c>
      <c r="L84" s="542" t="s">
        <v>366</v>
      </c>
      <c r="M84" s="542" t="s">
        <v>367</v>
      </c>
      <c r="N84" s="542" t="s">
        <v>368</v>
      </c>
      <c r="O84" s="542" t="s">
        <v>369</v>
      </c>
      <c r="P84" s="542" t="s">
        <v>370</v>
      </c>
      <c r="Q84" s="542" t="s">
        <v>371</v>
      </c>
      <c r="R84" s="542" t="s">
        <v>372</v>
      </c>
      <c r="S84" s="542" t="s">
        <v>373</v>
      </c>
      <c r="T84" s="542" t="s">
        <v>374</v>
      </c>
      <c r="U84" s="542" t="s">
        <v>375</v>
      </c>
      <c r="V84" s="542" t="s">
        <v>376</v>
      </c>
    </row>
    <row r="85" spans="1:22" ht="14.5">
      <c r="A85" s="491" t="s">
        <v>394</v>
      </c>
      <c r="B85" s="492">
        <v>551</v>
      </c>
      <c r="C85" s="493" t="s">
        <v>378</v>
      </c>
      <c r="D85" s="493"/>
      <c r="E85" s="493"/>
      <c r="F85" s="493"/>
      <c r="G85" s="493" t="s">
        <v>395</v>
      </c>
      <c r="H85" s="493"/>
      <c r="I85" s="493"/>
      <c r="J85" s="493"/>
      <c r="K85" s="493"/>
      <c r="L85" s="493"/>
      <c r="M85" s="493" t="s">
        <v>396</v>
      </c>
      <c r="N85" s="493"/>
      <c r="O85" s="493">
        <v>30000002317</v>
      </c>
      <c r="P85" s="494">
        <f>+ROUND('DIESEL MARINO'!$E$53-'DIESEL MARINO'!$F$53,2)*-1</f>
        <v>-1069.1500000000001</v>
      </c>
      <c r="Q85" s="493" t="s">
        <v>379</v>
      </c>
      <c r="R85" s="493">
        <v>1</v>
      </c>
      <c r="S85" s="493" t="s">
        <v>380</v>
      </c>
      <c r="T85" s="447" t="s">
        <v>401</v>
      </c>
      <c r="U85" s="495" t="str">
        <f>+U2</f>
        <v>04.11.2023</v>
      </c>
      <c r="V85" s="496" t="str">
        <f>+V81</f>
        <v>30.11.2023</v>
      </c>
    </row>
    <row r="86" spans="1:22" ht="14.5">
      <c r="A86" s="497" t="s">
        <v>394</v>
      </c>
      <c r="B86" s="498">
        <v>551</v>
      </c>
      <c r="C86" s="499" t="s">
        <v>378</v>
      </c>
      <c r="D86" s="499"/>
      <c r="E86" s="499"/>
      <c r="F86" s="499"/>
      <c r="G86" s="499" t="s">
        <v>395</v>
      </c>
      <c r="H86" s="499"/>
      <c r="I86" s="499"/>
      <c r="J86" s="499"/>
      <c r="K86" s="499"/>
      <c r="L86" s="499"/>
      <c r="M86" s="493" t="s">
        <v>396</v>
      </c>
      <c r="N86" s="499"/>
      <c r="O86" s="499">
        <v>30000009300</v>
      </c>
      <c r="P86" s="494">
        <f>+ROUND('DIESEL MARINO'!$E$53-'DIESEL MARINO'!$F$53,2)*-1</f>
        <v>-1069.1500000000001</v>
      </c>
      <c r="Q86" s="499" t="s">
        <v>379</v>
      </c>
      <c r="R86" s="499">
        <v>1</v>
      </c>
      <c r="S86" s="499" t="s">
        <v>380</v>
      </c>
      <c r="T86" s="447" t="s">
        <v>401</v>
      </c>
      <c r="U86" s="495" t="str">
        <f>+U85</f>
        <v>04.11.2023</v>
      </c>
      <c r="V86" s="496" t="str">
        <f>+V85</f>
        <v>30.11.2023</v>
      </c>
    </row>
    <row r="87" spans="1:22" ht="14.5">
      <c r="A87" s="491" t="s">
        <v>394</v>
      </c>
      <c r="B87" s="492">
        <v>567</v>
      </c>
      <c r="C87" s="493" t="s">
        <v>378</v>
      </c>
      <c r="D87" s="500"/>
      <c r="E87" s="500"/>
      <c r="F87" s="500"/>
      <c r="G87" s="500"/>
      <c r="H87" s="500"/>
      <c r="I87" s="500"/>
      <c r="J87" s="500"/>
      <c r="K87" s="500"/>
      <c r="L87" s="500"/>
      <c r="M87" s="500" t="s">
        <v>396</v>
      </c>
      <c r="N87" s="500"/>
      <c r="O87" s="500">
        <v>30000000004</v>
      </c>
      <c r="P87" s="494">
        <f>ROUND(-('DIESEL MARINO'!$D$6-'DIESEL MARINO'!$F$6),2)</f>
        <v>-948.68</v>
      </c>
      <c r="Q87" s="500" t="s">
        <v>379</v>
      </c>
      <c r="R87" s="500">
        <v>1</v>
      </c>
      <c r="S87" s="500" t="s">
        <v>380</v>
      </c>
      <c r="T87" s="447" t="s">
        <v>401</v>
      </c>
      <c r="U87" s="495" t="str">
        <f>+U93</f>
        <v>04.11.2023</v>
      </c>
      <c r="V87" s="496" t="str">
        <f>+V93</f>
        <v>30.11.2023</v>
      </c>
    </row>
    <row r="88" spans="1:22" ht="14.5">
      <c r="A88" s="491" t="s">
        <v>394</v>
      </c>
      <c r="B88" s="492">
        <v>567</v>
      </c>
      <c r="C88" s="493" t="s">
        <v>378</v>
      </c>
      <c r="D88" s="493"/>
      <c r="E88" s="493"/>
      <c r="F88" s="493"/>
      <c r="G88" s="493"/>
      <c r="H88" s="493"/>
      <c r="I88" s="493"/>
      <c r="J88" s="493"/>
      <c r="K88" s="493"/>
      <c r="L88" s="493"/>
      <c r="M88" s="493" t="s">
        <v>396</v>
      </c>
      <c r="N88" s="493"/>
      <c r="O88" s="521">
        <v>30000002129</v>
      </c>
      <c r="P88" s="522">
        <f>ROUND(-('DIESEL MARINO'!$D$6-'DIESEL MARINO'!$F$6)*98%,2)</f>
        <v>-929.7</v>
      </c>
      <c r="Q88" s="493" t="s">
        <v>379</v>
      </c>
      <c r="R88" s="493">
        <v>1</v>
      </c>
      <c r="S88" s="493" t="s">
        <v>380</v>
      </c>
      <c r="T88" s="447" t="s">
        <v>401</v>
      </c>
      <c r="U88" s="495" t="str">
        <f>+U91</f>
        <v>04.11.2023</v>
      </c>
      <c r="V88" s="496" t="str">
        <f>+V91</f>
        <v>30.11.2023</v>
      </c>
    </row>
    <row r="89" spans="1:22" ht="14.5">
      <c r="A89" s="491" t="s">
        <v>394</v>
      </c>
      <c r="B89" s="492">
        <v>567</v>
      </c>
      <c r="C89" s="493" t="s">
        <v>378</v>
      </c>
      <c r="D89" s="493"/>
      <c r="E89" s="493"/>
      <c r="F89" s="493"/>
      <c r="G89" s="493"/>
      <c r="H89" s="493"/>
      <c r="I89" s="493"/>
      <c r="J89" s="493"/>
      <c r="K89" s="493"/>
      <c r="L89" s="493"/>
      <c r="M89" s="493" t="s">
        <v>396</v>
      </c>
      <c r="N89" s="493"/>
      <c r="O89" s="521">
        <v>30000002317</v>
      </c>
      <c r="P89" s="522">
        <f>ROUND(-('DIESEL MARINO'!$D$6-'DIESEL MARINO'!$F$6)*98%,2)</f>
        <v>-929.7</v>
      </c>
      <c r="Q89" s="493" t="s">
        <v>379</v>
      </c>
      <c r="R89" s="493">
        <v>1</v>
      </c>
      <c r="S89" s="493" t="s">
        <v>380</v>
      </c>
      <c r="T89" s="447" t="s">
        <v>401</v>
      </c>
      <c r="U89" s="495" t="str">
        <f>+U88</f>
        <v>04.11.2023</v>
      </c>
      <c r="V89" s="496" t="str">
        <f>+V88</f>
        <v>30.11.2023</v>
      </c>
    </row>
    <row r="90" spans="1:22" ht="14.5">
      <c r="A90" s="491" t="s">
        <v>394</v>
      </c>
      <c r="B90" s="492">
        <v>567</v>
      </c>
      <c r="C90" s="493" t="s">
        <v>378</v>
      </c>
      <c r="D90" s="493"/>
      <c r="E90" s="493"/>
      <c r="F90" s="493"/>
      <c r="G90" s="493"/>
      <c r="H90" s="493"/>
      <c r="I90" s="493"/>
      <c r="J90" s="493"/>
      <c r="K90" s="493"/>
      <c r="L90" s="493"/>
      <c r="M90" s="493" t="s">
        <v>396</v>
      </c>
      <c r="N90" s="493"/>
      <c r="O90" s="521">
        <v>30000009300</v>
      </c>
      <c r="P90" s="522">
        <f>ROUND(-('DIESEL MARINO'!$D$6-'DIESEL MARINO'!$F$6)*98%,2)</f>
        <v>-929.7</v>
      </c>
      <c r="Q90" s="493" t="s">
        <v>379</v>
      </c>
      <c r="R90" s="493">
        <v>1</v>
      </c>
      <c r="S90" s="493" t="s">
        <v>380</v>
      </c>
      <c r="T90" s="447" t="s">
        <v>401</v>
      </c>
      <c r="U90" s="495" t="str">
        <f>+U89</f>
        <v>04.11.2023</v>
      </c>
      <c r="V90" s="496" t="str">
        <f>+V89</f>
        <v>30.11.2023</v>
      </c>
    </row>
    <row r="91" spans="1:22" ht="14.5">
      <c r="A91" s="491" t="s">
        <v>394</v>
      </c>
      <c r="B91" s="492">
        <v>567</v>
      </c>
      <c r="C91" s="493" t="s">
        <v>378</v>
      </c>
      <c r="D91" s="493"/>
      <c r="E91" s="493"/>
      <c r="F91" s="493"/>
      <c r="G91" s="493"/>
      <c r="H91" s="493"/>
      <c r="I91" s="493"/>
      <c r="J91" s="493"/>
      <c r="K91" s="493"/>
      <c r="L91" s="493"/>
      <c r="M91" s="493" t="s">
        <v>397</v>
      </c>
      <c r="N91" s="493"/>
      <c r="O91" s="493">
        <v>30000000004</v>
      </c>
      <c r="P91" s="494">
        <f>ROUND(-('DIESEL MARINO'!$D$6-'DIESEL MARINO'!$F$6),2)</f>
        <v>-948.68</v>
      </c>
      <c r="Q91" s="493" t="s">
        <v>379</v>
      </c>
      <c r="R91" s="493">
        <v>1</v>
      </c>
      <c r="S91" s="493" t="s">
        <v>380</v>
      </c>
      <c r="T91" s="447" t="s">
        <v>401</v>
      </c>
      <c r="U91" s="495" t="str">
        <f>+U86</f>
        <v>04.11.2023</v>
      </c>
      <c r="V91" s="496" t="str">
        <f>+V86</f>
        <v>30.11.2023</v>
      </c>
    </row>
    <row r="92" spans="1:22" ht="14.5">
      <c r="A92" s="491" t="s">
        <v>394</v>
      </c>
      <c r="B92" s="492">
        <v>567</v>
      </c>
      <c r="C92" s="493" t="s">
        <v>378</v>
      </c>
      <c r="D92" s="493"/>
      <c r="E92" s="493"/>
      <c r="F92" s="493"/>
      <c r="G92" s="493"/>
      <c r="H92" s="493"/>
      <c r="I92" s="493"/>
      <c r="J92" s="493"/>
      <c r="K92" s="493"/>
      <c r="L92" s="493"/>
      <c r="M92" s="493" t="s">
        <v>397</v>
      </c>
      <c r="N92" s="493"/>
      <c r="O92" s="493">
        <v>30000002317</v>
      </c>
      <c r="P92" s="522">
        <f>ROUND(-('DIESEL MARINO'!$D$6-'DIESEL MARINO'!$F$6)*98%,2)</f>
        <v>-929.7</v>
      </c>
      <c r="Q92" s="493" t="s">
        <v>379</v>
      </c>
      <c r="R92" s="493">
        <v>1</v>
      </c>
      <c r="S92" s="493" t="s">
        <v>380</v>
      </c>
      <c r="T92" s="447" t="s">
        <v>401</v>
      </c>
      <c r="U92" s="495" t="str">
        <f>+U90</f>
        <v>04.11.2023</v>
      </c>
      <c r="V92" s="496" t="str">
        <f>+V90</f>
        <v>30.11.2023</v>
      </c>
    </row>
    <row r="93" spans="1:22" ht="14.5">
      <c r="A93" s="491" t="s">
        <v>394</v>
      </c>
      <c r="B93" s="492">
        <v>567</v>
      </c>
      <c r="C93" s="493" t="s">
        <v>378</v>
      </c>
      <c r="D93" s="493"/>
      <c r="E93" s="493"/>
      <c r="F93" s="493"/>
      <c r="G93" s="493"/>
      <c r="H93" s="493"/>
      <c r="I93" s="493"/>
      <c r="J93" s="493"/>
      <c r="K93" s="493"/>
      <c r="L93" s="493"/>
      <c r="M93" s="493" t="s">
        <v>397</v>
      </c>
      <c r="N93" s="493"/>
      <c r="O93" s="493">
        <v>30000009300</v>
      </c>
      <c r="P93" s="522">
        <f>ROUND(-('DIESEL MARINO'!$D$6-'DIESEL MARINO'!$F$6)*98%,2)</f>
        <v>-929.7</v>
      </c>
      <c r="Q93" s="493" t="s">
        <v>379</v>
      </c>
      <c r="R93" s="493">
        <v>1</v>
      </c>
      <c r="S93" s="493" t="s">
        <v>380</v>
      </c>
      <c r="T93" s="447" t="s">
        <v>401</v>
      </c>
      <c r="U93" s="495" t="str">
        <f>+U92</f>
        <v>04.11.2023</v>
      </c>
      <c r="V93" s="496" t="str">
        <f>+V92</f>
        <v>30.11.2023</v>
      </c>
    </row>
    <row r="94" spans="1:22" ht="14.5">
      <c r="A94" s="493" t="s">
        <v>377</v>
      </c>
      <c r="B94" s="501">
        <v>567</v>
      </c>
      <c r="C94" s="493" t="s">
        <v>378</v>
      </c>
      <c r="D94" s="493"/>
      <c r="E94" s="493"/>
      <c r="F94" s="493"/>
      <c r="G94" s="493"/>
      <c r="H94" s="493"/>
      <c r="I94" s="493"/>
      <c r="J94" s="493"/>
      <c r="K94" s="493"/>
      <c r="L94" s="493"/>
      <c r="M94" s="493" t="s">
        <v>382</v>
      </c>
      <c r="N94" s="493"/>
      <c r="O94" s="493">
        <v>30000002129</v>
      </c>
      <c r="P94" s="494">
        <f>+ROUND('DIESEL MARINO'!$D$30*98%,2)</f>
        <v>4648.51</v>
      </c>
      <c r="Q94" s="493" t="s">
        <v>379</v>
      </c>
      <c r="R94" s="493">
        <v>1</v>
      </c>
      <c r="S94" s="493" t="s">
        <v>380</v>
      </c>
      <c r="T94" s="447" t="s">
        <v>401</v>
      </c>
      <c r="U94" s="495" t="str">
        <f>+U86</f>
        <v>04.11.2023</v>
      </c>
      <c r="V94" s="496" t="str">
        <f>+V86</f>
        <v>30.11.2023</v>
      </c>
    </row>
    <row r="95" spans="1:22" ht="14.5">
      <c r="A95" s="493" t="s">
        <v>377</v>
      </c>
      <c r="B95" s="501">
        <v>567</v>
      </c>
      <c r="C95" s="493" t="s">
        <v>378</v>
      </c>
      <c r="D95" s="493"/>
      <c r="E95" s="493"/>
      <c r="F95" s="493"/>
      <c r="G95" s="493"/>
      <c r="H95" s="493"/>
      <c r="I95" s="493"/>
      <c r="J95" s="493"/>
      <c r="K95" s="493"/>
      <c r="L95" s="493"/>
      <c r="M95" s="493" t="s">
        <v>398</v>
      </c>
      <c r="N95" s="493"/>
      <c r="O95" s="493">
        <v>30000002129</v>
      </c>
      <c r="P95" s="494">
        <f>+ROUND('DIESEL MARINO'!$D$30*98%,2)</f>
        <v>4648.51</v>
      </c>
      <c r="Q95" s="493" t="s">
        <v>379</v>
      </c>
      <c r="R95" s="493">
        <v>1</v>
      </c>
      <c r="S95" s="493" t="s">
        <v>380</v>
      </c>
      <c r="T95" s="447" t="s">
        <v>401</v>
      </c>
      <c r="U95" s="495" t="str">
        <f>+U87</f>
        <v>04.11.2023</v>
      </c>
      <c r="V95" s="496" t="str">
        <f>+V87</f>
        <v>30.11.2023</v>
      </c>
    </row>
    <row r="96" spans="1:22" ht="14.5">
      <c r="A96" s="447" t="s">
        <v>381</v>
      </c>
      <c r="B96" s="444">
        <v>567</v>
      </c>
      <c r="C96" s="445" t="s">
        <v>378</v>
      </c>
      <c r="D96" s="447"/>
      <c r="E96" s="447"/>
      <c r="F96" s="447"/>
      <c r="G96" s="447"/>
      <c r="H96" s="447"/>
      <c r="I96" s="447"/>
      <c r="J96" s="447"/>
      <c r="K96" s="447"/>
      <c r="L96" s="447"/>
      <c r="M96" s="447" t="s">
        <v>382</v>
      </c>
      <c r="N96" s="447"/>
      <c r="O96" s="445">
        <v>30000002129</v>
      </c>
      <c r="P96" s="446">
        <f>+BIODIESEL!$D$9</f>
        <v>320.67</v>
      </c>
      <c r="Q96" s="445" t="s">
        <v>379</v>
      </c>
      <c r="R96" s="445">
        <v>1</v>
      </c>
      <c r="S96" s="451" t="s">
        <v>380</v>
      </c>
      <c r="T96" s="447" t="s">
        <v>401</v>
      </c>
      <c r="U96" s="489" t="str">
        <f t="shared" ref="U96:V97" si="2">+U95</f>
        <v>04.11.2023</v>
      </c>
      <c r="V96" s="461" t="str">
        <f t="shared" si="2"/>
        <v>30.11.2023</v>
      </c>
    </row>
    <row r="97" spans="1:22" ht="14.5">
      <c r="A97" s="447" t="s">
        <v>381</v>
      </c>
      <c r="B97" s="444">
        <v>567</v>
      </c>
      <c r="C97" s="445" t="s">
        <v>378</v>
      </c>
      <c r="D97" s="447"/>
      <c r="E97" s="447"/>
      <c r="F97" s="447"/>
      <c r="G97" s="447"/>
      <c r="H97" s="447"/>
      <c r="I97" s="447"/>
      <c r="J97" s="447"/>
      <c r="K97" s="447"/>
      <c r="L97" s="447"/>
      <c r="M97" s="447" t="s">
        <v>398</v>
      </c>
      <c r="N97" s="447"/>
      <c r="O97" s="445">
        <v>30000002129</v>
      </c>
      <c r="P97" s="446">
        <f>+BIODIESEL!$D$9</f>
        <v>320.67</v>
      </c>
      <c r="Q97" s="445" t="s">
        <v>379</v>
      </c>
      <c r="R97" s="445">
        <v>1</v>
      </c>
      <c r="S97" s="451" t="s">
        <v>380</v>
      </c>
      <c r="T97" s="447" t="s">
        <v>401</v>
      </c>
      <c r="U97" s="489" t="str">
        <f t="shared" si="2"/>
        <v>04.11.2023</v>
      </c>
      <c r="V97" s="461" t="str">
        <f t="shared" si="2"/>
        <v>30.11.2023</v>
      </c>
    </row>
    <row r="98" spans="1:22" ht="44" thickBot="1">
      <c r="A98" s="543" t="s">
        <v>355</v>
      </c>
      <c r="B98" s="544" t="s">
        <v>356</v>
      </c>
      <c r="C98" s="543" t="s">
        <v>357</v>
      </c>
      <c r="D98" s="543" t="s">
        <v>358</v>
      </c>
      <c r="E98" s="543" t="s">
        <v>359</v>
      </c>
      <c r="F98" s="543" t="s">
        <v>360</v>
      </c>
      <c r="G98" s="543" t="s">
        <v>361</v>
      </c>
      <c r="H98" s="543" t="s">
        <v>362</v>
      </c>
      <c r="I98" s="543" t="s">
        <v>363</v>
      </c>
      <c r="J98" s="543" t="s">
        <v>364</v>
      </c>
      <c r="K98" s="543" t="s">
        <v>365</v>
      </c>
      <c r="L98" s="543" t="s">
        <v>366</v>
      </c>
      <c r="M98" s="543" t="s">
        <v>367</v>
      </c>
      <c r="N98" s="543" t="s">
        <v>368</v>
      </c>
      <c r="O98" s="543" t="s">
        <v>369</v>
      </c>
      <c r="P98" s="543" t="s">
        <v>370</v>
      </c>
      <c r="Q98" s="543" t="s">
        <v>371</v>
      </c>
      <c r="R98" s="543" t="s">
        <v>372</v>
      </c>
      <c r="S98" s="543" t="s">
        <v>373</v>
      </c>
      <c r="T98" s="543" t="s">
        <v>374</v>
      </c>
      <c r="U98" s="545" t="s">
        <v>375</v>
      </c>
      <c r="V98" s="545" t="s">
        <v>376</v>
      </c>
    </row>
    <row r="99" spans="1:22" ht="15" thickBot="1">
      <c r="A99" s="546" t="s">
        <v>381</v>
      </c>
      <c r="B99" s="547">
        <v>929</v>
      </c>
      <c r="C99" s="548" t="s">
        <v>378</v>
      </c>
      <c r="D99" s="548"/>
      <c r="E99" s="548"/>
      <c r="F99" s="546">
        <v>2000</v>
      </c>
      <c r="G99" s="548"/>
      <c r="H99" s="548"/>
      <c r="I99" s="548"/>
      <c r="J99" s="548"/>
      <c r="K99" s="548"/>
      <c r="L99" s="548"/>
      <c r="M99" s="548" t="s">
        <v>382</v>
      </c>
      <c r="N99" s="548"/>
      <c r="O99" s="548">
        <v>30000002129</v>
      </c>
      <c r="P99" s="549">
        <f>BIODIESEL!$D$9</f>
        <v>320.67</v>
      </c>
      <c r="Q99" s="548" t="s">
        <v>379</v>
      </c>
      <c r="R99" s="548">
        <v>1</v>
      </c>
      <c r="S99" s="548" t="s">
        <v>380</v>
      </c>
      <c r="T99" s="548" t="s">
        <v>401</v>
      </c>
      <c r="U99" s="550" t="s">
        <v>411</v>
      </c>
      <c r="V99" s="551" t="s">
        <v>412</v>
      </c>
    </row>
    <row r="100" spans="1:22" ht="15" thickBot="1">
      <c r="A100" s="552" t="s">
        <v>381</v>
      </c>
      <c r="B100" s="444">
        <v>929</v>
      </c>
      <c r="C100" s="447" t="s">
        <v>378</v>
      </c>
      <c r="D100" s="447"/>
      <c r="E100" s="447"/>
      <c r="F100" s="552">
        <v>3010</v>
      </c>
      <c r="G100" s="445"/>
      <c r="H100" s="445"/>
      <c r="I100" s="445"/>
      <c r="J100" s="445"/>
      <c r="K100" s="445"/>
      <c r="L100" s="445"/>
      <c r="M100" s="447" t="s">
        <v>382</v>
      </c>
      <c r="N100" s="445"/>
      <c r="O100" s="445">
        <v>30000002129</v>
      </c>
      <c r="P100" s="549">
        <f>BIODIESEL!$D$9</f>
        <v>320.67</v>
      </c>
      <c r="Q100" s="445" t="s">
        <v>379</v>
      </c>
      <c r="R100" s="445">
        <v>1</v>
      </c>
      <c r="S100" s="445" t="s">
        <v>380</v>
      </c>
      <c r="T100" s="447" t="s">
        <v>401</v>
      </c>
      <c r="U100" s="489" t="s">
        <v>411</v>
      </c>
      <c r="V100" s="554" t="s">
        <v>412</v>
      </c>
    </row>
    <row r="101" spans="1:22" ht="15" thickBot="1">
      <c r="A101" s="555" t="s">
        <v>381</v>
      </c>
      <c r="B101" s="556">
        <v>929</v>
      </c>
      <c r="C101" s="557" t="s">
        <v>378</v>
      </c>
      <c r="D101" s="557"/>
      <c r="E101" s="557"/>
      <c r="F101" s="555">
        <v>4502</v>
      </c>
      <c r="G101" s="557"/>
      <c r="H101" s="557"/>
      <c r="I101" s="557"/>
      <c r="J101" s="557"/>
      <c r="K101" s="557"/>
      <c r="L101" s="557"/>
      <c r="M101" s="557" t="s">
        <v>382</v>
      </c>
      <c r="N101" s="557"/>
      <c r="O101" s="557">
        <v>30000002129</v>
      </c>
      <c r="P101" s="549">
        <f>BIODIESEL!$D$9</f>
        <v>320.67</v>
      </c>
      <c r="Q101" s="557" t="s">
        <v>379</v>
      </c>
      <c r="R101" s="557">
        <v>1</v>
      </c>
      <c r="S101" s="557" t="s">
        <v>380</v>
      </c>
      <c r="T101" s="557" t="s">
        <v>401</v>
      </c>
      <c r="U101" s="559" t="s">
        <v>411</v>
      </c>
      <c r="V101" s="560" t="s">
        <v>412</v>
      </c>
    </row>
    <row r="102" spans="1:22" ht="15" thickBot="1">
      <c r="A102" s="546" t="s">
        <v>377</v>
      </c>
      <c r="B102" s="547">
        <v>929</v>
      </c>
      <c r="C102" s="548" t="s">
        <v>378</v>
      </c>
      <c r="D102" s="548"/>
      <c r="E102" s="548"/>
      <c r="F102" s="546">
        <v>2000</v>
      </c>
      <c r="G102" s="548"/>
      <c r="H102" s="548"/>
      <c r="I102" s="548"/>
      <c r="J102" s="548"/>
      <c r="K102" s="548"/>
      <c r="L102" s="548"/>
      <c r="M102" s="548" t="s">
        <v>382</v>
      </c>
      <c r="N102" s="548"/>
      <c r="O102" s="548">
        <v>30000002129</v>
      </c>
      <c r="P102" s="549">
        <f>BIODIESEL!$D$8</f>
        <v>4648.51</v>
      </c>
      <c r="Q102" s="548" t="s">
        <v>379</v>
      </c>
      <c r="R102" s="548">
        <v>1</v>
      </c>
      <c r="S102" s="548" t="s">
        <v>380</v>
      </c>
      <c r="T102" s="548" t="s">
        <v>401</v>
      </c>
      <c r="U102" s="550" t="s">
        <v>411</v>
      </c>
      <c r="V102" s="551" t="s">
        <v>412</v>
      </c>
    </row>
    <row r="103" spans="1:22" ht="15" thickBot="1">
      <c r="A103" s="552" t="s">
        <v>377</v>
      </c>
      <c r="B103" s="444">
        <v>929</v>
      </c>
      <c r="C103" s="447" t="s">
        <v>378</v>
      </c>
      <c r="D103" s="447"/>
      <c r="E103" s="447"/>
      <c r="F103" s="552">
        <v>3010</v>
      </c>
      <c r="G103" s="445"/>
      <c r="H103" s="445"/>
      <c r="I103" s="445"/>
      <c r="J103" s="445"/>
      <c r="K103" s="445"/>
      <c r="L103" s="445"/>
      <c r="M103" s="447" t="s">
        <v>382</v>
      </c>
      <c r="N103" s="445"/>
      <c r="O103" s="445">
        <v>30000002129</v>
      </c>
      <c r="P103" s="549">
        <f>BIODIESEL!$D$8</f>
        <v>4648.51</v>
      </c>
      <c r="Q103" s="445" t="s">
        <v>379</v>
      </c>
      <c r="R103" s="445">
        <v>1</v>
      </c>
      <c r="S103" s="445" t="s">
        <v>380</v>
      </c>
      <c r="T103" s="447" t="s">
        <v>401</v>
      </c>
      <c r="U103" s="489" t="s">
        <v>411</v>
      </c>
      <c r="V103" s="554" t="s">
        <v>412</v>
      </c>
    </row>
    <row r="104" spans="1:22" ht="15" thickBot="1">
      <c r="A104" s="555" t="s">
        <v>377</v>
      </c>
      <c r="B104" s="556">
        <v>929</v>
      </c>
      <c r="C104" s="557" t="s">
        <v>378</v>
      </c>
      <c r="D104" s="557"/>
      <c r="E104" s="557"/>
      <c r="F104" s="555">
        <v>4502</v>
      </c>
      <c r="G104" s="557"/>
      <c r="H104" s="557"/>
      <c r="I104" s="557"/>
      <c r="J104" s="557"/>
      <c r="K104" s="557"/>
      <c r="L104" s="557"/>
      <c r="M104" s="557" t="s">
        <v>382</v>
      </c>
      <c r="N104" s="557"/>
      <c r="O104" s="557">
        <v>30000002129</v>
      </c>
      <c r="P104" s="549">
        <f>BIODIESEL!$D$8</f>
        <v>4648.51</v>
      </c>
      <c r="Q104" s="557" t="s">
        <v>379</v>
      </c>
      <c r="R104" s="557">
        <v>1</v>
      </c>
      <c r="S104" s="557" t="s">
        <v>380</v>
      </c>
      <c r="T104" s="557" t="s">
        <v>401</v>
      </c>
      <c r="U104" s="559" t="s">
        <v>411</v>
      </c>
      <c r="V104" s="560" t="s">
        <v>412</v>
      </c>
    </row>
    <row r="105" spans="1:22" ht="15" thickBot="1">
      <c r="A105" s="546" t="s">
        <v>381</v>
      </c>
      <c r="B105" s="547">
        <v>929</v>
      </c>
      <c r="C105" s="548" t="s">
        <v>378</v>
      </c>
      <c r="D105" s="548"/>
      <c r="E105" s="548"/>
      <c r="F105" s="546">
        <v>2000</v>
      </c>
      <c r="G105" s="548"/>
      <c r="H105" s="548"/>
      <c r="I105" s="548"/>
      <c r="J105" s="548"/>
      <c r="K105" s="548"/>
      <c r="L105" s="548"/>
      <c r="M105" s="548" t="s">
        <v>399</v>
      </c>
      <c r="N105" s="548"/>
      <c r="O105" s="548">
        <v>30000002129</v>
      </c>
      <c r="P105" s="549">
        <f>BIODIESEL!$D$9</f>
        <v>320.67</v>
      </c>
      <c r="Q105" s="548" t="s">
        <v>379</v>
      </c>
      <c r="R105" s="548">
        <v>1</v>
      </c>
      <c r="S105" s="548" t="s">
        <v>380</v>
      </c>
      <c r="T105" s="548" t="s">
        <v>401</v>
      </c>
      <c r="U105" s="550" t="s">
        <v>411</v>
      </c>
      <c r="V105" s="551" t="s">
        <v>412</v>
      </c>
    </row>
    <row r="106" spans="1:22" ht="15" thickBot="1">
      <c r="A106" s="552" t="s">
        <v>381</v>
      </c>
      <c r="B106" s="444">
        <v>929</v>
      </c>
      <c r="C106" s="447" t="s">
        <v>378</v>
      </c>
      <c r="D106" s="447"/>
      <c r="E106" s="447"/>
      <c r="F106" s="552">
        <v>3010</v>
      </c>
      <c r="G106" s="445"/>
      <c r="H106" s="445"/>
      <c r="I106" s="445"/>
      <c r="J106" s="445"/>
      <c r="K106" s="445"/>
      <c r="L106" s="445"/>
      <c r="M106" s="447" t="s">
        <v>399</v>
      </c>
      <c r="N106" s="445"/>
      <c r="O106" s="445">
        <v>30000002129</v>
      </c>
      <c r="P106" s="549">
        <f>BIODIESEL!$D$9</f>
        <v>320.67</v>
      </c>
      <c r="Q106" s="445" t="s">
        <v>379</v>
      </c>
      <c r="R106" s="445">
        <v>1</v>
      </c>
      <c r="S106" s="445" t="s">
        <v>380</v>
      </c>
      <c r="T106" s="447" t="s">
        <v>401</v>
      </c>
      <c r="U106" s="489" t="s">
        <v>411</v>
      </c>
      <c r="V106" s="554" t="s">
        <v>412</v>
      </c>
    </row>
    <row r="107" spans="1:22" ht="15" thickBot="1">
      <c r="A107" s="555" t="s">
        <v>381</v>
      </c>
      <c r="B107" s="556">
        <v>929</v>
      </c>
      <c r="C107" s="557" t="s">
        <v>378</v>
      </c>
      <c r="D107" s="557"/>
      <c r="E107" s="557"/>
      <c r="F107" s="555">
        <v>4502</v>
      </c>
      <c r="G107" s="557"/>
      <c r="H107" s="557"/>
      <c r="I107" s="557"/>
      <c r="J107" s="557"/>
      <c r="K107" s="557"/>
      <c r="L107" s="557"/>
      <c r="M107" s="557" t="s">
        <v>399</v>
      </c>
      <c r="N107" s="557"/>
      <c r="O107" s="557">
        <v>30000002129</v>
      </c>
      <c r="P107" s="549">
        <f>BIODIESEL!$D$9</f>
        <v>320.67</v>
      </c>
      <c r="Q107" s="557" t="s">
        <v>379</v>
      </c>
      <c r="R107" s="557">
        <v>1</v>
      </c>
      <c r="S107" s="557" t="s">
        <v>380</v>
      </c>
      <c r="T107" s="557" t="s">
        <v>401</v>
      </c>
      <c r="U107" s="559" t="s">
        <v>411</v>
      </c>
      <c r="V107" s="560" t="s">
        <v>412</v>
      </c>
    </row>
    <row r="108" spans="1:22" ht="14.5">
      <c r="A108" s="546" t="s">
        <v>377</v>
      </c>
      <c r="B108" s="547">
        <v>929</v>
      </c>
      <c r="C108" s="548" t="s">
        <v>378</v>
      </c>
      <c r="D108" s="548"/>
      <c r="E108" s="548"/>
      <c r="F108" s="546">
        <v>2000</v>
      </c>
      <c r="G108" s="548"/>
      <c r="H108" s="548"/>
      <c r="I108" s="548"/>
      <c r="J108" s="548"/>
      <c r="K108" s="548"/>
      <c r="L108" s="548"/>
      <c r="M108" s="548" t="s">
        <v>399</v>
      </c>
      <c r="N108" s="548"/>
      <c r="O108" s="548">
        <v>30000002129</v>
      </c>
      <c r="P108" s="549"/>
      <c r="Q108" s="548" t="s">
        <v>379</v>
      </c>
      <c r="R108" s="548">
        <v>1</v>
      </c>
      <c r="S108" s="548" t="s">
        <v>380</v>
      </c>
      <c r="T108" s="548" t="s">
        <v>401</v>
      </c>
      <c r="U108" s="550" t="s">
        <v>411</v>
      </c>
      <c r="V108" s="551" t="s">
        <v>412</v>
      </c>
    </row>
    <row r="109" spans="1:22" ht="14.5">
      <c r="A109" s="552" t="s">
        <v>377</v>
      </c>
      <c r="B109" s="444">
        <v>929</v>
      </c>
      <c r="C109" s="447" t="s">
        <v>378</v>
      </c>
      <c r="D109" s="447"/>
      <c r="E109" s="447"/>
      <c r="F109" s="552">
        <v>3010</v>
      </c>
      <c r="G109" s="445"/>
      <c r="H109" s="445"/>
      <c r="I109" s="445"/>
      <c r="J109" s="445"/>
      <c r="K109" s="445"/>
      <c r="L109" s="445"/>
      <c r="M109" s="447" t="s">
        <v>399</v>
      </c>
      <c r="N109" s="445"/>
      <c r="O109" s="445">
        <v>30000002129</v>
      </c>
      <c r="P109" s="553"/>
      <c r="Q109" s="445" t="s">
        <v>379</v>
      </c>
      <c r="R109" s="445">
        <v>1</v>
      </c>
      <c r="S109" s="445" t="s">
        <v>380</v>
      </c>
      <c r="T109" s="447" t="s">
        <v>401</v>
      </c>
      <c r="U109" s="489" t="s">
        <v>411</v>
      </c>
      <c r="V109" s="554" t="s">
        <v>412</v>
      </c>
    </row>
    <row r="110" spans="1:22" ht="15" thickBot="1">
      <c r="A110" s="555" t="s">
        <v>377</v>
      </c>
      <c r="B110" s="556">
        <v>929</v>
      </c>
      <c r="C110" s="557" t="s">
        <v>378</v>
      </c>
      <c r="D110" s="557"/>
      <c r="E110" s="557"/>
      <c r="F110" s="555">
        <v>4502</v>
      </c>
      <c r="G110" s="557"/>
      <c r="H110" s="557"/>
      <c r="I110" s="557"/>
      <c r="J110" s="557"/>
      <c r="K110" s="557"/>
      <c r="L110" s="557"/>
      <c r="M110" s="557" t="s">
        <v>399</v>
      </c>
      <c r="N110" s="557"/>
      <c r="O110" s="557">
        <v>30000002129</v>
      </c>
      <c r="P110" s="558"/>
      <c r="Q110" s="557" t="s">
        <v>379</v>
      </c>
      <c r="R110" s="557">
        <v>1</v>
      </c>
      <c r="S110" s="557" t="s">
        <v>380</v>
      </c>
      <c r="T110" s="557" t="s">
        <v>401</v>
      </c>
      <c r="U110" s="559" t="s">
        <v>411</v>
      </c>
      <c r="V110" s="560" t="s">
        <v>412</v>
      </c>
    </row>
    <row r="111" spans="1:22" ht="15" thickBot="1">
      <c r="A111" s="546" t="s">
        <v>384</v>
      </c>
      <c r="B111" s="547">
        <v>929</v>
      </c>
      <c r="C111" s="548" t="s">
        <v>378</v>
      </c>
      <c r="D111" s="548"/>
      <c r="E111" s="548"/>
      <c r="F111" s="546">
        <v>2000</v>
      </c>
      <c r="G111" s="548"/>
      <c r="H111" s="548"/>
      <c r="I111" s="548"/>
      <c r="J111" s="548"/>
      <c r="K111" s="548"/>
      <c r="L111" s="548"/>
      <c r="M111" s="548" t="s">
        <v>382</v>
      </c>
      <c r="N111" s="548"/>
      <c r="O111" s="548">
        <v>30000000003</v>
      </c>
      <c r="P111" s="549">
        <f>+'COMBUSTIBLES '!$E$7</f>
        <v>4743.38</v>
      </c>
      <c r="Q111" s="548" t="s">
        <v>379</v>
      </c>
      <c r="R111" s="548">
        <v>1</v>
      </c>
      <c r="S111" s="548" t="s">
        <v>380</v>
      </c>
      <c r="T111" s="548" t="s">
        <v>401</v>
      </c>
      <c r="U111" s="550" t="s">
        <v>411</v>
      </c>
      <c r="V111" s="551" t="s">
        <v>412</v>
      </c>
    </row>
    <row r="112" spans="1:22" ht="15" thickBot="1">
      <c r="A112" s="552" t="s">
        <v>384</v>
      </c>
      <c r="B112" s="444">
        <v>929</v>
      </c>
      <c r="C112" s="447" t="s">
        <v>378</v>
      </c>
      <c r="D112" s="447"/>
      <c r="E112" s="447"/>
      <c r="F112" s="552">
        <v>3010</v>
      </c>
      <c r="G112" s="445"/>
      <c r="H112" s="445"/>
      <c r="I112" s="445"/>
      <c r="J112" s="445"/>
      <c r="K112" s="445"/>
      <c r="L112" s="445"/>
      <c r="M112" s="447" t="s">
        <v>382</v>
      </c>
      <c r="N112" s="445"/>
      <c r="O112" s="445">
        <v>30000000003</v>
      </c>
      <c r="P112" s="549">
        <f>+'COMBUSTIBLES '!$E$7</f>
        <v>4743.38</v>
      </c>
      <c r="Q112" s="445" t="s">
        <v>379</v>
      </c>
      <c r="R112" s="445">
        <v>1</v>
      </c>
      <c r="S112" s="445" t="s">
        <v>380</v>
      </c>
      <c r="T112" s="447" t="s">
        <v>401</v>
      </c>
      <c r="U112" s="489" t="s">
        <v>411</v>
      </c>
      <c r="V112" s="554" t="s">
        <v>412</v>
      </c>
    </row>
    <row r="113" spans="1:22" ht="15" thickBot="1">
      <c r="A113" s="555" t="s">
        <v>384</v>
      </c>
      <c r="B113" s="556">
        <v>929</v>
      </c>
      <c r="C113" s="557" t="s">
        <v>378</v>
      </c>
      <c r="D113" s="557"/>
      <c r="E113" s="557"/>
      <c r="F113" s="555">
        <v>4502</v>
      </c>
      <c r="G113" s="557"/>
      <c r="H113" s="557"/>
      <c r="I113" s="557"/>
      <c r="J113" s="557"/>
      <c r="K113" s="557"/>
      <c r="L113" s="557"/>
      <c r="M113" s="557" t="s">
        <v>382</v>
      </c>
      <c r="N113" s="557"/>
      <c r="O113" s="557">
        <v>30000000003</v>
      </c>
      <c r="P113" s="549">
        <f>+'COMBUSTIBLES '!$E$7</f>
        <v>4743.38</v>
      </c>
      <c r="Q113" s="557" t="s">
        <v>379</v>
      </c>
      <c r="R113" s="557">
        <v>1</v>
      </c>
      <c r="S113" s="557" t="s">
        <v>380</v>
      </c>
      <c r="T113" s="557" t="s">
        <v>401</v>
      </c>
      <c r="U113" s="559" t="s">
        <v>411</v>
      </c>
      <c r="V113" s="560" t="s">
        <v>412</v>
      </c>
    </row>
    <row r="114" spans="1:22" ht="14.5">
      <c r="A114" s="546" t="s">
        <v>384</v>
      </c>
      <c r="B114" s="547">
        <v>929</v>
      </c>
      <c r="C114" s="548" t="s">
        <v>378</v>
      </c>
      <c r="D114" s="548"/>
      <c r="E114" s="548"/>
      <c r="F114" s="546">
        <v>2000</v>
      </c>
      <c r="G114" s="548"/>
      <c r="H114" s="548"/>
      <c r="I114" s="548"/>
      <c r="J114" s="548"/>
      <c r="K114" s="548"/>
      <c r="L114" s="548"/>
      <c r="M114" s="548" t="s">
        <v>399</v>
      </c>
      <c r="N114" s="548"/>
      <c r="O114" s="548">
        <v>30000000003</v>
      </c>
      <c r="P114" s="549"/>
      <c r="Q114" s="548" t="s">
        <v>379</v>
      </c>
      <c r="R114" s="548">
        <v>1</v>
      </c>
      <c r="S114" s="548" t="s">
        <v>380</v>
      </c>
      <c r="T114" s="548" t="s">
        <v>401</v>
      </c>
      <c r="U114" s="550" t="s">
        <v>411</v>
      </c>
      <c r="V114" s="551" t="s">
        <v>412</v>
      </c>
    </row>
    <row r="115" spans="1:22" ht="14.5">
      <c r="A115" s="552" t="s">
        <v>384</v>
      </c>
      <c r="B115" s="444">
        <v>929</v>
      </c>
      <c r="C115" s="447" t="s">
        <v>378</v>
      </c>
      <c r="D115" s="447"/>
      <c r="E115" s="447"/>
      <c r="F115" s="552">
        <v>3010</v>
      </c>
      <c r="G115" s="445"/>
      <c r="H115" s="445"/>
      <c r="I115" s="445"/>
      <c r="J115" s="445"/>
      <c r="K115" s="445"/>
      <c r="L115" s="445"/>
      <c r="M115" s="447" t="s">
        <v>399</v>
      </c>
      <c r="N115" s="445"/>
      <c r="O115" s="445">
        <v>30000000003</v>
      </c>
      <c r="P115" s="553"/>
      <c r="Q115" s="445" t="s">
        <v>379</v>
      </c>
      <c r="R115" s="445">
        <v>1</v>
      </c>
      <c r="S115" s="445" t="s">
        <v>380</v>
      </c>
      <c r="T115" s="447" t="s">
        <v>401</v>
      </c>
      <c r="U115" s="489" t="s">
        <v>411</v>
      </c>
      <c r="V115" s="554" t="s">
        <v>412</v>
      </c>
    </row>
    <row r="116" spans="1:22" ht="15" thickBot="1">
      <c r="A116" s="555" t="s">
        <v>384</v>
      </c>
      <c r="B116" s="556">
        <v>929</v>
      </c>
      <c r="C116" s="557" t="s">
        <v>378</v>
      </c>
      <c r="D116" s="557"/>
      <c r="E116" s="557"/>
      <c r="F116" s="555">
        <v>4502</v>
      </c>
      <c r="G116" s="557"/>
      <c r="H116" s="557"/>
      <c r="I116" s="557"/>
      <c r="J116" s="557"/>
      <c r="K116" s="557"/>
      <c r="L116" s="557"/>
      <c r="M116" s="557" t="s">
        <v>399</v>
      </c>
      <c r="N116" s="557"/>
      <c r="O116" s="557">
        <v>30000000003</v>
      </c>
      <c r="P116" s="558"/>
      <c r="Q116" s="557" t="s">
        <v>379</v>
      </c>
      <c r="R116" s="557">
        <v>1</v>
      </c>
      <c r="S116" s="557" t="s">
        <v>380</v>
      </c>
      <c r="T116" s="557" t="s">
        <v>401</v>
      </c>
      <c r="U116" s="559" t="s">
        <v>411</v>
      </c>
      <c r="V116" s="560" t="s">
        <v>412</v>
      </c>
    </row>
  </sheetData>
  <autoFilter ref="A1:V107" xr:uid="{8DDAAD17-9036-473A-B4E0-99A8DECB76DD}"/>
  <conditionalFormatting sqref="A1:A21 T3:T33 A22:S33 A34:T43 A73:S76 P77:S78">
    <cfRule type="containsText" dxfId="28" priority="27" operator="containsText" text="Seleccione...">
      <formula>NOT(ISERROR(SEARCH("Seleccione...",A1)))</formula>
    </cfRule>
  </conditionalFormatting>
  <conditionalFormatting sqref="A77:N83">
    <cfRule type="containsText" dxfId="27" priority="19" operator="containsText" text="Seleccione...">
      <formula>NOT(ISERROR(SEARCH("Seleccione...",A77)))</formula>
    </cfRule>
  </conditionalFormatting>
  <conditionalFormatting sqref="A44:V44">
    <cfRule type="containsText" dxfId="26" priority="4" operator="containsText" text="Seleccione...">
      <formula>NOT(ISERROR(SEARCH("Seleccione...",A44)))</formula>
    </cfRule>
  </conditionalFormatting>
  <conditionalFormatting sqref="A84:V116">
    <cfRule type="containsText" dxfId="25" priority="1" operator="containsText" text="Seleccione...">
      <formula>NOT(ISERROR(SEARCH("Seleccione...",A84)))</formula>
    </cfRule>
  </conditionalFormatting>
  <conditionalFormatting sqref="B2:C21">
    <cfRule type="containsText" dxfId="24" priority="24" operator="containsText" text="Seleccione...">
      <formula>NOT(ISERROR(SEARCH("Seleccione...",B2)))</formula>
    </cfRule>
  </conditionalFormatting>
  <conditionalFormatting sqref="B1:V1">
    <cfRule type="containsText" dxfId="23" priority="29" operator="containsText" text="Seleccione...">
      <formula>NOT(ISERROR(SEARCH("Seleccione...",B1)))</formula>
    </cfRule>
  </conditionalFormatting>
  <conditionalFormatting sqref="D2:L9">
    <cfRule type="containsText" dxfId="22" priority="23" operator="containsText" text="Seleccione...">
      <formula>NOT(ISERROR(SEARCH("Seleccione...",D2)))</formula>
    </cfRule>
  </conditionalFormatting>
  <conditionalFormatting sqref="D10:N21">
    <cfRule type="containsText" dxfId="21" priority="26" operator="containsText" text="Seleccione...">
      <formula>NOT(ISERROR(SEARCH("Seleccione...",D10)))</formula>
    </cfRule>
  </conditionalFormatting>
  <conditionalFormatting sqref="M4:N9">
    <cfRule type="containsText" dxfId="20" priority="28" operator="containsText" text="Seleccione...">
      <formula>NOT(ISERROR(SEARCH("Seleccione...",M4)))</formula>
    </cfRule>
  </conditionalFormatting>
  <conditionalFormatting sqref="M2:O3">
    <cfRule type="containsText" dxfId="19" priority="22" operator="containsText" text="Seleccione...">
      <formula>NOT(ISERROR(SEARCH("Seleccione...",M2)))</formula>
    </cfRule>
  </conditionalFormatting>
  <conditionalFormatting sqref="O4:O21">
    <cfRule type="containsText" dxfId="18" priority="25" operator="containsText" text="Seleccione...">
      <formula>NOT(ISERROR(SEARCH("Seleccione...",O4)))</formula>
    </cfRule>
  </conditionalFormatting>
  <conditionalFormatting sqref="P2:T2 P3:S21">
    <cfRule type="containsText" dxfId="17" priority="21" operator="containsText" text="Seleccione...">
      <formula>NOT(ISERROR(SEARCH("Seleccione...",P2)))</formula>
    </cfRule>
  </conditionalFormatting>
  <conditionalFormatting sqref="P79:V83">
    <cfRule type="containsText" dxfId="16" priority="14" operator="containsText" text="Seleccione...">
      <formula>NOT(ISERROR(SEARCH("Seleccione...",P79)))</formula>
    </cfRule>
  </conditionalFormatting>
  <conditionalFormatting sqref="U2:V43 A45:H72 J45:N72 P45:S72 T45:V78">
    <cfRule type="containsText" dxfId="15" priority="20" operator="containsText" text="Seleccione...">
      <formula>NOT(ISERROR(SEARCH("Seleccione...",A2)))</formula>
    </cfRule>
  </conditionalFormatting>
  <pageMargins left="0.7" right="0.7" top="0.75" bottom="0.75" header="0.3" footer="0.3"/>
  <pageSetup orientation="portrait" horizontalDpi="4294967293" verticalDpi="0" r:id="rId1"/>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13</vt:i4>
      </vt:variant>
    </vt:vector>
  </HeadingPairs>
  <TitlesOfParts>
    <vt:vector size="27" baseType="lpstr">
      <vt:lpstr>Resoluciones, leyes</vt:lpstr>
      <vt:lpstr>TARIFAS DE TRANSPORTE</vt:lpstr>
      <vt:lpstr>COMBUSTIBLES </vt:lpstr>
      <vt:lpstr>GASOLINA CORRIENTE </vt:lpstr>
      <vt:lpstr>GASOLINA EXTRA</vt:lpstr>
      <vt:lpstr>BIODIESEL</vt:lpstr>
      <vt:lpstr>SAN-ANDRES + GENERACION</vt:lpstr>
      <vt:lpstr>DIESEL MARINO</vt:lpstr>
      <vt:lpstr>BI ECOPETROL</vt:lpstr>
      <vt:lpstr>GCINI 1 al 5 DE FEBRERO</vt:lpstr>
      <vt:lpstr>GCINI 6 al 12 DE FEBRERO</vt:lpstr>
      <vt:lpstr>GCINI 13 al 19 DE FEBRERO</vt:lpstr>
      <vt:lpstr>GCINI 20 al 23 DE FEBRERO</vt:lpstr>
      <vt:lpstr>BI RCSA</vt:lpstr>
      <vt:lpstr>BIODIESEL!Área_de_impresión</vt:lpstr>
      <vt:lpstr>'COMBUSTIBLES '!Área_de_impresión</vt:lpstr>
      <vt:lpstr>'DIESEL MARINO'!Área_de_impresión</vt:lpstr>
      <vt:lpstr>'GASOLINA CORRIENTE '!Área_de_impresión</vt:lpstr>
      <vt:lpstr>'GCINI 1 al 5 DE FEBRERO'!Área_de_impresión</vt:lpstr>
      <vt:lpstr>'GCINI 13 al 19 DE FEBRERO'!Área_de_impresión</vt:lpstr>
      <vt:lpstr>'GCINI 20 al 23 DE FEBRERO'!Área_de_impresión</vt:lpstr>
      <vt:lpstr>'GCINI 6 al 12 DE FEBRERO'!Área_de_impresión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2024-03-19T16:02:46Z</dcterms:modified>
</cp:coreProperties>
</file>