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2/08 Agosto 2022/Publicaciones/Publicaciones 01 Agosto 2022/"/>
    </mc:Choice>
  </mc:AlternateContent>
  <xr:revisionPtr revIDLastSave="1796" documentId="13_ncr:1_{7202872D-BAA0-400F-98B6-6D0AAC868CC6}" xr6:coauthVersionLast="47" xr6:coauthVersionMax="47" xr10:uidLastSave="{B531AE8E-717B-4F25-B0A1-90D1DC7FBB22}"/>
  <workbookProtection workbookAlgorithmName="SHA-512" workbookHashValue="fSaDzocPCcznSWWZez86pAKucGFWOWQsmgM5V3vC1NZR+1mBTj2/XUUSjydpwcDlZFM0+NCbkPA8TsrbM2UhwQ==" workbookSaltValue="1xVX5kmAOCAZuMAflqwZMg==" workbookSpinCount="100000" lockStructure="1"/>
  <bookViews>
    <workbookView xWindow="-108" yWindow="-108" windowWidth="23256" windowHeight="12576" tabRatio="900" firstSheet="4" activeTab="10"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OXIGENADA" sheetId="46" r:id="rId6"/>
    <sheet name="GASOLINA EXTRA OXIGENADA" sheetId="116" r:id="rId7"/>
    <sheet name="BIODIESEL" sheetId="95" r:id="rId8"/>
    <sheet name="SAN-ANDRES + GENERACION" sheetId="4" r:id="rId9"/>
    <sheet name="DIESEL MARINO" sheetId="121" r:id="rId10"/>
    <sheet name="GCINI" sheetId="70"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A" localSheetId="7">#REF!</definedName>
    <definedName name="\A" localSheetId="4">#REF!</definedName>
    <definedName name="\A" localSheetId="9">#REF!</definedName>
    <definedName name="\A" localSheetId="5">#REF!</definedName>
    <definedName name="\A">#REF!</definedName>
    <definedName name="\L" localSheetId="7">#REF!</definedName>
    <definedName name="\L" localSheetId="4">#REF!</definedName>
    <definedName name="\L" localSheetId="9">#REF!</definedName>
    <definedName name="\L" localSheetId="5">#REF!</definedName>
    <definedName name="\L">#REF!</definedName>
    <definedName name="\P" localSheetId="7">#REF!</definedName>
    <definedName name="\P" localSheetId="4">#REF!</definedName>
    <definedName name="\P" localSheetId="9">#REF!</definedName>
    <definedName name="\P" localSheetId="5">#REF!</definedName>
    <definedName name="\P">#REF!</definedName>
    <definedName name="_xlnm._FilterDatabase" localSheetId="10" hidden="1">GCINI!$A$1:$A$9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5">#REF!</definedName>
    <definedName name="ADI">#REF!</definedName>
    <definedName name="_xlnm.Print_Area" localSheetId="7">BIODIESEL!$A$4:$G$24</definedName>
    <definedName name="_xlnm.Print_Area" localSheetId="4">'COMBUSTIBLES '!$A$2:$G$21</definedName>
    <definedName name="_xlnm.Print_Area" localSheetId="9">'DIESEL MARINO'!$C$25:$H$44</definedName>
    <definedName name="_xlnm.Print_Area" localSheetId="5">'GASOLINA CORRIENTE OXIGENADA'!$A$2:$D$25</definedName>
    <definedName name="_xlnm.Print_Area" localSheetId="10">GCINI!$A$1:$H$18</definedName>
    <definedName name="_xlnm.Print_Area" localSheetId="8">'SAN-ANDRES + GENERACION'!$B$1:$F$32</definedName>
    <definedName name="_xlnm.Print_Area" localSheetId="2">'TARIFAS DE TRANSPORTE'!$A$1:$C$34</definedName>
    <definedName name="base" localSheetId="9">#REF!</definedName>
    <definedName name="base">#REF!</definedName>
    <definedName name="base_VaR" localSheetId="9">#REF!</definedName>
    <definedName name="base_VaR">#REF!</definedName>
    <definedName name="CONTADO" localSheetId="9">#REF!</definedName>
    <definedName name="CONTADO">#REF!</definedName>
    <definedName name="CREDITO" localSheetId="9">#REF!</definedName>
    <definedName name="CREDITO">#REF!</definedName>
    <definedName name="DAT" localSheetId="7">#REF!</definedName>
    <definedName name="DAT" localSheetId="4">#REF!</definedName>
    <definedName name="DAT" localSheetId="9">#REF!</definedName>
    <definedName name="DAT" localSheetId="5">#REF!</definedName>
    <definedName name="DAT">#REF!</definedName>
    <definedName name="E_03" localSheetId="9">#REF!</definedName>
    <definedName name="E_03">#REF!</definedName>
    <definedName name="ERR" localSheetId="7">[1]TARIF2002!#REF!</definedName>
    <definedName name="ERR" localSheetId="9">[2]TARIF2002!#REF!</definedName>
    <definedName name="ERR" localSheetId="5">[1]TARIF2002!#REF!</definedName>
    <definedName name="ERR">[2]TARIF2002!#REF!</definedName>
    <definedName name="ERROR" localSheetId="7">#REF!</definedName>
    <definedName name="ERROR" localSheetId="9">#REF!</definedName>
    <definedName name="ERROR" localSheetId="5">#REF!</definedName>
    <definedName name="ERROR">#REF!</definedName>
    <definedName name="ERROR1" localSheetId="7">#REF!</definedName>
    <definedName name="ERROR1" localSheetId="9">#REF!</definedName>
    <definedName name="ERROR1" localSheetId="5">#REF!</definedName>
    <definedName name="ERROR1">#REF!</definedName>
    <definedName name="ERROR2" localSheetId="7">#REF!</definedName>
    <definedName name="ERROR2" localSheetId="9">#REF!</definedName>
    <definedName name="ERROR2" localSheetId="5">#REF!</definedName>
    <definedName name="ERROR2">#REF!</definedName>
    <definedName name="ERROR3" localSheetId="7">[1]TARIF2002!#REF!</definedName>
    <definedName name="ERROR3" localSheetId="9">[2]TARIF2002!#REF!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5">[1]TARIF2002!#REF!</definedName>
    <definedName name="ERROR5">[2]TARIF2002!#REF!</definedName>
    <definedName name="j" localSheetId="7">#REF!</definedName>
    <definedName name="j" localSheetId="9">#REF!</definedName>
    <definedName name="j" localSheetId="5">#REF!</definedName>
    <definedName name="j">#REF!</definedName>
    <definedName name="JA" localSheetId="9">#REF!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5">#REF!</definedName>
    <definedName name="MES">#REF!</definedName>
    <definedName name="Q" localSheetId="7">[5]TARIF2002!#REF!</definedName>
    <definedName name="Q" localSheetId="9">[6]TARIF2002!#REF!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5">[7]TARIF2002!#REF!</definedName>
    <definedName name="QN_QI">[2]TARIF2002!#REF!</definedName>
    <definedName name="QNS" localSheetId="7">[5]TARIF2002!#REF!</definedName>
    <definedName name="QNS" localSheetId="9">[6]TARIF2002!#REF!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5">#REF!</definedName>
    <definedName name="SOL">#REF!</definedName>
    <definedName name="TABLE" localSheetId="7">BIODIESEL!$A$2:$A$24</definedName>
    <definedName name="TABLE" localSheetId="4">'COMBUSTIBLES '!$A$2:$G$21</definedName>
    <definedName name="TABLE" localSheetId="5">'GASOLINA CORRIENTE OXIGENADA'!$A$2:$D$23</definedName>
    <definedName name="TE" localSheetId="7">[7]TARIF2002!#REF!</definedName>
    <definedName name="TE" localSheetId="4">[8]TARIF2002!#REF!</definedName>
    <definedName name="TE" localSheetId="9">[2]TARIF2002!#REF!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5">#REF!</definedName>
    <definedName name="TITU">#REF!</definedName>
    <definedName name="TOT" localSheetId="7">#REF!</definedName>
    <definedName name="TOT" localSheetId="4">#REF!</definedName>
    <definedName name="TOT" localSheetId="9">#REF!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8" i="70" l="1"/>
  <c r="L10" i="95"/>
  <c r="H8" i="95" l="1"/>
  <c r="H9" i="95"/>
  <c r="I9" i="95" l="1"/>
  <c r="I8" i="95"/>
  <c r="J7" i="70" l="1"/>
  <c r="E23" i="95" l="1"/>
  <c r="N70" i="122" l="1"/>
  <c r="O70" i="122"/>
  <c r="P70" i="122"/>
  <c r="Q70" i="122"/>
  <c r="R70" i="122"/>
  <c r="R43" i="122"/>
  <c r="S106" i="122" l="1"/>
  <c r="B8" i="1" s="1"/>
  <c r="F9" i="46"/>
  <c r="R106" i="122"/>
  <c r="F9" i="95"/>
  <c r="R42" i="122"/>
  <c r="R41" i="122"/>
  <c r="R39" i="122"/>
  <c r="R38" i="122"/>
  <c r="E8" i="4"/>
  <c r="H8" i="4" s="1"/>
  <c r="G8" i="4" l="1"/>
  <c r="F53" i="121"/>
  <c r="E76" i="121" s="1"/>
  <c r="O11" i="95" l="1"/>
  <c r="E9" i="95"/>
  <c r="E9" i="46"/>
  <c r="A2" i="1" l="1"/>
  <c r="C7" i="46"/>
  <c r="F8" i="46" s="1"/>
  <c r="H7" i="116"/>
  <c r="E8" i="46" l="1"/>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A5" i="70" l="1"/>
  <c r="C8" i="70" l="1"/>
  <c r="G9" i="70" l="1"/>
  <c r="F9" i="70"/>
  <c r="D9" i="70"/>
  <c r="B9" i="70"/>
  <c r="J8" i="70"/>
  <c r="I8" i="70"/>
  <c r="C9" i="70"/>
  <c r="I9" i="70"/>
  <c r="E8" i="70" l="1"/>
  <c r="J9" i="70"/>
  <c r="H8" i="70" l="1"/>
  <c r="H9" i="70" s="1"/>
  <c r="E9" i="70"/>
  <c r="G9" i="95" l="1"/>
  <c r="E13" i="1" l="1"/>
  <c r="B13" i="1"/>
  <c r="C13" i="1" s="1"/>
  <c r="D13" i="1" s="1"/>
  <c r="Q43" i="122" l="1"/>
  <c r="Q42" i="122"/>
  <c r="G13" i="106"/>
  <c r="O106" i="122" l="1"/>
  <c r="P106" i="122" s="1"/>
  <c r="Q106" i="122" s="1"/>
  <c r="D30" i="121" l="1"/>
  <c r="C8" i="4"/>
  <c r="F30" i="121" l="1"/>
  <c r="E77" i="121" s="1"/>
  <c r="D77" i="12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J13" i="70" l="1"/>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D6" i="121"/>
  <c r="C28" i="121"/>
  <c r="C51" i="121" s="1"/>
  <c r="F54" i="121" l="1"/>
  <c r="D33" i="121"/>
  <c r="E33" i="121"/>
  <c r="E56" i="121" s="1"/>
  <c r="F56" i="121" s="1"/>
  <c r="F33" i="121"/>
  <c r="J33" i="121" s="1"/>
  <c r="E6" i="121"/>
  <c r="D75" i="121" s="1"/>
  <c r="J38" i="121"/>
  <c r="G37" i="121"/>
  <c r="H37" i="121" s="1"/>
  <c r="F7" i="121"/>
  <c r="I7" i="121" s="1"/>
  <c r="E10" i="121"/>
  <c r="F10" i="121" s="1"/>
  <c r="E31" i="121"/>
  <c r="F31" i="121" s="1"/>
  <c r="D73" i="121" l="1"/>
  <c r="F6" i="121"/>
  <c r="E73" i="121" s="1"/>
  <c r="O75" i="121"/>
  <c r="J31" i="121"/>
  <c r="H31" i="121"/>
  <c r="J6" i="121" l="1"/>
  <c r="E74" i="121" s="1"/>
  <c r="F73" i="121"/>
  <c r="L73" i="121" s="1"/>
  <c r="E75" i="121"/>
  <c r="F75" i="121" s="1"/>
  <c r="I6" i="121"/>
  <c r="L75" i="121" l="1"/>
  <c r="K220" i="114"/>
  <c r="K37" i="114" l="1"/>
  <c r="F77" i="121" l="1"/>
  <c r="U11" i="70"/>
  <c r="T11" i="70"/>
  <c r="S11" i="70"/>
  <c r="R11" i="70"/>
  <c r="L77" i="121" l="1"/>
  <c r="E11" i="1" l="1"/>
  <c r="C11" i="1"/>
  <c r="B11" i="1"/>
  <c r="C32" i="106"/>
  <c r="D7" i="121" l="1"/>
  <c r="I13" i="70"/>
  <c r="D7" i="1"/>
  <c r="D54" i="121" l="1"/>
  <c r="K77" i="114"/>
  <c r="K30" i="114"/>
  <c r="J11" i="4"/>
  <c r="K57" i="114" s="1"/>
  <c r="K31" i="114"/>
  <c r="B6" i="95" l="1"/>
  <c r="D6" i="1" l="1"/>
  <c r="A2" i="116" l="1"/>
  <c r="E13" i="116"/>
  <c r="F13" i="116" s="1"/>
  <c r="E7" i="116"/>
  <c r="C13" i="116"/>
  <c r="D13" i="116" s="1"/>
  <c r="C7" i="116"/>
  <c r="D7" i="116" s="1"/>
  <c r="B7" i="116"/>
  <c r="F7" i="116" l="1"/>
  <c r="D8" i="4"/>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G18" i="4" s="1"/>
  <c r="D17" i="4"/>
  <c r="E17" i="4" s="1"/>
  <c r="F17" i="4" s="1"/>
  <c r="G17" i="4" s="1"/>
  <c r="E16" i="4"/>
  <c r="F16" i="4" s="1"/>
  <c r="G16" i="4" s="1"/>
  <c r="E14" i="4"/>
  <c r="D14" i="4"/>
  <c r="C14" i="4"/>
  <c r="E12" i="4"/>
  <c r="H12" i="4" s="1"/>
  <c r="D12" i="4"/>
  <c r="C12" i="4"/>
  <c r="D11" i="4"/>
  <c r="C11" i="4"/>
  <c r="C10" i="4"/>
  <c r="E9" i="4"/>
  <c r="D9" i="4"/>
  <c r="F9" i="4" s="1"/>
  <c r="G9" i="4" s="1"/>
  <c r="G16" i="95"/>
  <c r="F16" i="95"/>
  <c r="H16" i="95" s="1"/>
  <c r="D15" i="95"/>
  <c r="G15" i="95" s="1"/>
  <c r="A13" i="95"/>
  <c r="C12" i="95"/>
  <c r="D12" i="95" s="1"/>
  <c r="E12" i="95" s="1"/>
  <c r="A12" i="95"/>
  <c r="A11" i="95"/>
  <c r="K195" i="114"/>
  <c r="C7" i="95"/>
  <c r="Q10" i="95" s="1"/>
  <c r="A2" i="95"/>
  <c r="K122" i="114"/>
  <c r="D22" i="46"/>
  <c r="D24" i="46" s="1"/>
  <c r="C17" i="46"/>
  <c r="D17" i="46" s="1"/>
  <c r="E17" i="46" s="1"/>
  <c r="C14" i="46"/>
  <c r="D14" i="46" s="1"/>
  <c r="E14" i="46" s="1"/>
  <c r="A13" i="46"/>
  <c r="C12" i="46"/>
  <c r="D12" i="46" s="1"/>
  <c r="E12" i="46" s="1"/>
  <c r="A12" i="46"/>
  <c r="C11" i="46"/>
  <c r="E11" i="46" s="1"/>
  <c r="A11" i="46"/>
  <c r="A2" i="46"/>
  <c r="E20" i="1"/>
  <c r="E18" i="1"/>
  <c r="E15" i="1"/>
  <c r="C11" i="116"/>
  <c r="D11" i="116" s="1"/>
  <c r="E10" i="1"/>
  <c r="E11" i="4" s="1"/>
  <c r="F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E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F8" i="95" l="1"/>
  <c r="E8" i="95"/>
  <c r="E10" i="95" s="1"/>
  <c r="O13" i="95"/>
  <c r="Q13" i="95"/>
  <c r="G12" i="4"/>
  <c r="F12" i="4"/>
  <c r="O10" i="95"/>
  <c r="F10" i="46"/>
  <c r="D8" i="46"/>
  <c r="D10" i="46" s="1"/>
  <c r="D13" i="95"/>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AI36" i="61"/>
  <c r="AI44" i="61"/>
  <c r="AH55" i="61"/>
  <c r="AI55" i="61" s="1"/>
  <c r="AH59" i="61"/>
  <c r="AI59" i="61" s="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H23" i="95" s="1"/>
  <c r="E16" i="116"/>
  <c r="C16" i="116"/>
  <c r="K55" i="114"/>
  <c r="J12" i="4"/>
  <c r="J13" i="4" s="1"/>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D7" i="95"/>
  <c r="F14" i="70"/>
  <c r="H14" i="70" s="1"/>
  <c r="J14" i="70" s="1"/>
  <c r="F12" i="95"/>
  <c r="H12" i="95" s="1"/>
  <c r="G12" i="95"/>
  <c r="I11" i="70"/>
  <c r="F15" i="95" l="1"/>
  <c r="H15" i="95"/>
  <c r="H13" i="95"/>
  <c r="H14" i="4"/>
  <c r="F13" i="95"/>
  <c r="G14" i="4" s="1"/>
  <c r="H10" i="95"/>
  <c r="E13" i="95"/>
  <c r="F14" i="4" s="1"/>
  <c r="G13" i="95"/>
  <c r="D62" i="121"/>
  <c r="H16" i="70"/>
  <c r="G16" i="70"/>
  <c r="D17" i="95"/>
  <c r="F17" i="95" s="1"/>
  <c r="H17" i="95" s="1"/>
  <c r="G17" i="95"/>
  <c r="D12" i="121"/>
  <c r="K14" i="114"/>
  <c r="K40" i="114"/>
  <c r="K59" i="114"/>
  <c r="C31" i="106"/>
  <c r="D11" i="95"/>
  <c r="C14" i="95"/>
  <c r="E8" i="116"/>
  <c r="F8" i="116" s="1"/>
  <c r="E10" i="4"/>
  <c r="E15" i="4" s="1"/>
  <c r="K26" i="114"/>
  <c r="K25" i="114"/>
  <c r="F10" i="70"/>
  <c r="K18" i="114"/>
  <c r="K17" i="114"/>
  <c r="B10" i="70"/>
  <c r="D10" i="70"/>
  <c r="K13" i="114"/>
  <c r="F6" i="116"/>
  <c r="E6" i="116"/>
  <c r="D7" i="4"/>
  <c r="K50" i="114"/>
  <c r="K53" i="114"/>
  <c r="E6" i="1"/>
  <c r="K189" i="114"/>
  <c r="C18" i="70"/>
  <c r="E18" i="70"/>
  <c r="G18" i="70" s="1"/>
  <c r="D18" i="70"/>
  <c r="G17" i="70"/>
  <c r="H17" i="70"/>
  <c r="K45" i="114"/>
  <c r="K43" i="114"/>
  <c r="F10" i="95"/>
  <c r="K194" i="114"/>
  <c r="K81" i="114"/>
  <c r="E15" i="70" l="1"/>
  <c r="H15" i="70" s="1"/>
  <c r="C15" i="70"/>
  <c r="G11" i="95"/>
  <c r="H11" i="95"/>
  <c r="F6" i="1"/>
  <c r="G6" i="1" s="1"/>
  <c r="H6" i="1"/>
  <c r="I6" i="1" s="1"/>
  <c r="D36" i="121"/>
  <c r="D39" i="121" s="1"/>
  <c r="E12" i="121"/>
  <c r="D74" i="121"/>
  <c r="F74" i="121" s="1"/>
  <c r="L74" i="121" s="1"/>
  <c r="D53" i="121"/>
  <c r="D76" i="121" s="1"/>
  <c r="K54" i="114"/>
  <c r="K46" i="114"/>
  <c r="K38" i="114"/>
  <c r="C11" i="95"/>
  <c r="E11" i="95" s="1"/>
  <c r="E121" i="114"/>
  <c r="E113" i="114"/>
  <c r="E112" i="114"/>
  <c r="G14" i="95"/>
  <c r="D14" i="95"/>
  <c r="K48" i="114"/>
  <c r="K51" i="114"/>
  <c r="E7" i="4"/>
  <c r="E6" i="95"/>
  <c r="G6" i="95"/>
  <c r="F6" i="95"/>
  <c r="C6" i="95"/>
  <c r="F18" i="70"/>
  <c r="H18" i="70" s="1"/>
  <c r="I18" i="70"/>
  <c r="K188" i="114"/>
  <c r="K42" i="114"/>
  <c r="K80" i="114"/>
  <c r="K192" i="114"/>
  <c r="E14" i="95" l="1"/>
  <c r="H14" i="95"/>
  <c r="F7" i="4"/>
  <c r="H7" i="4" s="1"/>
  <c r="G7" i="4"/>
  <c r="D6" i="95"/>
  <c r="H6" i="95"/>
  <c r="E36" i="121"/>
  <c r="E39" i="121" s="1"/>
  <c r="I11" i="121"/>
  <c r="F12" i="121"/>
  <c r="O76" i="121"/>
  <c r="E53" i="121"/>
  <c r="D60" i="121"/>
  <c r="D61" i="121" s="1"/>
  <c r="F11" i="95"/>
  <c r="K16" i="114"/>
  <c r="E10" i="70"/>
  <c r="G10" i="70" s="1"/>
  <c r="H10" i="70"/>
  <c r="F14" i="95"/>
  <c r="K19" i="114" l="1"/>
  <c r="F36" i="121"/>
  <c r="F39" i="121" s="1"/>
  <c r="E60" i="121"/>
  <c r="E61" i="121" s="1"/>
  <c r="G36" i="121"/>
  <c r="G39" i="121" s="1"/>
  <c r="I12" i="121"/>
  <c r="F76" i="121"/>
  <c r="E13" i="70"/>
  <c r="C13" i="70"/>
  <c r="H13" i="70"/>
  <c r="C10" i="70"/>
  <c r="F10" i="4"/>
  <c r="H10" i="4" s="1"/>
  <c r="H15" i="4" s="1"/>
  <c r="F15" i="4" l="1"/>
  <c r="G10" i="4"/>
  <c r="G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<sst xmlns="http://schemas.openxmlformats.org/spreadsheetml/2006/main" count="1404" uniqueCount="705">
  <si>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</si>
  <si>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</si>
  <si>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</si>
  <si>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</si>
  <si>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</si>
  <si>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</si>
  <si>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</si>
  <si>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</si>
  <si>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</si>
  <si>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</si>
  <si>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</si>
  <si>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</si>
  <si>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</si>
  <si>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</si>
  <si>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</si>
  <si>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</si>
  <si>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</si>
  <si>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</si>
  <si>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</si>
  <si>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</si>
  <si>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</si>
  <si>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</si>
  <si>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</si>
  <si>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</si>
  <si>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</si>
  <si>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</si>
  <si>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</si>
  <si>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</si>
  <si>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</si>
  <si>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</si>
  <si>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</si>
  <si>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</si>
  <si>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</si>
  <si>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</si>
  <si>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</si>
  <si>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</si>
  <si>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</si>
  <si>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</si>
  <si>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</si>
  <si>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</si>
  <si>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</si>
  <si>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</si>
  <si>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</si>
  <si>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</si>
  <si>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</si>
  <si>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</si>
  <si>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</si>
  <si>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</si>
  <si>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</si>
  <si>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</si>
  <si>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</si>
  <si>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</si>
  <si>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</si>
  <si>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</si>
  <si>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</si>
  <si>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</si>
  <si>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</si>
  <si>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</si>
  <si>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</si>
  <si>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</si>
  <si>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</si>
  <si>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</si>
  <si>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</si>
  <si>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</si>
  <si>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</si>
  <si>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</si>
  <si>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</si>
  <si>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</si>
  <si>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</si>
  <si>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</si>
  <si>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</si>
  <si>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</si>
  <si>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</si>
  <si>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</si>
  <si>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</si>
  <si>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</si>
  <si>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</si>
  <si>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</si>
  <si>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</si>
  <si>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</si>
  <si>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</si>
  <si>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</si>
  <si>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</si>
  <si>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</si>
  <si>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</si>
  <si>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</si>
  <si>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</si>
  <si>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</si>
  <si>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</si>
  <si>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</si>
  <si>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</si>
  <si>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</si>
  <si>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</si>
  <si>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</si>
  <si>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</si>
  <si>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</si>
  <si>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</si>
  <si>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</si>
  <si>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</si>
  <si>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</si>
  <si>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</si>
  <si>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</si>
  <si>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</si>
  <si>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</si>
  <si>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</si>
  <si>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</si>
  <si>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</si>
  <si>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</si>
  <si>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</si>
  <si>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</si>
  <si>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</si>
  <si>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</si>
  <si>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</si>
  <si>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</si>
  <si>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</si>
  <si>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</si>
  <si>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</si>
  <si>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</si>
  <si>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</si>
  <si>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</si>
  <si>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</si>
  <si>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</si>
  <si>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</si>
  <si>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</si>
  <si>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</si>
  <si>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</si>
  <si>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</si>
  <si>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</si>
  <si>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</si>
  <si>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</si>
  <si>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</si>
  <si>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</si>
  <si>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</si>
  <si>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</si>
  <si>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</si>
  <si>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</si>
  <si>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</si>
  <si>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</si>
  <si>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</si>
  <si>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</si>
  <si>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</si>
  <si>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</si>
  <si>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</si>
  <si>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</si>
  <si>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</si>
  <si>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</si>
  <si>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</si>
  <si>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</si>
  <si>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</si>
  <si>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</si>
  <si>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</si>
  <si>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</si>
  <si>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</si>
  <si>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</si>
  <si>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</si>
  <si>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</si>
  <si>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</si>
  <si>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</si>
  <si>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</si>
  <si>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</si>
  <si>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</si>
  <si>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</si>
  <si>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</si>
  <si>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</si>
  <si>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</si>
  <si>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</si>
  <si>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</si>
  <si>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</si>
  <si>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</si>
  <si>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</si>
  <si>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</si>
  <si>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</si>
  <si>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</si>
  <si>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</si>
  <si>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</si>
  <si>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</si>
  <si>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</si>
  <si>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</si>
  <si>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</si>
  <si>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</si>
  <si>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</si>
  <si>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</si>
  <si>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</si>
  <si>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</si>
  <si>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</si>
  <si>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</si>
  <si>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</si>
  <si>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</si>
  <si>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</si>
  <si>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</si>
  <si>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</si>
  <si>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</si>
  <si>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</si>
  <si>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</si>
  <si>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</si>
  <si>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</si>
  <si>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</si>
  <si>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</si>
  <si>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</si>
  <si>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</si>
  <si>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</si>
  <si>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</si>
  <si>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</si>
  <si>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</si>
  <si>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</si>
  <si>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</si>
  <si>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</si>
  <si>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</si>
  <si>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</si>
  <si>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</si>
  <si>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</si>
  <si>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</si>
  <si>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</si>
  <si>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</si>
  <si>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</si>
  <si>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</si>
  <si>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</si>
  <si>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</si>
  <si>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</si>
  <si>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</si>
  <si>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</si>
  <si>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</si>
  <si>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</si>
  <si>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</si>
  <si>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</si>
  <si>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</si>
  <si>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</si>
  <si>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</si>
  <si>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</si>
  <si>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</si>
  <si>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</si>
  <si>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</si>
  <si>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</si>
  <si>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</si>
  <si>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</si>
  <si>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</si>
  <si>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</si>
  <si>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</si>
  <si>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</si>
  <si>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</si>
  <si>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</si>
  <si>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</si>
  <si>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</si>
  <si>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</si>
  <si>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</si>
  <si>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</si>
  <si>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</si>
  <si>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</si>
  <si>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</si>
  <si>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</si>
  <si>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</si>
  <si>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</si>
  <si>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</si>
  <si>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</si>
  <si>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</si>
  <si>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</si>
  <si>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</si>
  <si>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</si>
  <si>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</si>
  <si>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</si>
  <si>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</si>
  <si>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</si>
  <si>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</si>
  <si>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</si>
  <si>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</si>
  <si>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</si>
  <si>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</si>
  <si>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</si>
  <si>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</si>
  <si>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</si>
  <si>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</si>
  <si>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</si>
  <si>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</si>
  <si>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</si>
  <si>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</si>
  <si>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</si>
  <si>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</si>
  <si>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</si>
  <si>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</si>
  <si>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</si>
  <si>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</si>
  <si>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</si>
  <si>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</si>
  <si>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</si>
  <si>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</si>
  <si>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</si>
  <si>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</si>
  <si>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</si>
  <si>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</si>
  <si>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</si>
  <si>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</si>
  <si>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</si>
  <si>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</si>
  <si>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</si>
  <si>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</si>
  <si>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</si>
  <si>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</si>
  <si>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</si>
  <si>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</si>
  <si>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</si>
  <si>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</si>
  <si>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</si>
  <si>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</si>
  <si>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</si>
  <si>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</si>
  <si>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</si>
  <si>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</si>
  <si>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</si>
  <si>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</si>
  <si>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</si>
  <si>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</si>
  <si>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</si>
  <si>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</si>
  <si>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</si>
  <si>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</si>
  <si>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</si>
  <si>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</si>
  <si>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</si>
  <si>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</si>
  <si>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</si>
  <si>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</si>
  <si>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</si>
  <si>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</si>
  <si>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</si>
  <si>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</si>
  <si>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</si>
  <si>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</si>
  <si>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</si>
  <si>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</si>
  <si>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</si>
  <si>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</si>
  <si>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</si>
  <si>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</si>
  <si>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</si>
  <si>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</si>
  <si>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</si>
  <si>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</si>
  <si>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</si>
  <si>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</si>
  <si>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</si>
  <si>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</si>
  <si>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</si>
  <si>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</si>
  <si>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</si>
  <si>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</si>
  <si>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</si>
  <si>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</si>
  <si>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</si>
  <si>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</si>
  <si>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</si>
  <si>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</si>
  <si>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</si>
  <si>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</si>
  <si>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</si>
  <si>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</si>
  <si>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</si>
  <si>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</si>
  <si>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</si>
  <si>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</si>
  <si>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</si>
  <si>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</si>
  <si>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</si>
  <si>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</si>
  <si>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</si>
  <si>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</si>
  <si>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</si>
  <si>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</si>
  <si>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</si>
  <si>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</si>
  <si>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</si>
  <si>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</si>
  <si>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</si>
  <si>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</si>
  <si>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</si>
  <si>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</si>
  <si>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</si>
  <si>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</si>
  <si>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</si>
  <si>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</si>
  <si>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</si>
  <si>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</si>
  <si>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</si>
  <si>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</si>
  <si>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</si>
  <si>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</si>
  <si>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</si>
  <si>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</si>
  <si>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</si>
  <si>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</si>
  <si>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</si>
  <si>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</si>
  <si>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</si>
  <si>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</si>
  <si>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</si>
  <si>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</si>
  <si>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</si>
  <si>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</si>
  <si>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</si>
  <si>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</si>
  <si>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</si>
  <si>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</si>
  <si>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</si>
  <si>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</si>
  <si>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</si>
  <si>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</si>
  <si>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</si>
  <si>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</si>
  <si>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</si>
  <si>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</si>
  <si>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</si>
  <si>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</si>
  <si>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</si>
  <si>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</si>
  <si>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</si>
  <si>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</si>
  <si>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</si>
  <si>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</si>
  <si>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</si>
  <si>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</si>
  <si>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</si>
  <si>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</si>
  <si>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</si>
  <si>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</si>
  <si>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</si>
  <si>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</si>
  <si>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</si>
  <si>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</si>
  <si>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</si>
  <si>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</si>
  <si>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</si>
  <si>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</si>
  <si>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</si>
  <si>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</si>
  <si>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</si>
  <si>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</si>
  <si>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</si>
  <si>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</si>
  <si>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</si>
  <si>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</si>
  <si>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</si>
  <si>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</si>
  <si>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</si>
  <si>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</si>
  <si>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</si>
  <si>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</si>
  <si>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</si>
  <si>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</si>
  <si>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</si>
  <si>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</si>
  <si>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</si>
  <si>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</si>
  <si>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</si>
  <si>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</si>
  <si>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</si>
  <si>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</si>
  <si>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</si>
  <si>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</si>
  <si>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</si>
  <si>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</si>
  <si>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</si>
  <si>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</si>
  <si>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</si>
  <si>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</si>
  <si>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</si>
  <si>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</si>
  <si>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</si>
  <si>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</si>
  <si>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</si>
  <si>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</si>
  <si>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</si>
  <si>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</si>
  <si>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</si>
  <si>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</si>
  <si>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</si>
  <si>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</si>
  <si>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</si>
  <si>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</si>
  <si>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</si>
  <si>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</si>
  <si>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</si>
  <si>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</si>
  <si>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</si>
  <si>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</si>
  <si>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</si>
  <si>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</si>
  <si>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</si>
  <si>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</si>
  <si>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</si>
  <si>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</si>
  <si>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</si>
  <si>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</si>
  <si>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</si>
  <si>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</si>
  <si>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</si>
  <si>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</si>
  <si>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</si>
  <si>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</si>
  <si>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</si>
  <si>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</si>
  <si>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</si>
  <si>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</si>
  <si>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</si>
  <si>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</si>
  <si>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</si>
  <si>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</si>
  <si>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</si>
  <si>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</si>
  <si>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</si>
  <si>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</si>
  <si>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</si>
  <si>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</si>
  <si>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</si>
  <si>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</si>
  <si>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</si>
  <si>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</si>
  <si>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</si>
  <si>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</si>
  <si>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</si>
  <si>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</si>
  <si>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</si>
  <si>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</si>
  <si>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</si>
  <si>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</si>
  <si>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</si>
  <si>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</si>
  <si>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</si>
  <si>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</si>
  <si>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</si>
  <si>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</si>
  <si>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</si>
  <si>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</si>
  <si>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</si>
  <si>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</si>
  <si>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</si>
  <si>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</si>
  <si>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</si>
  <si>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</si>
  <si>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</si>
  <si>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</si>
  <si>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</si>
  <si>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</si>
  <si>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</si>
  <si>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</si>
  <si>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</si>
  <si>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</si>
  <si>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</si>
  <si>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</si>
  <si>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</si>
  <si>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</si>
  <si>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</si>
  <si>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</si>
  <si>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</si>
  <si>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</si>
  <si>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</si>
  <si>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</si>
  <si>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</si>
  <si>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</si>
  <si>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</si>
  <si>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</si>
  <si>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</si>
  <si>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</si>
  <si>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</si>
  <si>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</si>
  <si>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</si>
  <si>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</si>
  <si>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</si>
  <si>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</si>
  <si>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</si>
  <si>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</si>
  <si>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</si>
  <si>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</si>
  <si>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</si>
  <si>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</si>
  <si>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</si>
  <si>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</si>
  <si>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</si>
  <si>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</si>
  <si>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</si>
  <si>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</si>
  <si>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</si>
  <si>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</si>
  <si>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</si>
  <si>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</si>
  <si>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</si>
  <si>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</si>
  <si>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</si>
  <si>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</si>
  <si>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</si>
  <si>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</si>
  <si>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</si>
  <si>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</si>
  <si>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</si>
  <si>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</si>
  <si>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</si>
  <si>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</si>
  <si>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</si>
  <si>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</si>
  <si>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</si>
  <si>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</si>
  <si>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</si>
  <si>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</si>
  <si>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</si>
  <si>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</si>
  <si>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</si>
  <si>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</si>
  <si>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</si>
  <si>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</si>
  <si>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</si>
  <si>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</si>
  <si>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</si>
  <si>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</si>
  <si>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</si>
  <si>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</si>
  <si>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</si>
  <si>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</si>
  <si>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</si>
  <si>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</si>
  <si>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</si>
  <si>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</si>
  <si>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</si>
  <si>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</si>
  <si>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</si>
  <si>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</si>
  <si>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</si>
  <si>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</si>
  <si>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</si>
  <si>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</si>
  <si>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</si>
  <si>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</si>
  <si>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</si>
  <si>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</si>
  <si>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Definidas por Resolución 0009 de 31 ENE 2020 DIAN</t>
  </si>
  <si>
    <t>Recuperación de costos y Costos de Cesión: Resolución MME 90302 de 2013, se deben actualizar cada 1º de febrero, con base en el índice de precios al consumidor del año inmediatamente anterior</t>
  </si>
  <si>
    <t>6. Recuperación de costos</t>
  </si>
  <si>
    <r>
      <t xml:space="preserve">Biodiesel B12/   </t>
    </r>
    <r>
      <rPr>
        <b/>
        <sz val="11"/>
        <color theme="3" tint="0.59999389629810485"/>
        <rFont val="Arial"/>
        <family val="2"/>
      </rPr>
      <t>B12T</t>
    </r>
  </si>
  <si>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</si>
  <si>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</si>
  <si>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</si>
  <si>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</si>
  <si>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</si>
  <si>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</si>
  <si>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</si>
  <si>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</si>
  <si>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</si>
  <si>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</si>
  <si>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</si>
  <si>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</si>
  <si>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</si>
  <si>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</si>
  <si>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</si>
  <si>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</si>
  <si>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</si>
  <si>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</si>
  <si>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</si>
  <si>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</si>
  <si>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</si>
  <si>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</si>
  <si>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</si>
  <si>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</si>
  <si>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</si>
  <si>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</si>
  <si>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</si>
  <si>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</si>
  <si>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</si>
  <si>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</si>
  <si>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</si>
  <si>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</si>
  <si>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</si>
  <si>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</si>
  <si>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</si>
  <si>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</si>
  <si>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</si>
  <si>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</si>
  <si>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</si>
  <si>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</si>
  <si>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</si>
  <si>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</si>
  <si>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</si>
  <si>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</si>
  <si>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IP B10</t>
  </si>
  <si>
    <t>ACPM Base para Mezcla al 10% (2)</t>
  </si>
  <si>
    <t>Biodiesel B3</t>
  </si>
  <si>
    <t>B3</t>
  </si>
  <si>
    <t>https://www.banrep.gov.co/es/junta-directiva-del-banco-republica-mantiene-meta-inflacion-3-para-2022</t>
  </si>
  <si>
    <t>A PARTIR DE ENERO 6%</t>
  </si>
  <si>
    <t>OJO</t>
  </si>
  <si>
    <t>Gasolina Corriente base para Oxigenada 8%</t>
  </si>
  <si>
    <t>Gasolina Corriente base para Oxigenada 10%</t>
  </si>
  <si>
    <t>Impuesto Nacional a la Gasolina y al ACPM</t>
  </si>
  <si>
    <t>REVISAR</t>
  </si>
  <si>
    <t>Biodiesel B10</t>
  </si>
  <si>
    <t>OK  OK OK</t>
  </si>
  <si>
    <t>OK  OK  OK</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</si>
  <si>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</si>
  <si>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</si>
  <si>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</si>
  <si>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</si>
  <si>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</si>
  <si>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</si>
  <si>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</si>
  <si>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</si>
  <si>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Gasolina Extra Nacional</t>
  </si>
  <si>
    <t>01 DE AGOSTO 2022</t>
  </si>
  <si>
    <t>(**)  Se calculará como del costo máximo de transporte de alcohol carburante entre las plantas destiladoras de dicho producto, ubicadas en el suroccidente del país y el eje cafetero, y las plantas de abastecimiento mayorista en las cuales se realizará la mezcla, de acuerdo con la Resolución 18 1088 del 23 de agosto de 2005 y la Resolución 40079 de Febrero de 2018 y las normas que la modifiquen, adicionen o sustituyan.</t>
  </si>
  <si>
    <t>(*) Se calculará en cada sitio de entrega como e 90%, 94%, 96%, o 100% según corresponda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</si>
</sst>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0"/>
      <color rgb="FFFF0000"/>
      <name val="Calibri"/>
      <family val="2"/>
      <scheme val="minor"/>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
      <sz val="10"/>
      <color theme="0" tint="-0.249977111117893"/>
      <name val="Arial"/>
      <family val="2"/>
    </font>
    <font>
      <sz val="9"/>
      <color theme="0" tint="-0.249977111117893"/>
      <name val="Arial"/>
      <family val="2"/>
    </font>
    <font>
      <sz val="8"/>
      <color theme="0" tint="-0.249977111117893"/>
      <name val="Arial"/>
      <family val="2"/>
    </font>
    <font>
      <b/>
      <sz val="11"/>
      <color theme="0" tint="-0.249977111117893"/>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s>
  <fills count="4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08">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3" fillId="0" borderId="0"/>
    <xf numFmtId="0" fontId="24" fillId="0" borderId="0"/>
    <xf numFmtId="0" fontId="23" fillId="0" borderId="0"/>
    <xf numFmtId="0" fontId="24" fillId="0" borderId="0"/>
    <xf numFmtId="0" fontId="25" fillId="0" borderId="0">
      <protection locked="0"/>
    </xf>
    <xf numFmtId="0" fontId="26" fillId="0" borderId="0">
      <protection locked="0"/>
    </xf>
    <xf numFmtId="0" fontId="26"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43" fontId="22" fillId="0" borderId="0" applyFont="0" applyFill="0" applyBorder="0" applyAlignment="0" applyProtection="0"/>
    <xf numFmtId="0" fontId="22" fillId="0" borderId="0" applyFont="0" applyFill="0" applyBorder="0" applyAlignment="0" applyProtection="0"/>
    <xf numFmtId="0" fontId="25" fillId="0" borderId="0">
      <protection locked="0"/>
    </xf>
    <xf numFmtId="37" fontId="27" fillId="0" borderId="0"/>
    <xf numFmtId="0" fontId="22" fillId="0" borderId="0"/>
    <xf numFmtId="0" fontId="22" fillId="0" borderId="0"/>
    <xf numFmtId="0" fontId="41" fillId="0" borderId="0"/>
    <xf numFmtId="166" fontId="32" fillId="0" borderId="0"/>
    <xf numFmtId="9" fontId="22" fillId="0" borderId="0" applyFont="0" applyFill="0" applyBorder="0" applyAlignment="0" applyProtection="0"/>
    <xf numFmtId="9" fontId="22" fillId="0" borderId="0" applyFont="0" applyFill="0" applyBorder="0" applyAlignment="0" applyProtection="0"/>
    <xf numFmtId="166" fontId="29" fillId="0" borderId="0">
      <alignment horizontal="left"/>
    </xf>
    <xf numFmtId="38" fontId="28" fillId="0" borderId="0"/>
    <xf numFmtId="0" fontId="25" fillId="0" borderId="1">
      <protection locked="0"/>
    </xf>
    <xf numFmtId="0" fontId="21" fillId="0" borderId="0"/>
    <xf numFmtId="41" fontId="96" fillId="0" borderId="0" applyFont="0" applyFill="0" applyBorder="0" applyAlignment="0" applyProtection="0"/>
    <xf numFmtId="42" fontId="101" fillId="0" borderId="0" applyFont="0" applyFill="0" applyBorder="0" applyAlignment="0" applyProtection="0"/>
    <xf numFmtId="0" fontId="107" fillId="0" borderId="0" applyNumberFormat="0" applyFill="0" applyBorder="0" applyAlignment="0" applyProtection="0"/>
    <xf numFmtId="44" fontId="116" fillId="0" borderId="0" applyFont="0" applyFill="0" applyBorder="0" applyAlignment="0" applyProtection="0"/>
  </cellStyleXfs>
  <cellXfs count="894">
    <xf numFmtId="0" fontId="0" fillId="0" borderId="0" xfId="0"/>
    <xf numFmtId="0" fontId="54"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164" fontId="33" fillId="2" borderId="0" xfId="0" applyNumberFormat="1" applyFont="1" applyFill="1" applyAlignment="1" applyProtection="1">
      <alignment vertical="center"/>
      <protection hidden="1"/>
    </xf>
    <xf numFmtId="2" fontId="33" fillId="2" borderId="0" xfId="0" applyNumberFormat="1" applyFont="1" applyFill="1" applyAlignment="1" applyProtection="1">
      <alignment vertical="center"/>
      <protection hidden="1"/>
    </xf>
    <xf numFmtId="0" fontId="33" fillId="0" borderId="0" xfId="0" applyFont="1" applyBorder="1" applyAlignment="1" applyProtection="1">
      <alignment vertical="center"/>
      <protection hidden="1"/>
    </xf>
    <xf numFmtId="0" fontId="33" fillId="12" borderId="0" xfId="0" applyFont="1" applyFill="1" applyBorder="1" applyAlignment="1" applyProtection="1">
      <alignment vertical="center"/>
      <protection hidden="1"/>
    </xf>
    <xf numFmtId="0" fontId="34" fillId="2" borderId="0" xfId="0" applyFont="1" applyFill="1" applyBorder="1" applyAlignment="1" applyProtection="1">
      <alignment vertical="center"/>
      <protection hidden="1"/>
    </xf>
    <xf numFmtId="0" fontId="39" fillId="0" borderId="0" xfId="0" applyFont="1" applyBorder="1" applyAlignment="1" applyProtection="1">
      <alignment vertical="center"/>
      <protection hidden="1"/>
    </xf>
    <xf numFmtId="0" fontId="39" fillId="0" borderId="0" xfId="0" applyFont="1" applyAlignment="1" applyProtection="1">
      <alignment vertical="center"/>
      <protection hidden="1"/>
    </xf>
    <xf numFmtId="0" fontId="33" fillId="0" borderId="0" xfId="0" applyFont="1" applyAlignment="1" applyProtection="1">
      <alignment vertical="center"/>
      <protection hidden="1"/>
    </xf>
    <xf numFmtId="0" fontId="34" fillId="0" borderId="0" xfId="0" applyFont="1" applyBorder="1" applyAlignment="1" applyProtection="1">
      <alignment horizontal="left" vertical="center" wrapText="1"/>
      <protection hidden="1"/>
    </xf>
    <xf numFmtId="43" fontId="34" fillId="2" borderId="0" xfId="17" applyFont="1" applyFill="1" applyBorder="1" applyAlignment="1" applyProtection="1">
      <alignment vertical="center" wrapText="1"/>
      <protection hidden="1"/>
    </xf>
    <xf numFmtId="0" fontId="33" fillId="12" borderId="0" xfId="0" applyFont="1" applyFill="1" applyAlignment="1" applyProtection="1">
      <alignment vertical="center"/>
      <protection hidden="1"/>
    </xf>
    <xf numFmtId="0" fontId="30" fillId="0" borderId="0" xfId="0" applyFont="1" applyAlignment="1" applyProtection="1">
      <alignment vertical="center"/>
      <protection hidden="1"/>
    </xf>
    <xf numFmtId="0" fontId="52" fillId="0" borderId="0" xfId="0" applyFont="1" applyAlignment="1" applyProtection="1">
      <alignment horizontal="left" vertical="center"/>
      <protection hidden="1"/>
    </xf>
    <xf numFmtId="0" fontId="55" fillId="0" borderId="0" xfId="0" applyFont="1" applyAlignment="1" applyProtection="1">
      <alignment horizontal="center" vertical="center"/>
      <protection hidden="1"/>
    </xf>
    <xf numFmtId="0" fontId="52" fillId="0" borderId="0" xfId="0" applyFont="1" applyAlignment="1" applyProtection="1">
      <alignment vertical="center"/>
      <protection hidden="1"/>
    </xf>
    <xf numFmtId="0" fontId="34" fillId="2" borderId="0" xfId="0" applyFont="1" applyFill="1" applyBorder="1" applyAlignment="1" applyProtection="1">
      <alignment horizontal="left" vertical="center" wrapText="1"/>
      <protection hidden="1"/>
    </xf>
    <xf numFmtId="43" fontId="34" fillId="2" borderId="0" xfId="17" applyNumberFormat="1" applyFont="1" applyFill="1" applyBorder="1" applyAlignment="1" applyProtection="1">
      <alignment vertical="center" wrapText="1"/>
      <protection hidden="1"/>
    </xf>
    <xf numFmtId="43" fontId="34" fillId="2" borderId="0" xfId="17" applyFont="1" applyFill="1" applyBorder="1" applyAlignment="1" applyProtection="1">
      <alignment horizontal="center" vertical="center" wrapText="1"/>
      <protection hidden="1"/>
    </xf>
    <xf numFmtId="0" fontId="56" fillId="0" borderId="0" xfId="0" quotePrefix="1" applyFont="1" applyAlignment="1" applyProtection="1">
      <alignment horizontal="left" vertical="center"/>
      <protection hidden="1"/>
    </xf>
    <xf numFmtId="0" fontId="54" fillId="2" borderId="0" xfId="0" quotePrefix="1" applyFont="1" applyFill="1" applyBorder="1" applyAlignment="1" applyProtection="1">
      <alignment horizontal="left" vertical="center"/>
      <protection hidden="1"/>
    </xf>
    <xf numFmtId="4" fontId="53" fillId="2" borderId="0" xfId="0" applyNumberFormat="1" applyFont="1" applyFill="1" applyBorder="1" applyAlignment="1" applyProtection="1">
      <alignment horizontal="right" vertical="center"/>
      <protection hidden="1"/>
    </xf>
    <xf numFmtId="0" fontId="34" fillId="0" borderId="0" xfId="0" applyFont="1" applyAlignment="1" applyProtection="1">
      <alignment horizontal="center" vertical="center"/>
      <protection hidden="1"/>
    </xf>
    <xf numFmtId="4" fontId="33" fillId="2" borderId="0" xfId="0" applyNumberFormat="1" applyFont="1" applyFill="1" applyBorder="1" applyAlignment="1" applyProtection="1">
      <alignment horizontal="right" vertical="center"/>
      <protection hidden="1"/>
    </xf>
    <xf numFmtId="0" fontId="55" fillId="2" borderId="0" xfId="0"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4" fontId="33" fillId="2" borderId="0" xfId="0" applyNumberFormat="1" applyFont="1" applyFill="1" applyAlignment="1" applyProtection="1">
      <alignment vertical="center"/>
      <protection hidden="1"/>
    </xf>
    <xf numFmtId="0" fontId="52" fillId="2" borderId="0" xfId="0" applyFont="1" applyFill="1" applyAlignment="1" applyProtection="1">
      <alignment horizontal="fill" vertical="center" wrapText="1"/>
      <protection hidden="1"/>
    </xf>
    <xf numFmtId="0" fontId="33" fillId="2" borderId="0" xfId="0" applyFont="1" applyFill="1" applyAlignment="1" applyProtection="1">
      <alignment horizontal="fill" vertical="center" wrapText="1"/>
      <protection hidden="1"/>
    </xf>
    <xf numFmtId="0" fontId="57" fillId="12" borderId="0" xfId="0" applyFont="1" applyFill="1" applyBorder="1" applyAlignment="1" applyProtection="1">
      <alignment horizontal="left" vertical="center" wrapText="1"/>
      <protection hidden="1"/>
    </xf>
    <xf numFmtId="0" fontId="57" fillId="12" borderId="0" xfId="0" quotePrefix="1" applyFont="1" applyFill="1" applyBorder="1" applyAlignment="1" applyProtection="1">
      <alignment horizontal="left" vertical="center" wrapText="1"/>
      <protection hidden="1"/>
    </xf>
    <xf numFmtId="15" fontId="56" fillId="0" borderId="0" xfId="0" quotePrefix="1" applyNumberFormat="1" applyFont="1" applyAlignment="1" applyProtection="1">
      <alignment horizontal="left" vertical="center"/>
      <protection hidden="1"/>
    </xf>
    <xf numFmtId="0" fontId="57" fillId="12" borderId="0" xfId="0" applyFont="1" applyFill="1" applyAlignment="1" applyProtection="1">
      <alignment vertical="center"/>
      <protection hidden="1"/>
    </xf>
    <xf numFmtId="0" fontId="54" fillId="0" borderId="0" xfId="0" applyFont="1" applyBorder="1" applyAlignment="1" applyProtection="1">
      <alignment vertical="center"/>
      <protection hidden="1"/>
    </xf>
    <xf numFmtId="0" fontId="54" fillId="12" borderId="0" xfId="0" applyFont="1" applyFill="1" applyBorder="1" applyAlignment="1" applyProtection="1">
      <alignment vertical="center"/>
      <protection hidden="1"/>
    </xf>
    <xf numFmtId="0" fontId="40" fillId="0" borderId="0" xfId="0" quotePrefix="1" applyFont="1" applyFill="1" applyAlignment="1" applyProtection="1">
      <alignment horizontal="left" vertical="center"/>
      <protection hidden="1"/>
    </xf>
    <xf numFmtId="0" fontId="33" fillId="0" borderId="0" xfId="0" applyFont="1" applyFill="1" applyBorder="1" applyAlignment="1" applyProtection="1">
      <alignment vertical="center"/>
      <protection hidden="1"/>
    </xf>
    <xf numFmtId="0" fontId="58" fillId="0" borderId="0" xfId="0" applyFont="1" applyBorder="1" applyAlignment="1" applyProtection="1">
      <alignment vertical="center"/>
      <protection hidden="1"/>
    </xf>
    <xf numFmtId="0" fontId="58" fillId="12" borderId="0" xfId="0" applyFont="1" applyFill="1" applyBorder="1" applyAlignment="1" applyProtection="1">
      <alignment vertical="center"/>
      <protection hidden="1"/>
    </xf>
    <xf numFmtId="0" fontId="43" fillId="0" borderId="0" xfId="0" applyFont="1" applyAlignment="1" applyProtection="1">
      <alignment vertical="center"/>
      <protection hidden="1"/>
    </xf>
    <xf numFmtId="0" fontId="33" fillId="0" borderId="0" xfId="0" applyFont="1" applyBorder="1" applyAlignment="1" applyProtection="1">
      <alignment horizontal="center" vertical="center"/>
      <protection hidden="1"/>
    </xf>
    <xf numFmtId="0" fontId="33" fillId="12" borderId="0" xfId="0" applyFont="1" applyFill="1" applyBorder="1" applyAlignment="1" applyProtection="1">
      <alignment horizontal="center" vertical="center"/>
      <protection hidden="1"/>
    </xf>
    <xf numFmtId="0" fontId="52" fillId="0" borderId="0" xfId="0" applyFont="1" applyFill="1" applyBorder="1" applyAlignment="1" applyProtection="1">
      <alignment vertical="center"/>
      <protection hidden="1"/>
    </xf>
    <xf numFmtId="0" fontId="53" fillId="5" borderId="31" xfId="0" applyFont="1" applyFill="1" applyBorder="1" applyAlignment="1" applyProtection="1">
      <alignment horizontal="center" vertical="center" wrapText="1"/>
      <protection hidden="1"/>
    </xf>
    <xf numFmtId="0" fontId="34" fillId="0" borderId="32" xfId="0" applyFont="1" applyBorder="1" applyAlignment="1" applyProtection="1">
      <alignment horizontal="left" vertical="center" wrapText="1"/>
      <protection hidden="1"/>
    </xf>
    <xf numFmtId="2" fontId="55" fillId="0" borderId="31" xfId="0"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vertical="center" wrapText="1"/>
      <protection hidden="1"/>
    </xf>
    <xf numFmtId="2" fontId="34" fillId="0" borderId="31" xfId="0" quotePrefix="1"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horizontal="right" vertical="center" wrapText="1"/>
      <protection hidden="1"/>
    </xf>
    <xf numFmtId="0" fontId="34" fillId="0" borderId="33" xfId="0" applyFont="1" applyBorder="1" applyAlignment="1" applyProtection="1">
      <alignment horizontal="left" vertical="center" wrapText="1"/>
      <protection hidden="1"/>
    </xf>
    <xf numFmtId="2" fontId="55" fillId="0" borderId="34" xfId="0" applyNumberFormat="1" applyFont="1" applyFill="1" applyBorder="1" applyAlignment="1" applyProtection="1">
      <alignment horizontal="right" vertical="center" wrapText="1"/>
      <protection hidden="1"/>
    </xf>
    <xf numFmtId="43" fontId="34" fillId="0" borderId="35" xfId="17" applyFont="1" applyFill="1" applyBorder="1" applyAlignment="1" applyProtection="1">
      <alignment vertical="center" wrapText="1"/>
      <protection hidden="1"/>
    </xf>
    <xf numFmtId="0" fontId="34" fillId="0" borderId="36" xfId="0" applyFont="1" applyBorder="1" applyAlignment="1" applyProtection="1">
      <alignment horizontal="left" vertical="center" wrapText="1"/>
      <protection hidden="1"/>
    </xf>
    <xf numFmtId="15" fontId="54" fillId="5" borderId="34" xfId="0" quotePrefix="1" applyNumberFormat="1" applyFont="1" applyFill="1" applyBorder="1" applyAlignment="1" applyProtection="1">
      <alignment horizontal="center" vertical="center" wrapText="1"/>
      <protection hidden="1"/>
    </xf>
    <xf numFmtId="15" fontId="54" fillId="5" borderId="37" xfId="0" quotePrefix="1" applyNumberFormat="1" applyFont="1" applyFill="1" applyBorder="1" applyAlignment="1" applyProtection="1">
      <alignment horizontal="center" vertical="center" wrapText="1"/>
      <protection hidden="1"/>
    </xf>
    <xf numFmtId="0" fontId="34" fillId="0" borderId="32" xfId="0" applyFont="1" applyFill="1" applyBorder="1" applyAlignment="1" applyProtection="1">
      <alignment horizontal="left" vertical="center" wrapText="1"/>
      <protection hidden="1"/>
    </xf>
    <xf numFmtId="43" fontId="34" fillId="0" borderId="35" xfId="17" applyFont="1" applyFill="1" applyBorder="1" applyAlignment="1" applyProtection="1">
      <alignment horizontal="right" vertical="center" wrapText="1"/>
      <protection hidden="1"/>
    </xf>
    <xf numFmtId="0" fontId="33" fillId="0" borderId="31" xfId="0" applyFont="1" applyFill="1" applyBorder="1" applyAlignment="1" applyProtection="1">
      <alignment vertical="center"/>
      <protection hidden="1"/>
    </xf>
    <xf numFmtId="0" fontId="34" fillId="0" borderId="33" xfId="0" applyFont="1" applyFill="1" applyBorder="1" applyAlignment="1" applyProtection="1">
      <alignment horizontal="left" vertical="center" wrapText="1"/>
      <protection hidden="1"/>
    </xf>
    <xf numFmtId="43" fontId="34" fillId="0" borderId="34" xfId="17" applyFont="1" applyFill="1" applyBorder="1" applyAlignment="1" applyProtection="1">
      <alignment horizontal="right" vertical="center" wrapText="1"/>
      <protection hidden="1"/>
    </xf>
    <xf numFmtId="43" fontId="34" fillId="0" borderId="37" xfId="17" applyFont="1" applyFill="1" applyBorder="1" applyAlignment="1" applyProtection="1">
      <alignment horizontal="right" vertical="center" wrapText="1"/>
      <protection hidden="1"/>
    </xf>
    <xf numFmtId="0" fontId="34" fillId="0" borderId="36" xfId="0" applyFont="1" applyFill="1" applyBorder="1" applyAlignment="1" applyProtection="1">
      <alignment horizontal="left" vertical="center" wrapText="1"/>
      <protection hidden="1"/>
    </xf>
    <xf numFmtId="0" fontId="33" fillId="0" borderId="0" xfId="0" applyFont="1" applyFill="1" applyAlignment="1" applyProtection="1">
      <alignment vertical="center"/>
      <protection hidden="1"/>
    </xf>
    <xf numFmtId="0" fontId="33" fillId="0" borderId="0" xfId="0" applyFont="1" applyFill="1" applyAlignment="1" applyProtection="1">
      <alignment horizontal="left" vertical="center" wrapText="1"/>
      <protection hidden="1"/>
    </xf>
    <xf numFmtId="0" fontId="59" fillId="5" borderId="39" xfId="0" applyFont="1" applyFill="1" applyBorder="1" applyAlignment="1" applyProtection="1">
      <alignment horizontal="center" vertical="center" wrapText="1"/>
      <protection hidden="1"/>
    </xf>
    <xf numFmtId="0" fontId="53" fillId="16" borderId="39" xfId="0" applyFont="1" applyFill="1" applyBorder="1" applyAlignment="1" applyProtection="1">
      <alignment horizontal="center" vertical="center" wrapText="1"/>
      <protection hidden="1"/>
    </xf>
    <xf numFmtId="9" fontId="54" fillId="5" borderId="39" xfId="0" quotePrefix="1" applyNumberFormat="1" applyFont="1" applyFill="1" applyBorder="1" applyAlignment="1" applyProtection="1">
      <alignment horizontal="center" vertical="center" wrapText="1"/>
      <protection hidden="1"/>
    </xf>
    <xf numFmtId="9" fontId="54" fillId="16" borderId="39" xfId="0" quotePrefix="1" applyNumberFormat="1" applyFont="1" applyFill="1" applyBorder="1" applyAlignment="1" applyProtection="1">
      <alignment horizontal="center" vertical="center" wrapText="1"/>
      <protection hidden="1"/>
    </xf>
    <xf numFmtId="43" fontId="34" fillId="13"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vertical="center" wrapText="1"/>
      <protection hidden="1"/>
    </xf>
    <xf numFmtId="43" fontId="34" fillId="2" borderId="39" xfId="17" applyNumberFormat="1" applyFont="1" applyFill="1" applyBorder="1" applyAlignment="1" applyProtection="1">
      <alignment horizontal="center" vertical="center" wrapText="1"/>
      <protection hidden="1"/>
    </xf>
    <xf numFmtId="0" fontId="34" fillId="0" borderId="40" xfId="0" applyFont="1" applyBorder="1" applyAlignment="1" applyProtection="1">
      <alignment horizontal="left" vertical="center" wrapText="1"/>
      <protection hidden="1"/>
    </xf>
    <xf numFmtId="43" fontId="34" fillId="2" borderId="41" xfId="17" applyFont="1" applyFill="1" applyBorder="1" applyAlignment="1" applyProtection="1">
      <alignment horizontal="center" vertical="center" wrapText="1"/>
      <protection hidden="1"/>
    </xf>
    <xf numFmtId="43" fontId="34" fillId="13" borderId="41" xfId="17" applyFont="1" applyFill="1" applyBorder="1" applyAlignment="1" applyProtection="1">
      <alignment horizontal="center" vertical="center" wrapText="1"/>
      <protection hidden="1"/>
    </xf>
    <xf numFmtId="43" fontId="35" fillId="0" borderId="31" xfId="17" applyFont="1" applyFill="1" applyBorder="1" applyAlignment="1" applyProtection="1">
      <alignment vertical="center" wrapText="1"/>
      <protection hidden="1"/>
    </xf>
    <xf numFmtId="0" fontId="44" fillId="0" borderId="0" xfId="0" applyFont="1" applyFill="1" applyAlignment="1" applyProtection="1">
      <alignment vertical="center"/>
      <protection hidden="1"/>
    </xf>
    <xf numFmtId="0" fontId="54" fillId="6" borderId="43" xfId="0" applyFont="1" applyFill="1" applyBorder="1" applyAlignment="1" applyProtection="1">
      <alignment horizontal="center" vertical="center" wrapText="1"/>
      <protection hidden="1"/>
    </xf>
    <xf numFmtId="0" fontId="54" fillId="6" borderId="44" xfId="0" applyFont="1" applyFill="1" applyBorder="1" applyAlignment="1" applyProtection="1">
      <alignment horizontal="center" vertical="center" wrapText="1"/>
      <protection hidden="1"/>
    </xf>
    <xf numFmtId="0" fontId="54" fillId="6" borderId="45" xfId="0" applyFont="1" applyFill="1" applyBorder="1" applyAlignment="1" applyProtection="1">
      <alignment horizontal="center" vertical="center" wrapText="1"/>
      <protection hidden="1"/>
    </xf>
    <xf numFmtId="4" fontId="33" fillId="0" borderId="32" xfId="0" applyNumberFormat="1" applyFont="1" applyBorder="1" applyAlignment="1" applyProtection="1">
      <alignment vertical="center"/>
      <protection hidden="1"/>
    </xf>
    <xf numFmtId="4" fontId="33" fillId="0" borderId="31" xfId="0" applyNumberFormat="1" applyFont="1" applyFill="1" applyBorder="1" applyAlignment="1" applyProtection="1">
      <alignment horizontal="center" vertical="center"/>
      <protection hidden="1"/>
    </xf>
    <xf numFmtId="4" fontId="33" fillId="0" borderId="35" xfId="0" applyNumberFormat="1" applyFont="1" applyFill="1" applyBorder="1" applyAlignment="1" applyProtection="1">
      <alignment horizontal="center" vertical="center"/>
      <protection hidden="1"/>
    </xf>
    <xf numFmtId="0" fontId="33" fillId="0" borderId="32" xfId="0" applyFont="1" applyBorder="1" applyAlignment="1" applyProtection="1">
      <alignment horizontal="left" vertical="center" wrapText="1"/>
      <protection hidden="1"/>
    </xf>
    <xf numFmtId="4" fontId="33" fillId="0" borderId="31" xfId="0" applyNumberFormat="1" applyFont="1" applyBorder="1" applyAlignment="1" applyProtection="1">
      <alignment horizontal="center" vertical="center"/>
      <protection hidden="1"/>
    </xf>
    <xf numFmtId="4" fontId="33" fillId="0" borderId="35" xfId="0" applyNumberFormat="1" applyFont="1" applyBorder="1" applyAlignment="1" applyProtection="1">
      <alignment horizontal="center" vertical="center"/>
      <protection hidden="1"/>
    </xf>
    <xf numFmtId="4" fontId="53" fillId="17" borderId="32" xfId="0" applyNumberFormat="1" applyFont="1" applyFill="1" applyBorder="1" applyAlignment="1" applyProtection="1">
      <alignment horizontal="left" vertical="center" wrapText="1"/>
      <protection hidden="1"/>
    </xf>
    <xf numFmtId="4" fontId="53" fillId="17" borderId="31" xfId="0" applyNumberFormat="1" applyFont="1" applyFill="1" applyBorder="1" applyAlignment="1" applyProtection="1">
      <alignment horizontal="center" vertical="center" wrapText="1"/>
      <protection hidden="1"/>
    </xf>
    <xf numFmtId="4" fontId="53" fillId="17" borderId="35" xfId="0" applyNumberFormat="1" applyFont="1" applyFill="1" applyBorder="1" applyAlignment="1" applyProtection="1">
      <alignment horizontal="center" vertical="center" wrapText="1"/>
      <protection hidden="1"/>
    </xf>
    <xf numFmtId="4" fontId="34" fillId="0" borderId="31" xfId="0" applyNumberFormat="1" applyFont="1" applyFill="1" applyBorder="1" applyAlignment="1" applyProtection="1">
      <alignment horizontal="center" vertical="center"/>
      <protection hidden="1"/>
    </xf>
    <xf numFmtId="4" fontId="34" fillId="0" borderId="35" xfId="0" applyNumberFormat="1" applyFont="1" applyFill="1" applyBorder="1" applyAlignment="1" applyProtection="1">
      <alignment horizontal="center" vertical="center"/>
      <protection hidden="1"/>
    </xf>
    <xf numFmtId="4" fontId="33" fillId="0" borderId="33" xfId="0" applyNumberFormat="1" applyFont="1" applyBorder="1" applyAlignment="1" applyProtection="1">
      <alignment vertical="center"/>
      <protection hidden="1"/>
    </xf>
    <xf numFmtId="4" fontId="34" fillId="0" borderId="34" xfId="0" applyNumberFormat="1" applyFont="1" applyFill="1" applyBorder="1" applyAlignment="1" applyProtection="1">
      <alignment horizontal="center" vertical="center"/>
      <protection hidden="1"/>
    </xf>
    <xf numFmtId="4" fontId="34" fillId="0" borderId="37" xfId="0" applyNumberFormat="1" applyFont="1" applyFill="1" applyBorder="1" applyAlignment="1" applyProtection="1">
      <alignment horizontal="center" vertical="center"/>
      <protection hidden="1"/>
    </xf>
    <xf numFmtId="4" fontId="33" fillId="0" borderId="36" xfId="0" applyNumberFormat="1" applyFont="1" applyBorder="1" applyAlignment="1" applyProtection="1">
      <alignment vertical="center"/>
      <protection hidden="1"/>
    </xf>
    <xf numFmtId="4" fontId="33" fillId="0" borderId="42" xfId="0" applyNumberFormat="1" applyFont="1" applyFill="1" applyBorder="1" applyAlignment="1" applyProtection="1">
      <alignment horizontal="center" vertical="center"/>
      <protection hidden="1"/>
    </xf>
    <xf numFmtId="4" fontId="33" fillId="0" borderId="38" xfId="0" applyNumberFormat="1" applyFont="1" applyFill="1" applyBorder="1" applyAlignment="1" applyProtection="1">
      <alignment horizontal="center" vertical="center"/>
      <protection hidden="1"/>
    </xf>
    <xf numFmtId="15" fontId="54" fillId="5" borderId="33" xfId="0" quotePrefix="1" applyNumberFormat="1" applyFont="1" applyFill="1" applyBorder="1" applyAlignment="1" applyProtection="1">
      <alignment horizontal="center" vertical="center" wrapText="1"/>
      <protection hidden="1"/>
    </xf>
    <xf numFmtId="0" fontId="33" fillId="0" borderId="32" xfId="0" applyFont="1" applyBorder="1" applyAlignment="1" applyProtection="1">
      <alignment vertical="center"/>
      <protection hidden="1"/>
    </xf>
    <xf numFmtId="0" fontId="54" fillId="6" borderId="43" xfId="0" applyFont="1" applyFill="1" applyBorder="1" applyAlignment="1" applyProtection="1">
      <alignment horizontal="center" vertical="center"/>
      <protection hidden="1"/>
    </xf>
    <xf numFmtId="4" fontId="33" fillId="0" borderId="35" xfId="0" applyNumberFormat="1" applyFont="1" applyFill="1" applyBorder="1" applyAlignment="1" applyProtection="1">
      <alignment vertical="center"/>
      <protection hidden="1"/>
    </xf>
    <xf numFmtId="0" fontId="33" fillId="12" borderId="32" xfId="0" quotePrefix="1" applyFont="1" applyFill="1" applyBorder="1" applyAlignment="1" applyProtection="1">
      <alignment horizontal="left" vertical="center"/>
      <protection hidden="1"/>
    </xf>
    <xf numFmtId="43" fontId="34" fillId="0" borderId="31" xfId="17" applyNumberFormat="1" applyFont="1" applyFill="1" applyBorder="1" applyAlignment="1" applyProtection="1">
      <alignment horizontal="right" vertical="center" wrapText="1"/>
      <protection hidden="1"/>
    </xf>
    <xf numFmtId="167" fontId="34" fillId="13" borderId="39" xfId="17" applyNumberFormat="1" applyFont="1" applyFill="1" applyBorder="1" applyAlignment="1" applyProtection="1">
      <alignment horizontal="center" vertical="center" wrapText="1"/>
      <protection hidden="1"/>
    </xf>
    <xf numFmtId="167" fontId="34" fillId="0" borderId="46" xfId="17" applyNumberFormat="1" applyFont="1" applyBorder="1" applyAlignment="1" applyProtection="1">
      <alignment horizontal="left" vertical="center" wrapText="1"/>
      <protection hidden="1"/>
    </xf>
    <xf numFmtId="167" fontId="34" fillId="13" borderId="47" xfId="17" applyNumberFormat="1" applyFont="1" applyFill="1" applyBorder="1" applyAlignment="1" applyProtection="1">
      <alignment horizontal="center" vertical="center" wrapText="1"/>
      <protection hidden="1"/>
    </xf>
    <xf numFmtId="167" fontId="33" fillId="12" borderId="0" xfId="17" applyNumberFormat="1" applyFont="1" applyFill="1" applyBorder="1" applyAlignment="1" applyProtection="1">
      <alignment horizontal="center" vertical="center"/>
      <protection hidden="1"/>
    </xf>
    <xf numFmtId="167" fontId="33" fillId="0" borderId="0" xfId="17" applyNumberFormat="1" applyFont="1" applyBorder="1" applyAlignment="1" applyProtection="1">
      <alignment horizontal="center" vertical="center"/>
      <protection hidden="1"/>
    </xf>
    <xf numFmtId="167" fontId="34" fillId="0" borderId="48" xfId="17" applyNumberFormat="1" applyFont="1" applyBorder="1" applyAlignment="1" applyProtection="1">
      <alignment horizontal="left" vertical="center" wrapText="1"/>
      <protection hidden="1"/>
    </xf>
    <xf numFmtId="167" fontId="34" fillId="2" borderId="39" xfId="17" applyNumberFormat="1" applyFont="1" applyFill="1" applyBorder="1" applyAlignment="1" applyProtection="1">
      <alignment horizontal="center" vertical="center" wrapText="1"/>
      <protection hidden="1"/>
    </xf>
    <xf numFmtId="167" fontId="34" fillId="0"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wrapText="1"/>
      <protection hidden="1"/>
    </xf>
    <xf numFmtId="43" fontId="34" fillId="0" borderId="48" xfId="17" applyNumberFormat="1" applyFont="1" applyBorder="1" applyAlignment="1" applyProtection="1">
      <alignment horizontal="left" vertical="center" wrapText="1"/>
      <protection hidden="1"/>
    </xf>
    <xf numFmtId="43" fontId="33" fillId="12" borderId="0" xfId="17" applyNumberFormat="1" applyFont="1" applyFill="1" applyBorder="1" applyAlignment="1" applyProtection="1">
      <alignment horizontal="center" vertical="center"/>
      <protection hidden="1"/>
    </xf>
    <xf numFmtId="43" fontId="33" fillId="0" borderId="0" xfId="17" applyNumberFormat="1" applyFont="1" applyBorder="1" applyAlignment="1" applyProtection="1">
      <alignment horizontal="center" vertical="center"/>
      <protection hidden="1"/>
    </xf>
    <xf numFmtId="4" fontId="33" fillId="12" borderId="32" xfId="0" applyNumberFormat="1" applyFont="1" applyFill="1" applyBorder="1" applyAlignment="1" applyProtection="1">
      <alignment vertical="center" wrapText="1"/>
      <protection hidden="1"/>
    </xf>
    <xf numFmtId="0" fontId="33" fillId="12" borderId="0" xfId="21" applyFont="1" applyFill="1" applyProtection="1">
      <protection hidden="1"/>
    </xf>
    <xf numFmtId="0" fontId="46" fillId="0" borderId="0" xfId="0" applyFont="1" applyAlignment="1">
      <alignment horizontal="center" vertical="center"/>
    </xf>
    <xf numFmtId="0" fontId="46"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6" fillId="0" borderId="2" xfId="0" applyFont="1" applyBorder="1" applyAlignment="1">
      <alignment vertical="center"/>
    </xf>
    <xf numFmtId="43" fontId="0" fillId="0" borderId="2" xfId="17" applyFont="1" applyBorder="1" applyAlignment="1">
      <alignment horizontal="center" vertical="center"/>
    </xf>
    <xf numFmtId="43" fontId="22" fillId="0" borderId="2" xfId="17" applyFont="1" applyBorder="1" applyAlignment="1">
      <alignment horizontal="center" vertical="center"/>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50" fillId="0" borderId="0" xfId="0" applyFont="1" applyAlignment="1">
      <alignment horizontal="center" vertical="center"/>
    </xf>
    <xf numFmtId="0" fontId="62" fillId="19" borderId="2" xfId="0" applyFont="1" applyFill="1" applyBorder="1" applyAlignment="1">
      <alignment horizontal="center" vertical="center"/>
    </xf>
    <xf numFmtId="37" fontId="33" fillId="0" borderId="3" xfId="23" applyNumberFormat="1" applyFont="1" applyBorder="1" applyProtection="1"/>
    <xf numFmtId="37" fontId="33" fillId="0" borderId="4" xfId="23" applyNumberFormat="1" applyFont="1" applyBorder="1" applyProtection="1"/>
    <xf numFmtId="37" fontId="33" fillId="7" borderId="4" xfId="23" applyNumberFormat="1" applyFont="1" applyFill="1" applyBorder="1" applyProtection="1"/>
    <xf numFmtId="0" fontId="31" fillId="0" borderId="5" xfId="23" applyNumberFormat="1" applyFont="1" applyBorder="1" applyAlignment="1" applyProtection="1">
      <alignment horizontal="center"/>
    </xf>
    <xf numFmtId="4" fontId="22" fillId="3" borderId="5" xfId="21" applyNumberFormat="1" applyFill="1" applyBorder="1"/>
    <xf numFmtId="4" fontId="22" fillId="0" borderId="6" xfId="21" applyNumberFormat="1" applyBorder="1"/>
    <xf numFmtId="4" fontId="22" fillId="0" borderId="3" xfId="21" applyNumberFormat="1" applyBorder="1"/>
    <xf numFmtId="4" fontId="22" fillId="4" borderId="5" xfId="21" applyNumberFormat="1" applyFill="1" applyBorder="1"/>
    <xf numFmtId="4" fontId="22" fillId="0" borderId="5" xfId="21" applyNumberFormat="1" applyBorder="1"/>
    <xf numFmtId="4" fontId="22" fillId="20" borderId="6" xfId="21" applyNumberFormat="1" applyFill="1" applyBorder="1"/>
    <xf numFmtId="0" fontId="31" fillId="0" borderId="7" xfId="23" applyNumberFormat="1" applyFont="1" applyBorder="1" applyAlignment="1" applyProtection="1">
      <alignment horizontal="center"/>
    </xf>
    <xf numFmtId="4" fontId="22" fillId="3" borderId="7" xfId="21" applyNumberFormat="1" applyFill="1" applyBorder="1"/>
    <xf numFmtId="4" fontId="22" fillId="0" borderId="0" xfId="21" applyNumberFormat="1" applyBorder="1"/>
    <xf numFmtId="4" fontId="22" fillId="0" borderId="4" xfId="21" applyNumberFormat="1" applyBorder="1"/>
    <xf numFmtId="4" fontId="22" fillId="4" borderId="7" xfId="21" applyNumberFormat="1" applyFill="1" applyBorder="1"/>
    <xf numFmtId="4" fontId="22" fillId="0" borderId="7" xfId="21" applyNumberFormat="1" applyBorder="1"/>
    <xf numFmtId="4" fontId="22" fillId="20" borderId="0" xfId="21" applyNumberFormat="1" applyFill="1" applyBorder="1"/>
    <xf numFmtId="0" fontId="31" fillId="7" borderId="7" xfId="23" applyNumberFormat="1" applyFont="1" applyFill="1" applyBorder="1" applyAlignment="1" applyProtection="1">
      <alignment horizontal="center"/>
    </xf>
    <xf numFmtId="4" fontId="22" fillId="7" borderId="7" xfId="21" applyNumberFormat="1" applyFill="1" applyBorder="1"/>
    <xf numFmtId="4" fontId="22" fillId="7" borderId="0" xfId="21" applyNumberFormat="1" applyFill="1" applyBorder="1"/>
    <xf numFmtId="4" fontId="22" fillId="7" borderId="4" xfId="21" applyNumberFormat="1" applyFill="1" applyBorder="1"/>
    <xf numFmtId="4" fontId="22" fillId="3" borderId="0" xfId="21" applyNumberFormat="1" applyFill="1" applyBorder="1"/>
    <xf numFmtId="0" fontId="22" fillId="7" borderId="0" xfId="21" applyFill="1"/>
    <xf numFmtId="0" fontId="22" fillId="7" borderId="0" xfId="21" applyFill="1" applyAlignment="1">
      <alignment horizontal="left"/>
    </xf>
    <xf numFmtId="0" fontId="22" fillId="8" borderId="0" xfId="21" applyFill="1"/>
    <xf numFmtId="4" fontId="22" fillId="4" borderId="0" xfId="21" applyNumberFormat="1" applyFill="1" applyBorder="1"/>
    <xf numFmtId="4" fontId="22" fillId="19" borderId="0" xfId="21" applyNumberFormat="1" applyFill="1" applyBorder="1"/>
    <xf numFmtId="0" fontId="34" fillId="0" borderId="51" xfId="0" applyFont="1" applyFill="1" applyBorder="1" applyAlignment="1" applyProtection="1">
      <alignment horizontal="left" vertical="center" wrapText="1"/>
      <protection hidden="1"/>
    </xf>
    <xf numFmtId="0" fontId="34" fillId="0" borderId="52" xfId="0" applyFont="1" applyFill="1" applyBorder="1" applyAlignment="1" applyProtection="1">
      <alignment horizontal="left" vertical="center" wrapText="1"/>
      <protection hidden="1"/>
    </xf>
    <xf numFmtId="15" fontId="63" fillId="5" borderId="41" xfId="0" quotePrefix="1" applyNumberFormat="1" applyFont="1" applyFill="1" applyBorder="1" applyAlignment="1" applyProtection="1">
      <alignment horizontal="center" vertical="center" wrapText="1"/>
      <protection hidden="1"/>
    </xf>
    <xf numFmtId="15" fontId="63" fillId="16" borderId="41" xfId="0" quotePrefix="1" applyNumberFormat="1" applyFont="1" applyFill="1" applyBorder="1" applyAlignment="1" applyProtection="1">
      <alignment horizontal="center" vertical="center" wrapText="1"/>
      <protection hidden="1"/>
    </xf>
    <xf numFmtId="0" fontId="58" fillId="6" borderId="0" xfId="0" applyFont="1" applyFill="1" applyBorder="1" applyAlignment="1" applyProtection="1">
      <alignment horizontal="center" vertical="center"/>
      <protection hidden="1"/>
    </xf>
    <xf numFmtId="15" fontId="64" fillId="5" borderId="34" xfId="0" applyNumberFormat="1" applyFont="1" applyFill="1" applyBorder="1" applyAlignment="1" applyProtection="1">
      <alignment horizontal="center" vertical="center" wrapText="1"/>
      <protection hidden="1"/>
    </xf>
    <xf numFmtId="15" fontId="64" fillId="5" borderId="34" xfId="0" quotePrefix="1" applyNumberFormat="1" applyFont="1" applyFill="1" applyBorder="1" applyAlignment="1" applyProtection="1">
      <alignment horizontal="center" vertical="center" wrapText="1"/>
      <protection hidden="1"/>
    </xf>
    <xf numFmtId="15" fontId="64" fillId="5" borderId="53" xfId="0" applyNumberFormat="1" applyFont="1" applyFill="1" applyBorder="1" applyAlignment="1" applyProtection="1">
      <alignment horizontal="center" vertical="center" wrapText="1"/>
      <protection hidden="1"/>
    </xf>
    <xf numFmtId="0" fontId="65" fillId="0" borderId="0" xfId="0" applyFont="1"/>
    <xf numFmtId="9" fontId="66" fillId="0" borderId="0" xfId="25" applyFont="1" applyFill="1" applyBorder="1" applyAlignment="1" applyProtection="1">
      <alignment horizontal="center" vertical="center"/>
      <protection hidden="1"/>
    </xf>
    <xf numFmtId="9" fontId="66" fillId="0" borderId="0" xfId="0" applyNumberFormat="1" applyFont="1" applyFill="1" applyAlignment="1" applyProtection="1">
      <alignment horizontal="center" vertical="center"/>
      <protection hidden="1"/>
    </xf>
    <xf numFmtId="168" fontId="30" fillId="2" borderId="7" xfId="23" applyNumberFormat="1" applyFont="1" applyFill="1" applyBorder="1" applyProtection="1"/>
    <xf numFmtId="0" fontId="30" fillId="2" borderId="0" xfId="23" applyFont="1" applyFill="1" applyBorder="1"/>
    <xf numFmtId="0" fontId="22" fillId="2" borderId="0" xfId="21" applyFill="1" applyBorder="1"/>
    <xf numFmtId="0" fontId="22" fillId="12" borderId="0" xfId="21" applyFill="1"/>
    <xf numFmtId="0" fontId="22" fillId="0" borderId="0" xfId="21"/>
    <xf numFmtId="37" fontId="42" fillId="9" borderId="0" xfId="23" applyNumberFormat="1" applyFont="1" applyFill="1" applyBorder="1" applyAlignment="1" applyProtection="1">
      <alignment horizontal="centerContinuous"/>
    </xf>
    <xf numFmtId="0" fontId="22" fillId="2" borderId="0" xfId="21" applyFill="1" applyAlignment="1">
      <alignment horizontal="centerContinuous"/>
    </xf>
    <xf numFmtId="0" fontId="47" fillId="10" borderId="5" xfId="21" applyFont="1" applyFill="1" applyBorder="1"/>
    <xf numFmtId="0" fontId="48" fillId="10" borderId="6" xfId="21" applyFont="1" applyFill="1" applyBorder="1" applyAlignment="1">
      <alignment horizontal="right"/>
    </xf>
    <xf numFmtId="10" fontId="48" fillId="10" borderId="3" xfId="26" applyNumberFormat="1" applyFont="1" applyFill="1" applyBorder="1" applyAlignment="1">
      <alignment horizontal="center"/>
    </xf>
    <xf numFmtId="0" fontId="48" fillId="10" borderId="6" xfId="21" quotePrefix="1" applyFont="1" applyFill="1" applyBorder="1" applyAlignment="1">
      <alignment horizontal="right"/>
    </xf>
    <xf numFmtId="0" fontId="22" fillId="0" borderId="8" xfId="21" applyBorder="1"/>
    <xf numFmtId="0" fontId="22" fillId="0" borderId="9" xfId="21" applyBorder="1"/>
    <xf numFmtId="49" fontId="49" fillId="11" borderId="10" xfId="21" applyNumberFormat="1" applyFont="1" applyFill="1" applyBorder="1" applyAlignment="1">
      <alignment horizontal="center" wrapText="1"/>
    </xf>
    <xf numFmtId="49" fontId="49" fillId="0" borderId="10" xfId="21" applyNumberFormat="1" applyFont="1" applyBorder="1" applyAlignment="1">
      <alignment horizontal="center" wrapText="1"/>
    </xf>
    <xf numFmtId="49" fontId="49" fillId="20" borderId="10" xfId="21" applyNumberFormat="1" applyFont="1" applyFill="1" applyBorder="1" applyAlignment="1">
      <alignment horizontal="center" wrapText="1"/>
    </xf>
    <xf numFmtId="168" fontId="30" fillId="0" borderId="5" xfId="23" applyNumberFormat="1" applyFont="1" applyBorder="1" applyProtection="1"/>
    <xf numFmtId="37" fontId="33" fillId="0" borderId="3" xfId="23" quotePrefix="1" applyNumberFormat="1" applyFont="1" applyBorder="1" applyAlignment="1" applyProtection="1">
      <alignment horizontal="left"/>
    </xf>
    <xf numFmtId="37" fontId="33" fillId="0" borderId="4" xfId="23" quotePrefix="1" applyNumberFormat="1" applyFont="1" applyBorder="1" applyAlignment="1" applyProtection="1">
      <alignment horizontal="left"/>
    </xf>
    <xf numFmtId="0" fontId="31" fillId="0" borderId="11" xfId="23" applyNumberFormat="1" applyFont="1" applyBorder="1" applyAlignment="1" applyProtection="1">
      <alignment horizontal="center"/>
    </xf>
    <xf numFmtId="37" fontId="33" fillId="0" borderId="12" xfId="23" applyNumberFormat="1" applyFont="1" applyFill="1" applyBorder="1" applyProtection="1"/>
    <xf numFmtId="4" fontId="22" fillId="3" borderId="11" xfId="21" applyNumberFormat="1" applyFill="1" applyBorder="1"/>
    <xf numFmtId="4" fontId="22" fillId="0" borderId="13" xfId="21" applyNumberFormat="1" applyBorder="1"/>
    <xf numFmtId="4" fontId="22" fillId="0" borderId="12" xfId="21" applyNumberFormat="1" applyBorder="1"/>
    <xf numFmtId="4" fontId="22" fillId="4" borderId="11" xfId="21" applyNumberFormat="1" applyFill="1" applyBorder="1"/>
    <xf numFmtId="4" fontId="22" fillId="20" borderId="13" xfId="21" applyNumberFormat="1" applyFill="1" applyBorder="1"/>
    <xf numFmtId="168" fontId="30" fillId="0" borderId="7" xfId="23" applyNumberFormat="1" applyFont="1" applyBorder="1" applyProtection="1"/>
    <xf numFmtId="37" fontId="33" fillId="0" borderId="4" xfId="23" applyNumberFormat="1" applyFont="1" applyFill="1" applyBorder="1" applyProtection="1"/>
    <xf numFmtId="168" fontId="30" fillId="0" borderId="11" xfId="23" applyNumberFormat="1" applyFont="1" applyBorder="1" applyProtection="1"/>
    <xf numFmtId="4" fontId="22" fillId="0" borderId="11" xfId="21" applyNumberFormat="1" applyBorder="1"/>
    <xf numFmtId="0" fontId="31" fillId="7" borderId="11" xfId="23" applyNumberFormat="1" applyFont="1" applyFill="1" applyBorder="1" applyAlignment="1" applyProtection="1">
      <alignment horizontal="center"/>
    </xf>
    <xf numFmtId="37" fontId="33" fillId="7" borderId="12" xfId="23" applyNumberFormat="1" applyFont="1" applyFill="1" applyBorder="1" applyProtection="1"/>
    <xf numFmtId="4" fontId="22" fillId="7" borderId="11" xfId="21" applyNumberFormat="1" applyFill="1" applyBorder="1"/>
    <xf numFmtId="4" fontId="22" fillId="7" borderId="13" xfId="21" applyNumberFormat="1" applyFill="1" applyBorder="1"/>
    <xf numFmtId="4" fontId="22" fillId="7" borderId="12" xfId="21" applyNumberFormat="1" applyFill="1" applyBorder="1"/>
    <xf numFmtId="4" fontId="22" fillId="4" borderId="6" xfId="21" applyNumberFormat="1" applyFill="1" applyBorder="1"/>
    <xf numFmtId="37" fontId="33" fillId="0" borderId="12" xfId="23" quotePrefix="1" applyNumberFormat="1" applyFont="1" applyFill="1" applyBorder="1" applyAlignment="1" applyProtection="1">
      <alignment horizontal="left"/>
    </xf>
    <xf numFmtId="4" fontId="22" fillId="4" borderId="13" xfId="21" applyNumberFormat="1" applyFill="1" applyBorder="1"/>
    <xf numFmtId="4" fontId="22" fillId="0" borderId="0" xfId="21" applyNumberFormat="1"/>
    <xf numFmtId="37" fontId="33" fillId="0" borderId="12" xfId="23" applyNumberFormat="1" applyFont="1" applyBorder="1" applyProtection="1"/>
    <xf numFmtId="0" fontId="31" fillId="0" borderId="7" xfId="23" applyNumberFormat="1" applyFont="1" applyFill="1" applyBorder="1" applyAlignment="1" applyProtection="1">
      <alignment horizontal="center"/>
    </xf>
    <xf numFmtId="4" fontId="22" fillId="0" borderId="7" xfId="21" applyNumberFormat="1" applyFill="1" applyBorder="1"/>
    <xf numFmtId="4" fontId="22" fillId="0" borderId="0" xfId="21" applyNumberFormat="1" applyFill="1" applyBorder="1"/>
    <xf numFmtId="4" fontId="22" fillId="0" borderId="4" xfId="21" applyNumberFormat="1" applyFill="1" applyBorder="1"/>
    <xf numFmtId="4" fontId="22" fillId="0" borderId="11" xfId="21" applyNumberFormat="1" applyFill="1" applyBorder="1"/>
    <xf numFmtId="4" fontId="22" fillId="0" borderId="13" xfId="21" applyNumberFormat="1" applyFill="1" applyBorder="1"/>
    <xf numFmtId="4" fontId="22" fillId="0" borderId="12" xfId="21" applyNumberFormat="1" applyFill="1" applyBorder="1"/>
    <xf numFmtId="4" fontId="22" fillId="2" borderId="0" xfId="21" applyNumberFormat="1" applyFill="1" applyBorder="1"/>
    <xf numFmtId="37" fontId="33" fillId="2" borderId="0" xfId="23" applyNumberFormat="1" applyFont="1" applyFill="1" applyBorder="1" applyProtection="1"/>
    <xf numFmtId="4" fontId="22" fillId="21" borderId="0" xfId="21" applyNumberFormat="1" applyFill="1" applyBorder="1"/>
    <xf numFmtId="0" fontId="31" fillId="2" borderId="8" xfId="23" applyNumberFormat="1" applyFont="1" applyFill="1" applyBorder="1" applyAlignment="1" applyProtection="1">
      <alignment horizontal="center"/>
    </xf>
    <xf numFmtId="37" fontId="34" fillId="2" borderId="9" xfId="23" applyNumberFormat="1" applyFont="1" applyFill="1" applyBorder="1" applyProtection="1"/>
    <xf numFmtId="0" fontId="22" fillId="2" borderId="9" xfId="21" applyFill="1" applyBorder="1"/>
    <xf numFmtId="10" fontId="50" fillId="2" borderId="0" xfId="26" applyNumberFormat="1" applyFont="1" applyFill="1" applyAlignment="1">
      <alignment horizontal="center"/>
    </xf>
    <xf numFmtId="0" fontId="50" fillId="2" borderId="0" xfId="21" quotePrefix="1" applyFont="1" applyFill="1" applyAlignment="1">
      <alignment horizontal="right"/>
    </xf>
    <xf numFmtId="0" fontId="50" fillId="2" borderId="0" xfId="21" applyFont="1" applyFill="1" applyAlignment="1">
      <alignment horizontal="left"/>
    </xf>
    <xf numFmtId="10" fontId="22" fillId="0" borderId="0" xfId="21" applyNumberFormat="1"/>
    <xf numFmtId="0" fontId="22" fillId="2" borderId="14" xfId="21" applyFill="1" applyBorder="1"/>
    <xf numFmtId="0" fontId="46" fillId="2" borderId="10" xfId="21" applyFont="1" applyFill="1" applyBorder="1" applyAlignment="1">
      <alignment horizontal="center"/>
    </xf>
    <xf numFmtId="0" fontId="44" fillId="2" borderId="10" xfId="21" applyFont="1" applyFill="1" applyBorder="1"/>
    <xf numFmtId="0" fontId="22" fillId="2" borderId="10" xfId="21" applyFill="1" applyBorder="1"/>
    <xf numFmtId="0" fontId="44" fillId="2" borderId="10" xfId="21" applyFont="1" applyFill="1" applyBorder="1" applyAlignment="1">
      <alignment horizontal="centerContinuous"/>
    </xf>
    <xf numFmtId="0" fontId="22" fillId="2" borderId="10" xfId="21" applyFill="1" applyBorder="1" applyAlignment="1">
      <alignment horizontal="centerContinuous"/>
    </xf>
    <xf numFmtId="0" fontId="44" fillId="2" borderId="10" xfId="21" applyFont="1" applyFill="1" applyBorder="1" applyAlignment="1">
      <alignment horizontal="left"/>
    </xf>
    <xf numFmtId="0" fontId="22" fillId="2" borderId="8" xfId="21" applyFill="1" applyBorder="1" applyAlignment="1">
      <alignment horizontal="centerContinuous"/>
    </xf>
    <xf numFmtId="0" fontId="22" fillId="2" borderId="15" xfId="21" applyFill="1" applyBorder="1" applyAlignment="1">
      <alignment horizontal="centerContinuous"/>
    </xf>
    <xf numFmtId="0" fontId="22" fillId="2" borderId="9" xfId="21" applyFill="1" applyBorder="1" applyAlignment="1">
      <alignment horizontal="centerContinuous"/>
    </xf>
    <xf numFmtId="0" fontId="22" fillId="2" borderId="16" xfId="21" applyFill="1" applyBorder="1"/>
    <xf numFmtId="4" fontId="22" fillId="2" borderId="10" xfId="21" applyNumberFormat="1" applyFill="1" applyBorder="1"/>
    <xf numFmtId="0" fontId="22" fillId="2" borderId="8" xfId="21" applyFill="1" applyBorder="1"/>
    <xf numFmtId="4" fontId="22" fillId="2" borderId="15" xfId="21" applyNumberFormat="1" applyFill="1" applyBorder="1"/>
    <xf numFmtId="4" fontId="22" fillId="2" borderId="15" xfId="21" applyNumberFormat="1" applyFill="1" applyBorder="1" applyAlignment="1">
      <alignment horizontal="centerContinuous"/>
    </xf>
    <xf numFmtId="4" fontId="22" fillId="2" borderId="9" xfId="21" applyNumberFormat="1" applyFill="1" applyBorder="1" applyAlignment="1">
      <alignment horizontal="centerContinuous"/>
    </xf>
    <xf numFmtId="0" fontId="22" fillId="2" borderId="15" xfId="21" applyFill="1" applyBorder="1"/>
    <xf numFmtId="4" fontId="22" fillId="2" borderId="0" xfId="21" applyNumberFormat="1" applyFill="1"/>
    <xf numFmtId="0" fontId="22" fillId="2" borderId="17" xfId="21" applyFill="1" applyBorder="1"/>
    <xf numFmtId="0" fontId="46" fillId="2" borderId="17" xfId="21" applyFont="1" applyFill="1" applyBorder="1" applyAlignment="1">
      <alignment horizontal="center"/>
    </xf>
    <xf numFmtId="0" fontId="44" fillId="2" borderId="17" xfId="21" applyFont="1" applyFill="1" applyBorder="1"/>
    <xf numFmtId="4" fontId="22" fillId="2" borderId="17" xfId="21" applyNumberFormat="1" applyFill="1" applyBorder="1"/>
    <xf numFmtId="0" fontId="22" fillId="2" borderId="18" xfId="21" applyFill="1" applyBorder="1" applyAlignment="1">
      <alignment horizontal="centerContinuous"/>
    </xf>
    <xf numFmtId="0" fontId="22" fillId="2" borderId="19" xfId="21" applyFill="1" applyBorder="1" applyAlignment="1">
      <alignment horizontal="centerContinuous"/>
    </xf>
    <xf numFmtId="0" fontId="44" fillId="2" borderId="17" xfId="21" applyFont="1" applyFill="1" applyBorder="1" applyAlignment="1">
      <alignment horizontal="centerContinuous"/>
    </xf>
    <xf numFmtId="0" fontId="22" fillId="2" borderId="17" xfId="21" applyFill="1" applyBorder="1" applyAlignment="1">
      <alignment horizontal="centerContinuous"/>
    </xf>
    <xf numFmtId="2" fontId="22" fillId="12" borderId="0" xfId="21" applyNumberFormat="1" applyFill="1"/>
    <xf numFmtId="0" fontId="22" fillId="2" borderId="20" xfId="21" applyFill="1" applyBorder="1"/>
    <xf numFmtId="0" fontId="22" fillId="2" borderId="21" xfId="21" applyFill="1" applyBorder="1"/>
    <xf numFmtId="4" fontId="22" fillId="2" borderId="21" xfId="21" applyNumberFormat="1" applyFill="1" applyBorder="1"/>
    <xf numFmtId="0" fontId="22" fillId="2" borderId="22" xfId="21" applyFill="1" applyBorder="1"/>
    <xf numFmtId="0" fontId="22" fillId="2" borderId="23" xfId="21" applyFill="1" applyBorder="1"/>
    <xf numFmtId="0" fontId="44" fillId="2" borderId="21" xfId="21" applyFont="1" applyFill="1" applyBorder="1" applyAlignment="1">
      <alignment horizontal="centerContinuous"/>
    </xf>
    <xf numFmtId="4" fontId="22" fillId="2" borderId="24" xfId="21" applyNumberFormat="1" applyFill="1" applyBorder="1" applyAlignment="1">
      <alignment horizontal="centerContinuous"/>
    </xf>
    <xf numFmtId="4" fontId="22" fillId="2" borderId="25" xfId="21" applyNumberFormat="1" applyFill="1" applyBorder="1" applyAlignment="1">
      <alignment horizontal="centerContinuous"/>
    </xf>
    <xf numFmtId="0" fontId="44" fillId="2" borderId="21" xfId="21" applyFont="1" applyFill="1" applyBorder="1" applyAlignment="1">
      <alignment horizontal="left"/>
    </xf>
    <xf numFmtId="0" fontId="22" fillId="2" borderId="26" xfId="21" applyFill="1" applyBorder="1"/>
    <xf numFmtId="0" fontId="22" fillId="2" borderId="27" xfId="21" applyFill="1" applyBorder="1"/>
    <xf numFmtId="0" fontId="22" fillId="2" borderId="28" xfId="21" applyFill="1" applyBorder="1"/>
    <xf numFmtId="4" fontId="22" fillId="2" borderId="28" xfId="21" applyNumberFormat="1" applyFill="1" applyBorder="1"/>
    <xf numFmtId="4" fontId="22" fillId="2" borderId="29" xfId="21" applyNumberFormat="1" applyFill="1" applyBorder="1"/>
    <xf numFmtId="4" fontId="22" fillId="2" borderId="30" xfId="21" applyNumberFormat="1" applyFill="1" applyBorder="1"/>
    <xf numFmtId="0" fontId="46" fillId="2" borderId="0" xfId="21" quotePrefix="1" applyFont="1" applyFill="1" applyAlignment="1">
      <alignment horizontal="left"/>
    </xf>
    <xf numFmtId="0" fontId="22" fillId="2" borderId="0" xfId="21" quotePrefix="1" applyFill="1" applyAlignment="1">
      <alignment horizontal="left"/>
    </xf>
    <xf numFmtId="2" fontId="22" fillId="0" borderId="0" xfId="21" applyNumberFormat="1" applyFill="1"/>
    <xf numFmtId="0" fontId="31" fillId="2" borderId="0" xfId="21" applyFont="1" applyFill="1"/>
    <xf numFmtId="169" fontId="22" fillId="2" borderId="0" xfId="21" applyNumberFormat="1" applyFill="1"/>
    <xf numFmtId="170" fontId="22" fillId="2" borderId="0" xfId="21" applyNumberFormat="1" applyFill="1"/>
    <xf numFmtId="9" fontId="22" fillId="12" borderId="0" xfId="25" applyFont="1" applyFill="1"/>
    <xf numFmtId="0" fontId="51"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3" fillId="2" borderId="2" xfId="0" applyFont="1" applyFill="1" applyBorder="1" applyAlignment="1" applyProtection="1">
      <alignment vertical="center"/>
      <protection hidden="1"/>
    </xf>
    <xf numFmtId="4" fontId="33" fillId="2" borderId="2" xfId="0" applyNumberFormat="1" applyFont="1" applyFill="1" applyBorder="1" applyAlignment="1" applyProtection="1">
      <alignment vertical="center"/>
      <protection hidden="1"/>
    </xf>
    <xf numFmtId="0" fontId="33" fillId="20" borderId="2" xfId="0" applyFont="1" applyFill="1" applyBorder="1" applyAlignment="1" applyProtection="1">
      <alignment horizontal="center" vertical="center"/>
      <protection hidden="1"/>
    </xf>
    <xf numFmtId="43" fontId="30" fillId="0" borderId="0" xfId="17" applyFont="1"/>
    <xf numFmtId="166" fontId="56" fillId="2" borderId="0" xfId="24" applyFont="1" applyFill="1" applyAlignment="1" applyProtection="1">
      <alignment horizontal="left" vertical="center"/>
      <protection hidden="1"/>
    </xf>
    <xf numFmtId="0" fontId="33" fillId="0" borderId="0" xfId="0" applyFont="1" applyAlignment="1" applyProtection="1">
      <alignment vertical="center"/>
      <protection hidden="1"/>
    </xf>
    <xf numFmtId="0" fontId="60" fillId="0" borderId="0" xfId="0" applyFont="1" applyFill="1" applyBorder="1" applyAlignment="1" applyProtection="1">
      <alignment horizontal="left" vertical="center" wrapText="1"/>
      <protection hidden="1"/>
    </xf>
    <xf numFmtId="9" fontId="53" fillId="5" borderId="42" xfId="25" quotePrefix="1" applyFont="1" applyFill="1" applyBorder="1" applyAlignment="1" applyProtection="1">
      <alignment horizontal="center" vertical="center" wrapText="1"/>
      <protection hidden="1"/>
    </xf>
    <xf numFmtId="0" fontId="22" fillId="0" borderId="0" xfId="0" applyFont="1" applyAlignment="1" applyProtection="1">
      <alignment vertical="center"/>
      <protection hidden="1"/>
    </xf>
    <xf numFmtId="0" fontId="58" fillId="6" borderId="49" xfId="0" applyFont="1" applyFill="1" applyBorder="1" applyAlignment="1" applyProtection="1">
      <alignment horizontal="center" vertical="center" wrapText="1"/>
      <protection hidden="1"/>
    </xf>
    <xf numFmtId="0" fontId="58" fillId="6" borderId="50" xfId="0" applyFont="1" applyFill="1" applyBorder="1" applyAlignment="1" applyProtection="1">
      <alignment horizontal="center" vertical="center"/>
      <protection hidden="1"/>
    </xf>
    <xf numFmtId="0" fontId="53" fillId="5" borderId="35" xfId="0" applyFont="1" applyFill="1" applyBorder="1" applyAlignment="1" applyProtection="1">
      <alignment horizontal="center" vertical="center" wrapText="1"/>
      <protection hidden="1"/>
    </xf>
    <xf numFmtId="15" fontId="64" fillId="5" borderId="37" xfId="0"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center" vertical="center" wrapText="1"/>
      <protection hidden="1"/>
    </xf>
    <xf numFmtId="43" fontId="35" fillId="0" borderId="35" xfId="17" applyFont="1" applyFill="1" applyBorder="1" applyAlignment="1" applyProtection="1">
      <alignment vertical="center" wrapText="1"/>
      <protection hidden="1"/>
    </xf>
    <xf numFmtId="0" fontId="22" fillId="12" borderId="0" xfId="0" applyFont="1" applyFill="1" applyBorder="1" applyAlignment="1" applyProtection="1">
      <alignment vertical="center"/>
      <protection hidden="1"/>
    </xf>
    <xf numFmtId="0" fontId="22" fillId="0" borderId="0" xfId="0" applyFont="1" applyBorder="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0" fontId="33" fillId="2" borderId="0" xfId="0" quotePrefix="1" applyFont="1" applyFill="1" applyBorder="1" applyAlignment="1" applyProtection="1">
      <alignment horizontal="left" vertical="center" wrapText="1"/>
      <protection hidden="1"/>
    </xf>
    <xf numFmtId="4" fontId="33" fillId="2" borderId="31" xfId="0" applyNumberFormat="1" applyFont="1" applyFill="1" applyBorder="1" applyAlignment="1" applyProtection="1">
      <alignment vertical="center"/>
      <protection hidden="1"/>
    </xf>
    <xf numFmtId="4" fontId="33" fillId="22" borderId="31" xfId="0" applyNumberFormat="1" applyFont="1" applyFill="1" applyBorder="1" applyAlignment="1" applyProtection="1">
      <alignment vertical="center"/>
      <protection hidden="1"/>
    </xf>
    <xf numFmtId="4" fontId="33" fillId="0" borderId="31" xfId="0" applyNumberFormat="1" applyFont="1" applyFill="1" applyBorder="1" applyAlignment="1" applyProtection="1">
      <alignment horizontal="right" vertical="center"/>
      <protection hidden="1"/>
    </xf>
    <xf numFmtId="4" fontId="33" fillId="0" borderId="31"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vertical="center"/>
      <protection hidden="1"/>
    </xf>
    <xf numFmtId="17" fontId="54" fillId="6" borderId="44" xfId="0" applyNumberFormat="1" applyFont="1" applyFill="1" applyBorder="1" applyAlignment="1" applyProtection="1">
      <alignment horizontal="center" vertical="center" wrapText="1"/>
      <protection hidden="1"/>
    </xf>
    <xf numFmtId="17" fontId="54" fillId="6" borderId="45" xfId="0" applyNumberFormat="1" applyFont="1" applyFill="1" applyBorder="1" applyAlignment="1" applyProtection="1">
      <alignment horizontal="center" vertical="center" wrapText="1"/>
      <protection hidden="1"/>
    </xf>
    <xf numFmtId="0" fontId="33" fillId="2" borderId="32" xfId="0" quotePrefix="1" applyFont="1" applyFill="1" applyBorder="1" applyAlignment="1" applyProtection="1">
      <alignment horizontal="left" vertical="center"/>
      <protection hidden="1"/>
    </xf>
    <xf numFmtId="4" fontId="33" fillId="22" borderId="35" xfId="0" applyNumberFormat="1" applyFont="1" applyFill="1" applyBorder="1" applyAlignment="1" applyProtection="1">
      <alignment vertical="center"/>
      <protection hidden="1"/>
    </xf>
    <xf numFmtId="4" fontId="33" fillId="2" borderId="35" xfId="0" applyNumberFormat="1" applyFont="1" applyFill="1" applyBorder="1" applyAlignment="1" applyProtection="1">
      <alignment vertical="center"/>
      <protection hidden="1"/>
    </xf>
    <xf numFmtId="0" fontId="33" fillId="2" borderId="32" xfId="0" applyFont="1" applyFill="1" applyBorder="1" applyAlignment="1" applyProtection="1">
      <alignment horizontal="left" vertical="center"/>
      <protection hidden="1"/>
    </xf>
    <xf numFmtId="0" fontId="56" fillId="5" borderId="32" xfId="0" quotePrefix="1" applyFont="1" applyFill="1" applyBorder="1" applyAlignment="1" applyProtection="1">
      <alignment horizontal="left" vertical="center" wrapText="1"/>
      <protection hidden="1"/>
    </xf>
    <xf numFmtId="4" fontId="56" fillId="5" borderId="35" xfId="0" applyNumberFormat="1" applyFont="1" applyFill="1" applyBorder="1" applyAlignment="1" applyProtection="1">
      <alignment vertical="center"/>
      <protection hidden="1"/>
    </xf>
    <xf numFmtId="0" fontId="33" fillId="2" borderId="33" xfId="0" quotePrefix="1" applyFont="1" applyFill="1" applyBorder="1" applyAlignment="1" applyProtection="1">
      <alignment horizontal="left" vertical="center" wrapText="1"/>
      <protection hidden="1"/>
    </xf>
    <xf numFmtId="4" fontId="33" fillId="2" borderId="34" xfId="0" applyNumberFormat="1" applyFont="1" applyFill="1" applyBorder="1" applyAlignment="1" applyProtection="1">
      <alignment horizontal="right" vertical="center"/>
      <protection hidden="1"/>
    </xf>
    <xf numFmtId="4" fontId="33" fillId="2" borderId="37" xfId="0" applyNumberFormat="1" applyFont="1" applyFill="1" applyBorder="1" applyAlignment="1" applyProtection="1">
      <alignment horizontal="right" vertical="center"/>
      <protection hidden="1"/>
    </xf>
    <xf numFmtId="0" fontId="52" fillId="2" borderId="0" xfId="0" applyNumberFormat="1" applyFont="1" applyFill="1" applyAlignment="1" applyProtection="1">
      <alignment horizontal="justify" vertical="center" wrapText="1"/>
      <protection hidden="1"/>
    </xf>
    <xf numFmtId="0" fontId="56" fillId="5" borderId="32" xfId="0" quotePrefix="1" applyFont="1" applyFill="1" applyBorder="1" applyAlignment="1" applyProtection="1">
      <alignment horizontal="left" vertical="center"/>
      <protection hidden="1"/>
    </xf>
    <xf numFmtId="4" fontId="34" fillId="2" borderId="31" xfId="0" applyNumberFormat="1" applyFont="1" applyFill="1" applyBorder="1" applyAlignment="1" applyProtection="1">
      <alignment vertical="center"/>
      <protection hidden="1"/>
    </xf>
    <xf numFmtId="4" fontId="34" fillId="2" borderId="35"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horizontal="right" vertical="center"/>
      <protection hidden="1"/>
    </xf>
    <xf numFmtId="4" fontId="56" fillId="5" borderId="35" xfId="0" applyNumberFormat="1" applyFont="1" applyFill="1" applyBorder="1" applyAlignment="1" applyProtection="1">
      <alignment horizontal="right" vertical="center"/>
      <protection hidden="1"/>
    </xf>
    <xf numFmtId="0" fontId="53" fillId="15" borderId="43" xfId="0" applyFont="1" applyFill="1" applyBorder="1" applyAlignment="1" applyProtection="1">
      <alignment horizontal="center" vertical="center" wrapText="1"/>
      <protection hidden="1"/>
    </xf>
    <xf numFmtId="17" fontId="53" fillId="15" borderId="44" xfId="0" applyNumberFormat="1" applyFont="1" applyFill="1" applyBorder="1" applyAlignment="1" applyProtection="1">
      <alignment horizontal="center" vertical="center" wrapText="1"/>
      <protection hidden="1"/>
    </xf>
    <xf numFmtId="17" fontId="53" fillId="15" borderId="45" xfId="0" applyNumberFormat="1" applyFont="1" applyFill="1" applyBorder="1" applyAlignment="1" applyProtection="1">
      <alignment horizontal="center" vertical="center" wrapText="1"/>
      <protection hidden="1"/>
    </xf>
    <xf numFmtId="43" fontId="33" fillId="2" borderId="31" xfId="17" applyFont="1" applyFill="1" applyBorder="1" applyAlignment="1" applyProtection="1">
      <alignment horizontal="right" vertical="center"/>
      <protection hidden="1"/>
    </xf>
    <xf numFmtId="4" fontId="33" fillId="2" borderId="31" xfId="0" applyNumberFormat="1" applyFont="1" applyFill="1" applyBorder="1" applyAlignment="1" applyProtection="1">
      <alignment horizontal="right" vertical="center"/>
      <protection hidden="1"/>
    </xf>
    <xf numFmtId="0" fontId="34" fillId="2" borderId="32" xfId="0" applyFont="1" applyFill="1" applyBorder="1" applyAlignment="1" applyProtection="1">
      <alignment horizontal="left" vertical="center" wrapText="1"/>
      <protection hidden="1"/>
    </xf>
    <xf numFmtId="4" fontId="34" fillId="2" borderId="31" xfId="0" applyNumberFormat="1" applyFont="1" applyFill="1" applyBorder="1" applyAlignment="1" applyProtection="1">
      <alignment horizontal="right" vertical="center"/>
      <protection hidden="1"/>
    </xf>
    <xf numFmtId="4" fontId="33" fillId="12" borderId="31" xfId="0" applyNumberFormat="1" applyFont="1" applyFill="1" applyBorder="1" applyAlignment="1" applyProtection="1">
      <alignment horizontal="right" vertical="center"/>
      <protection hidden="1"/>
    </xf>
    <xf numFmtId="0" fontId="33" fillId="2" borderId="33" xfId="0" quotePrefix="1" applyFont="1" applyFill="1" applyBorder="1" applyAlignment="1" applyProtection="1">
      <alignment horizontal="left" vertical="center"/>
      <protection hidden="1"/>
    </xf>
    <xf numFmtId="0" fontId="22" fillId="12" borderId="0" xfId="0" applyFont="1" applyFill="1" applyBorder="1" applyAlignment="1" applyProtection="1">
      <alignment vertical="top"/>
      <protection hidden="1"/>
    </xf>
    <xf numFmtId="4" fontId="33" fillId="0" borderId="32" xfId="0" applyNumberFormat="1" applyFont="1" applyBorder="1" applyAlignment="1" applyProtection="1">
      <alignment vertical="center" wrapText="1"/>
      <protection hidden="1"/>
    </xf>
    <xf numFmtId="0" fontId="54" fillId="0" borderId="0" xfId="0" applyFont="1" applyAlignment="1" applyProtection="1">
      <alignment vertical="center"/>
      <protection hidden="1"/>
    </xf>
    <xf numFmtId="37" fontId="33" fillId="12" borderId="3" xfId="23" quotePrefix="1" applyNumberFormat="1" applyFont="1" applyFill="1" applyBorder="1" applyAlignment="1" applyProtection="1">
      <alignment horizontal="left"/>
    </xf>
    <xf numFmtId="37" fontId="33" fillId="12" borderId="4" xfId="23" quotePrefix="1" applyNumberFormat="1" applyFont="1" applyFill="1" applyBorder="1" applyAlignment="1" applyProtection="1">
      <alignment horizontal="left"/>
    </xf>
    <xf numFmtId="37" fontId="33" fillId="12" borderId="12" xfId="23" applyNumberFormat="1" applyFont="1" applyFill="1" applyBorder="1" applyProtection="1"/>
    <xf numFmtId="37" fontId="33" fillId="12" borderId="4" xfId="23" applyNumberFormat="1" applyFont="1" applyFill="1" applyBorder="1" applyProtection="1"/>
    <xf numFmtId="37" fontId="33" fillId="12" borderId="12" xfId="23" applyNumberFormat="1" applyFont="1" applyFill="1" applyBorder="1" applyAlignment="1" applyProtection="1">
      <alignment horizontal="left" indent="1"/>
    </xf>
    <xf numFmtId="37" fontId="33" fillId="12" borderId="12" xfId="23" quotePrefix="1" applyNumberFormat="1" applyFont="1" applyFill="1" applyBorder="1" applyAlignment="1" applyProtection="1">
      <alignment horizontal="left"/>
    </xf>
    <xf numFmtId="37" fontId="33" fillId="12" borderId="3" xfId="23" applyNumberFormat="1" applyFont="1" applyFill="1" applyBorder="1" applyProtection="1"/>
    <xf numFmtId="37" fontId="33" fillId="12" borderId="15" xfId="23" applyNumberFormat="1" applyFont="1" applyFill="1" applyBorder="1" applyProtection="1"/>
    <xf numFmtId="4" fontId="22" fillId="25" borderId="0" xfId="21" applyNumberFormat="1" applyFill="1" applyBorder="1"/>
    <xf numFmtId="37" fontId="75" fillId="2" borderId="10" xfId="23" applyNumberFormat="1" applyFont="1" applyFill="1" applyBorder="1" applyAlignment="1" applyProtection="1">
      <alignment wrapText="1"/>
    </xf>
    <xf numFmtId="0" fontId="46" fillId="2" borderId="72" xfId="21" applyFont="1" applyFill="1" applyBorder="1" applyAlignment="1">
      <alignment horizontal="center"/>
    </xf>
    <xf numFmtId="0" fontId="22" fillId="2" borderId="73" xfId="21" applyFill="1" applyBorder="1"/>
    <xf numFmtId="0" fontId="46" fillId="2" borderId="73" xfId="21" applyFont="1" applyFill="1" applyBorder="1" applyAlignment="1">
      <alignment horizontal="center"/>
    </xf>
    <xf numFmtId="0" fontId="22" fillId="2" borderId="74" xfId="21" quotePrefix="1" applyFill="1" applyBorder="1" applyAlignment="1">
      <alignment horizontal="left"/>
    </xf>
    <xf numFmtId="37" fontId="74" fillId="24" borderId="3" xfId="23" applyNumberFormat="1" applyFont="1" applyFill="1" applyBorder="1" applyAlignment="1" applyProtection="1">
      <alignment vertical="center" wrapText="1"/>
    </xf>
    <xf numFmtId="37" fontId="74" fillId="24" borderId="4" xfId="23" applyNumberFormat="1" applyFont="1" applyFill="1" applyBorder="1" applyAlignment="1" applyProtection="1">
      <alignment vertical="center" wrapText="1"/>
    </xf>
    <xf numFmtId="37" fontId="74" fillId="24" borderId="12" xfId="23" applyNumberFormat="1" applyFont="1" applyFill="1" applyBorder="1" applyAlignment="1" applyProtection="1">
      <alignment vertical="center" wrapText="1"/>
    </xf>
    <xf numFmtId="49" fontId="75" fillId="24" borderId="16" xfId="21" applyNumberFormat="1" applyFont="1" applyFill="1" applyBorder="1" applyAlignment="1">
      <alignment horizontal="center" vertical="center" wrapText="1"/>
    </xf>
    <xf numFmtId="4" fontId="22" fillId="12" borderId="5" xfId="21" applyNumberFormat="1" applyFill="1" applyBorder="1"/>
    <xf numFmtId="4" fontId="22" fillId="12" borderId="6" xfId="21" applyNumberFormat="1" applyFill="1" applyBorder="1"/>
    <xf numFmtId="4" fontId="22" fillId="12" borderId="3" xfId="21" applyNumberFormat="1" applyFill="1" applyBorder="1"/>
    <xf numFmtId="4" fontId="22" fillId="12" borderId="7" xfId="21" applyNumberFormat="1" applyFill="1" applyBorder="1"/>
    <xf numFmtId="4" fontId="22" fillId="12" borderId="0" xfId="21" applyNumberFormat="1" applyFill="1" applyBorder="1"/>
    <xf numFmtId="4" fontId="22" fillId="12" borderId="4" xfId="21" applyNumberFormat="1" applyFill="1" applyBorder="1"/>
    <xf numFmtId="4" fontId="22" fillId="12" borderId="11" xfId="21" applyNumberFormat="1" applyFill="1" applyBorder="1"/>
    <xf numFmtId="4" fontId="22" fillId="12" borderId="13" xfId="21" applyNumberFormat="1" applyFill="1" applyBorder="1"/>
    <xf numFmtId="4" fontId="22" fillId="12" borderId="12" xfId="21" applyNumberFormat="1" applyFill="1" applyBorder="1"/>
    <xf numFmtId="165" fontId="22" fillId="12" borderId="13" xfId="21" applyNumberFormat="1" applyFill="1" applyBorder="1"/>
    <xf numFmtId="4" fontId="22" fillId="12" borderId="8" xfId="21" applyNumberFormat="1" applyFill="1" applyBorder="1"/>
    <xf numFmtId="4" fontId="22" fillId="12" borderId="9" xfId="21" applyNumberFormat="1" applyFill="1" applyBorder="1"/>
    <xf numFmtId="0" fontId="75" fillId="2" borderId="8" xfId="21" applyFont="1" applyFill="1" applyBorder="1" applyAlignment="1">
      <alignment horizontal="left" vertical="center"/>
    </xf>
    <xf numFmtId="0" fontId="75" fillId="0" borderId="9" xfId="21" applyFont="1" applyBorder="1" applyAlignment="1">
      <alignment vertical="center"/>
    </xf>
    <xf numFmtId="10" fontId="75" fillId="0" borderId="15" xfId="21" applyNumberFormat="1" applyFont="1" applyBorder="1" applyAlignment="1">
      <alignment vertical="center"/>
    </xf>
    <xf numFmtId="4" fontId="22" fillId="2" borderId="2" xfId="21" applyNumberFormat="1" applyFill="1" applyBorder="1"/>
    <xf numFmtId="4" fontId="22" fillId="2" borderId="77" xfId="21" applyNumberFormat="1" applyFill="1" applyBorder="1"/>
    <xf numFmtId="4" fontId="22" fillId="23" borderId="0" xfId="21" applyNumberFormat="1" applyFill="1" applyBorder="1"/>
    <xf numFmtId="2" fontId="22" fillId="23" borderId="0" xfId="21" applyNumberFormat="1" applyFill="1"/>
    <xf numFmtId="2" fontId="22" fillId="23" borderId="85" xfId="21" applyNumberFormat="1" applyFill="1" applyBorder="1"/>
    <xf numFmtId="4" fontId="33" fillId="0" borderId="35" xfId="0" applyNumberFormat="1" applyFont="1" applyFill="1" applyBorder="1" applyAlignment="1" applyProtection="1">
      <alignment horizontal="right" vertical="center"/>
      <protection hidden="1"/>
    </xf>
    <xf numFmtId="43" fontId="34" fillId="13" borderId="31" xfId="17" applyFont="1" applyFill="1" applyBorder="1" applyAlignment="1" applyProtection="1">
      <alignment horizontal="center" vertical="center" wrapText="1"/>
      <protection hidden="1"/>
    </xf>
    <xf numFmtId="43" fontId="0" fillId="0" borderId="0" xfId="0" applyNumberFormat="1"/>
    <xf numFmtId="4" fontId="57" fillId="2" borderId="0" xfId="0" applyNumberFormat="1" applyFont="1" applyFill="1" applyAlignment="1" applyProtection="1">
      <alignment vertical="center"/>
      <protection hidden="1"/>
    </xf>
    <xf numFmtId="4" fontId="34" fillId="0" borderId="31" xfId="0" applyNumberFormat="1" applyFont="1" applyFill="1" applyBorder="1" applyAlignment="1" applyProtection="1">
      <alignment horizontal="right" vertical="center"/>
      <protection hidden="1"/>
    </xf>
    <xf numFmtId="4" fontId="34" fillId="0" borderId="35" xfId="0" applyNumberFormat="1" applyFont="1" applyFill="1" applyBorder="1" applyAlignment="1" applyProtection="1">
      <alignment horizontal="right" vertical="center"/>
      <protection hidden="1"/>
    </xf>
    <xf numFmtId="43" fontId="34" fillId="0" borderId="39" xfId="17" applyNumberFormat="1" applyFont="1" applyFill="1" applyBorder="1" applyAlignment="1" applyProtection="1">
      <alignment horizontal="center" vertical="center" wrapText="1"/>
      <protection hidden="1"/>
    </xf>
    <xf numFmtId="171" fontId="34" fillId="12" borderId="38" xfId="17"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right" vertical="center" wrapText="1"/>
      <protection hidden="1"/>
    </xf>
    <xf numFmtId="2" fontId="34" fillId="0" borderId="37" xfId="0" applyNumberFormat="1" applyFont="1" applyFill="1" applyBorder="1" applyAlignment="1" applyProtection="1">
      <alignment horizontal="right" vertical="center" wrapText="1"/>
      <protection hidden="1"/>
    </xf>
    <xf numFmtId="0" fontId="53" fillId="5" borderId="59" xfId="0" quotePrefix="1" applyFont="1" applyFill="1" applyBorder="1" applyAlignment="1" applyProtection="1">
      <alignment horizontal="center" vertical="center" wrapText="1"/>
      <protection hidden="1"/>
    </xf>
    <xf numFmtId="0" fontId="54" fillId="0" borderId="0" xfId="0" applyFont="1" applyFill="1" applyAlignment="1" applyProtection="1">
      <alignment vertical="center"/>
      <protection hidden="1"/>
    </xf>
    <xf numFmtId="4" fontId="54" fillId="0" borderId="0" xfId="0" applyNumberFormat="1" applyFont="1" applyFill="1" applyBorder="1" applyAlignment="1" applyProtection="1">
      <alignment horizontal="right" vertical="center"/>
      <protection hidden="1"/>
    </xf>
    <xf numFmtId="37" fontId="74" fillId="23" borderId="3" xfId="23" applyNumberFormat="1" applyFont="1" applyFill="1" applyBorder="1" applyAlignment="1" applyProtection="1">
      <alignment vertical="center" wrapText="1"/>
    </xf>
    <xf numFmtId="37" fontId="74" fillId="23" borderId="4" xfId="23" applyNumberFormat="1" applyFont="1" applyFill="1" applyBorder="1" applyAlignment="1" applyProtection="1">
      <alignment vertical="center" wrapText="1"/>
    </xf>
    <xf numFmtId="37" fontId="74" fillId="23" borderId="12" xfId="23" applyNumberFormat="1" applyFont="1" applyFill="1" applyBorder="1" applyAlignment="1" applyProtection="1">
      <alignment vertical="center" wrapText="1"/>
    </xf>
    <xf numFmtId="49" fontId="75" fillId="23" borderId="16" xfId="21" applyNumberFormat="1" applyFont="1" applyFill="1" applyBorder="1" applyAlignment="1">
      <alignment horizontal="center" vertical="center" wrapText="1"/>
    </xf>
    <xf numFmtId="43" fontId="34" fillId="0" borderId="31" xfId="17" applyFont="1" applyFill="1" applyBorder="1" applyAlignment="1" applyProtection="1">
      <alignment horizontal="center" vertical="center" wrapText="1"/>
      <protection hidden="1"/>
    </xf>
    <xf numFmtId="4" fontId="33" fillId="26" borderId="31" xfId="0" applyNumberFormat="1" applyFont="1" applyFill="1" applyBorder="1" applyAlignment="1" applyProtection="1">
      <alignment vertical="center"/>
      <protection hidden="1"/>
    </xf>
    <xf numFmtId="0" fontId="46" fillId="0" borderId="0" xfId="0" applyFont="1" applyAlignment="1">
      <alignment horizontal="right" vertical="center"/>
    </xf>
    <xf numFmtId="0" fontId="75" fillId="0" borderId="0" xfId="0" applyFont="1" applyAlignment="1">
      <alignment horizontal="right" vertical="center"/>
    </xf>
    <xf numFmtId="43" fontId="0" fillId="0" borderId="0" xfId="17" applyFont="1" applyBorder="1" applyAlignment="1">
      <alignment horizontal="center" vertical="center"/>
    </xf>
    <xf numFmtId="0" fontId="81" fillId="2" borderId="0" xfId="0" quotePrefix="1" applyFont="1" applyFill="1" applyBorder="1" applyAlignment="1" applyProtection="1">
      <alignment horizontal="left" vertical="center"/>
      <protection hidden="1"/>
    </xf>
    <xf numFmtId="166" fontId="56" fillId="2" borderId="0" xfId="24" applyFont="1" applyFill="1" applyAlignment="1" applyProtection="1">
      <alignment horizontal="center" vertical="center"/>
      <protection hidden="1"/>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10" fontId="44" fillId="14" borderId="0" xfId="0" applyNumberFormat="1" applyFont="1" applyFill="1" applyAlignment="1">
      <alignment vertical="center"/>
    </xf>
    <xf numFmtId="43" fontId="34" fillId="0" borderId="31" xfId="17" applyNumberFormat="1" applyFont="1" applyFill="1" applyBorder="1" applyAlignment="1" applyProtection="1">
      <alignment horizontal="center" vertical="center" wrapText="1"/>
      <protection hidden="1"/>
    </xf>
    <xf numFmtId="172" fontId="33" fillId="0" borderId="0" xfId="0" applyNumberFormat="1" applyFont="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43" fontId="34" fillId="0" borderId="31" xfId="17" quotePrefix="1" applyFont="1" applyFill="1" applyBorder="1" applyAlignment="1" applyProtection="1">
      <alignment horizontal="center" vertical="center" wrapText="1"/>
      <protection hidden="1"/>
    </xf>
    <xf numFmtId="4" fontId="33" fillId="2" borderId="31" xfId="0" applyNumberFormat="1" applyFont="1" applyFill="1" applyBorder="1" applyAlignment="1" applyProtection="1">
      <alignment horizontal="center" vertical="center"/>
      <protection hidden="1"/>
    </xf>
    <xf numFmtId="0" fontId="33" fillId="2" borderId="0" xfId="0" applyFont="1" applyFill="1" applyAlignment="1" applyProtection="1">
      <alignment horizontal="center" vertical="center"/>
      <protection hidden="1"/>
    </xf>
    <xf numFmtId="4" fontId="33" fillId="2" borderId="35" xfId="0" applyNumberFormat="1" applyFont="1" applyFill="1" applyBorder="1" applyAlignment="1" applyProtection="1">
      <alignment horizontal="center" vertical="center"/>
      <protection hidden="1"/>
    </xf>
    <xf numFmtId="0" fontId="82" fillId="0" borderId="0" xfId="30" applyFont="1"/>
    <xf numFmtId="0" fontId="21" fillId="0" borderId="0" xfId="30" applyFont="1"/>
    <xf numFmtId="0" fontId="21" fillId="0" borderId="0" xfId="30" applyFont="1"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21" fillId="0" borderId="2" xfId="30" applyFont="1" applyBorder="1" applyAlignment="1">
      <alignment horizontal="center"/>
    </xf>
    <xf numFmtId="0" fontId="87" fillId="27"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Fill="1" applyBorder="1"/>
    <xf numFmtId="0" fontId="21" fillId="0" borderId="2" xfId="30" applyFont="1" applyFill="1" applyBorder="1" applyAlignment="1">
      <alignment horizontal="center"/>
    </xf>
    <xf numFmtId="0" fontId="21" fillId="27" borderId="2" xfId="30" applyFont="1" applyFill="1" applyBorder="1"/>
    <xf numFmtId="0" fontId="90" fillId="0" borderId="2" xfId="30" applyFont="1" applyBorder="1"/>
    <xf numFmtId="0" fontId="88" fillId="0" borderId="2" xfId="30" applyFont="1" applyFill="1" applyBorder="1" applyAlignment="1">
      <alignment horizontal="center"/>
    </xf>
    <xf numFmtId="0" fontId="21" fillId="0" borderId="2" xfId="30" applyFont="1" applyBorder="1"/>
    <xf numFmtId="0" fontId="21" fillId="0" borderId="2" xfId="30" applyFont="1" applyFill="1" applyBorder="1"/>
    <xf numFmtId="0" fontId="90" fillId="0" borderId="0" xfId="30" applyFont="1"/>
    <xf numFmtId="0" fontId="91" fillId="0" borderId="0" xfId="30" applyFont="1"/>
    <xf numFmtId="43" fontId="21" fillId="24" borderId="2" xfId="30" applyNumberFormat="1" applyFont="1" applyFill="1" applyBorder="1"/>
    <xf numFmtId="0" fontId="20" fillId="0" borderId="2" xfId="30" applyFont="1" applyBorder="1"/>
    <xf numFmtId="0" fontId="92" fillId="0" borderId="0" xfId="30" applyFont="1"/>
    <xf numFmtId="4" fontId="33" fillId="0" borderId="2" xfId="0" applyNumberFormat="1" applyFont="1" applyFill="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0" fontId="21" fillId="0" borderId="0" xfId="30" applyFont="1" applyFill="1" applyAlignment="1">
      <alignment horizontal="center"/>
    </xf>
    <xf numFmtId="0" fontId="21" fillId="0" borderId="0" xfId="30" applyFont="1" applyFill="1"/>
    <xf numFmtId="0" fontId="85" fillId="29" borderId="0" xfId="30" applyFont="1" applyFill="1"/>
    <xf numFmtId="43" fontId="21" fillId="23" borderId="2" xfId="30" applyNumberFormat="1" applyFont="1" applyFill="1" applyBorder="1"/>
    <xf numFmtId="0" fontId="95" fillId="14" borderId="0" xfId="30" applyFont="1" applyFill="1"/>
    <xf numFmtId="0" fontId="0" fillId="0" borderId="0" xfId="0" applyFont="1" applyFill="1"/>
    <xf numFmtId="0" fontId="0" fillId="30" borderId="0" xfId="0" applyFont="1" applyFill="1"/>
    <xf numFmtId="0" fontId="21" fillId="24" borderId="2" xfId="31" applyNumberFormat="1" applyFont="1" applyFill="1" applyBorder="1"/>
    <xf numFmtId="0" fontId="21" fillId="23" borderId="2" xfId="30" applyFont="1" applyFill="1" applyBorder="1" applyAlignment="1">
      <alignment horizontal="center"/>
    </xf>
    <xf numFmtId="43" fontId="97" fillId="0" borderId="0" xfId="17" applyFont="1" applyFill="1" applyAlignment="1">
      <alignment horizontal="left" vertical="center"/>
    </xf>
    <xf numFmtId="0" fontId="21" fillId="24" borderId="2" xfId="30" applyFont="1" applyFill="1" applyBorder="1" applyAlignment="1">
      <alignment horizontal="center"/>
    </xf>
    <xf numFmtId="0" fontId="0" fillId="23" borderId="0" xfId="0" applyFont="1" applyFill="1"/>
    <xf numFmtId="0" fontId="21" fillId="29" borderId="2" xfId="30" applyFont="1" applyFill="1" applyBorder="1" applyAlignment="1">
      <alignment horizontal="center"/>
    </xf>
    <xf numFmtId="43" fontId="21" fillId="29" borderId="2" xfId="30" applyNumberFormat="1" applyFont="1" applyFill="1" applyBorder="1" applyAlignment="1">
      <alignment horizontal="center"/>
    </xf>
    <xf numFmtId="0" fontId="21" fillId="29" borderId="2" xfId="30" applyFont="1" applyFill="1" applyBorder="1"/>
    <xf numFmtId="43" fontId="21" fillId="0" borderId="2" xfId="30" applyNumberFormat="1" applyFont="1" applyFill="1" applyBorder="1"/>
    <xf numFmtId="4" fontId="21" fillId="24" borderId="2" xfId="30" applyNumberFormat="1" applyFont="1" applyFill="1" applyBorder="1"/>
    <xf numFmtId="4" fontId="21" fillId="24" borderId="91" xfId="30" applyNumberFormat="1" applyFont="1" applyFill="1" applyBorder="1"/>
    <xf numFmtId="0" fontId="21" fillId="24" borderId="2" xfId="30" applyFont="1" applyFill="1" applyBorder="1"/>
    <xf numFmtId="0" fontId="21" fillId="14" borderId="2" xfId="30" applyFont="1" applyFill="1" applyBorder="1" applyAlignment="1">
      <alignment horizontal="center"/>
    </xf>
    <xf numFmtId="0" fontId="19" fillId="0" borderId="0" xfId="30" applyFont="1"/>
    <xf numFmtId="0" fontId="18" fillId="14" borderId="0" xfId="30" applyFont="1" applyFill="1" applyAlignment="1">
      <alignment horizontal="center"/>
    </xf>
    <xf numFmtId="0" fontId="17" fillId="0" borderId="0" xfId="30" applyFont="1"/>
    <xf numFmtId="0" fontId="17" fillId="0" borderId="0" xfId="30" applyFont="1" applyFill="1" applyAlignment="1">
      <alignment horizontal="center"/>
    </xf>
    <xf numFmtId="167" fontId="44" fillId="12" borderId="0" xfId="17" applyNumberFormat="1" applyFont="1" applyFill="1" applyBorder="1" applyAlignment="1" applyProtection="1">
      <alignment horizontal="center" vertical="center"/>
      <protection hidden="1"/>
    </xf>
    <xf numFmtId="0" fontId="16" fillId="0" borderId="0" xfId="30" applyFont="1"/>
    <xf numFmtId="43" fontId="16" fillId="0" borderId="2" xfId="30" applyNumberFormat="1" applyFont="1" applyFill="1" applyBorder="1"/>
    <xf numFmtId="43" fontId="90" fillId="0" borderId="2" xfId="30" applyNumberFormat="1" applyFont="1" applyFill="1" applyBorder="1"/>
    <xf numFmtId="43" fontId="21" fillId="0" borderId="0" xfId="30" applyNumberFormat="1" applyFont="1"/>
    <xf numFmtId="0" fontId="15" fillId="0" borderId="0" xfId="30" applyFont="1"/>
    <xf numFmtId="43" fontId="17" fillId="0" borderId="0" xfId="30" applyNumberFormat="1" applyFont="1"/>
    <xf numFmtId="8" fontId="92" fillId="0" borderId="0" xfId="30" applyNumberFormat="1" applyFont="1"/>
    <xf numFmtId="4" fontId="33" fillId="0" borderId="0" xfId="0" applyNumberFormat="1" applyFont="1" applyAlignment="1" applyProtection="1">
      <alignment vertical="center"/>
      <protection hidden="1"/>
    </xf>
    <xf numFmtId="0" fontId="21" fillId="14" borderId="0" xfId="30" applyFont="1" applyFill="1" applyBorder="1" applyAlignment="1">
      <alignment horizontal="center"/>
    </xf>
    <xf numFmtId="43" fontId="21" fillId="0" borderId="0" xfId="30" applyNumberFormat="1" applyFont="1" applyFill="1" applyBorder="1"/>
    <xf numFmtId="0" fontId="14" fillId="0" borderId="0" xfId="30" applyFont="1"/>
    <xf numFmtId="10" fontId="33" fillId="14" borderId="0" xfId="25" applyNumberFormat="1" applyFont="1" applyFill="1" applyAlignment="1" applyProtection="1">
      <alignment vertical="center"/>
      <protection hidden="1"/>
    </xf>
    <xf numFmtId="0" fontId="60" fillId="2" borderId="0" xfId="0" applyFont="1" applyFill="1" applyAlignment="1" applyProtection="1">
      <alignment horizontal="center" vertical="center"/>
      <protection hidden="1"/>
    </xf>
    <xf numFmtId="0" fontId="52" fillId="2" borderId="0" xfId="0" quotePrefix="1" applyFont="1" applyFill="1" applyAlignment="1" applyProtection="1">
      <alignment horizontal="center" vertical="center"/>
      <protection hidden="1"/>
    </xf>
    <xf numFmtId="0" fontId="60" fillId="0" borderId="0" xfId="0" applyFont="1" applyBorder="1" applyAlignment="1" applyProtection="1">
      <alignment horizontal="center" vertical="top"/>
      <protection hidden="1"/>
    </xf>
    <xf numFmtId="0" fontId="60" fillId="0" borderId="0" xfId="0" applyFont="1" applyBorder="1" applyAlignment="1" applyProtection="1">
      <alignment horizontal="center" vertical="top" wrapText="1"/>
      <protection hidden="1"/>
    </xf>
    <xf numFmtId="0" fontId="33" fillId="0" borderId="0" xfId="0" applyFont="1" applyFill="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52" fillId="0" borderId="0" xfId="0" applyFont="1" applyFill="1" applyAlignment="1" applyProtection="1">
      <alignment horizontal="center" vertical="center"/>
      <protection hidden="1"/>
    </xf>
    <xf numFmtId="0" fontId="52" fillId="0" borderId="0" xfId="0" quotePrefix="1" applyFont="1" applyFill="1" applyAlignment="1" applyProtection="1">
      <alignment horizontal="center" vertical="center"/>
      <protection hidden="1"/>
    </xf>
    <xf numFmtId="0" fontId="21" fillId="0" borderId="0" xfId="30" applyFont="1" applyBorder="1" applyAlignment="1">
      <alignment horizontal="center"/>
    </xf>
    <xf numFmtId="0" fontId="21" fillId="0" borderId="0" xfId="30" applyFont="1" applyBorder="1" applyAlignment="1">
      <alignment horizontal="left"/>
    </xf>
    <xf numFmtId="43" fontId="34" fillId="0" borderId="96" xfId="17"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right" vertical="center" wrapText="1"/>
      <protection hidden="1"/>
    </xf>
    <xf numFmtId="43" fontId="34" fillId="0" borderId="96" xfId="17" applyFont="1" applyFill="1" applyBorder="1" applyAlignment="1" applyProtection="1">
      <alignment vertical="center" wrapText="1"/>
      <protection hidden="1"/>
    </xf>
    <xf numFmtId="2" fontId="55" fillId="0" borderId="95" xfId="0" applyNumberFormat="1" applyFont="1" applyFill="1" applyBorder="1" applyAlignment="1" applyProtection="1">
      <alignment horizontal="right" vertical="center" wrapText="1"/>
      <protection hidden="1"/>
    </xf>
    <xf numFmtId="43" fontId="34" fillId="12" borderId="96" xfId="17" applyFont="1" applyFill="1" applyBorder="1" applyAlignment="1" applyProtection="1">
      <alignment horizontal="center" vertical="center" wrapText="1"/>
      <protection hidden="1"/>
    </xf>
    <xf numFmtId="2" fontId="34" fillId="0" borderId="96" xfId="0" applyNumberFormat="1" applyFont="1" applyFill="1" applyBorder="1" applyAlignment="1" applyProtection="1">
      <alignment horizontal="center" vertical="center" wrapText="1"/>
      <protection hidden="1"/>
    </xf>
    <xf numFmtId="2" fontId="33" fillId="0" borderId="96" xfId="0" applyNumberFormat="1" applyFont="1" applyFill="1" applyBorder="1" applyAlignment="1" applyProtection="1">
      <alignment horizontal="center" vertical="center" wrapText="1"/>
      <protection hidden="1"/>
    </xf>
    <xf numFmtId="2" fontId="38" fillId="0" borderId="96" xfId="0" applyNumberFormat="1"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center" vertical="center" wrapText="1"/>
      <protection hidden="1"/>
    </xf>
    <xf numFmtId="43" fontId="34" fillId="12" borderId="98" xfId="17"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right" vertical="center" wrapText="1"/>
      <protection hidden="1"/>
    </xf>
    <xf numFmtId="2" fontId="34" fillId="0" borderId="98" xfId="0" applyNumberFormat="1" applyFont="1" applyFill="1" applyBorder="1" applyAlignment="1" applyProtection="1">
      <alignment horizontal="center" vertical="center" wrapText="1"/>
      <protection hidden="1"/>
    </xf>
    <xf numFmtId="2" fontId="33" fillId="0" borderId="98" xfId="0" applyNumberFormat="1" applyFont="1" applyFill="1" applyBorder="1" applyAlignment="1" applyProtection="1">
      <alignment horizontal="center" vertical="center" wrapText="1"/>
      <protection hidden="1"/>
    </xf>
    <xf numFmtId="2" fontId="38" fillId="0" borderId="98" xfId="0" applyNumberFormat="1"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center" vertical="center" wrapText="1"/>
      <protection hidden="1"/>
    </xf>
    <xf numFmtId="2" fontId="55" fillId="0" borderId="99" xfId="0" applyNumberFormat="1" applyFont="1" applyFill="1" applyBorder="1" applyAlignment="1" applyProtection="1">
      <alignment horizontal="right" vertical="center" wrapText="1"/>
      <protection hidden="1"/>
    </xf>
    <xf numFmtId="4" fontId="33" fillId="0" borderId="51" xfId="0" applyNumberFormat="1" applyFont="1" applyFill="1" applyBorder="1" applyAlignment="1" applyProtection="1">
      <alignment horizontal="right" vertical="center"/>
      <protection hidden="1"/>
    </xf>
    <xf numFmtId="4" fontId="34" fillId="0" borderId="51" xfId="0" applyNumberFormat="1" applyFont="1" applyFill="1" applyBorder="1" applyAlignment="1" applyProtection="1">
      <alignment horizontal="right" vertical="center"/>
      <protection hidden="1"/>
    </xf>
    <xf numFmtId="4" fontId="33" fillId="2" borderId="51" xfId="0" applyNumberFormat="1" applyFont="1" applyFill="1" applyBorder="1" applyAlignment="1" applyProtection="1">
      <alignment horizontal="center" vertical="center"/>
      <protection hidden="1"/>
    </xf>
    <xf numFmtId="4" fontId="33" fillId="2" borderId="52" xfId="0" applyNumberFormat="1" applyFont="1" applyFill="1" applyBorder="1" applyAlignment="1" applyProtection="1">
      <alignment horizontal="right" vertical="center"/>
      <protection hidden="1"/>
    </xf>
    <xf numFmtId="0" fontId="53" fillId="5" borderId="96" xfId="0" quotePrefix="1" applyFont="1" applyFill="1" applyBorder="1" applyAlignment="1" applyProtection="1">
      <alignment horizontal="center" vertical="center" wrapText="1"/>
      <protection hidden="1"/>
    </xf>
    <xf numFmtId="9" fontId="53" fillId="5" borderId="96" xfId="0" quotePrefix="1" applyNumberFormat="1" applyFont="1" applyFill="1" applyBorder="1" applyAlignment="1" applyProtection="1">
      <alignment horizontal="center" vertical="center" wrapText="1"/>
      <protection hidden="1"/>
    </xf>
    <xf numFmtId="43" fontId="34" fillId="0" borderId="96" xfId="17" applyFont="1" applyFill="1" applyBorder="1" applyAlignment="1" applyProtection="1">
      <alignment horizontal="right" vertical="center" wrapText="1"/>
      <protection hidden="1"/>
    </xf>
    <xf numFmtId="43" fontId="35" fillId="0" borderId="96" xfId="17" applyFont="1" applyFill="1" applyBorder="1" applyAlignment="1" applyProtection="1">
      <alignment vertical="center" wrapText="1"/>
      <protection hidden="1"/>
    </xf>
    <xf numFmtId="2" fontId="34" fillId="0" borderId="96" xfId="0" quotePrefix="1" applyNumberFormat="1" applyFont="1" applyFill="1" applyBorder="1" applyAlignment="1" applyProtection="1">
      <alignment horizontal="right" vertical="center" wrapText="1"/>
      <protection hidden="1"/>
    </xf>
    <xf numFmtId="43" fontId="34" fillId="0" borderId="95" xfId="17" applyFont="1" applyFill="1" applyBorder="1" applyAlignment="1" applyProtection="1">
      <alignment horizontal="right" vertical="center" wrapText="1"/>
      <protection hidden="1"/>
    </xf>
    <xf numFmtId="0" fontId="53" fillId="31" borderId="35" xfId="0" quotePrefix="1" applyFont="1" applyFill="1" applyBorder="1" applyAlignment="1" applyProtection="1">
      <alignment horizontal="center" vertical="center" wrapText="1"/>
      <protection hidden="1"/>
    </xf>
    <xf numFmtId="9" fontId="53" fillId="31" borderId="35" xfId="0" quotePrefix="1" applyNumberFormat="1"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43" fontId="34" fillId="0" borderId="100" xfId="17" applyFont="1" applyFill="1" applyBorder="1" applyAlignment="1" applyProtection="1">
      <alignment vertical="center" wrapText="1"/>
      <protection hidden="1"/>
    </xf>
    <xf numFmtId="43" fontId="34" fillId="0" borderId="100" xfId="17" applyFont="1" applyFill="1" applyBorder="1" applyAlignment="1" applyProtection="1">
      <alignment horizontal="center" vertical="center" wrapText="1"/>
      <protection hidden="1"/>
    </xf>
    <xf numFmtId="43" fontId="34" fillId="0" borderId="100" xfId="17" applyFont="1" applyFill="1" applyBorder="1" applyAlignment="1" applyProtection="1">
      <alignment horizontal="right" vertical="center" wrapText="1"/>
      <protection hidden="1"/>
    </xf>
    <xf numFmtId="43" fontId="35" fillId="0" borderId="100" xfId="17" applyFont="1" applyFill="1" applyBorder="1" applyAlignment="1" applyProtection="1">
      <alignment vertical="center" wrapText="1"/>
      <protection hidden="1"/>
    </xf>
    <xf numFmtId="2" fontId="34" fillId="0" borderId="100" xfId="0" quotePrefix="1" applyNumberFormat="1" applyFont="1" applyFill="1" applyBorder="1" applyAlignment="1" applyProtection="1">
      <alignment horizontal="right" vertical="center" wrapText="1"/>
      <protection hidden="1"/>
    </xf>
    <xf numFmtId="43" fontId="34" fillId="0" borderId="63" xfId="17" applyFont="1" applyFill="1" applyBorder="1" applyAlignment="1" applyProtection="1">
      <alignment vertical="center" wrapText="1"/>
      <protection hidden="1"/>
    </xf>
    <xf numFmtId="4" fontId="33" fillId="22" borderId="51" xfId="0" applyNumberFormat="1" applyFont="1" applyFill="1" applyBorder="1" applyAlignment="1" applyProtection="1">
      <alignment vertical="center"/>
      <protection hidden="1"/>
    </xf>
    <xf numFmtId="4" fontId="33" fillId="12"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vertical="center"/>
      <protection hidden="1"/>
    </xf>
    <xf numFmtId="4" fontId="33" fillId="2" borderId="51" xfId="0" applyNumberFormat="1" applyFont="1" applyFill="1" applyBorder="1" applyAlignment="1" applyProtection="1">
      <alignment vertical="center"/>
      <protection hidden="1"/>
    </xf>
    <xf numFmtId="4" fontId="56" fillId="5"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horizontal="center" vertical="center"/>
      <protection hidden="1"/>
    </xf>
    <xf numFmtId="0" fontId="90" fillId="14" borderId="0" xfId="30" applyFont="1" applyFill="1" applyBorder="1" applyAlignment="1">
      <alignment horizontal="center"/>
    </xf>
    <xf numFmtId="43" fontId="90" fillId="0" borderId="0" xfId="30" applyNumberFormat="1" applyFont="1" applyFill="1" applyBorder="1"/>
    <xf numFmtId="4" fontId="33" fillId="26" borderId="31" xfId="0" applyNumberFormat="1" applyFont="1" applyFill="1" applyBorder="1" applyAlignment="1" applyProtection="1">
      <alignment horizontal="center" vertical="center"/>
      <protection hidden="1"/>
    </xf>
    <xf numFmtId="43" fontId="54" fillId="0" borderId="0" xfId="0" applyNumberFormat="1" applyFont="1" applyAlignment="1" applyProtection="1">
      <alignment vertical="center"/>
      <protection hidden="1"/>
    </xf>
    <xf numFmtId="43" fontId="33" fillId="2" borderId="0" xfId="0" applyNumberFormat="1" applyFont="1" applyFill="1" applyAlignment="1" applyProtection="1">
      <alignment vertical="center"/>
      <protection hidden="1"/>
    </xf>
    <xf numFmtId="9" fontId="33" fillId="0" borderId="0" xfId="25" applyFont="1" applyAlignment="1" applyProtection="1">
      <alignment vertical="center"/>
      <protection hidden="1"/>
    </xf>
    <xf numFmtId="9" fontId="54" fillId="0" borderId="0" xfId="25" applyFont="1" applyAlignment="1" applyProtection="1">
      <alignment vertical="center"/>
      <protection hidden="1"/>
    </xf>
    <xf numFmtId="164" fontId="33" fillId="0" borderId="0" xfId="0" applyNumberFormat="1" applyFont="1" applyFill="1" applyBorder="1" applyAlignment="1" applyProtection="1">
      <alignment vertical="center"/>
      <protection hidden="1"/>
    </xf>
    <xf numFmtId="43" fontId="33" fillId="0" borderId="0" xfId="0" applyNumberFormat="1" applyFont="1" applyFill="1" applyBorder="1" applyAlignment="1" applyProtection="1">
      <alignment vertical="center"/>
      <protection hidden="1"/>
    </xf>
    <xf numFmtId="173" fontId="33" fillId="0" borderId="0" xfId="0" applyNumberFormat="1" applyFont="1" applyFill="1" applyBorder="1" applyAlignment="1" applyProtection="1">
      <alignment vertical="center"/>
      <protection hidden="1"/>
    </xf>
    <xf numFmtId="43" fontId="33" fillId="0" borderId="0" xfId="25" applyNumberFormat="1" applyFont="1" applyFill="1" applyBorder="1" applyAlignment="1" applyProtection="1">
      <alignment vertical="center"/>
      <protection hidden="1"/>
    </xf>
    <xf numFmtId="41" fontId="33" fillId="0" borderId="0" xfId="31" applyFont="1" applyFill="1" applyBorder="1" applyAlignment="1" applyProtection="1">
      <alignment vertical="center"/>
      <protection hidden="1"/>
    </xf>
    <xf numFmtId="174" fontId="33"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9" fillId="0" borderId="0" xfId="0" applyFont="1" applyAlignment="1" applyProtection="1">
      <alignment vertical="center"/>
      <protection hidden="1"/>
    </xf>
    <xf numFmtId="0" fontId="12" fillId="0" borderId="0" xfId="30" applyFont="1"/>
    <xf numFmtId="0" fontId="90" fillId="0" borderId="0" xfId="30" applyFont="1" applyFill="1" applyBorder="1"/>
    <xf numFmtId="4" fontId="21" fillId="24" borderId="0" xfId="30" applyNumberFormat="1" applyFont="1" applyFill="1" applyBorder="1"/>
    <xf numFmtId="4" fontId="57" fillId="2" borderId="2" xfId="0" applyNumberFormat="1" applyFont="1" applyFill="1" applyBorder="1" applyAlignment="1" applyProtection="1">
      <alignment vertical="center"/>
      <protection hidden="1"/>
    </xf>
    <xf numFmtId="43" fontId="33" fillId="2" borderId="0" xfId="17" applyFont="1" applyFill="1" applyAlignment="1" applyProtection="1">
      <alignment vertical="center"/>
      <protection hidden="1"/>
    </xf>
    <xf numFmtId="9" fontId="33"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8" fillId="6" borderId="0" xfId="0" applyFont="1" applyFill="1" applyBorder="1" applyAlignment="1" applyProtection="1">
      <alignment horizontal="center" vertical="center"/>
      <protection hidden="1"/>
    </xf>
    <xf numFmtId="0" fontId="35" fillId="2" borderId="0" xfId="0" quotePrefix="1" applyFont="1" applyFill="1" applyBorder="1" applyAlignment="1" applyProtection="1">
      <alignment horizontal="left" vertical="center" wrapText="1"/>
      <protection hidden="1"/>
    </xf>
    <xf numFmtId="0" fontId="58" fillId="6" borderId="0" xfId="0" applyFont="1" applyFill="1" applyBorder="1" applyAlignment="1" applyProtection="1">
      <alignment vertical="center"/>
      <protection hidden="1"/>
    </xf>
    <xf numFmtId="0" fontId="58" fillId="6" borderId="50" xfId="0" applyFont="1" applyFill="1" applyBorder="1" applyAlignment="1" applyProtection="1">
      <alignment vertical="center"/>
      <protection hidden="1"/>
    </xf>
    <xf numFmtId="0" fontId="60" fillId="12" borderId="0" xfId="0" applyFont="1" applyFill="1" applyAlignment="1" applyProtection="1">
      <alignment horizontal="left" vertical="top" wrapText="1"/>
      <protection hidden="1"/>
    </xf>
    <xf numFmtId="43" fontId="33" fillId="12" borderId="0" xfId="17" applyFont="1" applyFill="1" applyBorder="1" applyAlignment="1" applyProtection="1">
      <alignment horizontal="center" vertical="center"/>
      <protection hidden="1"/>
    </xf>
    <xf numFmtId="4" fontId="94" fillId="24" borderId="2" xfId="0" applyNumberFormat="1" applyFont="1" applyFill="1" applyBorder="1" applyAlignment="1" applyProtection="1">
      <alignment vertical="center"/>
      <protection hidden="1"/>
    </xf>
    <xf numFmtId="0" fontId="33" fillId="14" borderId="0" xfId="0" applyFont="1" applyFill="1" applyAlignment="1" applyProtection="1">
      <alignment vertical="center"/>
      <protection hidden="1"/>
    </xf>
    <xf numFmtId="0" fontId="33" fillId="32" borderId="0" xfId="0" applyFont="1" applyFill="1" applyAlignment="1" applyProtection="1">
      <alignment vertical="center"/>
      <protection hidden="1"/>
    </xf>
    <xf numFmtId="43" fontId="34" fillId="0" borderId="98" xfId="17" applyFont="1" applyFill="1" applyBorder="1" applyAlignment="1" applyProtection="1">
      <alignment horizontal="center" vertical="center" wrapText="1"/>
      <protection hidden="1"/>
    </xf>
    <xf numFmtId="2" fontId="55" fillId="0" borderId="101" xfId="0" applyNumberFormat="1" applyFont="1" applyFill="1" applyBorder="1" applyAlignment="1" applyProtection="1">
      <alignment horizontal="right" vertical="center" wrapText="1"/>
      <protection hidden="1"/>
    </xf>
    <xf numFmtId="167" fontId="33" fillId="12" borderId="0" xfId="17" applyNumberFormat="1" applyFont="1" applyFill="1" applyBorder="1" applyAlignment="1" applyProtection="1">
      <alignment horizontal="left" vertical="center"/>
      <protection hidden="1"/>
    </xf>
    <xf numFmtId="43" fontId="33" fillId="32" borderId="0" xfId="17" applyNumberFormat="1" applyFont="1" applyFill="1" applyBorder="1" applyAlignment="1" applyProtection="1">
      <alignment horizontal="center" vertical="center"/>
      <protection hidden="1"/>
    </xf>
    <xf numFmtId="43" fontId="34" fillId="34" borderId="31" xfId="17" applyNumberFormat="1" applyFont="1" applyFill="1" applyBorder="1" applyAlignment="1" applyProtection="1">
      <alignment horizontal="center" vertical="center" wrapText="1"/>
      <protection hidden="1"/>
    </xf>
    <xf numFmtId="43" fontId="34" fillId="34" borderId="31" xfId="17" applyFont="1" applyFill="1" applyBorder="1" applyAlignment="1" applyProtection="1">
      <alignment vertical="center" wrapText="1"/>
      <protection hidden="1"/>
    </xf>
    <xf numFmtId="43" fontId="34" fillId="34" borderId="31" xfId="17" applyNumberFormat="1" applyFont="1" applyFill="1" applyBorder="1" applyAlignment="1" applyProtection="1">
      <alignment vertical="center" wrapText="1"/>
      <protection hidden="1"/>
    </xf>
    <xf numFmtId="43" fontId="34" fillId="34" borderId="35" xfId="17" applyFont="1" applyFill="1" applyBorder="1" applyAlignment="1" applyProtection="1">
      <alignment horizontal="center" vertical="center" wrapText="1"/>
      <protection hidden="1"/>
    </xf>
    <xf numFmtId="43" fontId="34" fillId="34" borderId="35" xfId="17" applyFont="1" applyFill="1" applyBorder="1" applyAlignment="1" applyProtection="1">
      <alignment horizontal="right" vertical="center" wrapText="1"/>
      <protection hidden="1"/>
    </xf>
    <xf numFmtId="43" fontId="34" fillId="34" borderId="31" xfId="17" applyFont="1" applyFill="1" applyBorder="1" applyAlignment="1" applyProtection="1">
      <alignment horizontal="center" vertical="center" wrapText="1"/>
      <protection hidden="1"/>
    </xf>
    <xf numFmtId="43" fontId="34" fillId="34" borderId="35" xfId="17" applyNumberFormat="1" applyFont="1" applyFill="1" applyBorder="1" applyAlignment="1" applyProtection="1">
      <alignment horizontal="center" vertical="center" wrapText="1"/>
      <protection hidden="1"/>
    </xf>
    <xf numFmtId="43" fontId="34" fillId="34" borderId="47" xfId="17" applyNumberFormat="1" applyFont="1" applyFill="1" applyBorder="1" applyAlignment="1" applyProtection="1">
      <alignment horizontal="center" vertical="center" wrapText="1"/>
      <protection hidden="1"/>
    </xf>
    <xf numFmtId="43" fontId="33" fillId="0" borderId="31" xfId="17" applyFont="1" applyFill="1" applyBorder="1" applyAlignment="1" applyProtection="1">
      <alignment horizontal="right" vertical="center"/>
      <protection hidden="1"/>
    </xf>
    <xf numFmtId="0" fontId="11" fillId="32" borderId="0" xfId="30" applyFont="1" applyFill="1"/>
    <xf numFmtId="171" fontId="98" fillId="0" borderId="55"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7" fillId="0" borderId="0" xfId="33"/>
    <xf numFmtId="0" fontId="22" fillId="0" borderId="0" xfId="0" applyFont="1"/>
    <xf numFmtId="0" fontId="22" fillId="0" borderId="0" xfId="0" applyFont="1" applyFill="1" applyBorder="1"/>
    <xf numFmtId="0" fontId="0" fillId="35" borderId="2" xfId="0" applyFill="1" applyBorder="1" applyAlignment="1">
      <alignment horizontal="center"/>
    </xf>
    <xf numFmtId="0" fontId="46"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6" fillId="0" borderId="0" xfId="0" applyFont="1"/>
    <xf numFmtId="0" fontId="46" fillId="0" borderId="104" xfId="0" applyFont="1" applyBorder="1"/>
    <xf numFmtId="0" fontId="0" fillId="0" borderId="104" xfId="0" applyBorder="1"/>
    <xf numFmtId="0" fontId="22" fillId="0" borderId="104" xfId="0" applyFont="1" applyBorder="1"/>
    <xf numFmtId="0" fontId="46" fillId="35" borderId="94" xfId="0" applyFont="1" applyFill="1" applyBorder="1" applyAlignment="1">
      <alignment vertical="center"/>
    </xf>
    <xf numFmtId="0" fontId="22" fillId="0" borderId="105" xfId="0" applyFont="1" applyBorder="1"/>
    <xf numFmtId="0" fontId="22" fillId="0" borderId="105" xfId="0" applyFont="1" applyFill="1" applyBorder="1"/>
    <xf numFmtId="0" fontId="46"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6" fillId="35" borderId="94" xfId="0" applyFont="1" applyFill="1" applyBorder="1" applyAlignment="1">
      <alignment horizontal="center" vertical="center"/>
    </xf>
    <xf numFmtId="0" fontId="0" fillId="0" borderId="105" xfId="0" applyBorder="1" applyAlignment="1">
      <alignment horizontal="center"/>
    </xf>
    <xf numFmtId="0" fontId="46" fillId="35" borderId="89" xfId="0" applyFont="1" applyFill="1" applyBorder="1" applyAlignment="1">
      <alignment horizontal="center"/>
    </xf>
    <xf numFmtId="0" fontId="46" fillId="35" borderId="103" xfId="0" applyFont="1" applyFill="1" applyBorder="1" applyAlignment="1">
      <alignment vertical="center"/>
    </xf>
    <xf numFmtId="0" fontId="22" fillId="37" borderId="105" xfId="0" applyFont="1" applyFill="1" applyBorder="1"/>
    <xf numFmtId="0" fontId="46" fillId="35" borderId="78" xfId="0" applyFont="1" applyFill="1" applyBorder="1" applyAlignment="1">
      <alignment horizontal="center"/>
    </xf>
    <xf numFmtId="0" fontId="46" fillId="35" borderId="79" xfId="0" applyFont="1" applyFill="1" applyBorder="1" applyAlignment="1">
      <alignment horizontal="center"/>
    </xf>
    <xf numFmtId="41" fontId="22" fillId="33" borderId="105" xfId="31" applyFont="1" applyFill="1" applyBorder="1"/>
    <xf numFmtId="41" fontId="0" fillId="33" borderId="105" xfId="31" applyFont="1" applyFill="1" applyBorder="1" applyAlignment="1">
      <alignment horizontal="center"/>
    </xf>
    <xf numFmtId="0" fontId="0" fillId="36" borderId="105" xfId="0" applyFill="1" applyBorder="1" applyAlignment="1"/>
    <xf numFmtId="2" fontId="0" fillId="36" borderId="105" xfId="0" applyNumberFormat="1" applyFill="1" applyBorder="1" applyAlignment="1"/>
    <xf numFmtId="1" fontId="0" fillId="36" borderId="105" xfId="0" applyNumberFormat="1" applyFill="1" applyBorder="1" applyAlignment="1"/>
    <xf numFmtId="0" fontId="0" fillId="0" borderId="105" xfId="0" applyBorder="1" applyAlignment="1"/>
    <xf numFmtId="2" fontId="0" fillId="0" borderId="105" xfId="0" applyNumberFormat="1" applyBorder="1" applyAlignment="1"/>
    <xf numFmtId="1" fontId="0" fillId="0" borderId="105" xfId="0" applyNumberFormat="1" applyBorder="1" applyAlignment="1"/>
    <xf numFmtId="1" fontId="0" fillId="32" borderId="105" xfId="0" applyNumberFormat="1" applyFill="1" applyBorder="1" applyAlignment="1"/>
    <xf numFmtId="0" fontId="46" fillId="35" borderId="89" xfId="0" applyFont="1" applyFill="1" applyBorder="1" applyAlignment="1">
      <alignment horizontal="right" indent="1"/>
    </xf>
    <xf numFmtId="0" fontId="46" fillId="35" borderId="94" xfId="0" applyFont="1" applyFill="1" applyBorder="1" applyAlignment="1">
      <alignment horizontal="right" indent="1"/>
    </xf>
    <xf numFmtId="2" fontId="97" fillId="0" borderId="105" xfId="0" applyNumberFormat="1" applyFont="1" applyBorder="1" applyAlignment="1">
      <alignment horizontal="center"/>
    </xf>
    <xf numFmtId="10" fontId="0" fillId="0" borderId="0" xfId="25" applyNumberFormat="1" applyFont="1"/>
    <xf numFmtId="43" fontId="57" fillId="0" borderId="0" xfId="0" applyNumberFormat="1" applyFont="1" applyBorder="1" applyAlignment="1" applyProtection="1">
      <alignment vertical="center"/>
      <protection hidden="1"/>
    </xf>
    <xf numFmtId="43" fontId="110" fillId="0" borderId="0" xfId="0" applyNumberFormat="1" applyFont="1" applyBorder="1" applyAlignment="1" applyProtection="1">
      <alignment vertical="center"/>
      <protection hidden="1"/>
    </xf>
    <xf numFmtId="0" fontId="33" fillId="32" borderId="0" xfId="0" applyFont="1" applyFill="1" applyBorder="1" applyAlignment="1" applyProtection="1">
      <alignment vertical="center"/>
      <protection hidden="1"/>
    </xf>
    <xf numFmtId="0" fontId="10" fillId="32" borderId="0" xfId="30" applyFont="1" applyFill="1"/>
    <xf numFmtId="2" fontId="33" fillId="32" borderId="0" xfId="0" applyNumberFormat="1" applyFont="1" applyFill="1" applyAlignment="1" applyProtection="1">
      <alignment vertical="center"/>
      <protection hidden="1"/>
    </xf>
    <xf numFmtId="0" fontId="97" fillId="0" borderId="0" xfId="0" applyFont="1"/>
    <xf numFmtId="167" fontId="33" fillId="39" borderId="0" xfId="17" applyNumberFormat="1" applyFont="1" applyFill="1" applyBorder="1" applyAlignment="1" applyProtection="1">
      <alignment horizontal="left" vertical="center"/>
      <protection hidden="1"/>
    </xf>
    <xf numFmtId="0" fontId="9"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8" fillId="32" borderId="0" xfId="30" applyFont="1" applyFill="1"/>
    <xf numFmtId="0" fontId="0" fillId="32" borderId="0" xfId="0" applyFill="1"/>
    <xf numFmtId="0" fontId="22" fillId="32" borderId="0" xfId="0" applyFont="1" applyFill="1"/>
    <xf numFmtId="2" fontId="22" fillId="0" borderId="105" xfId="0" applyNumberFormat="1" applyFont="1" applyFill="1" applyBorder="1" applyAlignment="1">
      <alignment horizontal="center"/>
    </xf>
    <xf numFmtId="43" fontId="57"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2" fillId="0" borderId="0" xfId="0" applyFont="1" applyAlignment="1">
      <alignment vertical="center"/>
    </xf>
    <xf numFmtId="4" fontId="111" fillId="0" borderId="31" xfId="0" applyNumberFormat="1" applyFont="1" applyFill="1" applyBorder="1" applyAlignment="1" applyProtection="1">
      <alignment vertical="center"/>
      <protection hidden="1"/>
    </xf>
    <xf numFmtId="0" fontId="53" fillId="0" borderId="0" xfId="0" applyFont="1" applyFill="1" applyAlignment="1" applyProtection="1">
      <alignment horizontal="left" vertical="center"/>
      <protection hidden="1"/>
    </xf>
    <xf numFmtId="0" fontId="60" fillId="12" borderId="0" xfId="0" applyFont="1" applyFill="1" applyBorder="1" applyAlignment="1" applyProtection="1">
      <alignment horizontal="justify" vertical="top" wrapText="1"/>
      <protection hidden="1"/>
    </xf>
    <xf numFmtId="167" fontId="33" fillId="32" borderId="0" xfId="17" applyNumberFormat="1" applyFont="1" applyFill="1" applyBorder="1" applyAlignment="1" applyProtection="1">
      <alignment horizontal="center" vertical="center"/>
      <protection hidden="1"/>
    </xf>
    <xf numFmtId="0" fontId="60" fillId="12" borderId="0" xfId="0" applyFont="1" applyFill="1" applyBorder="1" applyAlignment="1" applyProtection="1">
      <alignment horizontal="left" vertical="top" wrapText="1"/>
      <protection hidden="1"/>
    </xf>
    <xf numFmtId="166" fontId="112" fillId="2" borderId="0" xfId="24" applyFont="1" applyFill="1" applyAlignment="1" applyProtection="1">
      <alignment horizontal="centerContinuous" vertical="center"/>
      <protection hidden="1"/>
    </xf>
    <xf numFmtId="0" fontId="113" fillId="2" borderId="0" xfId="0"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30" fillId="2" borderId="0" xfId="0" applyFont="1" applyFill="1" applyAlignment="1" applyProtection="1">
      <alignment horizontal="centerContinuous" vertical="center"/>
      <protection hidden="1"/>
    </xf>
    <xf numFmtId="0" fontId="115" fillId="0" borderId="0" xfId="0" applyFont="1"/>
    <xf numFmtId="0" fontId="60" fillId="12" borderId="0" xfId="0" applyFont="1" applyFill="1" applyBorder="1" applyAlignment="1" applyProtection="1">
      <alignment horizontal="left" vertical="top" wrapText="1"/>
      <protection hidden="1"/>
    </xf>
    <xf numFmtId="0" fontId="46" fillId="12" borderId="0" xfId="0" applyFont="1" applyFill="1" applyBorder="1" applyAlignment="1" applyProtection="1">
      <alignment horizontal="left" vertical="center" wrapText="1"/>
      <protection hidden="1"/>
    </xf>
    <xf numFmtId="43" fontId="46" fillId="12" borderId="0" xfId="17" applyFont="1" applyFill="1" applyBorder="1" applyAlignment="1" applyProtection="1">
      <alignment horizontal="right" vertical="center" wrapText="1"/>
      <protection hidden="1"/>
    </xf>
    <xf numFmtId="0" fontId="60" fillId="12" borderId="0" xfId="0" applyFont="1" applyFill="1" applyBorder="1" applyAlignment="1" applyProtection="1">
      <alignment vertical="top" wrapText="1"/>
      <protection hidden="1"/>
    </xf>
    <xf numFmtId="41" fontId="21" fillId="0" borderId="0" xfId="31" applyFont="1"/>
    <xf numFmtId="9" fontId="0" fillId="0" borderId="0" xfId="25" applyFont="1" applyAlignment="1">
      <alignment vertical="center"/>
    </xf>
    <xf numFmtId="0" fontId="7" fillId="0" borderId="0" xfId="30" applyFont="1"/>
    <xf numFmtId="167" fontId="0" fillId="0" borderId="0" xfId="0" applyNumberFormat="1"/>
    <xf numFmtId="0" fontId="57" fillId="0" borderId="0" xfId="0" applyFont="1" applyBorder="1" applyAlignment="1" applyProtection="1">
      <alignment vertical="center"/>
      <protection hidden="1"/>
    </xf>
    <xf numFmtId="172" fontId="110" fillId="0" borderId="0" xfId="0" applyNumberFormat="1" applyFont="1" applyBorder="1" applyAlignment="1" applyProtection="1">
      <alignment vertical="center"/>
      <protection hidden="1"/>
    </xf>
    <xf numFmtId="43" fontId="34" fillId="0" borderId="55" xfId="17" applyFont="1" applyFill="1" applyBorder="1" applyAlignment="1" applyProtection="1">
      <alignment vertical="center" wrapText="1"/>
      <protection hidden="1"/>
    </xf>
    <xf numFmtId="167" fontId="33" fillId="12" borderId="0" xfId="0" applyNumberFormat="1" applyFont="1" applyFill="1" applyBorder="1" applyAlignment="1" applyProtection="1">
      <alignment vertical="center"/>
      <protection hidden="1"/>
    </xf>
    <xf numFmtId="43" fontId="34" fillId="0" borderId="44" xfId="17" applyFont="1" applyFill="1" applyBorder="1" applyAlignment="1" applyProtection="1">
      <alignment vertical="center" wrapText="1"/>
      <protection hidden="1"/>
    </xf>
    <xf numFmtId="0" fontId="34" fillId="0" borderId="0" xfId="0" applyFont="1" applyAlignment="1" applyProtection="1">
      <alignment vertical="center"/>
      <protection hidden="1"/>
    </xf>
    <xf numFmtId="44" fontId="33" fillId="0" borderId="0" xfId="34" applyFont="1" applyFill="1" applyBorder="1" applyAlignment="1" applyProtection="1">
      <alignment vertical="center"/>
      <protection hidden="1"/>
    </xf>
    <xf numFmtId="2" fontId="33" fillId="12" borderId="0" xfId="0" applyNumberFormat="1" applyFont="1" applyFill="1" applyBorder="1" applyAlignment="1" applyProtection="1">
      <alignment vertical="center"/>
      <protection hidden="1"/>
    </xf>
    <xf numFmtId="3" fontId="33" fillId="2" borderId="34" xfId="0" applyNumberFormat="1" applyFont="1" applyFill="1" applyBorder="1" applyAlignment="1" applyProtection="1">
      <alignment horizontal="right" vertical="center"/>
      <protection hidden="1"/>
    </xf>
    <xf numFmtId="3" fontId="33" fillId="0" borderId="34" xfId="0" applyNumberFormat="1" applyFont="1" applyFill="1" applyBorder="1" applyAlignment="1" applyProtection="1">
      <alignment horizontal="right" vertical="center"/>
      <protection hidden="1"/>
    </xf>
    <xf numFmtId="3" fontId="33" fillId="0" borderId="52" xfId="0" applyNumberFormat="1" applyFont="1" applyFill="1" applyBorder="1" applyAlignment="1" applyProtection="1">
      <alignment horizontal="right" vertical="center"/>
      <protection hidden="1"/>
    </xf>
    <xf numFmtId="177" fontId="33" fillId="0" borderId="0" xfId="34" applyNumberFormat="1" applyFont="1" applyBorder="1" applyAlignment="1" applyProtection="1">
      <alignment vertical="center"/>
      <protection hidden="1"/>
    </xf>
    <xf numFmtId="178" fontId="34" fillId="0" borderId="31" xfId="17" applyNumberFormat="1" applyFont="1" applyFill="1" applyBorder="1" applyAlignment="1" applyProtection="1">
      <alignment vertical="center" wrapText="1"/>
      <protection hidden="1"/>
    </xf>
    <xf numFmtId="0" fontId="6" fillId="24" borderId="0" xfId="30" applyFont="1" applyFill="1"/>
    <xf numFmtId="178" fontId="34" fillId="13" borderId="39" xfId="17" applyNumberFormat="1" applyFont="1" applyFill="1" applyBorder="1" applyAlignment="1" applyProtection="1">
      <alignment horizontal="center" vertical="center" wrapText="1"/>
      <protection hidden="1"/>
    </xf>
    <xf numFmtId="0" fontId="117" fillId="0" borderId="0" xfId="0" applyFont="1" applyFill="1" applyBorder="1" applyAlignment="1" applyProtection="1">
      <alignment vertical="center"/>
      <protection hidden="1"/>
    </xf>
    <xf numFmtId="43" fontId="117" fillId="0" borderId="0" xfId="0" applyNumberFormat="1" applyFont="1" applyFill="1" applyBorder="1" applyAlignment="1" applyProtection="1">
      <alignment vertical="center"/>
      <protection hidden="1"/>
    </xf>
    <xf numFmtId="0" fontId="117" fillId="12" borderId="0" xfId="0" applyFont="1" applyFill="1" applyBorder="1" applyAlignment="1" applyProtection="1">
      <alignment vertical="center"/>
      <protection hidden="1"/>
    </xf>
    <xf numFmtId="0" fontId="13" fillId="0" borderId="0" xfId="30" applyFont="1" applyFill="1"/>
    <xf numFmtId="0" fontId="16" fillId="0" borderId="0" xfId="30" applyFont="1" applyFill="1"/>
    <xf numFmtId="0" fontId="5" fillId="40" borderId="0" xfId="30" applyFont="1" applyFill="1"/>
    <xf numFmtId="43" fontId="90" fillId="40" borderId="0" xfId="30" applyNumberFormat="1" applyFont="1" applyFill="1" applyBorder="1"/>
    <xf numFmtId="43" fontId="21" fillId="40" borderId="0" xfId="30" applyNumberFormat="1" applyFont="1" applyFill="1" applyBorder="1"/>
    <xf numFmtId="0" fontId="90" fillId="0" borderId="0" xfId="30" applyFont="1" applyFill="1"/>
    <xf numFmtId="0" fontId="90" fillId="33" borderId="2" xfId="30" applyFont="1" applyFill="1" applyBorder="1"/>
    <xf numFmtId="0" fontId="90" fillId="13" borderId="2" xfId="30" applyFont="1" applyFill="1" applyBorder="1"/>
    <xf numFmtId="0" fontId="118" fillId="0" borderId="2" xfId="30" applyFont="1" applyFill="1" applyBorder="1"/>
    <xf numFmtId="0" fontId="119" fillId="0" borderId="0" xfId="30" applyFont="1" applyAlignment="1">
      <alignment horizontal="center" vertical="center"/>
    </xf>
    <xf numFmtId="0" fontId="120" fillId="0" borderId="0" xfId="30" applyFont="1" applyAlignment="1">
      <alignment horizontal="center" vertical="center"/>
    </xf>
    <xf numFmtId="43" fontId="21" fillId="40" borderId="93" xfId="30" applyNumberFormat="1" applyFont="1" applyFill="1" applyBorder="1"/>
    <xf numFmtId="43" fontId="90" fillId="40" borderId="93" xfId="30" applyNumberFormat="1" applyFont="1" applyFill="1" applyBorder="1"/>
    <xf numFmtId="0" fontId="121" fillId="0" borderId="106" xfId="30" applyFont="1" applyFill="1" applyBorder="1"/>
    <xf numFmtId="0" fontId="121" fillId="14" borderId="106" xfId="30" applyFont="1" applyFill="1" applyBorder="1" applyAlignment="1">
      <alignment horizontal="center"/>
    </xf>
    <xf numFmtId="0" fontId="121" fillId="14" borderId="106" xfId="30" applyFont="1" applyFill="1" applyBorder="1" applyAlignment="1">
      <alignment horizontal="left"/>
    </xf>
    <xf numFmtId="0" fontId="121" fillId="0" borderId="106" xfId="30" applyFont="1" applyBorder="1" applyAlignment="1">
      <alignment horizontal="left"/>
    </xf>
    <xf numFmtId="0" fontId="119" fillId="32" borderId="0" xfId="30" applyFont="1" applyFill="1" applyAlignment="1">
      <alignment horizontal="center" vertical="center"/>
    </xf>
    <xf numFmtId="0" fontId="90" fillId="41" borderId="2" xfId="30" applyFont="1" applyFill="1" applyBorder="1"/>
    <xf numFmtId="0" fontId="90" fillId="41" borderId="94" xfId="30" applyFont="1" applyFill="1" applyBorder="1"/>
    <xf numFmtId="0" fontId="90" fillId="42" borderId="2" xfId="30" applyFont="1" applyFill="1" applyBorder="1"/>
    <xf numFmtId="0" fontId="90" fillId="42" borderId="94" xfId="30" applyFont="1" applyFill="1" applyBorder="1"/>
    <xf numFmtId="0" fontId="122" fillId="18" borderId="0" xfId="30" applyFont="1" applyFill="1" applyAlignment="1">
      <alignment horizontal="center" vertical="center"/>
    </xf>
    <xf numFmtId="0" fontId="121" fillId="0" borderId="107" xfId="30" applyFont="1" applyFill="1" applyBorder="1"/>
    <xf numFmtId="0" fontId="121" fillId="14" borderId="107" xfId="30" applyFont="1" applyFill="1" applyBorder="1" applyAlignment="1">
      <alignment horizontal="center"/>
    </xf>
    <xf numFmtId="0" fontId="121" fillId="0" borderId="107" xfId="30" applyFont="1" applyBorder="1" applyAlignment="1">
      <alignment horizontal="left"/>
    </xf>
    <xf numFmtId="0" fontId="118" fillId="0" borderId="106" xfId="30" applyFont="1" applyFill="1" applyBorder="1"/>
    <xf numFmtId="0" fontId="118" fillId="14" borderId="106" xfId="30" applyFont="1" applyFill="1" applyBorder="1" applyAlignment="1">
      <alignment horizontal="center"/>
    </xf>
    <xf numFmtId="43" fontId="118" fillId="0" borderId="106" xfId="30" applyNumberFormat="1" applyFont="1" applyFill="1" applyBorder="1"/>
    <xf numFmtId="0" fontId="118" fillId="14" borderId="106" xfId="30" applyFont="1" applyFill="1" applyBorder="1" applyAlignment="1">
      <alignment horizontal="left"/>
    </xf>
    <xf numFmtId="43" fontId="21" fillId="41" borderId="2" xfId="30" applyNumberFormat="1" applyFont="1" applyFill="1" applyBorder="1"/>
    <xf numFmtId="0" fontId="58" fillId="6" borderId="0"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60" fillId="12" borderId="0" xfId="0" applyFont="1" applyFill="1" applyAlignment="1" applyProtection="1">
      <alignment horizontal="justify" vertical="center" wrapText="1"/>
      <protection hidden="1"/>
    </xf>
    <xf numFmtId="0" fontId="60" fillId="0" borderId="0" xfId="0" applyFont="1" applyBorder="1" applyAlignment="1" applyProtection="1">
      <alignment horizontal="center" vertical="top" wrapText="1"/>
      <protection hidden="1"/>
    </xf>
    <xf numFmtId="0" fontId="60" fillId="12" borderId="0" xfId="0" applyFont="1" applyFill="1" applyBorder="1" applyAlignment="1" applyProtection="1">
      <alignment horizontal="left" vertical="top" wrapText="1"/>
      <protection hidden="1"/>
    </xf>
    <xf numFmtId="0" fontId="57" fillId="12" borderId="0" xfId="0" applyFont="1" applyFill="1" applyBorder="1" applyAlignment="1" applyProtection="1">
      <alignment vertical="center"/>
      <protection hidden="1"/>
    </xf>
    <xf numFmtId="43" fontId="97" fillId="0" borderId="0" xfId="0" applyNumberFormat="1" applyFont="1" applyBorder="1" applyAlignment="1" applyProtection="1">
      <alignment vertical="center"/>
      <protection hidden="1"/>
    </xf>
    <xf numFmtId="43" fontId="106" fillId="32" borderId="0" xfId="17" applyNumberFormat="1" applyFont="1" applyFill="1" applyBorder="1" applyAlignment="1" applyProtection="1">
      <alignment horizontal="center" vertical="center"/>
      <protection hidden="1"/>
    </xf>
    <xf numFmtId="0" fontId="60" fillId="2" borderId="0" xfId="0" applyFont="1" applyFill="1" applyAlignment="1" applyProtection="1">
      <alignment horizontal="left" vertical="center"/>
      <protection hidden="1"/>
    </xf>
    <xf numFmtId="0" fontId="128" fillId="12" borderId="0" xfId="0" applyFont="1" applyFill="1" applyBorder="1" applyAlignment="1" applyProtection="1">
      <alignment vertical="center"/>
      <protection hidden="1"/>
    </xf>
    <xf numFmtId="0" fontId="80" fillId="0" borderId="0" xfId="21" applyFont="1" applyAlignment="1" applyProtection="1">
      <alignment horizontal="justify"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167" fontId="33" fillId="43" borderId="0" xfId="17" applyNumberFormat="1" applyFont="1" applyFill="1" applyBorder="1" applyAlignment="1" applyProtection="1">
      <alignment horizontal="center" vertical="center"/>
      <protection hidden="1"/>
    </xf>
    <xf numFmtId="167" fontId="33" fillId="14" borderId="0" xfId="17" applyNumberFormat="1" applyFont="1" applyFill="1" applyBorder="1" applyAlignment="1" applyProtection="1">
      <alignment horizontal="center" vertical="center"/>
      <protection hidden="1"/>
    </xf>
    <xf numFmtId="0" fontId="4" fillId="24" borderId="0" xfId="30" applyFont="1" applyFill="1"/>
    <xf numFmtId="167" fontId="34" fillId="13" borderId="0" xfId="17" applyNumberFormat="1" applyFont="1" applyFill="1" applyBorder="1" applyAlignment="1" applyProtection="1">
      <alignment horizontal="center" vertical="center" wrapText="1"/>
      <protection hidden="1"/>
    </xf>
    <xf numFmtId="4" fontId="33" fillId="0" borderId="38" xfId="0" applyNumberFormat="1" applyFont="1" applyBorder="1" applyAlignment="1" applyProtection="1">
      <alignment horizontal="center" vertical="center"/>
      <protection hidden="1"/>
    </xf>
    <xf numFmtId="4" fontId="34" fillId="0" borderId="35" xfId="0" applyNumberFormat="1" applyFont="1" applyBorder="1" applyAlignment="1" applyProtection="1">
      <alignment horizontal="center" vertical="center"/>
      <protection hidden="1"/>
    </xf>
    <xf numFmtId="4" fontId="34" fillId="0" borderId="37" xfId="0" applyNumberFormat="1" applyFont="1" applyBorder="1" applyAlignment="1" applyProtection="1">
      <alignment horizontal="center" vertical="center"/>
      <protection hidden="1"/>
    </xf>
    <xf numFmtId="4" fontId="33" fillId="0" borderId="31" xfId="0" applyNumberFormat="1" applyFont="1" applyBorder="1" applyAlignment="1" applyProtection="1">
      <alignment horizontal="right" vertical="center"/>
      <protection hidden="1"/>
    </xf>
    <xf numFmtId="43" fontId="33" fillId="2" borderId="2" xfId="0" applyNumberFormat="1" applyFont="1" applyFill="1" applyBorder="1" applyAlignment="1" applyProtection="1">
      <alignment vertical="center"/>
      <protection hidden="1"/>
    </xf>
    <xf numFmtId="43" fontId="34" fillId="0" borderId="42" xfId="17" applyFont="1" applyFill="1" applyBorder="1" applyAlignment="1" applyProtection="1">
      <alignment vertical="center" wrapText="1"/>
      <protection hidden="1"/>
    </xf>
    <xf numFmtId="0" fontId="3" fillId="24" borderId="0" xfId="30" applyFont="1" applyFill="1"/>
    <xf numFmtId="171" fontId="34" fillId="0" borderId="97" xfId="17" applyNumberFormat="1" applyFont="1" applyFill="1" applyBorder="1" applyAlignment="1" applyProtection="1">
      <alignment horizontal="center" vertical="center" wrapText="1"/>
      <protection hidden="1"/>
    </xf>
    <xf numFmtId="2" fontId="0" fillId="42" borderId="105" xfId="0" applyNumberFormat="1" applyFill="1" applyBorder="1" applyAlignment="1">
      <alignment horizontal="center"/>
    </xf>
    <xf numFmtId="1" fontId="0" fillId="42" borderId="105" xfId="0" applyNumberFormat="1" applyFill="1" applyBorder="1" applyAlignment="1"/>
    <xf numFmtId="1" fontId="0" fillId="42" borderId="105" xfId="0" applyNumberFormat="1" applyFill="1" applyBorder="1" applyAlignment="1">
      <alignment horizontal="center"/>
    </xf>
    <xf numFmtId="0" fontId="33" fillId="43" borderId="0" xfId="0" applyFont="1" applyFill="1" applyAlignment="1" applyProtection="1">
      <alignment vertical="center"/>
      <protection hidden="1"/>
    </xf>
    <xf numFmtId="0" fontId="33" fillId="14" borderId="0" xfId="0" applyFont="1" applyFill="1" applyBorder="1" applyAlignment="1" applyProtection="1">
      <alignment vertical="center"/>
      <protection hidden="1"/>
    </xf>
    <xf numFmtId="4" fontId="33" fillId="14" borderId="38" xfId="0" applyNumberFormat="1" applyFont="1" applyFill="1" applyBorder="1" applyAlignment="1" applyProtection="1">
      <alignment horizontal="center" vertical="center"/>
      <protection hidden="1"/>
    </xf>
    <xf numFmtId="4" fontId="33" fillId="14" borderId="35" xfId="0" applyNumberFormat="1" applyFont="1" applyFill="1" applyBorder="1" applyAlignment="1" applyProtection="1">
      <alignment horizontal="center" vertical="center"/>
      <protection hidden="1"/>
    </xf>
    <xf numFmtId="0" fontId="57" fillId="14" borderId="0" xfId="0" applyFont="1" applyFill="1" applyBorder="1" applyAlignment="1" applyProtection="1">
      <alignment vertical="center"/>
      <protection hidden="1"/>
    </xf>
    <xf numFmtId="176" fontId="33" fillId="12" borderId="0" xfId="0" applyNumberFormat="1" applyFont="1" applyFill="1" applyAlignment="1" applyProtection="1">
      <alignment vertical="center"/>
      <protection hidden="1"/>
    </xf>
    <xf numFmtId="0" fontId="52" fillId="12" borderId="0" xfId="0" applyFont="1" applyFill="1" applyAlignment="1" applyProtection="1">
      <alignment horizontal="centerContinuous" vertical="center"/>
      <protection hidden="1"/>
    </xf>
    <xf numFmtId="0" fontId="0" fillId="12" borderId="0" xfId="0" applyFill="1"/>
    <xf numFmtId="0" fontId="2" fillId="24" borderId="0" xfId="30" applyFont="1" applyFill="1"/>
    <xf numFmtId="2" fontId="0" fillId="0" borderId="105" xfId="0" applyNumberFormat="1" applyFill="1" applyBorder="1" applyAlignment="1">
      <alignment horizontal="center"/>
    </xf>
    <xf numFmtId="43" fontId="0" fillId="14" borderId="2" xfId="17" applyFont="1" applyFill="1" applyBorder="1" applyAlignment="1">
      <alignment horizontal="center" vertical="center"/>
    </xf>
    <xf numFmtId="43" fontId="0" fillId="14" borderId="0" xfId="17" applyFont="1" applyFill="1" applyAlignment="1">
      <alignment horizontal="center" vertical="center"/>
    </xf>
    <xf numFmtId="43" fontId="22" fillId="14" borderId="2" xfId="17" applyFont="1" applyFill="1" applyBorder="1" applyAlignment="1">
      <alignment horizontal="center" vertical="center"/>
    </xf>
    <xf numFmtId="43" fontId="129" fillId="0" borderId="2" xfId="17" applyFont="1" applyBorder="1" applyAlignment="1">
      <alignment horizontal="center" vertical="center"/>
    </xf>
    <xf numFmtId="43" fontId="130" fillId="0" borderId="0" xfId="17" applyFont="1" applyFill="1" applyBorder="1" applyAlignment="1">
      <alignment horizontal="center" vertical="center"/>
    </xf>
    <xf numFmtId="10" fontId="130" fillId="14" borderId="0" xfId="0" applyNumberFormat="1" applyFont="1" applyFill="1" applyAlignment="1">
      <alignment vertical="center"/>
    </xf>
    <xf numFmtId="0" fontId="129" fillId="0" borderId="0" xfId="0" applyFont="1" applyAlignment="1">
      <alignment vertical="center"/>
    </xf>
    <xf numFmtId="2" fontId="129" fillId="0" borderId="0" xfId="0" applyNumberFormat="1" applyFont="1" applyAlignment="1">
      <alignment vertical="center"/>
    </xf>
    <xf numFmtId="0" fontId="131" fillId="0" borderId="0" xfId="0" applyFont="1" applyAlignment="1">
      <alignment vertical="center"/>
    </xf>
    <xf numFmtId="43" fontId="0" fillId="44" borderId="2" xfId="17" applyFont="1" applyFill="1" applyBorder="1" applyAlignment="1">
      <alignment horizontal="center" vertical="center"/>
    </xf>
    <xf numFmtId="0" fontId="0" fillId="44" borderId="2" xfId="0" applyFill="1" applyBorder="1" applyAlignment="1">
      <alignment vertical="center"/>
    </xf>
    <xf numFmtId="4" fontId="132" fillId="2" borderId="0" xfId="0" applyNumberFormat="1" applyFont="1" applyFill="1" applyBorder="1" applyAlignment="1" applyProtection="1">
      <alignment horizontal="right" vertical="center"/>
      <protection hidden="1"/>
    </xf>
    <xf numFmtId="0" fontId="60" fillId="0" borderId="0" xfId="0" applyFont="1" applyBorder="1" applyAlignment="1" applyProtection="1">
      <alignment horizontal="left" vertical="top" wrapText="1"/>
      <protection hidden="1"/>
    </xf>
    <xf numFmtId="0" fontId="60" fillId="0" borderId="0" xfId="0" applyFont="1" applyBorder="1" applyAlignment="1" applyProtection="1">
      <alignment horizontal="left" vertical="top"/>
      <protection hidden="1"/>
    </xf>
    <xf numFmtId="175" fontId="79" fillId="0" borderId="0" xfId="32" applyNumberFormat="1" applyFont="1" applyFill="1" applyAlignment="1" applyProtection="1">
      <alignment vertical="center"/>
      <protection hidden="1"/>
    </xf>
    <xf numFmtId="178" fontId="34" fillId="2" borderId="39" xfId="17" applyNumberFormat="1" applyFont="1" applyFill="1" applyBorder="1" applyAlignment="1" applyProtection="1">
      <alignment horizontal="center" vertical="center" wrapText="1"/>
      <protection hidden="1"/>
    </xf>
    <xf numFmtId="0" fontId="1" fillId="24" borderId="0" xfId="30" applyFont="1" applyFill="1"/>
    <xf numFmtId="0" fontId="52" fillId="2" borderId="0" xfId="0" quotePrefix="1" applyFont="1" applyFill="1" applyBorder="1" applyAlignment="1" applyProtection="1">
      <alignment horizontal="left" vertical="center"/>
      <protection hidden="1"/>
    </xf>
    <xf numFmtId="171" fontId="98" fillId="0" borderId="97" xfId="17" applyNumberFormat="1" applyFont="1" applyFill="1" applyBorder="1" applyAlignment="1" applyProtection="1">
      <alignment horizontal="center" vertical="center" wrapText="1"/>
      <protection hidden="1"/>
    </xf>
    <xf numFmtId="0" fontId="33" fillId="35" borderId="0" xfId="0" applyFont="1" applyFill="1" applyAlignment="1" applyProtection="1">
      <alignment vertical="center"/>
      <protection hidden="1"/>
    </xf>
    <xf numFmtId="3" fontId="33" fillId="2" borderId="37" xfId="0" applyNumberFormat="1" applyFont="1" applyFill="1" applyBorder="1" applyAlignment="1" applyProtection="1">
      <alignment horizontal="right" vertical="center"/>
      <protection hidden="1"/>
    </xf>
    <xf numFmtId="0" fontId="21" fillId="0" borderId="2" xfId="30" applyFont="1" applyBorder="1" applyAlignment="1">
      <alignment horizontal="left"/>
    </xf>
    <xf numFmtId="0" fontId="21" fillId="0" borderId="2" xfId="30" applyFont="1" applyFill="1" applyBorder="1" applyAlignment="1">
      <alignment horizontal="left"/>
    </xf>
    <xf numFmtId="0" fontId="16" fillId="0" borderId="81" xfId="30" applyFont="1" applyBorder="1" applyAlignment="1">
      <alignment horizontal="center"/>
    </xf>
    <xf numFmtId="0" fontId="16" fillId="0" borderId="82" xfId="30" applyFont="1" applyBorder="1" applyAlignment="1">
      <alignment horizontal="center"/>
    </xf>
    <xf numFmtId="0" fontId="21" fillId="28" borderId="88" xfId="30" applyFont="1" applyFill="1" applyBorder="1" applyAlignment="1">
      <alignment horizontal="left"/>
    </xf>
    <xf numFmtId="0" fontId="21" fillId="28" borderId="92" xfId="30" applyFont="1" applyFill="1" applyBorder="1" applyAlignment="1">
      <alignment horizontal="left"/>
    </xf>
    <xf numFmtId="0" fontId="21" fillId="28" borderId="93" xfId="30" applyFont="1" applyFill="1" applyBorder="1" applyAlignment="1">
      <alignment horizontal="left"/>
    </xf>
    <xf numFmtId="0" fontId="85" fillId="0" borderId="2" xfId="30" applyFont="1" applyBorder="1" applyAlignment="1">
      <alignment horizontal="left" vertical="center"/>
    </xf>
    <xf numFmtId="0" fontId="86" fillId="0" borderId="88" xfId="30" applyFont="1" applyBorder="1" applyAlignment="1">
      <alignment horizontal="center" vertical="center"/>
    </xf>
    <xf numFmtId="0" fontId="84" fillId="0" borderId="78" xfId="30" applyFont="1" applyBorder="1" applyAlignment="1">
      <alignment horizontal="left"/>
    </xf>
    <xf numFmtId="0" fontId="84" fillId="0" borderId="79" xfId="30" applyFont="1" applyBorder="1" applyAlignment="1">
      <alignment horizontal="left"/>
    </xf>
    <xf numFmtId="0" fontId="84" fillId="0" borderId="89" xfId="30" applyFont="1" applyBorder="1" applyAlignment="1">
      <alignment horizontal="left"/>
    </xf>
    <xf numFmtId="0" fontId="84" fillId="0" borderId="82" xfId="30" applyFont="1" applyBorder="1" applyAlignment="1">
      <alignment horizontal="left"/>
    </xf>
    <xf numFmtId="0" fontId="84" fillId="0" borderId="83" xfId="30" applyFont="1" applyBorder="1" applyAlignment="1">
      <alignment horizontal="left"/>
    </xf>
    <xf numFmtId="0" fontId="84" fillId="0" borderId="90" xfId="30" applyFont="1" applyBorder="1" applyAlignment="1">
      <alignment horizontal="left"/>
    </xf>
    <xf numFmtId="0" fontId="85" fillId="0" borderId="2" xfId="30" applyFont="1" applyBorder="1" applyAlignment="1">
      <alignment horizontal="center" vertical="center"/>
    </xf>
    <xf numFmtId="0" fontId="118" fillId="28" borderId="106" xfId="30" applyFont="1" applyFill="1" applyBorder="1" applyAlignment="1">
      <alignment horizontal="left"/>
    </xf>
    <xf numFmtId="0" fontId="121" fillId="0" borderId="106" xfId="30" applyFont="1" applyBorder="1" applyAlignment="1">
      <alignment horizontal="center"/>
    </xf>
    <xf numFmtId="0" fontId="121" fillId="0" borderId="107" xfId="30" applyFont="1" applyBorder="1" applyAlignment="1">
      <alignment horizontal="center"/>
    </xf>
    <xf numFmtId="0" fontId="21" fillId="0" borderId="88" xfId="30" applyFont="1" applyBorder="1" applyAlignment="1">
      <alignment horizontal="left"/>
    </xf>
    <xf numFmtId="0" fontId="21" fillId="0" borderId="92" xfId="30" applyFont="1" applyBorder="1" applyAlignment="1">
      <alignment horizontal="left"/>
    </xf>
    <xf numFmtId="0" fontId="21" fillId="0" borderId="93" xfId="30" applyFont="1" applyBorder="1" applyAlignment="1">
      <alignment horizontal="left"/>
    </xf>
    <xf numFmtId="0" fontId="121" fillId="28" borderId="106" xfId="30" applyFont="1" applyFill="1" applyBorder="1" applyAlignment="1">
      <alignment horizontal="left"/>
    </xf>
    <xf numFmtId="0" fontId="118" fillId="0" borderId="106" xfId="30" applyFont="1" applyBorder="1" applyAlignment="1">
      <alignment horizontal="left"/>
    </xf>
    <xf numFmtId="0" fontId="21" fillId="28" borderId="94" xfId="30" applyFont="1" applyFill="1" applyBorder="1" applyAlignment="1">
      <alignment horizontal="left"/>
    </xf>
    <xf numFmtId="0" fontId="21" fillId="0" borderId="91" xfId="30" applyFont="1" applyBorder="1" applyAlignment="1">
      <alignment horizontal="left"/>
    </xf>
    <xf numFmtId="0" fontId="21" fillId="28" borderId="2" xfId="30" applyFont="1" applyFill="1" applyBorder="1" applyAlignment="1">
      <alignment horizontal="left"/>
    </xf>
    <xf numFmtId="0" fontId="21" fillId="27" borderId="2" xfId="30" applyFont="1" applyFill="1" applyBorder="1" applyAlignment="1">
      <alignment horizontal="left"/>
    </xf>
    <xf numFmtId="0" fontId="21" fillId="0" borderId="88" xfId="30" applyFont="1" applyBorder="1" applyAlignment="1">
      <alignment horizontal="center"/>
    </xf>
    <xf numFmtId="0" fontId="21" fillId="0" borderId="92" xfId="30" applyFont="1" applyBorder="1" applyAlignment="1">
      <alignment horizontal="center"/>
    </xf>
    <xf numFmtId="0" fontId="21" fillId="0" borderId="93" xfId="30" applyFont="1" applyBorder="1" applyAlignment="1">
      <alignment horizontal="center"/>
    </xf>
    <xf numFmtId="0" fontId="21" fillId="0" borderId="2" xfId="30" applyFont="1" applyBorder="1" applyAlignment="1">
      <alignment horizontal="center"/>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22" fillId="0" borderId="78" xfId="21" applyBorder="1" applyAlignment="1">
      <alignment horizontal="center"/>
    </xf>
    <xf numFmtId="0" fontId="22" fillId="0" borderId="79" xfId="21" applyBorder="1" applyAlignment="1">
      <alignment horizontal="center"/>
    </xf>
    <xf numFmtId="0" fontId="22" fillId="0" borderId="80" xfId="21" applyBorder="1" applyAlignment="1">
      <alignment horizontal="center"/>
    </xf>
    <xf numFmtId="0" fontId="22" fillId="0" borderId="81" xfId="21" applyBorder="1" applyAlignment="1">
      <alignment horizontal="center"/>
    </xf>
    <xf numFmtId="0" fontId="22" fillId="0" borderId="0" xfId="21" applyBorder="1" applyAlignment="1">
      <alignment horizontal="center"/>
    </xf>
    <xf numFmtId="0" fontId="22" fillId="0" borderId="4" xfId="21" applyBorder="1" applyAlignment="1">
      <alignment horizontal="center"/>
    </xf>
    <xf numFmtId="0" fontId="22" fillId="0" borderId="82" xfId="21" applyBorder="1" applyAlignment="1">
      <alignment horizontal="center"/>
    </xf>
    <xf numFmtId="0" fontId="22" fillId="0" borderId="83" xfId="21" applyBorder="1" applyAlignment="1">
      <alignment horizontal="center"/>
    </xf>
    <xf numFmtId="0" fontId="22" fillId="0" borderId="84" xfId="21" applyBorder="1" applyAlignment="1">
      <alignment horizontal="center"/>
    </xf>
    <xf numFmtId="0" fontId="44" fillId="2" borderId="2" xfId="21" applyFont="1" applyFill="1" applyBorder="1" applyAlignment="1">
      <alignment horizontal="center"/>
    </xf>
    <xf numFmtId="0" fontId="44" fillId="2" borderId="77" xfId="21" applyFont="1" applyFill="1" applyBorder="1" applyAlignment="1">
      <alignment horizontal="center"/>
    </xf>
    <xf numFmtId="0" fontId="22" fillId="0" borderId="86" xfId="21" applyBorder="1" applyAlignment="1">
      <alignment horizontal="center"/>
    </xf>
    <xf numFmtId="0" fontId="22" fillId="0" borderId="87" xfId="21" applyBorder="1" applyAlignment="1">
      <alignment horizontal="center"/>
    </xf>
    <xf numFmtId="0" fontId="46" fillId="23" borderId="8" xfId="21" applyFont="1" applyFill="1" applyBorder="1" applyAlignment="1">
      <alignment horizontal="center"/>
    </xf>
    <xf numFmtId="0" fontId="46" fillId="23" borderId="9" xfId="21" applyFont="1" applyFill="1" applyBorder="1" applyAlignment="1">
      <alignment horizontal="center"/>
    </xf>
    <xf numFmtId="0" fontId="46" fillId="23" borderId="15" xfId="21" applyFont="1" applyFill="1" applyBorder="1" applyAlignment="1">
      <alignment horizontal="center"/>
    </xf>
    <xf numFmtId="0" fontId="46" fillId="23" borderId="5" xfId="21" applyFont="1" applyFill="1" applyBorder="1" applyAlignment="1">
      <alignment horizontal="center" vertical="center" wrapText="1"/>
    </xf>
    <xf numFmtId="0" fontId="46" fillId="23" borderId="6" xfId="21" applyFont="1" applyFill="1" applyBorder="1" applyAlignment="1">
      <alignment horizontal="center" vertical="center" wrapText="1"/>
    </xf>
    <xf numFmtId="0" fontId="46" fillId="23" borderId="11" xfId="21" applyFont="1" applyFill="1" applyBorder="1" applyAlignment="1">
      <alignment horizontal="center" vertical="center" wrapText="1"/>
    </xf>
    <xf numFmtId="0" fontId="46" fillId="23" borderId="13" xfId="21" applyFont="1" applyFill="1" applyBorder="1" applyAlignment="1">
      <alignment horizontal="center" vertical="center" wrapText="1"/>
    </xf>
    <xf numFmtId="10" fontId="46" fillId="23" borderId="3" xfId="26" applyNumberFormat="1" applyFont="1" applyFill="1" applyBorder="1" applyAlignment="1">
      <alignment horizontal="center" vertical="center"/>
    </xf>
    <xf numFmtId="10" fontId="46" fillId="23" borderId="12" xfId="26" applyNumberFormat="1" applyFont="1" applyFill="1" applyBorder="1" applyAlignment="1">
      <alignment horizontal="center" vertical="center"/>
    </xf>
    <xf numFmtId="0" fontId="44" fillId="2" borderId="75" xfId="21" applyFont="1" applyFill="1" applyBorder="1" applyAlignment="1">
      <alignment horizontal="center"/>
    </xf>
    <xf numFmtId="0" fontId="44" fillId="2" borderId="76" xfId="21" applyFont="1" applyFill="1" applyBorder="1" applyAlignment="1">
      <alignment horizontal="center"/>
    </xf>
    <xf numFmtId="49" fontId="45" fillId="10" borderId="11" xfId="23" quotePrefix="1" applyNumberFormat="1" applyFont="1" applyFill="1" applyBorder="1" applyAlignment="1" applyProtection="1">
      <alignment horizontal="center" vertical="center" wrapText="1"/>
    </xf>
    <xf numFmtId="49" fontId="45" fillId="10" borderId="13" xfId="23" quotePrefix="1" applyNumberFormat="1" applyFont="1" applyFill="1" applyBorder="1" applyAlignment="1" applyProtection="1">
      <alignment horizontal="center" vertical="center" wrapText="1"/>
    </xf>
    <xf numFmtId="49" fontId="45" fillId="10" borderId="12" xfId="23" quotePrefix="1" applyNumberFormat="1" applyFont="1" applyFill="1" applyBorder="1" applyAlignment="1" applyProtection="1">
      <alignment horizontal="center" vertical="center" wrapText="1"/>
    </xf>
    <xf numFmtId="37" fontId="42" fillId="9" borderId="5" xfId="23" applyNumberFormat="1" applyFont="1" applyFill="1" applyBorder="1" applyAlignment="1" applyProtection="1">
      <alignment horizontal="center" vertical="center" wrapText="1"/>
    </xf>
    <xf numFmtId="37" fontId="42" fillId="9" borderId="3" xfId="23" applyNumberFormat="1" applyFont="1" applyFill="1" applyBorder="1" applyAlignment="1" applyProtection="1">
      <alignment horizontal="center" vertical="center" wrapText="1"/>
    </xf>
    <xf numFmtId="37" fontId="42" fillId="9" borderId="11" xfId="23" applyNumberFormat="1" applyFont="1" applyFill="1" applyBorder="1" applyAlignment="1" applyProtection="1">
      <alignment horizontal="center" vertical="center" wrapText="1"/>
    </xf>
    <xf numFmtId="37" fontId="42" fillId="9" borderId="12" xfId="23" applyNumberFormat="1" applyFont="1" applyFill="1" applyBorder="1" applyAlignment="1" applyProtection="1">
      <alignment horizontal="center" vertical="center" wrapText="1"/>
    </xf>
    <xf numFmtId="0" fontId="69" fillId="0" borderId="0" xfId="21" applyFont="1" applyAlignment="1">
      <alignment horizontal="justify" wrapText="1"/>
    </xf>
    <xf numFmtId="0" fontId="46" fillId="12" borderId="13" xfId="21" applyFont="1" applyFill="1" applyBorder="1" applyAlignment="1">
      <alignment horizontal="center"/>
    </xf>
    <xf numFmtId="0" fontId="70" fillId="0" borderId="0" xfId="21" applyFont="1" applyAlignment="1">
      <alignment horizontal="left" wrapText="1"/>
    </xf>
    <xf numFmtId="0" fontId="46" fillId="12" borderId="0" xfId="21" applyFont="1" applyFill="1" applyBorder="1" applyAlignment="1">
      <alignment horizontal="center"/>
    </xf>
    <xf numFmtId="0" fontId="46" fillId="24" borderId="5" xfId="21" applyFont="1" applyFill="1" applyBorder="1" applyAlignment="1">
      <alignment horizontal="center" vertical="center" wrapText="1"/>
    </xf>
    <xf numFmtId="0" fontId="46" fillId="24" borderId="6" xfId="21" applyFont="1" applyFill="1" applyBorder="1" applyAlignment="1">
      <alignment horizontal="center" vertical="center" wrapText="1"/>
    </xf>
    <xf numFmtId="0" fontId="46" fillId="24" borderId="11" xfId="21" applyFont="1" applyFill="1" applyBorder="1" applyAlignment="1">
      <alignment horizontal="center" vertical="center" wrapText="1"/>
    </xf>
    <xf numFmtId="0" fontId="46" fillId="24" borderId="13" xfId="21" applyFont="1" applyFill="1" applyBorder="1" applyAlignment="1">
      <alignment horizontal="center" vertical="center" wrapText="1"/>
    </xf>
    <xf numFmtId="10" fontId="46" fillId="24" borderId="3" xfId="26" applyNumberFormat="1" applyFont="1" applyFill="1" applyBorder="1" applyAlignment="1">
      <alignment horizontal="center" vertical="center"/>
    </xf>
    <xf numFmtId="10" fontId="46" fillId="24" borderId="12" xfId="26" applyNumberFormat="1" applyFont="1" applyFill="1" applyBorder="1" applyAlignment="1">
      <alignment horizontal="center" vertical="center"/>
    </xf>
    <xf numFmtId="0" fontId="46" fillId="35" borderId="0" xfId="0" applyFont="1" applyFill="1" applyBorder="1" applyAlignment="1">
      <alignment horizontal="center"/>
    </xf>
    <xf numFmtId="0" fontId="46" fillId="35" borderId="102" xfId="0" applyFont="1" applyFill="1" applyBorder="1" applyAlignment="1">
      <alignment horizontal="center"/>
    </xf>
    <xf numFmtId="0" fontId="46" fillId="35" borderId="2" xfId="0" applyFont="1" applyFill="1" applyBorder="1" applyAlignment="1">
      <alignment horizontal="center"/>
    </xf>
    <xf numFmtId="0" fontId="46" fillId="0" borderId="0" xfId="0" applyFont="1" applyFill="1" applyBorder="1" applyAlignment="1">
      <alignment horizontal="center"/>
    </xf>
    <xf numFmtId="0" fontId="46" fillId="35" borderId="93" xfId="0" applyFont="1" applyFill="1" applyBorder="1" applyAlignment="1">
      <alignment horizontal="center"/>
    </xf>
    <xf numFmtId="0" fontId="60" fillId="0" borderId="0" xfId="0" applyFont="1" applyBorder="1" applyAlignment="1" applyProtection="1">
      <alignment horizontal="left" vertical="center" wrapText="1"/>
      <protection hidden="1"/>
    </xf>
    <xf numFmtId="0" fontId="35" fillId="2" borderId="0" xfId="0" applyFont="1" applyFill="1" applyBorder="1" applyAlignment="1" applyProtection="1">
      <alignment horizontal="center" vertical="center" wrapText="1"/>
      <protection hidden="1"/>
    </xf>
    <xf numFmtId="0" fontId="35" fillId="2" borderId="0" xfId="0" applyFont="1" applyFill="1" applyBorder="1" applyAlignment="1" applyProtection="1">
      <alignment vertical="center" wrapText="1"/>
      <protection hidden="1"/>
    </xf>
    <xf numFmtId="0" fontId="60" fillId="0" borderId="0" xfId="0" applyFont="1" applyBorder="1" applyAlignment="1" applyProtection="1">
      <alignment horizontal="left" vertical="top" wrapText="1"/>
      <protection hidden="1"/>
    </xf>
    <xf numFmtId="0" fontId="136" fillId="0" borderId="0" xfId="21" applyFont="1" applyAlignment="1" applyProtection="1">
      <alignment horizontal="center" vertical="center" wrapText="1"/>
      <protection hidden="1"/>
    </xf>
    <xf numFmtId="0" fontId="58" fillId="6" borderId="0" xfId="0" applyFont="1" applyFill="1" applyBorder="1" applyAlignment="1" applyProtection="1">
      <alignment horizontal="center" vertical="center"/>
      <protection hidden="1"/>
    </xf>
    <xf numFmtId="0" fontId="35" fillId="2" borderId="0" xfId="0" applyFont="1" applyFill="1" applyBorder="1" applyAlignment="1" applyProtection="1">
      <alignment horizontal="left" vertical="center" wrapText="1"/>
      <protection hidden="1"/>
    </xf>
    <xf numFmtId="0" fontId="35" fillId="2" borderId="0" xfId="0" quotePrefix="1" applyFont="1" applyFill="1" applyBorder="1" applyAlignment="1" applyProtection="1">
      <alignment horizontal="left" vertical="center" wrapText="1"/>
      <protection hidden="1"/>
    </xf>
    <xf numFmtId="0" fontId="60" fillId="0" borderId="0" xfId="0" applyFont="1" applyBorder="1" applyAlignment="1" applyProtection="1">
      <alignment vertical="top" wrapText="1"/>
      <protection hidden="1"/>
    </xf>
    <xf numFmtId="0" fontId="60" fillId="0" borderId="0" xfId="0" applyFont="1" applyFill="1" applyBorder="1" applyAlignment="1" applyProtection="1">
      <alignment vertical="top" wrapText="1"/>
      <protection hidden="1"/>
    </xf>
    <xf numFmtId="0" fontId="53" fillId="5" borderId="57" xfId="0" applyFont="1" applyFill="1" applyBorder="1" applyAlignment="1" applyProtection="1">
      <alignment horizontal="center" vertical="center" wrapText="1"/>
      <protection hidden="1"/>
    </xf>
    <xf numFmtId="0" fontId="53" fillId="5" borderId="58" xfId="0" applyFont="1" applyFill="1" applyBorder="1" applyAlignment="1" applyProtection="1">
      <alignment horizontal="center" vertical="center" wrapText="1"/>
      <protection hidden="1"/>
    </xf>
    <xf numFmtId="0" fontId="53" fillId="5" borderId="54" xfId="0" quotePrefix="1" applyFont="1" applyFill="1" applyBorder="1" applyAlignment="1" applyProtection="1">
      <alignment horizontal="center" vertical="center" wrapText="1"/>
      <protection hidden="1"/>
    </xf>
    <xf numFmtId="0" fontId="53" fillId="5" borderId="42" xfId="0" quotePrefix="1" applyFont="1" applyFill="1" applyBorder="1" applyAlignment="1" applyProtection="1">
      <alignment horizontal="center" vertical="center" wrapText="1"/>
      <protection hidden="1"/>
    </xf>
    <xf numFmtId="0" fontId="53" fillId="5" borderId="55" xfId="0" applyFont="1" applyFill="1" applyBorder="1" applyAlignment="1" applyProtection="1">
      <alignment horizontal="center" vertical="center" wrapText="1"/>
      <protection hidden="1"/>
    </xf>
    <xf numFmtId="0" fontId="53" fillId="5" borderId="56" xfId="0" applyFont="1" applyFill="1" applyBorder="1" applyAlignment="1" applyProtection="1">
      <alignment horizontal="center" vertical="center" wrapText="1"/>
      <protection hidden="1"/>
    </xf>
    <xf numFmtId="0" fontId="53" fillId="5" borderId="62" xfId="0" applyFont="1" applyFill="1" applyBorder="1" applyAlignment="1" applyProtection="1">
      <alignment horizontal="center" vertical="center" wrapText="1"/>
      <protection hidden="1"/>
    </xf>
    <xf numFmtId="0" fontId="60" fillId="12" borderId="0" xfId="0" applyFont="1" applyFill="1" applyAlignment="1" applyProtection="1">
      <alignment horizontal="left" vertical="center" wrapText="1"/>
      <protection hidden="1"/>
    </xf>
    <xf numFmtId="0" fontId="60" fillId="12" borderId="0" xfId="0" applyFont="1" applyFill="1" applyAlignment="1" applyProtection="1">
      <alignment horizontal="left" vertical="top" wrapText="1"/>
      <protection hidden="1"/>
    </xf>
    <xf numFmtId="0" fontId="60" fillId="12" borderId="0" xfId="0" applyFont="1" applyFill="1" applyBorder="1" applyAlignment="1" applyProtection="1">
      <alignment horizontal="left" vertical="top" wrapText="1"/>
      <protection hidden="1"/>
    </xf>
    <xf numFmtId="0" fontId="60" fillId="12" borderId="0" xfId="0" applyFont="1" applyFill="1" applyAlignment="1" applyProtection="1">
      <alignment horizontal="justify" vertical="center" wrapText="1"/>
      <protection hidden="1"/>
    </xf>
    <xf numFmtId="0" fontId="60" fillId="12" borderId="0" xfId="0" applyFont="1" applyFill="1" applyBorder="1" applyAlignment="1" applyProtection="1">
      <alignment horizontal="left" vertical="center" wrapText="1"/>
      <protection hidden="1"/>
    </xf>
    <xf numFmtId="0" fontId="73" fillId="15" borderId="49" xfId="0" applyFont="1" applyFill="1" applyBorder="1" applyAlignment="1" applyProtection="1">
      <alignment horizontal="center" vertical="center" wrapText="1"/>
      <protection hidden="1"/>
    </xf>
    <xf numFmtId="0" fontId="73" fillId="15" borderId="0" xfId="0" applyFont="1" applyFill="1" applyBorder="1" applyAlignment="1" applyProtection="1">
      <alignment horizontal="center" vertical="center" wrapText="1"/>
      <protection hidden="1"/>
    </xf>
    <xf numFmtId="0" fontId="58" fillId="6" borderId="61" xfId="0" applyFont="1" applyFill="1" applyBorder="1" applyAlignment="1" applyProtection="1">
      <alignment horizontal="center" vertical="center"/>
      <protection hidden="1"/>
    </xf>
    <xf numFmtId="0" fontId="58" fillId="6" borderId="62"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53" fillId="5" borderId="60" xfId="0" applyFont="1" applyFill="1" applyBorder="1" applyAlignment="1" applyProtection="1">
      <alignment horizontal="center" vertical="center" wrapText="1"/>
      <protection hidden="1"/>
    </xf>
    <xf numFmtId="0" fontId="67" fillId="15" borderId="49" xfId="0" quotePrefix="1" applyFont="1" applyFill="1" applyBorder="1" applyAlignment="1" applyProtection="1">
      <alignment horizontal="center" vertical="center" wrapText="1"/>
      <protection hidden="1"/>
    </xf>
    <xf numFmtId="0" fontId="67" fillId="15" borderId="0" xfId="0" quotePrefix="1" applyFont="1" applyFill="1" applyBorder="1" applyAlignment="1" applyProtection="1">
      <alignment horizontal="center" vertical="center" wrapText="1"/>
      <protection hidden="1"/>
    </xf>
    <xf numFmtId="0" fontId="67" fillId="15" borderId="61" xfId="0" applyFont="1" applyFill="1" applyBorder="1" applyAlignment="1" applyProtection="1">
      <alignment horizontal="center" vertical="center" wrapText="1"/>
      <protection hidden="1"/>
    </xf>
    <xf numFmtId="0" fontId="67" fillId="15" borderId="62" xfId="0" applyFont="1" applyFill="1" applyBorder="1" applyAlignment="1" applyProtection="1">
      <alignment horizontal="center" vertical="center" wrapText="1"/>
      <protection hidden="1"/>
    </xf>
    <xf numFmtId="0" fontId="53" fillId="31" borderId="59" xfId="0" quotePrefix="1" applyFont="1" applyFill="1" applyBorder="1" applyAlignment="1" applyProtection="1">
      <alignment horizontal="center" vertical="center" wrapText="1"/>
      <protection hidden="1"/>
    </xf>
    <xf numFmtId="0" fontId="53" fillId="31" borderId="42" xfId="0" quotePrefix="1" applyFont="1" applyFill="1" applyBorder="1" applyAlignment="1" applyProtection="1">
      <alignment horizontal="center" vertical="center" wrapText="1"/>
      <protection hidden="1"/>
    </xf>
    <xf numFmtId="0" fontId="134" fillId="0" borderId="0" xfId="21" applyFont="1" applyAlignment="1" applyProtection="1">
      <alignment horizontal="center" vertical="center" wrapText="1"/>
      <protection hidden="1"/>
    </xf>
    <xf numFmtId="0" fontId="60" fillId="12" borderId="0" xfId="0" applyFont="1" applyFill="1" applyBorder="1" applyAlignment="1" applyProtection="1">
      <alignment horizontal="center" vertical="top" wrapText="1"/>
      <protection hidden="1"/>
    </xf>
    <xf numFmtId="0" fontId="60" fillId="0" borderId="0" xfId="0" applyFont="1" applyBorder="1" applyAlignment="1" applyProtection="1">
      <alignment horizontal="left" vertical="top"/>
      <protection hidden="1"/>
    </xf>
    <xf numFmtId="0" fontId="60" fillId="0" borderId="0" xfId="0" quotePrefix="1" applyFont="1" applyBorder="1" applyAlignment="1" applyProtection="1">
      <alignment horizontal="left" vertical="top" wrapText="1"/>
      <protection hidden="1"/>
    </xf>
    <xf numFmtId="0" fontId="58" fillId="6" borderId="64" xfId="0" applyFont="1" applyFill="1" applyBorder="1" applyAlignment="1" applyProtection="1">
      <alignment horizontal="center" vertical="center" wrapText="1"/>
      <protection hidden="1"/>
    </xf>
    <xf numFmtId="0" fontId="58" fillId="6" borderId="65" xfId="0" applyFont="1" applyFill="1" applyBorder="1" applyAlignment="1" applyProtection="1">
      <alignment horizontal="center" vertical="center" wrapText="1"/>
      <protection hidden="1"/>
    </xf>
    <xf numFmtId="0" fontId="67" fillId="6" borderId="69" xfId="0" applyFont="1" applyFill="1" applyBorder="1" applyAlignment="1" applyProtection="1">
      <alignment horizontal="center" vertical="center" wrapText="1"/>
      <protection hidden="1"/>
    </xf>
    <xf numFmtId="0" fontId="67" fillId="6" borderId="70" xfId="0" applyFont="1" applyFill="1" applyBorder="1" applyAlignment="1" applyProtection="1">
      <alignment horizontal="center" vertical="center" wrapText="1"/>
      <protection hidden="1"/>
    </xf>
    <xf numFmtId="0" fontId="53" fillId="5" borderId="66" xfId="0" applyFont="1" applyFill="1" applyBorder="1" applyAlignment="1" applyProtection="1">
      <alignment horizontal="center" vertical="center" wrapText="1"/>
      <protection hidden="1"/>
    </xf>
    <xf numFmtId="0" fontId="53" fillId="5" borderId="67" xfId="0" applyFont="1" applyFill="1" applyBorder="1" applyAlignment="1" applyProtection="1">
      <alignment horizontal="center" vertical="center" wrapText="1"/>
      <protection hidden="1"/>
    </xf>
    <xf numFmtId="0" fontId="53" fillId="5" borderId="68" xfId="0" applyFont="1" applyFill="1" applyBorder="1" applyAlignment="1" applyProtection="1">
      <alignment horizontal="center" vertical="center" wrapText="1"/>
      <protection hidden="1"/>
    </xf>
    <xf numFmtId="0" fontId="53" fillId="5" borderId="71" xfId="0" applyFont="1" applyFill="1" applyBorder="1" applyAlignment="1" applyProtection="1">
      <alignment horizontal="center" vertical="center" wrapText="1"/>
      <protection hidden="1"/>
    </xf>
    <xf numFmtId="0" fontId="53" fillId="5" borderId="47" xfId="0"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0" fontId="58" fillId="6" borderId="0" xfId="0" applyFont="1" applyFill="1" applyBorder="1" applyAlignment="1" applyProtection="1">
      <alignment horizontal="center" vertical="center" wrapText="1"/>
      <protection hidden="1"/>
    </xf>
    <xf numFmtId="0" fontId="78" fillId="0" borderId="0" xfId="0" applyFont="1" applyAlignment="1" applyProtection="1">
      <alignment horizontal="center" vertical="center" wrapText="1"/>
      <protection hidden="1"/>
    </xf>
    <xf numFmtId="0" fontId="60" fillId="0" borderId="0" xfId="0" applyFont="1" applyFill="1" applyBorder="1" applyAlignment="1" applyProtection="1">
      <alignment horizontal="left" vertical="center" wrapText="1"/>
      <protection hidden="1"/>
    </xf>
    <xf numFmtId="0" fontId="60" fillId="0" borderId="0" xfId="0" applyFont="1" applyFill="1" applyBorder="1" applyAlignment="1" applyProtection="1">
      <alignment horizontal="justify" vertical="center" wrapText="1"/>
      <protection hidden="1"/>
    </xf>
    <xf numFmtId="0" fontId="125" fillId="0" borderId="0" xfId="21" applyFont="1" applyAlignment="1" applyProtection="1">
      <alignment horizontal="center" vertical="center" wrapText="1"/>
      <protection hidden="1"/>
    </xf>
    <xf numFmtId="0" fontId="134" fillId="0" borderId="0" xfId="21" applyFont="1" applyAlignment="1" applyProtection="1">
      <alignment horizontal="left" vertical="center" wrapText="1"/>
      <protection hidden="1"/>
    </xf>
    <xf numFmtId="0" fontId="52" fillId="12" borderId="0" xfId="0" applyFont="1" applyFill="1" applyAlignment="1" applyProtection="1">
      <alignment horizontal="fill" vertical="center" wrapText="1"/>
      <protection hidden="1"/>
    </xf>
    <xf numFmtId="0" fontId="33" fillId="12" borderId="0" xfId="0" applyFont="1" applyFill="1" applyAlignment="1" applyProtection="1">
      <alignment vertical="center" wrapText="1"/>
      <protection hidden="1"/>
    </xf>
    <xf numFmtId="0" fontId="52" fillId="2" borderId="0" xfId="0" applyFont="1" applyFill="1" applyAlignment="1" applyProtection="1">
      <alignment horizontal="left" vertical="center" wrapText="1"/>
      <protection hidden="1"/>
    </xf>
    <xf numFmtId="0" fontId="60" fillId="12" borderId="0" xfId="0" applyFont="1" applyFill="1" applyBorder="1" applyAlignment="1" applyProtection="1">
      <alignment horizontal="justify" vertical="top" wrapText="1"/>
      <protection hidden="1"/>
    </xf>
    <xf numFmtId="166" fontId="112" fillId="2" borderId="0" xfId="24" applyFont="1" applyFill="1" applyAlignment="1" applyProtection="1">
      <alignment horizontal="center" vertical="center"/>
      <protection hidden="1"/>
    </xf>
    <xf numFmtId="0" fontId="60" fillId="12" borderId="0" xfId="0" applyFont="1" applyFill="1" applyBorder="1" applyAlignment="1" applyProtection="1">
      <alignment horizontal="justify" vertical="center" wrapText="1"/>
      <protection hidden="1"/>
    </xf>
    <xf numFmtId="0" fontId="60" fillId="2" borderId="0" xfId="0" applyNumberFormat="1" applyFont="1" applyFill="1" applyAlignment="1" applyProtection="1">
      <alignment horizontal="justify" vertical="center" wrapText="1"/>
      <protection hidden="1"/>
    </xf>
    <xf numFmtId="0" fontId="63" fillId="0" borderId="0" xfId="0" applyFont="1" applyFill="1" applyBorder="1" applyAlignment="1" applyProtection="1">
      <alignment horizontal="center" vertical="center" wrapText="1"/>
      <protection hidden="1"/>
    </xf>
    <xf numFmtId="0" fontId="60" fillId="2" borderId="0" xfId="0" quotePrefix="1" applyFont="1" applyFill="1" applyBorder="1" applyAlignment="1" applyProtection="1">
      <alignment horizontal="left" vertical="center" wrapText="1"/>
      <protection hidden="1"/>
    </xf>
    <xf numFmtId="0" fontId="52" fillId="0" borderId="0" xfId="0" applyFont="1" applyAlignment="1" applyProtection="1">
      <alignment horizontal="justify" vertical="center" wrapText="1"/>
      <protection hidden="1"/>
    </xf>
    <xf numFmtId="0" fontId="52" fillId="0" borderId="0" xfId="0" applyFont="1" applyBorder="1" applyAlignment="1" applyProtection="1">
      <alignment horizontal="left" wrapText="1"/>
      <protection hidden="1"/>
    </xf>
    <xf numFmtId="166" fontId="68" fillId="2" borderId="0" xfId="24" applyFont="1" applyFill="1" applyAlignment="1" applyProtection="1">
      <alignment horizontal="center" vertical="center"/>
      <protection hidden="1"/>
    </xf>
    <xf numFmtId="166" fontId="68" fillId="2" borderId="0" xfId="24" applyFont="1" applyFill="1" applyAlignment="1" applyProtection="1">
      <alignment horizontal="center" vertical="center" wrapText="1"/>
      <protection hidden="1"/>
    </xf>
    <xf numFmtId="166" fontId="56" fillId="2" borderId="0" xfId="24" applyFont="1" applyFill="1" applyAlignment="1" applyProtection="1">
      <alignment horizontal="center" vertical="center"/>
      <protection hidden="1"/>
    </xf>
    <xf numFmtId="0" fontId="52"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2.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6</xdr:col>
      <xdr:colOff>742030</xdr:colOff>
      <xdr:row>14</xdr:row>
      <xdr:rowOff>144780</xdr:rowOff>
    </xdr:from>
    <xdr:to>
      <xdr:col>12</xdr:col>
      <xdr:colOff>622389</xdr:colOff>
      <xdr:row>48</xdr:row>
      <xdr:rowOff>78200</xdr:rowOff>
    </xdr:to>
    <xdr:pic>
      <xdr:nvPicPr>
        <xdr:cNvPr id="10" name="Imagen 9">
          <a:extLst>
            <a:ext uri="{FF2B5EF4-FFF2-40B4-BE49-F238E27FC236}">
              <a16:creationId xmlns:a16="http://schemas.microsoft.com/office/drawing/2014/main" id="{CE28D096-85D8-4A00-B260-CAB5EAE880E8}"/>
            </a:ext>
          </a:extLst>
        </xdr:cNvPr>
        <xdr:cNvPicPr>
          <a:picLocks noChangeAspect="1"/>
        </xdr:cNvPicPr>
      </xdr:nvPicPr>
      <xdr:blipFill>
        <a:blip xmlns:r="http://schemas.openxmlformats.org/officeDocument/2006/relationships" r:embed="rId2"/>
        <a:stretch>
          <a:fillRect/>
        </a:stretch>
      </xdr:blipFill>
      <xdr:spPr>
        <a:xfrm>
          <a:off x="6830410" y="2491740"/>
          <a:ext cx="4741919" cy="570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40</xdr:row>
      <xdr:rowOff>419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xdr:from>
      <xdr:col>27</xdr:col>
      <xdr:colOff>694849</xdr:colOff>
      <xdr:row>17</xdr:row>
      <xdr:rowOff>71438</xdr:rowOff>
    </xdr:from>
    <xdr:to>
      <xdr:col>42</xdr:col>
      <xdr:colOff>642460</xdr:colOff>
      <xdr:row>93</xdr:row>
      <xdr:rowOff>69863</xdr:rowOff>
    </xdr:to>
    <xdr:grpSp>
      <xdr:nvGrpSpPr>
        <xdr:cNvPr id="10" name="Grupo 9">
          <a:extLst>
            <a:ext uri="{FF2B5EF4-FFF2-40B4-BE49-F238E27FC236}">
              <a16:creationId xmlns:a16="http://schemas.microsoft.com/office/drawing/2014/main" id="{39D0C239-E509-4AB6-BD28-A7E7EFCB941E}"/>
            </a:ext>
          </a:extLst>
        </xdr:cNvPr>
        <xdr:cNvGrpSpPr/>
      </xdr:nvGrpSpPr>
      <xdr:grpSpPr>
        <a:xfrm>
          <a:off x="24136740" y="2897765"/>
          <a:ext cx="11793247" cy="12827734"/>
          <a:chOff x="26145649" y="3180398"/>
          <a:chExt cx="11834811" cy="13958265"/>
        </a:xfrm>
      </xdr:grpSpPr>
      <xdr:grpSp>
        <xdr:nvGrpSpPr>
          <xdr:cNvPr id="9" name="Grupo 8">
            <a:extLst>
              <a:ext uri="{FF2B5EF4-FFF2-40B4-BE49-F238E27FC236}">
                <a16:creationId xmlns:a16="http://schemas.microsoft.com/office/drawing/2014/main" id="{0A4A9217-61AE-479C-AEC8-0B5A79BBE9E1}"/>
              </a:ext>
            </a:extLst>
          </xdr:cNvPr>
          <xdr:cNvGrpSpPr/>
        </xdr:nvGrpSpPr>
        <xdr:grpSpPr>
          <a:xfrm>
            <a:off x="26223754" y="3180398"/>
            <a:ext cx="11756706" cy="13958265"/>
            <a:chOff x="17201674" y="3180398"/>
            <a:chExt cx="11756706" cy="13958265"/>
          </a:xfrm>
        </xdr:grpSpPr>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633967" y="3180398"/>
              <a:ext cx="5324413" cy="5788363"/>
            </a:xfrm>
            <a:prstGeom prst="rect">
              <a:avLst/>
            </a:prstGeom>
          </xdr:spPr>
        </xdr:pic>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852503" y="8959281"/>
              <a:ext cx="5069205" cy="2329182"/>
            </a:xfrm>
            <a:prstGeom prst="rect">
              <a:avLst/>
            </a:prstGeom>
          </xdr:spPr>
        </xdr:pic>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68995" y="11279514"/>
              <a:ext cx="4981278" cy="5063380"/>
            </a:xfrm>
            <a:prstGeom prst="rect">
              <a:avLst/>
            </a:prstGeom>
          </xdr:spPr>
        </xdr:pic>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201674" y="3495285"/>
              <a:ext cx="5610700" cy="7055077"/>
            </a:xfrm>
            <a:prstGeom prst="rect">
              <a:avLst/>
            </a:prstGeom>
          </xdr:spPr>
        </xdr:pic>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245938" y="11288077"/>
              <a:ext cx="5372429" cy="5850586"/>
            </a:xfrm>
            <a:prstGeom prst="rect">
              <a:avLst/>
            </a:prstGeom>
          </xdr:spPr>
        </xdr:pic>
      </xdr:grpSp>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145649" y="9879329"/>
            <a:ext cx="5523070" cy="1444173"/>
          </a:xfrm>
          <a:prstGeom prst="rect">
            <a:avLst/>
          </a:prstGeom>
        </xdr:spPr>
      </xdr:pic>
    </xdr:grpSp>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15</xdr:col>
      <xdr:colOff>615142</xdr:colOff>
      <xdr:row>81</xdr:row>
      <xdr:rowOff>151671</xdr:rowOff>
    </xdr:from>
    <xdr:to>
      <xdr:col>19</xdr:col>
      <xdr:colOff>796637</xdr:colOff>
      <xdr:row>95</xdr:row>
      <xdr:rowOff>94556</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4054051" y="13715271"/>
          <a:ext cx="3340331" cy="2270449"/>
        </a:xfrm>
        <a:prstGeom prst="rect">
          <a:avLst/>
        </a:prstGeom>
      </xdr:spPr>
    </xdr:pic>
    <xdr:clientData/>
  </xdr:twoCellAnchor>
  <xdr:twoCellAnchor editAs="oneCell">
    <xdr:from>
      <xdr:col>11</xdr:col>
      <xdr:colOff>236220</xdr:colOff>
      <xdr:row>4</xdr:row>
      <xdr:rowOff>158911</xdr:rowOff>
    </xdr:from>
    <xdr:to>
      <xdr:col>16</xdr:col>
      <xdr:colOff>571500</xdr:colOff>
      <xdr:row>27</xdr:row>
      <xdr:rowOff>747</xdr:rowOff>
    </xdr:to>
    <xdr:pic>
      <xdr:nvPicPr>
        <xdr:cNvPr id="6" name="Imagen 5">
          <a:extLst>
            <a:ext uri="{FF2B5EF4-FFF2-40B4-BE49-F238E27FC236}">
              <a16:creationId xmlns:a16="http://schemas.microsoft.com/office/drawing/2014/main" id="{88375F6A-756E-49DC-8C6A-880E82942CB9}"/>
            </a:ext>
          </a:extLst>
        </xdr:cNvPr>
        <xdr:cNvPicPr>
          <a:picLocks noChangeAspect="1"/>
        </xdr:cNvPicPr>
      </xdr:nvPicPr>
      <xdr:blipFill>
        <a:blip xmlns:r="http://schemas.openxmlformats.org/officeDocument/2006/relationships" r:embed="rId13"/>
        <a:stretch>
          <a:fillRect/>
        </a:stretch>
      </xdr:blipFill>
      <xdr:spPr>
        <a:xfrm>
          <a:off x="8953500" y="829471"/>
          <a:ext cx="5890260" cy="3693201"/>
        </a:xfrm>
        <a:prstGeom prst="rect">
          <a:avLst/>
        </a:prstGeom>
      </xdr:spPr>
    </xdr:pic>
    <xdr:clientData/>
  </xdr:twoCellAnchor>
  <xdr:twoCellAnchor editAs="oneCell">
    <xdr:from>
      <xdr:col>20</xdr:col>
      <xdr:colOff>205811</xdr:colOff>
      <xdr:row>17</xdr:row>
      <xdr:rowOff>13062</xdr:rowOff>
    </xdr:from>
    <xdr:to>
      <xdr:col>28</xdr:col>
      <xdr:colOff>122374</xdr:colOff>
      <xdr:row>53</xdr:row>
      <xdr:rowOff>163284</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14"/>
        <a:stretch>
          <a:fillRect/>
        </a:stretch>
      </xdr:blipFill>
      <xdr:spPr>
        <a:xfrm>
          <a:off x="18199897" y="2788919"/>
          <a:ext cx="6273820" cy="6137365"/>
        </a:xfrm>
        <a:prstGeom prst="rect">
          <a:avLst/>
        </a:prstGeom>
      </xdr:spPr>
    </xdr:pic>
    <xdr:clientData/>
  </xdr:twoCellAnchor>
  <xdr:twoCellAnchor editAs="oneCell">
    <xdr:from>
      <xdr:col>20</xdr:col>
      <xdr:colOff>250372</xdr:colOff>
      <xdr:row>55</xdr:row>
      <xdr:rowOff>91599</xdr:rowOff>
    </xdr:from>
    <xdr:to>
      <xdr:col>27</xdr:col>
      <xdr:colOff>489857</xdr:colOff>
      <xdr:row>96</xdr:row>
      <xdr:rowOff>13589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15"/>
        <a:stretch>
          <a:fillRect/>
        </a:stretch>
      </xdr:blipFill>
      <xdr:spPr>
        <a:xfrm>
          <a:off x="18244458" y="9181170"/>
          <a:ext cx="5802085" cy="66167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15</xdr:row>
      <xdr:rowOff>0</xdr:rowOff>
    </xdr:from>
    <xdr:to>
      <xdr:col>9</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1426028</xdr:colOff>
      <xdr:row>2</xdr:row>
      <xdr:rowOff>65315</xdr:rowOff>
    </xdr:from>
    <xdr:to>
      <xdr:col>14</xdr:col>
      <xdr:colOff>0</xdr:colOff>
      <xdr:row>24</xdr:row>
      <xdr:rowOff>33712</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3607142" y="566058"/>
          <a:ext cx="3842658" cy="6695768"/>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3" zoomScaleNormal="100" workbookViewId="0">
      <selection activeCell="B28" sqref="B28"/>
    </sheetView>
  </sheetViews>
  <sheetFormatPr baseColWidth="10" defaultColWidth="11.21875" defaultRowHeight="14.4" outlineLevelRow="2"/>
  <cols>
    <col min="1" max="1" width="0" style="402" hidden="1" customWidth="1"/>
    <col min="2" max="2" width="0.88671875" style="402" customWidth="1"/>
    <col min="3" max="3" width="5.109375" style="663" customWidth="1"/>
    <col min="4" max="4" width="86.6640625" style="402" customWidth="1"/>
    <col min="5" max="5" width="27.77734375" style="403" hidden="1" customWidth="1"/>
    <col min="6" max="6" width="4.77734375" style="402" customWidth="1"/>
    <col min="7" max="10" width="3" style="402" customWidth="1"/>
    <col min="11" max="11" width="9.77734375" style="402" customWidth="1"/>
    <col min="12" max="12" width="7.88671875" style="402" customWidth="1"/>
    <col min="13" max="15" width="11.21875" style="402"/>
    <col min="16" max="16" width="16" style="402" customWidth="1"/>
    <col min="17" max="17" width="33.21875" style="402" bestFit="1" customWidth="1"/>
    <col min="18" max="18" width="11.21875" style="402"/>
    <col min="19" max="19" width="33.21875" style="402" bestFit="1" customWidth="1"/>
    <col min="20" max="16384" width="11.21875" style="402"/>
  </cols>
  <sheetData>
    <row r="2" spans="3:19" ht="21">
      <c r="D2" s="404" t="s">
        <v>315</v>
      </c>
    </row>
    <row r="3" spans="3:19">
      <c r="D3" s="410" t="s">
        <v>316</v>
      </c>
    </row>
    <row r="4" spans="3:19">
      <c r="D4" s="411" t="s">
        <v>317</v>
      </c>
    </row>
    <row r="5" spans="3:19">
      <c r="D5" s="402" t="s">
        <v>318</v>
      </c>
    </row>
    <row r="6" spans="3:19">
      <c r="D6" s="402" t="s">
        <v>319</v>
      </c>
    </row>
    <row r="7" spans="3:19">
      <c r="D7" s="402" t="s">
        <v>320</v>
      </c>
    </row>
    <row r="8" spans="3:19">
      <c r="D8" s="530" t="s">
        <v>576</v>
      </c>
    </row>
    <row r="10" spans="3:19">
      <c r="P10" s="411"/>
    </row>
    <row r="11" spans="3:19" ht="21">
      <c r="D11" s="751" t="s">
        <v>322</v>
      </c>
      <c r="E11" s="752" t="s">
        <v>298</v>
      </c>
      <c r="F11" s="753" t="s">
        <v>299</v>
      </c>
      <c r="G11" s="754"/>
      <c r="H11" s="754"/>
      <c r="I11" s="754"/>
      <c r="J11" s="755"/>
      <c r="K11" s="746" t="s">
        <v>534</v>
      </c>
      <c r="P11" s="411"/>
    </row>
    <row r="12" spans="3:19" ht="21">
      <c r="D12" s="751"/>
      <c r="E12" s="752"/>
      <c r="F12" s="756" t="s">
        <v>577</v>
      </c>
      <c r="G12" s="757"/>
      <c r="H12" s="757"/>
      <c r="I12" s="757"/>
      <c r="J12" s="758"/>
      <c r="K12" s="747"/>
      <c r="M12" s="428"/>
      <c r="P12" s="411"/>
    </row>
    <row r="13" spans="3:19">
      <c r="C13" s="663">
        <v>1</v>
      </c>
      <c r="D13" s="660" t="s">
        <v>497</v>
      </c>
      <c r="E13" s="446" t="s">
        <v>330</v>
      </c>
      <c r="F13" s="744" t="s">
        <v>304</v>
      </c>
      <c r="G13" s="744"/>
      <c r="H13" s="744"/>
      <c r="I13" s="744"/>
      <c r="J13" s="744"/>
      <c r="K13" s="442">
        <f>+'COMBUSTIBLES '!E8</f>
        <v>8.6314000000000011</v>
      </c>
      <c r="L13" s="708"/>
      <c r="M13" s="654"/>
    </row>
    <row r="14" spans="3:19">
      <c r="C14" s="663">
        <v>2</v>
      </c>
      <c r="D14" s="660" t="s">
        <v>329</v>
      </c>
      <c r="E14" s="446" t="s">
        <v>330</v>
      </c>
      <c r="F14" s="744" t="s">
        <v>304</v>
      </c>
      <c r="G14" s="744"/>
      <c r="H14" s="744"/>
      <c r="I14" s="744"/>
      <c r="J14" s="744"/>
      <c r="K14" s="453">
        <f>+'COMBUSTIBLES '!E8</f>
        <v>8.6314000000000011</v>
      </c>
      <c r="L14" s="708"/>
      <c r="M14" s="654"/>
      <c r="S14" s="164" t="s">
        <v>305</v>
      </c>
    </row>
    <row r="15" spans="3:19">
      <c r="C15" s="663">
        <v>3</v>
      </c>
      <c r="D15" s="660" t="s">
        <v>335</v>
      </c>
      <c r="E15" s="446" t="s">
        <v>336</v>
      </c>
      <c r="F15" s="744" t="s">
        <v>304</v>
      </c>
      <c r="G15" s="744"/>
      <c r="H15" s="744"/>
      <c r="I15" s="744"/>
      <c r="J15" s="744"/>
      <c r="K15" s="442">
        <f>+'COMBUSTIBLES '!B8</f>
        <v>8.6314000000000011</v>
      </c>
      <c r="L15" s="708"/>
      <c r="M15" s="654"/>
      <c r="S15" s="164" t="s">
        <v>310</v>
      </c>
    </row>
    <row r="16" spans="3:19">
      <c r="C16" s="663">
        <v>4</v>
      </c>
      <c r="D16" s="660" t="s">
        <v>339</v>
      </c>
      <c r="E16" s="446" t="s">
        <v>340</v>
      </c>
      <c r="F16" s="744" t="s">
        <v>338</v>
      </c>
      <c r="G16" s="744"/>
      <c r="H16" s="744"/>
      <c r="I16" s="744"/>
      <c r="J16" s="744"/>
      <c r="K16" s="442">
        <f>+BIODIESEL!E14</f>
        <v>8.6314000000000011</v>
      </c>
      <c r="L16" s="708"/>
      <c r="M16" s="654"/>
    </row>
    <row r="17" spans="3:19">
      <c r="C17" s="663">
        <v>5</v>
      </c>
      <c r="D17" s="660" t="s">
        <v>343</v>
      </c>
      <c r="E17" s="446" t="s">
        <v>330</v>
      </c>
      <c r="F17" s="744" t="s">
        <v>304</v>
      </c>
      <c r="G17" s="744"/>
      <c r="H17" s="744"/>
      <c r="I17" s="744"/>
      <c r="J17" s="744"/>
      <c r="K17" s="442">
        <f>+'COMBUSTIBLES '!E8</f>
        <v>8.6314000000000011</v>
      </c>
      <c r="L17" s="708"/>
      <c r="M17" s="654"/>
    </row>
    <row r="18" spans="3:19">
      <c r="C18" s="663">
        <v>6</v>
      </c>
      <c r="D18" s="660" t="s">
        <v>354</v>
      </c>
      <c r="E18" s="446" t="s">
        <v>330</v>
      </c>
      <c r="F18" s="744" t="s">
        <v>304</v>
      </c>
      <c r="G18" s="744"/>
      <c r="H18" s="744"/>
      <c r="I18" s="744"/>
      <c r="J18" s="744"/>
      <c r="K18" s="442">
        <f>+'COMBUSTIBLES '!E8</f>
        <v>8.6314000000000011</v>
      </c>
      <c r="L18" s="708"/>
      <c r="M18" s="654"/>
      <c r="P18" s="632"/>
    </row>
    <row r="19" spans="3:19">
      <c r="C19" s="663">
        <v>7</v>
      </c>
      <c r="D19" s="660" t="s">
        <v>564</v>
      </c>
      <c r="E19" s="460"/>
      <c r="F19" s="744"/>
      <c r="G19" s="744"/>
      <c r="H19" s="744"/>
      <c r="I19" s="744"/>
      <c r="J19" s="744"/>
      <c r="K19" s="442">
        <f>+BIODIESEL!E14</f>
        <v>8.6314000000000011</v>
      </c>
      <c r="L19" s="708"/>
      <c r="M19" s="428"/>
    </row>
    <row r="20" spans="3:19" s="419" customFormat="1">
      <c r="C20" s="664">
        <v>8</v>
      </c>
      <c r="D20" s="660" t="s">
        <v>565</v>
      </c>
      <c r="E20" s="515"/>
      <c r="F20" s="744"/>
      <c r="G20" s="744"/>
      <c r="H20" s="744"/>
      <c r="I20" s="744"/>
      <c r="J20" s="744"/>
      <c r="K20" s="442">
        <v>0</v>
      </c>
      <c r="L20" s="708"/>
      <c r="M20" s="659"/>
    </row>
    <row r="21" spans="3:19">
      <c r="C21" s="663">
        <v>9</v>
      </c>
      <c r="D21" s="660" t="s">
        <v>498</v>
      </c>
      <c r="E21" s="446"/>
      <c r="F21" s="744" t="s">
        <v>325</v>
      </c>
      <c r="G21" s="744"/>
      <c r="H21" s="744"/>
      <c r="I21" s="744"/>
      <c r="J21" s="744"/>
      <c r="K21" s="442">
        <v>0</v>
      </c>
      <c r="L21" s="708"/>
      <c r="M21" s="654"/>
    </row>
    <row r="22" spans="3:19">
      <c r="C22" s="663">
        <v>10</v>
      </c>
      <c r="D22" s="660" t="s">
        <v>324</v>
      </c>
      <c r="E22" s="439"/>
      <c r="F22" s="769" t="s">
        <v>325</v>
      </c>
      <c r="G22" s="769"/>
      <c r="H22" s="769"/>
      <c r="I22" s="769"/>
      <c r="J22" s="769"/>
      <c r="K22" s="442">
        <v>0</v>
      </c>
      <c r="L22" s="708"/>
      <c r="M22" s="654"/>
      <c r="P22" s="411"/>
    </row>
    <row r="23" spans="3:19">
      <c r="C23" s="663">
        <v>11</v>
      </c>
      <c r="D23" s="660" t="s">
        <v>326</v>
      </c>
      <c r="E23" s="446"/>
      <c r="F23" s="744" t="s">
        <v>325</v>
      </c>
      <c r="G23" s="744"/>
      <c r="H23" s="744"/>
      <c r="I23" s="744"/>
      <c r="J23" s="744"/>
      <c r="K23" s="442"/>
      <c r="L23" s="700"/>
      <c r="M23" s="654"/>
      <c r="P23" s="411"/>
      <c r="S23" s="164" t="s">
        <v>307</v>
      </c>
    </row>
    <row r="24" spans="3:19">
      <c r="C24" s="663">
        <v>12</v>
      </c>
      <c r="D24" s="660" t="s">
        <v>327</v>
      </c>
      <c r="E24" s="446"/>
      <c r="F24" s="744" t="s">
        <v>325</v>
      </c>
      <c r="G24" s="744"/>
      <c r="H24" s="744"/>
      <c r="I24" s="744"/>
      <c r="J24" s="744"/>
      <c r="K24" s="442"/>
      <c r="L24" s="700"/>
      <c r="M24" s="654"/>
      <c r="P24" s="411"/>
      <c r="S24" s="164" t="s">
        <v>309</v>
      </c>
    </row>
    <row r="25" spans="3:19" outlineLevel="1">
      <c r="C25" s="663">
        <v>13</v>
      </c>
      <c r="D25" s="662" t="s">
        <v>348</v>
      </c>
      <c r="E25" s="446" t="s">
        <v>330</v>
      </c>
      <c r="F25" s="744" t="s">
        <v>304</v>
      </c>
      <c r="G25" s="744"/>
      <c r="H25" s="744"/>
      <c r="I25" s="744"/>
      <c r="J25" s="744"/>
      <c r="K25" s="442">
        <f>+'COMBUSTIBLES '!E8</f>
        <v>8.6314000000000011</v>
      </c>
      <c r="L25" s="559" t="s">
        <v>598</v>
      </c>
      <c r="M25" s="655"/>
    </row>
    <row r="26" spans="3:19">
      <c r="C26" s="663">
        <v>14</v>
      </c>
      <c r="D26" s="661" t="s">
        <v>538</v>
      </c>
      <c r="E26" s="446"/>
      <c r="F26" s="745" t="s">
        <v>332</v>
      </c>
      <c r="G26" s="745"/>
      <c r="H26" s="745"/>
      <c r="I26" s="745"/>
      <c r="J26" s="745"/>
      <c r="K26" s="442">
        <f>+'COMBUSTIBLES '!E8</f>
        <v>8.6314000000000011</v>
      </c>
      <c r="L26" s="700"/>
      <c r="M26" s="654"/>
    </row>
    <row r="27" spans="3:19">
      <c r="C27" s="663">
        <v>15</v>
      </c>
      <c r="D27" s="661" t="s">
        <v>541</v>
      </c>
      <c r="E27" s="446"/>
      <c r="F27" s="744"/>
      <c r="G27" s="744"/>
      <c r="H27" s="744"/>
      <c r="I27" s="744"/>
      <c r="J27" s="744"/>
      <c r="K27" s="442">
        <f>+'COMBUSTIBLES '!B8</f>
        <v>8.6314000000000011</v>
      </c>
      <c r="L27" s="700"/>
      <c r="M27" s="654"/>
    </row>
    <row r="28" spans="3:19">
      <c r="C28" s="663">
        <v>16</v>
      </c>
      <c r="D28" s="672" t="s">
        <v>539</v>
      </c>
      <c r="E28" s="446"/>
      <c r="F28" s="748" t="s">
        <v>332</v>
      </c>
      <c r="G28" s="749"/>
      <c r="H28" s="749"/>
      <c r="I28" s="749"/>
      <c r="J28" s="750"/>
      <c r="K28" s="684">
        <f>+'COMBUSTIBLES '!B7</f>
        <v>5064.8</v>
      </c>
      <c r="L28" s="739" t="s">
        <v>533</v>
      </c>
      <c r="M28" s="654"/>
    </row>
    <row r="29" spans="3:19">
      <c r="C29" s="663">
        <v>17</v>
      </c>
      <c r="D29" s="672" t="s">
        <v>337</v>
      </c>
      <c r="E29" s="446" t="s">
        <v>308</v>
      </c>
      <c r="F29" s="744" t="s">
        <v>304</v>
      </c>
      <c r="G29" s="744"/>
      <c r="H29" s="744"/>
      <c r="I29" s="744"/>
      <c r="J29" s="744"/>
      <c r="K29" s="684">
        <f>+'COMBUSTIBLES '!B7</f>
        <v>5064.8</v>
      </c>
      <c r="L29" s="721"/>
      <c r="M29" s="654"/>
      <c r="S29" s="164" t="s">
        <v>312</v>
      </c>
    </row>
    <row r="30" spans="3:19">
      <c r="C30" s="663">
        <v>18</v>
      </c>
      <c r="D30" s="672" t="s">
        <v>566</v>
      </c>
      <c r="E30" s="460"/>
      <c r="F30" s="745"/>
      <c r="G30" s="745"/>
      <c r="H30" s="745"/>
      <c r="I30" s="745"/>
      <c r="J30" s="745"/>
      <c r="K30" s="684">
        <f>+'COMBUSTIBLES '!B7</f>
        <v>5064.8</v>
      </c>
      <c r="L30" s="721"/>
      <c r="M30" s="428"/>
    </row>
    <row r="31" spans="3:19">
      <c r="C31" s="663">
        <v>19</v>
      </c>
      <c r="D31" s="673" t="s">
        <v>567</v>
      </c>
      <c r="E31" s="460"/>
      <c r="F31" s="745"/>
      <c r="G31" s="745"/>
      <c r="H31" s="745"/>
      <c r="I31" s="745"/>
      <c r="J31" s="745"/>
      <c r="K31" s="684">
        <f>+'SAN-ANDRES + GENERACION'!C8</f>
        <v>5064.8</v>
      </c>
      <c r="L31" s="721"/>
      <c r="M31" s="428"/>
    </row>
    <row r="32" spans="3:19">
      <c r="C32" s="676">
        <v>20</v>
      </c>
      <c r="D32" s="674" t="s">
        <v>328</v>
      </c>
      <c r="E32" s="446" t="s">
        <v>303</v>
      </c>
      <c r="F32" s="744" t="s">
        <v>304</v>
      </c>
      <c r="G32" s="744"/>
      <c r="H32" s="744"/>
      <c r="I32" s="744"/>
      <c r="J32" s="744"/>
      <c r="K32" s="442">
        <f>+'COMBUSTIBLES '!E7</f>
        <v>4330.45</v>
      </c>
      <c r="L32" s="721"/>
      <c r="M32" s="654"/>
      <c r="S32" s="164" t="s">
        <v>302</v>
      </c>
    </row>
    <row r="33" spans="3:13">
      <c r="C33" s="676">
        <v>21</v>
      </c>
      <c r="D33" s="674" t="s">
        <v>495</v>
      </c>
      <c r="E33" s="446" t="s">
        <v>303</v>
      </c>
      <c r="F33" s="744" t="s">
        <v>304</v>
      </c>
      <c r="G33" s="744"/>
      <c r="H33" s="744"/>
      <c r="I33" s="744"/>
      <c r="J33" s="744"/>
      <c r="K33" s="454">
        <f>+'COMBUSTIBLES '!E7</f>
        <v>4330.45</v>
      </c>
      <c r="L33" s="721"/>
      <c r="M33" s="654"/>
    </row>
    <row r="34" spans="3:13">
      <c r="C34" s="676">
        <v>22</v>
      </c>
      <c r="D34" s="675" t="s">
        <v>536</v>
      </c>
      <c r="E34" s="460"/>
      <c r="F34" s="768" t="s">
        <v>332</v>
      </c>
      <c r="G34" s="768"/>
      <c r="H34" s="768"/>
      <c r="I34" s="768"/>
      <c r="J34" s="768"/>
      <c r="K34" s="461">
        <f>+'COMBUSTIBLES '!E7</f>
        <v>4330.45</v>
      </c>
      <c r="L34" s="721"/>
      <c r="M34" s="654"/>
    </row>
    <row r="35" spans="3:13">
      <c r="C35" s="676">
        <v>23</v>
      </c>
      <c r="D35" s="674" t="s">
        <v>355</v>
      </c>
      <c r="E35" s="446" t="s">
        <v>303</v>
      </c>
      <c r="F35" s="744" t="s">
        <v>304</v>
      </c>
      <c r="G35" s="744"/>
      <c r="H35" s="744"/>
      <c r="I35" s="744"/>
      <c r="J35" s="744"/>
      <c r="K35" s="442">
        <f>+'COMBUSTIBLES '!E7</f>
        <v>4330.45</v>
      </c>
      <c r="L35" s="721"/>
      <c r="M35" s="654"/>
    </row>
    <row r="36" spans="3:13">
      <c r="C36" s="676">
        <v>24</v>
      </c>
      <c r="D36" s="674" t="s">
        <v>344</v>
      </c>
      <c r="E36" s="446" t="s">
        <v>303</v>
      </c>
      <c r="F36" s="744" t="s">
        <v>304</v>
      </c>
      <c r="G36" s="744"/>
      <c r="H36" s="744"/>
      <c r="I36" s="744"/>
      <c r="J36" s="744"/>
      <c r="K36" s="442">
        <f>+'COMBUSTIBLES '!E7</f>
        <v>4330.45</v>
      </c>
      <c r="L36" s="721"/>
      <c r="M36" s="654"/>
    </row>
    <row r="37" spans="3:13" ht="15.6">
      <c r="C37" s="671">
        <v>25</v>
      </c>
      <c r="D37" s="412" t="s">
        <v>662</v>
      </c>
      <c r="E37" s="460"/>
      <c r="F37" s="745"/>
      <c r="G37" s="745"/>
      <c r="H37" s="745"/>
      <c r="I37" s="745"/>
      <c r="J37" s="745"/>
      <c r="K37" s="442">
        <f>+'SAN-ANDRES + GENERACION'!E8</f>
        <v>4330.45</v>
      </c>
      <c r="L37" s="721"/>
      <c r="M37" s="428">
        <v>4272.5</v>
      </c>
    </row>
    <row r="38" spans="3:13" ht="18">
      <c r="C38" s="671">
        <v>26</v>
      </c>
      <c r="D38" s="412" t="s">
        <v>664</v>
      </c>
      <c r="E38" s="460"/>
      <c r="F38" s="745"/>
      <c r="G38" s="745"/>
      <c r="H38" s="745"/>
      <c r="I38" s="745"/>
      <c r="J38" s="745"/>
      <c r="K38" s="442">
        <f>+BIODIESEL!E10</f>
        <v>4705.8100000000004</v>
      </c>
      <c r="L38" s="721"/>
      <c r="M38" s="428"/>
    </row>
    <row r="39" spans="3:13" ht="15.6">
      <c r="C39" s="671">
        <v>27</v>
      </c>
      <c r="D39" s="412" t="s">
        <v>661</v>
      </c>
      <c r="E39" s="460"/>
      <c r="F39" s="745"/>
      <c r="G39" s="745"/>
      <c r="H39" s="745"/>
      <c r="I39" s="745"/>
      <c r="J39" s="745"/>
      <c r="K39" s="442">
        <f>+BIODIESEL!E9</f>
        <v>461.97</v>
      </c>
      <c r="L39" s="721"/>
      <c r="M39" s="428"/>
    </row>
    <row r="40" spans="3:13" ht="15.6">
      <c r="C40" s="671">
        <v>28</v>
      </c>
      <c r="D40" s="412" t="s">
        <v>654</v>
      </c>
      <c r="E40" s="460"/>
      <c r="F40" s="745"/>
      <c r="G40" s="745"/>
      <c r="H40" s="745"/>
      <c r="I40" s="745"/>
      <c r="J40" s="745"/>
      <c r="K40" s="442">
        <f>+BIODIESEL!E8</f>
        <v>4243.84</v>
      </c>
      <c r="L40" s="721"/>
      <c r="M40" s="428"/>
    </row>
    <row r="41" spans="3:13" ht="15.6">
      <c r="C41" s="671">
        <v>29</v>
      </c>
      <c r="D41" s="412" t="s">
        <v>663</v>
      </c>
      <c r="E41" s="446" t="s">
        <v>303</v>
      </c>
      <c r="F41" s="744" t="s">
        <v>304</v>
      </c>
      <c r="G41" s="744"/>
      <c r="H41" s="744"/>
      <c r="I41" s="744"/>
      <c r="J41" s="744"/>
      <c r="K41" s="442">
        <f>+'COMBUSTIBLES '!E7</f>
        <v>4330.45</v>
      </c>
      <c r="L41" s="721"/>
      <c r="M41" s="654"/>
    </row>
    <row r="42" spans="3:13" ht="15.6">
      <c r="C42" s="671">
        <v>30</v>
      </c>
      <c r="D42" s="412" t="s">
        <v>665</v>
      </c>
      <c r="E42" s="446" t="s">
        <v>311</v>
      </c>
      <c r="F42" s="744" t="s">
        <v>338</v>
      </c>
      <c r="G42" s="744"/>
      <c r="H42" s="744"/>
      <c r="I42" s="744"/>
      <c r="J42" s="744"/>
      <c r="K42" s="454">
        <f>+BIODIESEL!E10</f>
        <v>4705.8100000000004</v>
      </c>
      <c r="L42" s="721"/>
      <c r="M42" s="654"/>
    </row>
    <row r="43" spans="3:13" ht="15.6">
      <c r="C43" s="671">
        <v>31</v>
      </c>
      <c r="D43" s="412" t="s">
        <v>653</v>
      </c>
      <c r="E43" s="446" t="s">
        <v>330</v>
      </c>
      <c r="F43" s="744" t="s">
        <v>338</v>
      </c>
      <c r="G43" s="744"/>
      <c r="H43" s="744"/>
      <c r="I43" s="744"/>
      <c r="J43" s="744"/>
      <c r="K43" s="454">
        <f>+BIODIESEL!E8</f>
        <v>4243.84</v>
      </c>
      <c r="L43" s="721"/>
      <c r="M43" s="654"/>
    </row>
    <row r="44" spans="3:13" ht="15.6">
      <c r="C44" s="671">
        <v>32</v>
      </c>
      <c r="D44" s="412" t="s">
        <v>660</v>
      </c>
      <c r="E44" s="446" t="s">
        <v>341</v>
      </c>
      <c r="F44" s="744" t="s">
        <v>338</v>
      </c>
      <c r="G44" s="744"/>
      <c r="H44" s="744"/>
      <c r="I44" s="744"/>
      <c r="J44" s="744"/>
      <c r="K44" s="454">
        <f>+BIODIESEL!E9</f>
        <v>461.97</v>
      </c>
      <c r="L44" s="721"/>
      <c r="M44" s="654"/>
    </row>
    <row r="45" spans="3:13" ht="15.6">
      <c r="C45" s="663">
        <v>33</v>
      </c>
      <c r="D45" s="412" t="s">
        <v>652</v>
      </c>
      <c r="E45" s="446" t="s">
        <v>330</v>
      </c>
      <c r="F45" s="744" t="s">
        <v>338</v>
      </c>
      <c r="G45" s="744"/>
      <c r="H45" s="744"/>
      <c r="I45" s="744"/>
      <c r="J45" s="744"/>
      <c r="K45" s="442">
        <f>+BIODIESEL!E8</f>
        <v>4243.84</v>
      </c>
      <c r="L45" s="721"/>
      <c r="M45" s="654"/>
    </row>
    <row r="46" spans="3:13" ht="15.6">
      <c r="C46" s="663">
        <v>34</v>
      </c>
      <c r="D46" s="412" t="s">
        <v>666</v>
      </c>
      <c r="E46" s="446" t="s">
        <v>311</v>
      </c>
      <c r="F46" s="744" t="s">
        <v>338</v>
      </c>
      <c r="G46" s="744"/>
      <c r="H46" s="744"/>
      <c r="I46" s="744"/>
      <c r="J46" s="744"/>
      <c r="K46" s="442">
        <f>+BIODIESEL!E10</f>
        <v>4705.8100000000004</v>
      </c>
      <c r="L46" s="721"/>
      <c r="M46" s="654"/>
    </row>
    <row r="47" spans="3:13" ht="15.6">
      <c r="C47" s="663">
        <v>35</v>
      </c>
      <c r="D47" s="412" t="s">
        <v>659</v>
      </c>
      <c r="E47" s="446" t="s">
        <v>341</v>
      </c>
      <c r="F47" s="744" t="s">
        <v>338</v>
      </c>
      <c r="G47" s="744"/>
      <c r="H47" s="744"/>
      <c r="I47" s="744"/>
      <c r="J47" s="744"/>
      <c r="K47" s="442">
        <f>+BIODIESEL!E9</f>
        <v>461.97</v>
      </c>
      <c r="L47" s="721"/>
      <c r="M47" s="654"/>
    </row>
    <row r="48" spans="3:13" ht="15.6">
      <c r="C48" s="663">
        <v>36</v>
      </c>
      <c r="D48" s="412" t="s">
        <v>667</v>
      </c>
      <c r="E48" s="446"/>
      <c r="F48" s="744"/>
      <c r="G48" s="744"/>
      <c r="H48" s="744"/>
      <c r="I48" s="744"/>
      <c r="J48" s="744"/>
      <c r="K48" s="442">
        <f>+BIODIESEL!E10</f>
        <v>4705.8100000000004</v>
      </c>
      <c r="L48" s="721"/>
      <c r="M48" s="654"/>
    </row>
    <row r="49" spans="3:19" ht="15.6">
      <c r="C49" s="663">
        <v>37</v>
      </c>
      <c r="D49" s="412" t="s">
        <v>658</v>
      </c>
      <c r="E49" s="446"/>
      <c r="F49" s="744"/>
      <c r="G49" s="744"/>
      <c r="H49" s="744"/>
      <c r="I49" s="744"/>
      <c r="J49" s="744"/>
      <c r="K49" s="442">
        <f>+BIODIESEL!E9</f>
        <v>461.97</v>
      </c>
      <c r="L49" s="700"/>
      <c r="M49" s="654"/>
    </row>
    <row r="50" spans="3:19">
      <c r="C50" s="663">
        <v>38</v>
      </c>
      <c r="D50" s="412" t="s">
        <v>648</v>
      </c>
      <c r="E50" s="446"/>
      <c r="F50" s="744"/>
      <c r="G50" s="744"/>
      <c r="H50" s="744"/>
      <c r="I50" s="744"/>
      <c r="J50" s="744"/>
      <c r="K50" s="442">
        <f>+BIODIESEL!E8</f>
        <v>4243.84</v>
      </c>
      <c r="L50" s="721"/>
      <c r="M50" s="654"/>
    </row>
    <row r="51" spans="3:19" ht="15.6">
      <c r="C51" s="663">
        <v>39</v>
      </c>
      <c r="D51" s="412" t="s">
        <v>668</v>
      </c>
      <c r="E51" s="446"/>
      <c r="F51" s="744"/>
      <c r="G51" s="744"/>
      <c r="H51" s="744"/>
      <c r="I51" s="744"/>
      <c r="J51" s="744"/>
      <c r="K51" s="442">
        <f>+BIODIESEL!E10</f>
        <v>4705.8100000000004</v>
      </c>
      <c r="L51" s="721"/>
      <c r="M51" s="654"/>
    </row>
    <row r="52" spans="3:19" ht="15.6">
      <c r="C52" s="663">
        <v>40</v>
      </c>
      <c r="D52" s="412" t="s">
        <v>656</v>
      </c>
      <c r="E52" s="446"/>
      <c r="F52" s="744"/>
      <c r="G52" s="744"/>
      <c r="H52" s="744"/>
      <c r="I52" s="744"/>
      <c r="J52" s="744"/>
      <c r="K52" s="442">
        <f>+BIODIESEL!E9</f>
        <v>461.97</v>
      </c>
      <c r="L52" s="700"/>
      <c r="M52" s="654"/>
    </row>
    <row r="53" spans="3:19" ht="15.6">
      <c r="C53" s="663">
        <v>41</v>
      </c>
      <c r="D53" s="412" t="s">
        <v>649</v>
      </c>
      <c r="E53" s="446"/>
      <c r="F53" s="744"/>
      <c r="G53" s="744"/>
      <c r="H53" s="744"/>
      <c r="I53" s="744"/>
      <c r="J53" s="744"/>
      <c r="K53" s="442">
        <f>+BIODIESEL!E8</f>
        <v>4243.84</v>
      </c>
      <c r="L53" s="721"/>
      <c r="M53" s="654"/>
    </row>
    <row r="54" spans="3:19" s="419" customFormat="1" ht="15.6">
      <c r="C54" s="663">
        <v>42</v>
      </c>
      <c r="D54" s="412" t="s">
        <v>669</v>
      </c>
      <c r="E54" s="515"/>
      <c r="F54" s="744"/>
      <c r="G54" s="744"/>
      <c r="H54" s="744"/>
      <c r="I54" s="744" t="s">
        <v>147</v>
      </c>
      <c r="J54" s="744"/>
      <c r="K54" s="516">
        <f>+BIODIESEL!E10</f>
        <v>4705.8100000000004</v>
      </c>
      <c r="L54" s="721"/>
      <c r="M54" s="659"/>
    </row>
    <row r="55" spans="3:19" ht="15.6">
      <c r="C55" s="663">
        <v>43</v>
      </c>
      <c r="D55" s="412" t="s">
        <v>657</v>
      </c>
      <c r="E55" s="460"/>
      <c r="F55" s="744"/>
      <c r="G55" s="744"/>
      <c r="H55" s="744"/>
      <c r="I55" s="744"/>
      <c r="J55" s="744"/>
      <c r="K55" s="461">
        <f>+BIODIESEL!E9</f>
        <v>461.97</v>
      </c>
      <c r="L55" s="700"/>
      <c r="M55" s="428"/>
    </row>
    <row r="56" spans="3:19" ht="15.6">
      <c r="C56" s="663">
        <v>44</v>
      </c>
      <c r="D56" s="412" t="s">
        <v>670</v>
      </c>
      <c r="E56" s="460"/>
      <c r="F56" s="744"/>
      <c r="G56" s="744"/>
      <c r="H56" s="744"/>
      <c r="I56" s="744"/>
      <c r="J56" s="744"/>
      <c r="K56" s="461">
        <f>+'SAN-ANDRES + GENERACION'!F8</f>
        <v>4705.8109999999997</v>
      </c>
      <c r="L56" s="721"/>
      <c r="M56" s="428"/>
    </row>
    <row r="57" spans="3:19" ht="15.6">
      <c r="C57" s="663">
        <v>45</v>
      </c>
      <c r="D57" s="412" t="s">
        <v>650</v>
      </c>
      <c r="E57" s="460"/>
      <c r="F57" s="744"/>
      <c r="G57" s="744"/>
      <c r="H57" s="744"/>
      <c r="I57" s="744"/>
      <c r="J57" s="744"/>
      <c r="K57" s="461">
        <f>+'SAN-ANDRES + GENERACION'!J11</f>
        <v>4243.8409999999994</v>
      </c>
      <c r="L57" s="721"/>
      <c r="M57" s="428"/>
    </row>
    <row r="58" spans="3:19" ht="15.6">
      <c r="C58" s="663">
        <v>46</v>
      </c>
      <c r="D58" s="412" t="s">
        <v>655</v>
      </c>
      <c r="E58" s="460"/>
      <c r="F58" s="744"/>
      <c r="G58" s="744"/>
      <c r="H58" s="744"/>
      <c r="I58" s="744"/>
      <c r="J58" s="744"/>
      <c r="K58" s="461">
        <f>+BIODIESEL!E9</f>
        <v>461.97</v>
      </c>
      <c r="L58" s="700"/>
      <c r="M58" s="428"/>
    </row>
    <row r="59" spans="3:19" ht="15.6">
      <c r="C59" s="663">
        <v>47</v>
      </c>
      <c r="D59" s="412" t="s">
        <v>651</v>
      </c>
      <c r="E59" s="460"/>
      <c r="F59" s="744"/>
      <c r="G59" s="744"/>
      <c r="H59" s="744"/>
      <c r="I59" s="744"/>
      <c r="J59" s="744"/>
      <c r="K59" s="461">
        <f>+BIODIESEL!E8</f>
        <v>4243.84</v>
      </c>
      <c r="L59" s="721"/>
      <c r="M59" s="428"/>
    </row>
    <row r="60" spans="3:19">
      <c r="D60" s="667" t="s">
        <v>331</v>
      </c>
      <c r="E60" s="668"/>
      <c r="F60" s="766" t="s">
        <v>332</v>
      </c>
      <c r="G60" s="766"/>
      <c r="H60" s="766"/>
      <c r="I60" s="766"/>
      <c r="J60" s="766"/>
      <c r="K60" s="665">
        <f>+Variables!E27*0</f>
        <v>0</v>
      </c>
      <c r="L60" s="656" t="s">
        <v>647</v>
      </c>
      <c r="M60" s="654"/>
      <c r="S60" s="164" t="s">
        <v>306</v>
      </c>
    </row>
    <row r="61" spans="3:19">
      <c r="D61" s="667" t="s">
        <v>333</v>
      </c>
      <c r="E61" s="669" t="s">
        <v>334</v>
      </c>
      <c r="F61" s="766" t="s">
        <v>332</v>
      </c>
      <c r="G61" s="766"/>
      <c r="H61" s="766"/>
      <c r="I61" s="766"/>
      <c r="J61" s="766"/>
      <c r="K61" s="665">
        <f>+Variables!E20*0</f>
        <v>0</v>
      </c>
      <c r="L61" s="656" t="s">
        <v>647</v>
      </c>
      <c r="M61" s="654"/>
      <c r="S61" s="164" t="s">
        <v>314</v>
      </c>
    </row>
    <row r="62" spans="3:19">
      <c r="D62" s="667" t="s">
        <v>342</v>
      </c>
      <c r="E62" s="669" t="s">
        <v>334</v>
      </c>
      <c r="F62" s="766" t="s">
        <v>332</v>
      </c>
      <c r="G62" s="766"/>
      <c r="H62" s="766"/>
      <c r="I62" s="766"/>
      <c r="J62" s="766"/>
      <c r="K62" s="665">
        <f>+Variables!E27*0</f>
        <v>0</v>
      </c>
      <c r="L62" s="656" t="s">
        <v>647</v>
      </c>
      <c r="M62" s="654"/>
    </row>
    <row r="63" spans="3:19">
      <c r="D63" s="667" t="s">
        <v>345</v>
      </c>
      <c r="E63" s="669" t="s">
        <v>334</v>
      </c>
      <c r="F63" s="766" t="s">
        <v>332</v>
      </c>
      <c r="G63" s="766"/>
      <c r="H63" s="766"/>
      <c r="I63" s="766"/>
      <c r="J63" s="766"/>
      <c r="K63" s="665">
        <f>+Variables!E27*0</f>
        <v>0</v>
      </c>
      <c r="L63" s="656" t="s">
        <v>647</v>
      </c>
      <c r="M63" s="654"/>
    </row>
    <row r="64" spans="3:19">
      <c r="D64" s="667" t="s">
        <v>346</v>
      </c>
      <c r="E64" s="669" t="s">
        <v>334</v>
      </c>
      <c r="F64" s="766" t="s">
        <v>332</v>
      </c>
      <c r="G64" s="766"/>
      <c r="H64" s="766"/>
      <c r="I64" s="766"/>
      <c r="J64" s="766"/>
      <c r="K64" s="665">
        <f>+Variables!E27*0</f>
        <v>0</v>
      </c>
      <c r="L64" s="656" t="s">
        <v>647</v>
      </c>
      <c r="M64" s="654"/>
    </row>
    <row r="65" spans="4:13">
      <c r="D65" s="667" t="s">
        <v>356</v>
      </c>
      <c r="E65" s="669" t="s">
        <v>334</v>
      </c>
      <c r="F65" s="766" t="s">
        <v>332</v>
      </c>
      <c r="G65" s="766"/>
      <c r="H65" s="766"/>
      <c r="I65" s="766"/>
      <c r="J65" s="766"/>
      <c r="K65" s="666">
        <f>+Variables!E27*0</f>
        <v>0</v>
      </c>
      <c r="L65" s="656" t="s">
        <v>647</v>
      </c>
      <c r="M65" s="654"/>
    </row>
    <row r="66" spans="4:13">
      <c r="D66" s="667" t="s">
        <v>357</v>
      </c>
      <c r="E66" s="669" t="s">
        <v>334</v>
      </c>
      <c r="F66" s="766" t="s">
        <v>332</v>
      </c>
      <c r="G66" s="766"/>
      <c r="H66" s="766"/>
      <c r="I66" s="766"/>
      <c r="J66" s="766"/>
      <c r="K66" s="666">
        <f>+Variables!E27*0</f>
        <v>0</v>
      </c>
      <c r="L66" s="656" t="s">
        <v>647</v>
      </c>
      <c r="M66" s="654"/>
    </row>
    <row r="67" spans="4:13">
      <c r="D67" s="667" t="s">
        <v>496</v>
      </c>
      <c r="E67" s="669" t="s">
        <v>334</v>
      </c>
      <c r="F67" s="766" t="s">
        <v>332</v>
      </c>
      <c r="G67" s="766"/>
      <c r="H67" s="766"/>
      <c r="I67" s="766"/>
      <c r="J67" s="766"/>
      <c r="K67" s="665">
        <f>+Variables!E27*0</f>
        <v>0</v>
      </c>
      <c r="L67" s="656" t="s">
        <v>647</v>
      </c>
      <c r="M67" s="654"/>
    </row>
    <row r="68" spans="4:13">
      <c r="D68" s="667" t="s">
        <v>537</v>
      </c>
      <c r="E68" s="668"/>
      <c r="F68" s="761"/>
      <c r="G68" s="761"/>
      <c r="H68" s="761"/>
      <c r="I68" s="761"/>
      <c r="J68" s="670"/>
      <c r="K68" s="665">
        <f>+Variables!E27*0</f>
        <v>0</v>
      </c>
      <c r="L68" s="656" t="s">
        <v>647</v>
      </c>
      <c r="M68" s="654"/>
    </row>
    <row r="69" spans="4:13">
      <c r="D69" s="667" t="s">
        <v>540</v>
      </c>
      <c r="E69" s="668"/>
      <c r="F69" s="761"/>
      <c r="G69" s="761"/>
      <c r="H69" s="761"/>
      <c r="I69" s="761"/>
      <c r="J69" s="670"/>
      <c r="K69" s="665">
        <f>+Variables!E22*0</f>
        <v>0</v>
      </c>
      <c r="L69" s="656" t="s">
        <v>647</v>
      </c>
      <c r="M69" s="654"/>
    </row>
    <row r="70" spans="4:13">
      <c r="D70" s="667" t="s">
        <v>542</v>
      </c>
      <c r="E70" s="668"/>
      <c r="F70" s="761"/>
      <c r="G70" s="761"/>
      <c r="H70" s="761"/>
      <c r="I70" s="761"/>
      <c r="J70" s="670"/>
      <c r="K70" s="665">
        <f>+'COMBUSTIBLES '!E10</f>
        <v>0</v>
      </c>
      <c r="L70" s="656" t="s">
        <v>647</v>
      </c>
      <c r="M70" s="654"/>
    </row>
    <row r="71" spans="4:13">
      <c r="D71" s="667" t="s">
        <v>543</v>
      </c>
      <c r="E71" s="668"/>
      <c r="F71" s="761"/>
      <c r="G71" s="761"/>
      <c r="H71" s="761"/>
      <c r="I71" s="761"/>
      <c r="J71" s="670"/>
      <c r="K71" s="665">
        <f>+'COMBUSTIBLES '!E10</f>
        <v>0</v>
      </c>
      <c r="L71" s="656" t="s">
        <v>647</v>
      </c>
      <c r="M71" s="654"/>
    </row>
    <row r="72" spans="4:13">
      <c r="D72" s="667" t="s">
        <v>548</v>
      </c>
      <c r="E72" s="668"/>
      <c r="F72" s="761"/>
      <c r="G72" s="761"/>
      <c r="H72" s="761"/>
      <c r="I72" s="761"/>
      <c r="J72" s="670"/>
      <c r="K72" s="665">
        <f>+Variables!E27*0</f>
        <v>0</v>
      </c>
      <c r="L72" s="656" t="s">
        <v>647</v>
      </c>
      <c r="M72" s="654"/>
    </row>
    <row r="73" spans="4:13">
      <c r="D73" s="667" t="s">
        <v>549</v>
      </c>
      <c r="E73" s="668"/>
      <c r="F73" s="761"/>
      <c r="G73" s="761"/>
      <c r="H73" s="761"/>
      <c r="I73" s="761"/>
      <c r="J73" s="670"/>
      <c r="K73" s="665">
        <f>+K71</f>
        <v>0</v>
      </c>
      <c r="L73" s="656" t="s">
        <v>647</v>
      </c>
      <c r="M73" s="654"/>
    </row>
    <row r="74" spans="4:13">
      <c r="D74" s="667" t="s">
        <v>551</v>
      </c>
      <c r="E74" s="668"/>
      <c r="F74" s="761"/>
      <c r="G74" s="761"/>
      <c r="H74" s="761"/>
      <c r="I74" s="761"/>
      <c r="J74" s="670"/>
      <c r="K74" s="665">
        <f>+Variables!E27*0</f>
        <v>0</v>
      </c>
      <c r="L74" s="656" t="s">
        <v>647</v>
      </c>
      <c r="M74" s="654"/>
    </row>
    <row r="75" spans="4:13">
      <c r="D75" s="667" t="s">
        <v>552</v>
      </c>
      <c r="E75" s="668"/>
      <c r="F75" s="761"/>
      <c r="G75" s="761"/>
      <c r="H75" s="761"/>
      <c r="I75" s="761"/>
      <c r="J75" s="670"/>
      <c r="K75" s="665">
        <f>+K73</f>
        <v>0</v>
      </c>
      <c r="L75" s="656" t="s">
        <v>647</v>
      </c>
      <c r="M75" s="654"/>
    </row>
    <row r="76" spans="4:13">
      <c r="D76" s="667" t="s">
        <v>563</v>
      </c>
      <c r="E76" s="668"/>
      <c r="F76" s="761"/>
      <c r="G76" s="761"/>
      <c r="H76" s="761"/>
      <c r="I76" s="761"/>
      <c r="J76" s="670"/>
      <c r="K76" s="657">
        <f>+K72*0</f>
        <v>0</v>
      </c>
      <c r="L76" s="656" t="s">
        <v>647</v>
      </c>
      <c r="M76" s="428"/>
    </row>
    <row r="77" spans="4:13">
      <c r="D77" s="667" t="s">
        <v>568</v>
      </c>
      <c r="E77" s="668"/>
      <c r="F77" s="761"/>
      <c r="G77" s="761"/>
      <c r="H77" s="761"/>
      <c r="I77" s="761"/>
      <c r="J77" s="670"/>
      <c r="K77" s="658">
        <f>+'COMBUSTIBLES '!B10</f>
        <v>0</v>
      </c>
      <c r="L77" s="656" t="s">
        <v>647</v>
      </c>
    </row>
    <row r="78" spans="4:13">
      <c r="D78" s="667" t="s">
        <v>574</v>
      </c>
      <c r="E78" s="668"/>
      <c r="F78" s="761"/>
      <c r="G78" s="761"/>
      <c r="H78" s="761"/>
      <c r="I78" s="761"/>
      <c r="J78" s="670"/>
      <c r="K78" s="658">
        <f>+K76*0</f>
        <v>0</v>
      </c>
      <c r="L78" s="656" t="s">
        <v>647</v>
      </c>
    </row>
    <row r="79" spans="4:13">
      <c r="D79" s="677" t="s">
        <v>575</v>
      </c>
      <c r="E79" s="678"/>
      <c r="F79" s="762"/>
      <c r="G79" s="762"/>
      <c r="H79" s="762"/>
      <c r="I79" s="762"/>
      <c r="J79" s="679"/>
      <c r="K79" s="658">
        <f>+BIODIESEL!E17</f>
        <v>0</v>
      </c>
      <c r="L79" s="656" t="s">
        <v>647</v>
      </c>
    </row>
    <row r="80" spans="4:13" outlineLevel="1">
      <c r="D80" s="680" t="s">
        <v>347</v>
      </c>
      <c r="E80" s="681" t="s">
        <v>313</v>
      </c>
      <c r="F80" s="767" t="s">
        <v>338</v>
      </c>
      <c r="G80" s="767"/>
      <c r="H80" s="767"/>
      <c r="I80" s="767"/>
      <c r="J80" s="767"/>
      <c r="K80" s="682">
        <f>+BIODIESEL!F10</f>
        <v>4893.4980000000005</v>
      </c>
      <c r="L80" s="559" t="s">
        <v>598</v>
      </c>
      <c r="M80" s="655"/>
    </row>
    <row r="81" spans="2:13" outlineLevel="1">
      <c r="D81" s="680" t="s">
        <v>349</v>
      </c>
      <c r="E81" s="681" t="s">
        <v>350</v>
      </c>
      <c r="F81" s="767" t="s">
        <v>338</v>
      </c>
      <c r="G81" s="767"/>
      <c r="H81" s="767"/>
      <c r="I81" s="767"/>
      <c r="J81" s="767"/>
      <c r="K81" s="682">
        <f>+BIODIESEL!F8</f>
        <v>4200.5370000000003</v>
      </c>
      <c r="L81" s="559" t="s">
        <v>598</v>
      </c>
      <c r="M81" s="655"/>
    </row>
    <row r="82" spans="2:13" outlineLevel="1">
      <c r="D82" s="680" t="s">
        <v>351</v>
      </c>
      <c r="E82" s="681" t="s">
        <v>352</v>
      </c>
      <c r="F82" s="767" t="s">
        <v>338</v>
      </c>
      <c r="G82" s="767"/>
      <c r="H82" s="767"/>
      <c r="I82" s="767"/>
      <c r="J82" s="767"/>
      <c r="K82" s="682">
        <f>+BIODIESEL!F9</f>
        <v>692.96100000000001</v>
      </c>
      <c r="L82" s="559" t="s">
        <v>598</v>
      </c>
      <c r="M82" s="655"/>
    </row>
    <row r="83" spans="2:13" outlineLevel="1">
      <c r="D83" s="680" t="s">
        <v>353</v>
      </c>
      <c r="E83" s="683" t="s">
        <v>334</v>
      </c>
      <c r="F83" s="760" t="s">
        <v>332</v>
      </c>
      <c r="G83" s="760"/>
      <c r="H83" s="760"/>
      <c r="I83" s="760"/>
      <c r="J83" s="760"/>
      <c r="K83" s="682">
        <f>+Variables!E27*0</f>
        <v>0</v>
      </c>
      <c r="L83" s="559" t="s">
        <v>598</v>
      </c>
      <c r="M83" s="655"/>
    </row>
    <row r="84" spans="2:13">
      <c r="D84" s="531"/>
      <c r="E84" s="460"/>
      <c r="F84" s="472"/>
      <c r="G84" s="472"/>
      <c r="H84" s="472"/>
      <c r="I84" s="472"/>
      <c r="J84" s="473"/>
      <c r="K84" s="461"/>
      <c r="L84" s="649"/>
    </row>
    <row r="85" spans="2:13" ht="36.6">
      <c r="B85" s="401">
        <v>2</v>
      </c>
      <c r="D85" s="402" t="s">
        <v>358</v>
      </c>
    </row>
    <row r="87" spans="2:13" ht="21">
      <c r="D87" s="404" t="s">
        <v>297</v>
      </c>
      <c r="E87" s="405" t="s">
        <v>298</v>
      </c>
      <c r="F87" s="406" t="s">
        <v>299</v>
      </c>
    </row>
    <row r="88" spans="2:13" ht="21">
      <c r="D88" s="404"/>
      <c r="E88" s="405"/>
      <c r="F88" s="406" t="s">
        <v>577</v>
      </c>
    </row>
    <row r="89" spans="2:13">
      <c r="D89" s="409" t="s">
        <v>359</v>
      </c>
      <c r="E89" s="437" t="s">
        <v>360</v>
      </c>
      <c r="F89" s="744" t="s">
        <v>304</v>
      </c>
      <c r="G89" s="744"/>
      <c r="H89" s="744"/>
      <c r="I89" s="744"/>
      <c r="J89" s="744"/>
      <c r="K89" s="434">
        <f>+'COMBUSTIBLES '!D7</f>
        <v>13016</v>
      </c>
    </row>
    <row r="90" spans="2:13">
      <c r="D90" s="409" t="s">
        <v>361</v>
      </c>
      <c r="E90" s="437" t="s">
        <v>362</v>
      </c>
      <c r="F90" s="744" t="s">
        <v>304</v>
      </c>
      <c r="G90" s="744"/>
      <c r="H90" s="744"/>
      <c r="I90" s="744"/>
      <c r="J90" s="744"/>
      <c r="K90" s="434">
        <f>+'COMBUSTIBLES '!G7</f>
        <v>16487.080000000002</v>
      </c>
    </row>
    <row r="91" spans="2:13">
      <c r="D91" s="408" t="s">
        <v>363</v>
      </c>
      <c r="E91" s="414"/>
      <c r="F91" s="771" t="s">
        <v>364</v>
      </c>
      <c r="G91" s="771"/>
      <c r="H91" s="771"/>
      <c r="I91" s="771"/>
      <c r="J91" s="771"/>
    </row>
    <row r="92" spans="2:13">
      <c r="D92" s="402" t="s">
        <v>509</v>
      </c>
      <c r="E92" s="403" t="s">
        <v>510</v>
      </c>
      <c r="K92" s="456" t="s">
        <v>535</v>
      </c>
    </row>
    <row r="93" spans="2:13" ht="21">
      <c r="D93" s="406" t="s">
        <v>365</v>
      </c>
      <c r="E93" s="403" t="s">
        <v>511</v>
      </c>
    </row>
    <row r="94" spans="2:13">
      <c r="D94" s="411" t="s">
        <v>366</v>
      </c>
    </row>
    <row r="95" spans="2:13">
      <c r="D95" s="411" t="s">
        <v>367</v>
      </c>
    </row>
    <row r="96" spans="2:13">
      <c r="D96" s="411"/>
    </row>
    <row r="97" spans="4:12">
      <c r="D97" s="411" t="s">
        <v>368</v>
      </c>
    </row>
    <row r="98" spans="4:12">
      <c r="D98" s="411"/>
    </row>
    <row r="99" spans="4:12">
      <c r="D99" s="411"/>
    </row>
    <row r="100" spans="4:12" ht="21">
      <c r="D100" s="404" t="s">
        <v>369</v>
      </c>
    </row>
    <row r="101" spans="4:12">
      <c r="D101" s="411" t="s">
        <v>370</v>
      </c>
    </row>
    <row r="102" spans="4:12">
      <c r="D102" s="411" t="s">
        <v>317</v>
      </c>
    </row>
    <row r="103" spans="4:12">
      <c r="D103" s="402" t="s">
        <v>318</v>
      </c>
    </row>
    <row r="104" spans="4:12">
      <c r="D104" s="402" t="s">
        <v>319</v>
      </c>
    </row>
    <row r="105" spans="4:12">
      <c r="D105" s="423" t="s">
        <v>519</v>
      </c>
    </row>
    <row r="106" spans="4:12">
      <c r="D106" s="402" t="s">
        <v>321</v>
      </c>
    </row>
    <row r="109" spans="4:12" ht="21">
      <c r="D109" s="751" t="s">
        <v>322</v>
      </c>
      <c r="E109" s="752" t="s">
        <v>298</v>
      </c>
      <c r="F109" s="753" t="s">
        <v>299</v>
      </c>
      <c r="G109" s="754"/>
      <c r="H109" s="754"/>
      <c r="I109" s="754"/>
      <c r="J109" s="755"/>
    </row>
    <row r="110" spans="4:12" ht="21">
      <c r="D110" s="751"/>
      <c r="E110" s="752"/>
      <c r="F110" s="756" t="s">
        <v>323</v>
      </c>
      <c r="G110" s="757"/>
      <c r="H110" s="757"/>
      <c r="I110" s="757"/>
      <c r="J110" s="758"/>
    </row>
    <row r="111" spans="4:12" ht="15" customHeight="1">
      <c r="D111" s="415" t="s">
        <v>371</v>
      </c>
      <c r="E111" s="416"/>
      <c r="F111" s="763" t="s">
        <v>372</v>
      </c>
      <c r="G111" s="764"/>
      <c r="H111" s="764"/>
      <c r="I111" s="764"/>
      <c r="J111" s="765"/>
      <c r="K111" s="458">
        <v>6543.55</v>
      </c>
    </row>
    <row r="112" spans="4:12">
      <c r="D112" s="417" t="s">
        <v>373</v>
      </c>
      <c r="E112" s="440">
        <f>+$K$17</f>
        <v>8.6314000000000011</v>
      </c>
      <c r="F112" s="763"/>
      <c r="G112" s="764"/>
      <c r="H112" s="764"/>
      <c r="I112" s="764"/>
      <c r="J112" s="765"/>
      <c r="K112" s="449">
        <v>7.9</v>
      </c>
      <c r="L112" s="449"/>
    </row>
    <row r="113" spans="2:12">
      <c r="D113" s="417" t="s">
        <v>374</v>
      </c>
      <c r="E113" s="440">
        <f>+$K$17</f>
        <v>8.6314000000000011</v>
      </c>
      <c r="F113" s="763"/>
      <c r="G113" s="764"/>
      <c r="H113" s="764"/>
      <c r="I113" s="764"/>
      <c r="J113" s="765"/>
      <c r="K113" s="402">
        <v>7.9</v>
      </c>
      <c r="L113" s="449"/>
    </row>
    <row r="114" spans="2:12">
      <c r="D114" s="417" t="s">
        <v>375</v>
      </c>
      <c r="E114" s="439">
        <v>0</v>
      </c>
      <c r="F114" s="763"/>
      <c r="G114" s="764"/>
      <c r="H114" s="764"/>
      <c r="I114" s="764"/>
      <c r="J114" s="765"/>
      <c r="K114" s="402">
        <v>0</v>
      </c>
      <c r="L114" s="449"/>
    </row>
    <row r="115" spans="2:12">
      <c r="D115" s="415" t="s">
        <v>376</v>
      </c>
      <c r="E115" s="439" t="s">
        <v>377</v>
      </c>
      <c r="F115" s="763" t="s">
        <v>378</v>
      </c>
      <c r="G115" s="764"/>
      <c r="H115" s="764"/>
      <c r="I115" s="764"/>
      <c r="J115" s="765"/>
      <c r="K115" s="421" t="e">
        <f>+#REF!</f>
        <v>#REF!</v>
      </c>
      <c r="L115" s="449"/>
    </row>
    <row r="116" spans="2:12">
      <c r="D116" s="422" t="s">
        <v>499</v>
      </c>
      <c r="E116" s="439"/>
      <c r="F116" s="770" t="s">
        <v>332</v>
      </c>
      <c r="G116" s="770"/>
      <c r="H116" s="770"/>
      <c r="I116" s="770"/>
      <c r="J116" s="770"/>
      <c r="K116" s="455">
        <f>+Variables!E23</f>
        <v>7107.81</v>
      </c>
      <c r="L116" s="449"/>
    </row>
    <row r="117" spans="2:12">
      <c r="D117" s="417"/>
      <c r="E117" s="441"/>
      <c r="F117" s="763"/>
      <c r="G117" s="764"/>
      <c r="H117" s="764"/>
      <c r="I117" s="764"/>
      <c r="J117" s="765"/>
    </row>
    <row r="118" spans="2:12">
      <c r="D118" s="417" t="s">
        <v>379</v>
      </c>
      <c r="E118" s="439" t="s">
        <v>362</v>
      </c>
      <c r="F118" s="763" t="s">
        <v>380</v>
      </c>
      <c r="G118" s="764"/>
      <c r="H118" s="764"/>
      <c r="I118" s="764"/>
      <c r="J118" s="765"/>
      <c r="K118" s="421">
        <f>+'COMBUSTIBLES '!G7</f>
        <v>16487.080000000002</v>
      </c>
      <c r="L118" s="449"/>
    </row>
    <row r="119" spans="2:12">
      <c r="D119" s="417" t="s">
        <v>381</v>
      </c>
      <c r="E119" s="439">
        <v>0</v>
      </c>
      <c r="F119" s="763"/>
      <c r="G119" s="764"/>
      <c r="H119" s="764"/>
      <c r="I119" s="764"/>
      <c r="J119" s="765"/>
      <c r="K119" s="402">
        <v>0</v>
      </c>
    </row>
    <row r="120" spans="2:12">
      <c r="D120" s="415" t="s">
        <v>382</v>
      </c>
      <c r="E120" s="439"/>
      <c r="F120" s="770" t="s">
        <v>332</v>
      </c>
      <c r="G120" s="770"/>
      <c r="H120" s="770"/>
      <c r="I120" s="770"/>
      <c r="J120" s="770"/>
      <c r="K120" s="457">
        <f>+K116</f>
        <v>7107.81</v>
      </c>
      <c r="L120" s="449"/>
    </row>
    <row r="121" spans="2:12">
      <c r="D121" s="417" t="s">
        <v>383</v>
      </c>
      <c r="E121" s="440">
        <f>+$K$17</f>
        <v>8.6314000000000011</v>
      </c>
      <c r="F121" s="763"/>
      <c r="G121" s="764"/>
      <c r="H121" s="764"/>
      <c r="I121" s="764"/>
      <c r="J121" s="765"/>
      <c r="K121" s="402">
        <v>7.9</v>
      </c>
      <c r="L121" s="449"/>
    </row>
    <row r="122" spans="2:12">
      <c r="D122" s="418" t="s">
        <v>384</v>
      </c>
      <c r="E122" s="439" t="s">
        <v>377</v>
      </c>
      <c r="F122" s="763" t="s">
        <v>378</v>
      </c>
      <c r="G122" s="764"/>
      <c r="H122" s="764"/>
      <c r="I122" s="764"/>
      <c r="J122" s="765"/>
      <c r="K122" s="421" t="e">
        <f>+#REF!</f>
        <v>#REF!</v>
      </c>
      <c r="L122" s="449"/>
    </row>
    <row r="126" spans="2:12" ht="36.6" outlineLevel="2">
      <c r="B126" s="401">
        <v>3</v>
      </c>
      <c r="D126" s="402" t="s">
        <v>385</v>
      </c>
    </row>
    <row r="127" spans="2:12" outlineLevel="2"/>
    <row r="128" spans="2:12" ht="21" outlineLevel="2">
      <c r="D128" s="404" t="s">
        <v>297</v>
      </c>
      <c r="E128" s="405" t="s">
        <v>298</v>
      </c>
      <c r="F128" s="406" t="s">
        <v>299</v>
      </c>
    </row>
    <row r="129" spans="4:10" ht="21" outlineLevel="2">
      <c r="D129" s="404"/>
      <c r="E129" s="405"/>
      <c r="F129" s="406" t="s">
        <v>493</v>
      </c>
    </row>
    <row r="130" spans="4:10" outlineLevel="2">
      <c r="D130" s="409" t="s">
        <v>386</v>
      </c>
      <c r="E130" s="407" t="s">
        <v>387</v>
      </c>
      <c r="F130" s="744" t="s">
        <v>388</v>
      </c>
      <c r="G130" s="744"/>
      <c r="H130" s="744"/>
      <c r="I130" s="744"/>
      <c r="J130" s="744"/>
    </row>
    <row r="131" spans="4:10" outlineLevel="2">
      <c r="D131" s="409" t="s">
        <v>389</v>
      </c>
      <c r="E131" s="407" t="s">
        <v>390</v>
      </c>
      <c r="F131" s="744" t="s">
        <v>388</v>
      </c>
      <c r="G131" s="744"/>
      <c r="H131" s="744"/>
      <c r="I131" s="744"/>
      <c r="J131" s="744"/>
    </row>
    <row r="132" spans="4:10" outlineLevel="2"/>
    <row r="133" spans="4:10" outlineLevel="2"/>
    <row r="134" spans="4:10" ht="21" outlineLevel="2">
      <c r="D134" s="404" t="s">
        <v>391</v>
      </c>
    </row>
    <row r="135" spans="4:10" outlineLevel="2">
      <c r="D135" s="411" t="s">
        <v>392</v>
      </c>
    </row>
    <row r="136" spans="4:10" outlineLevel="2">
      <c r="D136" s="411" t="s">
        <v>317</v>
      </c>
    </row>
    <row r="137" spans="4:10" outlineLevel="2">
      <c r="D137" s="402" t="s">
        <v>318</v>
      </c>
    </row>
    <row r="138" spans="4:10" outlineLevel="2">
      <c r="D138" s="402" t="s">
        <v>319</v>
      </c>
    </row>
    <row r="139" spans="4:10" outlineLevel="2">
      <c r="D139" s="402" t="s">
        <v>393</v>
      </c>
    </row>
    <row r="140" spans="4:10" outlineLevel="2">
      <c r="D140" s="402" t="s">
        <v>321</v>
      </c>
    </row>
    <row r="141" spans="4:10" outlineLevel="2"/>
    <row r="142" spans="4:10" outlineLevel="2"/>
    <row r="143" spans="4:10" ht="21" outlineLevel="2">
      <c r="D143" s="751" t="s">
        <v>322</v>
      </c>
      <c r="E143" s="752" t="s">
        <v>298</v>
      </c>
      <c r="F143" s="753" t="s">
        <v>299</v>
      </c>
      <c r="G143" s="754"/>
      <c r="H143" s="754"/>
      <c r="I143" s="754"/>
      <c r="J143" s="755"/>
    </row>
    <row r="144" spans="4:10" ht="21" outlineLevel="2">
      <c r="D144" s="751"/>
      <c r="E144" s="752"/>
      <c r="F144" s="756" t="s">
        <v>394</v>
      </c>
      <c r="G144" s="757"/>
      <c r="H144" s="757"/>
      <c r="I144" s="757"/>
      <c r="J144" s="758"/>
    </row>
    <row r="145" spans="4:10" outlineLevel="2">
      <c r="D145" s="415" t="s">
        <v>395</v>
      </c>
      <c r="E145" s="413" t="s">
        <v>330</v>
      </c>
      <c r="F145" s="744" t="s">
        <v>396</v>
      </c>
      <c r="G145" s="744"/>
      <c r="H145" s="744"/>
      <c r="I145" s="744"/>
      <c r="J145" s="744"/>
    </row>
    <row r="146" spans="4:10" outlineLevel="2">
      <c r="D146" s="415" t="s">
        <v>397</v>
      </c>
      <c r="E146" s="413" t="s">
        <v>341</v>
      </c>
      <c r="F146" s="744" t="s">
        <v>398</v>
      </c>
      <c r="G146" s="744"/>
      <c r="H146" s="744"/>
      <c r="I146" s="744"/>
      <c r="J146" s="744"/>
    </row>
    <row r="147" spans="4:10" outlineLevel="2">
      <c r="D147" s="415" t="s">
        <v>399</v>
      </c>
      <c r="E147" s="413" t="s">
        <v>308</v>
      </c>
      <c r="F147" s="744" t="s">
        <v>400</v>
      </c>
      <c r="G147" s="744"/>
      <c r="H147" s="744"/>
      <c r="I147" s="744"/>
      <c r="J147" s="744"/>
    </row>
    <row r="148" spans="4:10" outlineLevel="2">
      <c r="D148" s="415" t="s">
        <v>401</v>
      </c>
      <c r="E148" s="413" t="s">
        <v>303</v>
      </c>
      <c r="F148" s="744" t="s">
        <v>400</v>
      </c>
      <c r="G148" s="744"/>
      <c r="H148" s="744"/>
      <c r="I148" s="744"/>
      <c r="J148" s="744"/>
    </row>
    <row r="149" spans="4:10" outlineLevel="2">
      <c r="D149" s="415" t="s">
        <v>402</v>
      </c>
      <c r="E149" s="413" t="s">
        <v>350</v>
      </c>
      <c r="F149" s="744" t="s">
        <v>403</v>
      </c>
      <c r="G149" s="744"/>
      <c r="H149" s="744"/>
      <c r="I149" s="744"/>
      <c r="J149" s="744"/>
    </row>
    <row r="150" spans="4:10" outlineLevel="2">
      <c r="D150" s="415" t="s">
        <v>404</v>
      </c>
      <c r="E150" s="413" t="s">
        <v>405</v>
      </c>
      <c r="F150" s="744" t="s">
        <v>403</v>
      </c>
      <c r="G150" s="744"/>
      <c r="H150" s="744"/>
      <c r="I150" s="744"/>
      <c r="J150" s="744"/>
    </row>
    <row r="151" spans="4:10" ht="15" customHeight="1" outlineLevel="2">
      <c r="D151" s="415" t="s">
        <v>406</v>
      </c>
      <c r="E151" s="413" t="s">
        <v>407</v>
      </c>
      <c r="F151" s="744" t="s">
        <v>403</v>
      </c>
      <c r="G151" s="744"/>
      <c r="H151" s="744"/>
      <c r="I151" s="744"/>
      <c r="J151" s="744"/>
    </row>
    <row r="152" spans="4:10" ht="15" customHeight="1" outlineLevel="2">
      <c r="D152" s="415" t="s">
        <v>408</v>
      </c>
      <c r="E152" s="413" t="s">
        <v>409</v>
      </c>
      <c r="F152" s="744" t="s">
        <v>403</v>
      </c>
      <c r="G152" s="744"/>
      <c r="H152" s="744"/>
      <c r="I152" s="744"/>
      <c r="J152" s="744"/>
    </row>
    <row r="153" spans="4:10" ht="15" customHeight="1" outlineLevel="2">
      <c r="D153" s="415" t="s">
        <v>410</v>
      </c>
      <c r="E153" s="413" t="s">
        <v>411</v>
      </c>
      <c r="F153" s="744" t="s">
        <v>403</v>
      </c>
      <c r="G153" s="744"/>
      <c r="H153" s="744"/>
      <c r="I153" s="744"/>
      <c r="J153" s="744"/>
    </row>
    <row r="154" spans="4:10" outlineLevel="2">
      <c r="D154" s="415" t="s">
        <v>412</v>
      </c>
      <c r="E154" s="413" t="s">
        <v>413</v>
      </c>
      <c r="F154" s="744" t="s">
        <v>403</v>
      </c>
      <c r="G154" s="744"/>
      <c r="H154" s="744"/>
      <c r="I154" s="744"/>
      <c r="J154" s="744"/>
    </row>
    <row r="155" spans="4:10" outlineLevel="2">
      <c r="D155" s="415" t="s">
        <v>414</v>
      </c>
      <c r="E155" s="413" t="s">
        <v>308</v>
      </c>
      <c r="F155" s="744" t="s">
        <v>400</v>
      </c>
      <c r="G155" s="744"/>
      <c r="H155" s="744"/>
      <c r="I155" s="744"/>
      <c r="J155" s="744"/>
    </row>
    <row r="156" spans="4:10" outlineLevel="2">
      <c r="D156" s="415" t="s">
        <v>415</v>
      </c>
      <c r="E156" s="413" t="s">
        <v>411</v>
      </c>
      <c r="F156" s="744" t="s">
        <v>416</v>
      </c>
      <c r="G156" s="744"/>
      <c r="H156" s="744"/>
      <c r="I156" s="744"/>
      <c r="J156" s="744"/>
    </row>
    <row r="157" spans="4:10" outlineLevel="2">
      <c r="D157" s="415" t="s">
        <v>417</v>
      </c>
      <c r="E157" s="413" t="s">
        <v>418</v>
      </c>
      <c r="F157" s="744" t="s">
        <v>403</v>
      </c>
      <c r="G157" s="744"/>
      <c r="H157" s="744"/>
      <c r="I157" s="744"/>
      <c r="J157" s="744"/>
    </row>
    <row r="158" spans="4:10" outlineLevel="2">
      <c r="D158" s="415" t="s">
        <v>419</v>
      </c>
      <c r="E158" s="413">
        <v>0</v>
      </c>
      <c r="F158" s="744"/>
      <c r="G158" s="744"/>
      <c r="H158" s="744"/>
      <c r="I158" s="744"/>
      <c r="J158" s="744"/>
    </row>
    <row r="159" spans="4:10" outlineLevel="2">
      <c r="D159" s="415" t="s">
        <v>420</v>
      </c>
      <c r="E159" s="413" t="s">
        <v>421</v>
      </c>
      <c r="F159" s="744" t="s">
        <v>403</v>
      </c>
      <c r="G159" s="744"/>
      <c r="H159" s="744"/>
      <c r="I159" s="744"/>
      <c r="J159" s="744"/>
    </row>
    <row r="160" spans="4:10" outlineLevel="2">
      <c r="D160" s="415" t="s">
        <v>422</v>
      </c>
      <c r="E160" s="413" t="s">
        <v>423</v>
      </c>
      <c r="F160" s="744" t="s">
        <v>403</v>
      </c>
      <c r="G160" s="744"/>
      <c r="H160" s="744"/>
      <c r="I160" s="744"/>
      <c r="J160" s="744"/>
    </row>
    <row r="161" spans="2:10" outlineLevel="2">
      <c r="D161" s="415" t="s">
        <v>424</v>
      </c>
      <c r="E161" s="413" t="s">
        <v>425</v>
      </c>
      <c r="F161" s="744" t="s">
        <v>426</v>
      </c>
      <c r="G161" s="744"/>
      <c r="H161" s="744"/>
      <c r="I161" s="744"/>
      <c r="J161" s="744"/>
    </row>
    <row r="162" spans="2:10" outlineLevel="2">
      <c r="D162" s="415" t="s">
        <v>427</v>
      </c>
      <c r="E162" s="413" t="s">
        <v>428</v>
      </c>
      <c r="F162" s="744" t="s">
        <v>426</v>
      </c>
      <c r="G162" s="744"/>
      <c r="H162" s="744"/>
      <c r="I162" s="744"/>
      <c r="J162" s="744"/>
    </row>
    <row r="163" spans="2:10" outlineLevel="2">
      <c r="D163" s="415" t="s">
        <v>429</v>
      </c>
      <c r="E163" s="413" t="s">
        <v>430</v>
      </c>
      <c r="F163" s="744" t="s">
        <v>426</v>
      </c>
      <c r="G163" s="744"/>
      <c r="H163" s="744"/>
      <c r="I163" s="744"/>
      <c r="J163" s="744"/>
    </row>
    <row r="164" spans="2:10" outlineLevel="2">
      <c r="D164" s="415" t="s">
        <v>431</v>
      </c>
      <c r="E164" s="413" t="s">
        <v>432</v>
      </c>
      <c r="F164" s="744" t="s">
        <v>433</v>
      </c>
      <c r="G164" s="744"/>
      <c r="H164" s="744"/>
      <c r="I164" s="744"/>
      <c r="J164" s="744"/>
    </row>
    <row r="165" spans="2:10" outlineLevel="2">
      <c r="D165" s="415" t="s">
        <v>434</v>
      </c>
      <c r="E165" s="413" t="s">
        <v>435</v>
      </c>
      <c r="F165" s="744" t="s">
        <v>433</v>
      </c>
      <c r="G165" s="744"/>
      <c r="H165" s="744"/>
      <c r="I165" s="744"/>
      <c r="J165" s="744"/>
    </row>
    <row r="166" spans="2:10" outlineLevel="2">
      <c r="D166" s="415" t="s">
        <v>436</v>
      </c>
      <c r="E166" s="413" t="s">
        <v>437</v>
      </c>
      <c r="F166" s="744" t="s">
        <v>433</v>
      </c>
      <c r="G166" s="744"/>
      <c r="H166" s="744"/>
      <c r="I166" s="744"/>
      <c r="J166" s="744"/>
    </row>
    <row r="167" spans="2:10" outlineLevel="2">
      <c r="D167" s="415" t="s">
        <v>438</v>
      </c>
      <c r="E167" s="413" t="s">
        <v>439</v>
      </c>
      <c r="F167" s="744" t="s">
        <v>440</v>
      </c>
      <c r="G167" s="744"/>
      <c r="H167" s="744"/>
      <c r="I167" s="744"/>
      <c r="J167" s="744"/>
    </row>
    <row r="168" spans="2:10" outlineLevel="2">
      <c r="D168" s="415" t="s">
        <v>441</v>
      </c>
      <c r="E168" s="413" t="s">
        <v>387</v>
      </c>
      <c r="F168" s="744" t="s">
        <v>440</v>
      </c>
      <c r="G168" s="744"/>
      <c r="H168" s="744"/>
      <c r="I168" s="744"/>
      <c r="J168" s="744"/>
    </row>
    <row r="169" spans="2:10" outlineLevel="2">
      <c r="D169" s="415" t="s">
        <v>442</v>
      </c>
      <c r="E169" s="413" t="s">
        <v>443</v>
      </c>
      <c r="F169" s="744" t="s">
        <v>440</v>
      </c>
      <c r="G169" s="744"/>
      <c r="H169" s="744"/>
      <c r="I169" s="744"/>
      <c r="J169" s="744"/>
    </row>
    <row r="170" spans="2:10" outlineLevel="2">
      <c r="D170" s="415" t="s">
        <v>444</v>
      </c>
      <c r="E170" s="413">
        <v>0</v>
      </c>
      <c r="F170" s="744"/>
      <c r="G170" s="744"/>
      <c r="H170" s="744"/>
      <c r="I170" s="744"/>
      <c r="J170" s="744"/>
    </row>
    <row r="171" spans="2:10">
      <c r="D171" s="419"/>
      <c r="E171" s="427"/>
    </row>
    <row r="172" spans="2:10">
      <c r="D172" s="419"/>
      <c r="E172" s="427"/>
    </row>
    <row r="173" spans="2:10" ht="36.6">
      <c r="B173" s="401">
        <v>4</v>
      </c>
      <c r="D173" s="406" t="s">
        <v>445</v>
      </c>
    </row>
    <row r="174" spans="2:10">
      <c r="D174" s="419"/>
    </row>
    <row r="175" spans="2:10">
      <c r="D175" s="419"/>
    </row>
    <row r="176" spans="2:10" ht="21">
      <c r="D176" s="404" t="s">
        <v>446</v>
      </c>
    </row>
    <row r="177" spans="4:12">
      <c r="D177" s="411" t="s">
        <v>447</v>
      </c>
    </row>
    <row r="178" spans="4:12">
      <c r="D178" s="411" t="s">
        <v>317</v>
      </c>
    </row>
    <row r="179" spans="4:12">
      <c r="D179" s="402" t="s">
        <v>318</v>
      </c>
    </row>
    <row r="180" spans="4:12">
      <c r="D180" s="402" t="s">
        <v>319</v>
      </c>
    </row>
    <row r="181" spans="4:12">
      <c r="D181" s="402" t="s">
        <v>448</v>
      </c>
    </row>
    <row r="182" spans="4:12">
      <c r="D182" s="402" t="s">
        <v>321</v>
      </c>
    </row>
    <row r="184" spans="4:12">
      <c r="D184" s="419"/>
    </row>
    <row r="185" spans="4:12" ht="21">
      <c r="D185" s="751" t="s">
        <v>322</v>
      </c>
      <c r="E185" s="752" t="s">
        <v>298</v>
      </c>
      <c r="F185" s="753" t="s">
        <v>299</v>
      </c>
      <c r="G185" s="754"/>
      <c r="H185" s="754"/>
      <c r="I185" s="754"/>
      <c r="J185" s="755"/>
    </row>
    <row r="186" spans="4:12" ht="21">
      <c r="D186" s="751"/>
      <c r="E186" s="752"/>
      <c r="F186" s="756" t="s">
        <v>494</v>
      </c>
      <c r="G186" s="757"/>
      <c r="H186" s="757"/>
      <c r="I186" s="757"/>
      <c r="J186" s="758"/>
    </row>
    <row r="187" spans="4:12">
      <c r="D187" s="605" t="s">
        <v>449</v>
      </c>
      <c r="E187" s="446" t="s">
        <v>341</v>
      </c>
      <c r="F187" s="744" t="s">
        <v>398</v>
      </c>
      <c r="G187" s="744"/>
      <c r="H187" s="744"/>
      <c r="I187" s="744"/>
      <c r="J187" s="744"/>
      <c r="K187" s="421">
        <f>+BIODIESEL!E9</f>
        <v>461.97</v>
      </c>
      <c r="L187" s="634" t="s">
        <v>533</v>
      </c>
    </row>
    <row r="188" spans="4:12">
      <c r="D188" s="415" t="s">
        <v>450</v>
      </c>
      <c r="E188" s="446" t="s">
        <v>311</v>
      </c>
      <c r="F188" s="744" t="s">
        <v>398</v>
      </c>
      <c r="G188" s="744"/>
      <c r="H188" s="744"/>
      <c r="I188" s="744"/>
      <c r="J188" s="744"/>
      <c r="K188" s="421">
        <f>+BIODIESEL!E10</f>
        <v>4705.8100000000004</v>
      </c>
      <c r="L188" s="634" t="s">
        <v>533</v>
      </c>
    </row>
    <row r="189" spans="4:12">
      <c r="D189" s="415" t="s">
        <v>451</v>
      </c>
      <c r="E189" s="446" t="s">
        <v>330</v>
      </c>
      <c r="F189" s="744" t="s">
        <v>398</v>
      </c>
      <c r="G189" s="744"/>
      <c r="H189" s="744"/>
      <c r="I189" s="744"/>
      <c r="J189" s="744"/>
      <c r="K189" s="421">
        <f>+BIODIESEL!E8</f>
        <v>4243.84</v>
      </c>
      <c r="L189" s="634" t="s">
        <v>533</v>
      </c>
    </row>
    <row r="190" spans="4:12">
      <c r="D190" s="412" t="s">
        <v>452</v>
      </c>
      <c r="E190" s="446">
        <v>7.67</v>
      </c>
      <c r="F190" s="775"/>
      <c r="G190" s="775"/>
      <c r="H190" s="775"/>
      <c r="I190" s="775"/>
      <c r="J190" s="775"/>
      <c r="K190" s="445"/>
    </row>
    <row r="191" spans="4:12">
      <c r="D191" s="415" t="s">
        <v>453</v>
      </c>
      <c r="E191" s="446" t="s">
        <v>303</v>
      </c>
      <c r="F191" s="744" t="s">
        <v>400</v>
      </c>
      <c r="G191" s="744"/>
      <c r="H191" s="744"/>
      <c r="I191" s="744"/>
      <c r="J191" s="744"/>
      <c r="K191" s="421">
        <f>+'COMBUSTIBLES '!E7</f>
        <v>4330.45</v>
      </c>
      <c r="L191" s="462" t="s">
        <v>531</v>
      </c>
    </row>
    <row r="192" spans="4:12">
      <c r="D192" s="415" t="s">
        <v>454</v>
      </c>
      <c r="E192" s="446" t="s">
        <v>313</v>
      </c>
      <c r="F192" s="744" t="s">
        <v>398</v>
      </c>
      <c r="G192" s="744"/>
      <c r="H192" s="744"/>
      <c r="I192" s="744"/>
      <c r="J192" s="744"/>
      <c r="K192" s="421">
        <f>+BIODIESEL!F10</f>
        <v>4893.4980000000005</v>
      </c>
      <c r="L192" s="462" t="s">
        <v>531</v>
      </c>
    </row>
    <row r="193" spans="2:12">
      <c r="D193" s="412" t="s">
        <v>455</v>
      </c>
      <c r="E193" s="446">
        <v>7.67</v>
      </c>
      <c r="F193" s="772"/>
      <c r="G193" s="773"/>
      <c r="H193" s="773"/>
      <c r="I193" s="773"/>
      <c r="J193" s="774"/>
      <c r="K193" s="445"/>
    </row>
    <row r="194" spans="2:12">
      <c r="D194" s="415" t="s">
        <v>456</v>
      </c>
      <c r="E194" s="446" t="s">
        <v>350</v>
      </c>
      <c r="F194" s="744" t="s">
        <v>398</v>
      </c>
      <c r="G194" s="744"/>
      <c r="H194" s="744"/>
      <c r="I194" s="744"/>
      <c r="J194" s="744"/>
      <c r="K194" s="421">
        <f>+BIODIESEL!F8</f>
        <v>4200.5370000000003</v>
      </c>
      <c r="L194" s="462" t="s">
        <v>531</v>
      </c>
    </row>
    <row r="195" spans="2:12">
      <c r="D195" s="415" t="s">
        <v>457</v>
      </c>
      <c r="E195" s="446" t="s">
        <v>352</v>
      </c>
      <c r="F195" s="744" t="s">
        <v>398</v>
      </c>
      <c r="G195" s="744"/>
      <c r="H195" s="744"/>
      <c r="I195" s="744"/>
      <c r="J195" s="744"/>
      <c r="K195" s="421">
        <f>+BIODIESEL!F9</f>
        <v>692.96100000000001</v>
      </c>
      <c r="L195" s="462" t="s">
        <v>531</v>
      </c>
    </row>
    <row r="196" spans="2:12">
      <c r="E196" s="428"/>
    </row>
    <row r="197" spans="2:12">
      <c r="E197" s="427"/>
    </row>
    <row r="199" spans="2:12" ht="36.6">
      <c r="B199" s="401">
        <v>5</v>
      </c>
      <c r="D199" s="406" t="s">
        <v>458</v>
      </c>
    </row>
    <row r="201" spans="2:12" ht="21">
      <c r="D201" s="404" t="s">
        <v>459</v>
      </c>
    </row>
    <row r="202" spans="2:12">
      <c r="D202" s="410" t="s">
        <v>513</v>
      </c>
    </row>
    <row r="203" spans="2:12">
      <c r="D203" s="402" t="s">
        <v>506</v>
      </c>
    </row>
    <row r="204" spans="2:12">
      <c r="D204" s="402" t="s">
        <v>514</v>
      </c>
    </row>
    <row r="205" spans="2:12">
      <c r="D205" s="411" t="s">
        <v>460</v>
      </c>
    </row>
    <row r="206" spans="2:12">
      <c r="D206" s="411" t="s">
        <v>317</v>
      </c>
    </row>
    <row r="207" spans="2:12">
      <c r="D207" s="402" t="s">
        <v>318</v>
      </c>
    </row>
    <row r="208" spans="2:12">
      <c r="D208" s="402" t="s">
        <v>319</v>
      </c>
    </row>
    <row r="209" spans="2:20">
      <c r="D209" s="402" t="s">
        <v>448</v>
      </c>
    </row>
    <row r="210" spans="2:20">
      <c r="D210" s="402" t="s">
        <v>321</v>
      </c>
    </row>
    <row r="213" spans="2:20" ht="21">
      <c r="D213" s="759" t="s">
        <v>297</v>
      </c>
      <c r="E213" s="752" t="s">
        <v>298</v>
      </c>
      <c r="F213" s="753" t="s">
        <v>299</v>
      </c>
      <c r="G213" s="754"/>
      <c r="H213" s="754"/>
      <c r="I213" s="754"/>
      <c r="J213" s="754"/>
      <c r="K213" s="755"/>
    </row>
    <row r="214" spans="2:20" ht="21">
      <c r="D214" s="759"/>
      <c r="E214" s="752"/>
      <c r="F214" s="756" t="s">
        <v>300</v>
      </c>
      <c r="G214" s="757"/>
      <c r="H214" s="757"/>
      <c r="I214" s="757"/>
      <c r="J214" s="757"/>
      <c r="K214" s="758"/>
    </row>
    <row r="215" spans="2:20">
      <c r="D215" s="417" t="s">
        <v>461</v>
      </c>
      <c r="E215" s="446" t="s">
        <v>462</v>
      </c>
      <c r="F215" s="769" t="s">
        <v>463</v>
      </c>
      <c r="G215" s="769"/>
      <c r="H215" s="769"/>
      <c r="I215" s="769"/>
      <c r="J215" s="769"/>
      <c r="K215" s="444"/>
    </row>
    <row r="216" spans="2:20">
      <c r="D216" s="415" t="s">
        <v>464</v>
      </c>
      <c r="E216" s="446" t="s">
        <v>465</v>
      </c>
      <c r="F216" s="744" t="s">
        <v>463</v>
      </c>
      <c r="G216" s="744"/>
      <c r="H216" s="744"/>
      <c r="I216" s="744"/>
      <c r="J216" s="744"/>
      <c r="K216" s="443"/>
      <c r="L216" s="601"/>
    </row>
    <row r="217" spans="2:20">
      <c r="D217" s="415" t="s">
        <v>466</v>
      </c>
      <c r="E217" s="446" t="s">
        <v>465</v>
      </c>
      <c r="F217" s="744" t="s">
        <v>463</v>
      </c>
      <c r="G217" s="744"/>
      <c r="H217" s="744"/>
      <c r="I217" s="744"/>
      <c r="J217" s="744"/>
      <c r="K217" s="443"/>
      <c r="L217" s="611" t="s">
        <v>533</v>
      </c>
    </row>
    <row r="218" spans="2:20">
      <c r="D218" s="412" t="s">
        <v>467</v>
      </c>
      <c r="E218" s="446" t="s">
        <v>468</v>
      </c>
      <c r="F218" s="744" t="s">
        <v>463</v>
      </c>
      <c r="G218" s="744"/>
      <c r="H218" s="744"/>
      <c r="I218" s="744"/>
      <c r="J218" s="744"/>
      <c r="K218" s="443"/>
      <c r="L218" s="611" t="s">
        <v>533</v>
      </c>
      <c r="T218" s="402" t="s">
        <v>512</v>
      </c>
    </row>
    <row r="219" spans="2:20">
      <c r="D219" s="412" t="s">
        <v>469</v>
      </c>
      <c r="E219" s="446" t="s">
        <v>470</v>
      </c>
      <c r="F219" s="744" t="s">
        <v>463</v>
      </c>
      <c r="G219" s="744"/>
      <c r="H219" s="744"/>
      <c r="I219" s="744"/>
      <c r="J219" s="744"/>
      <c r="K219" s="443"/>
      <c r="L219" s="611" t="s">
        <v>533</v>
      </c>
    </row>
    <row r="220" spans="2:20">
      <c r="D220" s="412" t="s">
        <v>544</v>
      </c>
      <c r="E220" s="446"/>
      <c r="F220" s="744" t="s">
        <v>463</v>
      </c>
      <c r="G220" s="744"/>
      <c r="H220" s="744"/>
      <c r="I220" s="744"/>
      <c r="J220" s="744"/>
      <c r="K220" s="443">
        <f>+'DIESEL MARINO'!F75</f>
        <v>996.0034999999998</v>
      </c>
      <c r="L220" s="611" t="s">
        <v>533</v>
      </c>
    </row>
    <row r="221" spans="2:20" ht="16.05" customHeight="1">
      <c r="D221" s="412" t="s">
        <v>545</v>
      </c>
      <c r="E221" s="446"/>
      <c r="F221" s="744" t="s">
        <v>463</v>
      </c>
      <c r="G221" s="744"/>
      <c r="H221" s="744"/>
      <c r="I221" s="744"/>
      <c r="J221" s="744"/>
      <c r="K221" s="443">
        <f>+'DIESEL MARINO'!F76</f>
        <v>976.07863000000089</v>
      </c>
      <c r="L221" s="611" t="s">
        <v>533</v>
      </c>
    </row>
    <row r="222" spans="2:20" ht="16.05" customHeight="1">
      <c r="D222" s="531"/>
      <c r="E222" s="460"/>
      <c r="F222" s="473"/>
      <c r="G222" s="473"/>
      <c r="H222" s="473"/>
      <c r="I222" s="473"/>
      <c r="J222" s="473"/>
      <c r="K222" s="532"/>
      <c r="L222" s="462"/>
    </row>
    <row r="223" spans="2:20">
      <c r="E223" s="427"/>
    </row>
    <row r="224" spans="2:20" ht="36.6">
      <c r="B224" s="401">
        <v>6</v>
      </c>
      <c r="D224" s="406" t="s">
        <v>471</v>
      </c>
      <c r="E224" s="427"/>
    </row>
    <row r="226" spans="4:10" ht="21">
      <c r="D226" s="404" t="s">
        <v>472</v>
      </c>
    </row>
    <row r="227" spans="4:10">
      <c r="D227" s="411" t="s">
        <v>473</v>
      </c>
    </row>
    <row r="228" spans="4:10">
      <c r="D228" s="411" t="s">
        <v>317</v>
      </c>
    </row>
    <row r="229" spans="4:10">
      <c r="D229" s="402" t="s">
        <v>318</v>
      </c>
    </row>
    <row r="230" spans="4:10">
      <c r="D230" s="402" t="s">
        <v>319</v>
      </c>
    </row>
    <row r="231" spans="4:10">
      <c r="D231" s="402" t="s">
        <v>448</v>
      </c>
    </row>
    <row r="232" spans="4:10">
      <c r="D232" s="402" t="s">
        <v>321</v>
      </c>
    </row>
    <row r="234" spans="4:10" ht="21">
      <c r="D234" s="751" t="s">
        <v>322</v>
      </c>
      <c r="E234" s="752" t="s">
        <v>298</v>
      </c>
      <c r="F234" s="753" t="s">
        <v>299</v>
      </c>
      <c r="G234" s="754"/>
      <c r="H234" s="754"/>
      <c r="I234" s="754"/>
      <c r="J234" s="755"/>
    </row>
    <row r="235" spans="4:10" ht="21">
      <c r="D235" s="751"/>
      <c r="E235" s="752"/>
      <c r="F235" s="756" t="s">
        <v>394</v>
      </c>
      <c r="G235" s="757"/>
      <c r="H235" s="757"/>
      <c r="I235" s="757"/>
      <c r="J235" s="758"/>
    </row>
    <row r="236" spans="4:10">
      <c r="D236" s="417" t="s">
        <v>474</v>
      </c>
      <c r="E236" s="413" t="s">
        <v>475</v>
      </c>
      <c r="F236" s="744" t="s">
        <v>476</v>
      </c>
      <c r="G236" s="744"/>
      <c r="H236" s="744"/>
      <c r="I236" s="744"/>
      <c r="J236" s="744"/>
    </row>
    <row r="237" spans="4:10">
      <c r="D237" s="415" t="s">
        <v>477</v>
      </c>
      <c r="E237" s="413" t="s">
        <v>425</v>
      </c>
      <c r="F237" s="744" t="s">
        <v>476</v>
      </c>
      <c r="G237" s="744"/>
      <c r="H237" s="744"/>
      <c r="I237" s="744"/>
      <c r="J237" s="744"/>
    </row>
    <row r="238" spans="4:10">
      <c r="D238" s="415" t="s">
        <v>478</v>
      </c>
      <c r="E238" s="413" t="s">
        <v>411</v>
      </c>
      <c r="F238" s="744" t="s">
        <v>476</v>
      </c>
      <c r="G238" s="744"/>
      <c r="H238" s="744"/>
      <c r="I238" s="744"/>
      <c r="J238" s="744"/>
    </row>
    <row r="239" spans="4:10">
      <c r="E239" s="402"/>
    </row>
    <row r="241" spans="2:4" ht="36.6">
      <c r="B241" s="401">
        <v>7</v>
      </c>
      <c r="D241" s="406" t="s">
        <v>479</v>
      </c>
    </row>
    <row r="243" spans="2:4" ht="21">
      <c r="D243" s="404" t="s">
        <v>480</v>
      </c>
    </row>
    <row r="244" spans="2:4">
      <c r="D244" s="411" t="s">
        <v>481</v>
      </c>
    </row>
    <row r="245" spans="2:4">
      <c r="D245" s="411" t="s">
        <v>317</v>
      </c>
    </row>
    <row r="246" spans="2:4">
      <c r="D246" s="402" t="s">
        <v>318</v>
      </c>
    </row>
    <row r="247" spans="2:4">
      <c r="D247" s="402" t="s">
        <v>319</v>
      </c>
    </row>
    <row r="248" spans="2:4">
      <c r="D248" s="402" t="s">
        <v>448</v>
      </c>
    </row>
    <row r="249" spans="2:4" ht="21">
      <c r="D249" s="429" t="s">
        <v>482</v>
      </c>
    </row>
    <row r="253" spans="2:4" ht="36.6">
      <c r="B253" s="401">
        <v>8</v>
      </c>
      <c r="D253" s="406" t="s">
        <v>483</v>
      </c>
    </row>
    <row r="255" spans="2:4" ht="21">
      <c r="D255" s="404" t="s">
        <v>484</v>
      </c>
    </row>
    <row r="256" spans="2:4">
      <c r="D256" s="411" t="s">
        <v>485</v>
      </c>
    </row>
    <row r="257" spans="2:12">
      <c r="D257" s="411" t="s">
        <v>317</v>
      </c>
    </row>
    <row r="258" spans="2:12">
      <c r="D258" s="402" t="s">
        <v>318</v>
      </c>
    </row>
    <row r="259" spans="2:12">
      <c r="D259" s="402" t="s">
        <v>319</v>
      </c>
    </row>
    <row r="260" spans="2:12">
      <c r="D260" s="402" t="s">
        <v>448</v>
      </c>
    </row>
    <row r="261" spans="2:12">
      <c r="D261" s="402" t="s">
        <v>321</v>
      </c>
    </row>
    <row r="262" spans="2:12">
      <c r="D262" s="410"/>
    </row>
    <row r="264" spans="2:12" ht="21">
      <c r="D264" s="759" t="s">
        <v>297</v>
      </c>
      <c r="E264" s="752" t="s">
        <v>298</v>
      </c>
      <c r="F264" s="753" t="s">
        <v>299</v>
      </c>
      <c r="G264" s="754"/>
      <c r="H264" s="754"/>
      <c r="I264" s="754"/>
      <c r="J264" s="754"/>
      <c r="K264" s="755"/>
    </row>
    <row r="265" spans="2:12" ht="21">
      <c r="D265" s="759"/>
      <c r="E265" s="752"/>
      <c r="F265" s="756" t="s">
        <v>300</v>
      </c>
      <c r="G265" s="757"/>
      <c r="H265" s="757"/>
      <c r="I265" s="757"/>
      <c r="J265" s="757"/>
      <c r="K265" s="758"/>
    </row>
    <row r="266" spans="2:12">
      <c r="D266" s="417" t="s">
        <v>486</v>
      </c>
      <c r="E266" s="435" t="s">
        <v>336</v>
      </c>
      <c r="F266" s="744" t="s">
        <v>304</v>
      </c>
      <c r="G266" s="744"/>
      <c r="H266" s="744"/>
      <c r="I266" s="744"/>
      <c r="J266" s="744"/>
      <c r="K266" s="430">
        <f>+'COMBUSTIBLES '!B8</f>
        <v>8.6314000000000011</v>
      </c>
      <c r="L266" s="452" t="s">
        <v>533</v>
      </c>
    </row>
    <row r="267" spans="2:12">
      <c r="D267" s="415" t="s">
        <v>487</v>
      </c>
      <c r="E267" s="446" t="s">
        <v>308</v>
      </c>
      <c r="F267" s="744" t="s">
        <v>304</v>
      </c>
      <c r="G267" s="744"/>
      <c r="H267" s="744"/>
      <c r="I267" s="744"/>
      <c r="J267" s="744"/>
      <c r="K267" s="430">
        <f>+'COMBUSTIBLES '!B7</f>
        <v>5064.8</v>
      </c>
      <c r="L267" s="452" t="s">
        <v>533</v>
      </c>
    </row>
    <row r="268" spans="2:12">
      <c r="D268" s="415" t="s">
        <v>488</v>
      </c>
      <c r="E268" s="446"/>
      <c r="F268" s="770" t="s">
        <v>332</v>
      </c>
      <c r="G268" s="770"/>
      <c r="H268" s="770"/>
      <c r="I268" s="770"/>
      <c r="J268" s="770"/>
      <c r="K268" s="455">
        <f>+Variables!E20</f>
        <v>5078.7700000000004</v>
      </c>
      <c r="L268" s="452" t="s">
        <v>533</v>
      </c>
    </row>
    <row r="269" spans="2:12">
      <c r="E269" s="427"/>
    </row>
    <row r="270" spans="2:12">
      <c r="E270" s="427"/>
    </row>
    <row r="271" spans="2:12">
      <c r="E271" s="427"/>
    </row>
    <row r="272" spans="2:12" ht="36.6">
      <c r="B272" s="401">
        <v>9</v>
      </c>
      <c r="D272" s="406" t="s">
        <v>489</v>
      </c>
      <c r="E272" s="427"/>
    </row>
    <row r="273" spans="2:6">
      <c r="E273" s="427"/>
    </row>
    <row r="274" spans="2:6" ht="21">
      <c r="D274" s="404" t="s">
        <v>490</v>
      </c>
    </row>
    <row r="275" spans="2:6">
      <c r="D275" s="411" t="s">
        <v>491</v>
      </c>
    </row>
    <row r="276" spans="2:6">
      <c r="D276" s="411" t="s">
        <v>317</v>
      </c>
    </row>
    <row r="277" spans="2:6">
      <c r="D277" s="402" t="s">
        <v>318</v>
      </c>
    </row>
    <row r="278" spans="2:6">
      <c r="D278" s="402" t="s">
        <v>319</v>
      </c>
    </row>
    <row r="279" spans="2:6">
      <c r="D279" s="402" t="s">
        <v>448</v>
      </c>
    </row>
    <row r="280" spans="2:6" ht="21">
      <c r="D280" s="429" t="s">
        <v>500</v>
      </c>
    </row>
    <row r="282" spans="2:6">
      <c r="D282" s="410"/>
    </row>
    <row r="287" spans="2:6" ht="23.4">
      <c r="B287" s="402" t="s">
        <v>524</v>
      </c>
      <c r="D287" s="420" t="s">
        <v>492</v>
      </c>
      <c r="E287" s="448" t="s">
        <v>529</v>
      </c>
      <c r="F287" s="431" t="s">
        <v>518</v>
      </c>
    </row>
    <row r="289" spans="2:5">
      <c r="B289" s="402" t="s">
        <v>501</v>
      </c>
      <c r="C289" s="663">
        <v>1</v>
      </c>
      <c r="D289" s="433" t="str">
        <f>CONCATENATE("PRECIO REGULADOS"," ",$E$287)</f>
        <v>PRECIO REGULADOS FEB 1 A FEB 28  2019</v>
      </c>
      <c r="E289" s="427"/>
    </row>
    <row r="290" spans="2:5">
      <c r="D290" s="432" t="s">
        <v>503</v>
      </c>
      <c r="E290" s="427"/>
    </row>
    <row r="291" spans="2:5">
      <c r="D291" s="432"/>
      <c r="E291" s="427"/>
    </row>
    <row r="292" spans="2:5">
      <c r="B292" s="402" t="s">
        <v>502</v>
      </c>
      <c r="C292" s="663">
        <v>2</v>
      </c>
      <c r="D292" s="438" t="str">
        <f>CONCATENATE("PRECIO NO REGULADOS"," ",$E$287)</f>
        <v>PRECIO NO REGULADOS FEB 1 A FEB 28  2019</v>
      </c>
      <c r="E292" s="450" t="s">
        <v>147</v>
      </c>
    </row>
    <row r="293" spans="2:5">
      <c r="D293" s="432" t="s">
        <v>504</v>
      </c>
      <c r="E293" s="427"/>
    </row>
    <row r="294" spans="2:5">
      <c r="D294" s="432"/>
      <c r="E294" s="427"/>
    </row>
    <row r="295" spans="2:5">
      <c r="B295" s="447" t="s">
        <v>525</v>
      </c>
      <c r="C295" s="663">
        <v>3</v>
      </c>
      <c r="D295" s="433" t="str">
        <f>CONCATENATE("PRECIO ZONAS DE FRONTERA "," ",$E$287)</f>
        <v>PRECIO ZONAS DE FRONTERA  FEB 1 A FEB 28  2019</v>
      </c>
      <c r="E295" s="427"/>
    </row>
    <row r="296" spans="2:5">
      <c r="D296" s="432" t="s">
        <v>503</v>
      </c>
      <c r="E296" s="427"/>
    </row>
    <row r="297" spans="2:5">
      <c r="D297" s="432"/>
      <c r="E297" s="427"/>
    </row>
    <row r="298" spans="2:5">
      <c r="B298" s="402" t="s">
        <v>505</v>
      </c>
      <c r="C298" s="663">
        <v>4</v>
      </c>
      <c r="D298" s="433" t="str">
        <f>CONCATENATE("PRECIO ELECTROCOMBUSTIBLE  ",," ",$E$287)</f>
        <v>PRECIO ELECTROCOMBUSTIBLE   FEB 1 A FEB 28  2019</v>
      </c>
      <c r="E298" s="427"/>
    </row>
    <row r="299" spans="2:5">
      <c r="D299" s="432" t="s">
        <v>503</v>
      </c>
      <c r="E299" s="427"/>
    </row>
    <row r="300" spans="2:5">
      <c r="D300" s="432"/>
      <c r="E300" s="427"/>
    </row>
    <row r="301" spans="2:5">
      <c r="B301" s="402" t="s">
        <v>506</v>
      </c>
      <c r="C301" s="663">
        <v>5</v>
      </c>
      <c r="D301" s="433" t="str">
        <f>CONCATENATE("PRECIO DESCUENTO PESQUEROS "," ",$E$287)</f>
        <v>PRECIO DESCUENTO PESQUEROS  FEB 1 A FEB 28  2019</v>
      </c>
      <c r="E301" s="427"/>
    </row>
    <row r="302" spans="2:5">
      <c r="D302" s="432" t="s">
        <v>503</v>
      </c>
      <c r="E302" s="427"/>
    </row>
    <row r="303" spans="2:5">
      <c r="D303" s="432"/>
      <c r="E303" s="427"/>
    </row>
    <row r="304" spans="2:5">
      <c r="B304" s="164" t="s">
        <v>526</v>
      </c>
      <c r="C304" s="663">
        <v>6</v>
      </c>
      <c r="D304" s="433" t="str">
        <f>CONCATENATE("PRECIO ESPECIAL GUAJIRA "," ",$E$287)</f>
        <v>PRECIO ESPECIAL GUAJIRA  FEB 1 A FEB 28  2019</v>
      </c>
      <c r="E304" s="427"/>
    </row>
    <row r="305" spans="2:5">
      <c r="D305" s="432" t="s">
        <v>503</v>
      </c>
      <c r="E305" s="427"/>
    </row>
    <row r="306" spans="2:5">
      <c r="D306" s="432"/>
      <c r="E306" s="427"/>
    </row>
    <row r="307" spans="2:5">
      <c r="B307" s="402" t="s">
        <v>507</v>
      </c>
      <c r="C307" s="663">
        <v>7</v>
      </c>
      <c r="D307" s="438" t="str">
        <f>CONCATENATE("PRECIO ESTRUCTURA TARIFA BIOS "," ",$E$287)</f>
        <v>PRECIO ESTRUCTURA TARIFA BIOS  FEB 1 A FEB 28  2019</v>
      </c>
      <c r="E307" s="427" t="s">
        <v>523</v>
      </c>
    </row>
    <row r="308" spans="2:5">
      <c r="D308" s="432" t="s">
        <v>503</v>
      </c>
      <c r="E308" s="427"/>
    </row>
    <row r="309" spans="2:5">
      <c r="D309" s="432"/>
      <c r="E309" s="427"/>
    </row>
    <row r="310" spans="2:5">
      <c r="B310" s="402" t="s">
        <v>508</v>
      </c>
      <c r="C310" s="663">
        <v>8</v>
      </c>
      <c r="D310" s="433" t="str">
        <f>CONCATENATE("PRECIO GASOLINA  IMPORTADA "," ",$E$287)</f>
        <v>PRECIO GASOLINA  IMPORTADA  FEB 1 A FEB 28  2019</v>
      </c>
      <c r="E310" s="427"/>
    </row>
    <row r="311" spans="2:5">
      <c r="D311" s="432" t="s">
        <v>503</v>
      </c>
      <c r="E311" s="427"/>
    </row>
    <row r="312" spans="2:5">
      <c r="D312" s="432"/>
      <c r="E312" s="427"/>
    </row>
    <row r="313" spans="2:5">
      <c r="B313" s="447" t="s">
        <v>527</v>
      </c>
      <c r="C313" s="663">
        <v>9</v>
      </c>
      <c r="D313" s="438" t="str">
        <f>CONCATENATE("BALANCE VOLUMETRICO REFICAR A ",," ",$E$287)</f>
        <v>BALANCE VOLUMETRICO REFICAR A  FEB 1 A FEB 28  2019</v>
      </c>
      <c r="E313" s="427" t="s">
        <v>523</v>
      </c>
    </row>
    <row r="314" spans="2:5">
      <c r="D314" s="432" t="s">
        <v>503</v>
      </c>
    </row>
  </sheetData>
  <autoFilter ref="D11:L85" xr:uid="{00000000-0009-0000-0000-000000000000}">
    <filterColumn colId="2" showButton="0"/>
    <filterColumn colId="3" showButton="0"/>
    <filterColumn colId="4" showButton="0"/>
    <filterColumn colId="5" showButton="0"/>
  </autoFilter>
  <mergeCells count="165">
    <mergeCell ref="D234:D235"/>
    <mergeCell ref="E234:E235"/>
    <mergeCell ref="F234:J234"/>
    <mergeCell ref="F235:J235"/>
    <mergeCell ref="D264:D265"/>
    <mergeCell ref="E264:E265"/>
    <mergeCell ref="F264:K264"/>
    <mergeCell ref="F265:K265"/>
    <mergeCell ref="F238:J238"/>
    <mergeCell ref="F266:J266"/>
    <mergeCell ref="F267:J267"/>
    <mergeCell ref="F268:J268"/>
    <mergeCell ref="F216:J216"/>
    <mergeCell ref="F217:J217"/>
    <mergeCell ref="F218:J218"/>
    <mergeCell ref="F219:J219"/>
    <mergeCell ref="F236:J236"/>
    <mergeCell ref="F237:J237"/>
    <mergeCell ref="F220:J220"/>
    <mergeCell ref="F221:J221"/>
    <mergeCell ref="F191:J191"/>
    <mergeCell ref="F192:J192"/>
    <mergeCell ref="F193:J193"/>
    <mergeCell ref="F194:J194"/>
    <mergeCell ref="F195:J195"/>
    <mergeCell ref="F215:J215"/>
    <mergeCell ref="F169:J169"/>
    <mergeCell ref="F170:J170"/>
    <mergeCell ref="F187:J187"/>
    <mergeCell ref="F188:J188"/>
    <mergeCell ref="F189:J189"/>
    <mergeCell ref="F190:J19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15:J115"/>
    <mergeCell ref="F116:J116"/>
    <mergeCell ref="F44:J44"/>
    <mergeCell ref="F66:J66"/>
    <mergeCell ref="F89:J89"/>
    <mergeCell ref="F90:J90"/>
    <mergeCell ref="F91:J91"/>
    <mergeCell ref="F68:I68"/>
    <mergeCell ref="F69:I69"/>
    <mergeCell ref="F70:I70"/>
    <mergeCell ref="F71:I71"/>
    <mergeCell ref="F72:I72"/>
    <mergeCell ref="F73:I73"/>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20:J20"/>
    <mergeCell ref="F27:J27"/>
    <mergeCell ref="F30:J30"/>
    <mergeCell ref="F31:J31"/>
    <mergeCell ref="F37:J37"/>
    <mergeCell ref="F38:J38"/>
    <mergeCell ref="F39:J39"/>
    <mergeCell ref="F40:J40"/>
    <mergeCell ref="K11:K12"/>
    <mergeCell ref="F26:J26"/>
    <mergeCell ref="F28:J28"/>
    <mergeCell ref="F19:J19"/>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zoomScale="70" zoomScaleNormal="70" workbookViewId="0">
      <selection activeCell="C4" sqref="C4"/>
    </sheetView>
  </sheetViews>
  <sheetFormatPr baseColWidth="10" defaultColWidth="9.88671875" defaultRowHeight="13.8" outlineLevelRow="1" outlineLevelCol="2"/>
  <cols>
    <col min="1" max="2" width="9.88671875" style="2" customWidth="1"/>
    <col min="3" max="3" width="46.77734375" style="2" customWidth="1"/>
    <col min="4" max="4" width="27.88671875" style="2" customWidth="1"/>
    <col min="5" max="5" width="27.77734375" style="2" customWidth="1"/>
    <col min="6" max="6" width="31.88671875" style="2" customWidth="1" outlineLevel="1"/>
    <col min="7" max="7" width="10.21875" style="2" hidden="1" customWidth="1" outlineLevel="2"/>
    <col min="8" max="8" width="12.6640625" style="2" hidden="1" customWidth="1" outlineLevel="2"/>
    <col min="9" max="9" width="15.6640625" style="2" hidden="1" customWidth="1" outlineLevel="1" collapsed="1"/>
    <col min="10" max="10" width="29.21875" style="2" customWidth="1" outlineLevel="1"/>
    <col min="11" max="11" width="14" style="2" customWidth="1"/>
    <col min="12" max="12" width="10.77734375" style="2" bestFit="1" customWidth="1"/>
    <col min="13" max="16384" width="9.88671875" style="2"/>
  </cols>
  <sheetData>
    <row r="1" spans="3:12" ht="15.6">
      <c r="C1" s="883" t="s">
        <v>191</v>
      </c>
      <c r="D1" s="883"/>
      <c r="E1" s="883"/>
      <c r="F1" s="883"/>
      <c r="G1" s="883"/>
      <c r="H1" s="883"/>
    </row>
    <row r="2" spans="3:12" ht="15.6">
      <c r="C2" s="883" t="s">
        <v>30</v>
      </c>
      <c r="D2" s="883"/>
      <c r="E2" s="883"/>
      <c r="F2" s="883"/>
      <c r="G2" s="883"/>
      <c r="H2" s="883"/>
    </row>
    <row r="3" spans="3:12" ht="15.6">
      <c r="C3" s="883" t="s">
        <v>14</v>
      </c>
      <c r="D3" s="883"/>
      <c r="E3" s="883"/>
      <c r="F3" s="883"/>
      <c r="G3" s="883"/>
      <c r="H3" s="883"/>
      <c r="J3" s="4"/>
    </row>
    <row r="4" spans="3:12" ht="24.75" customHeight="1" thickBot="1">
      <c r="C4" s="280"/>
      <c r="D4" s="26"/>
      <c r="E4" s="27"/>
      <c r="F4" s="886"/>
      <c r="G4" s="886"/>
      <c r="H4" s="378"/>
      <c r="I4" s="378"/>
      <c r="J4" s="718"/>
    </row>
    <row r="5" spans="3:12" ht="45.15" customHeight="1" thickTop="1">
      <c r="C5" s="100" t="s">
        <v>15</v>
      </c>
      <c r="D5" s="300" t="s">
        <v>638</v>
      </c>
      <c r="E5" s="300" t="s">
        <v>232</v>
      </c>
      <c r="F5" s="300" t="s">
        <v>256</v>
      </c>
      <c r="I5" s="300" t="s">
        <v>233</v>
      </c>
      <c r="J5" s="301" t="s">
        <v>561</v>
      </c>
    </row>
    <row r="6" spans="3:12" ht="22.8" customHeight="1">
      <c r="C6" s="302" t="s">
        <v>19</v>
      </c>
      <c r="D6" s="295">
        <f>'COMBUSTIBLES '!E7</f>
        <v>4330.45</v>
      </c>
      <c r="E6" s="295">
        <f>+D6</f>
        <v>4330.45</v>
      </c>
      <c r="F6" s="295">
        <f>+E6*80%</f>
        <v>3464.36</v>
      </c>
      <c r="I6" s="295">
        <f>+BIODIESEL!B7*4%+(F6)*96%</f>
        <v>4249.7332000000006</v>
      </c>
      <c r="J6" s="304">
        <f>+BIODIESEL!B7*2%+(F6)*98%</f>
        <v>3857.0465999999997</v>
      </c>
      <c r="L6" s="28"/>
    </row>
    <row r="7" spans="3:12" ht="22.8" customHeight="1">
      <c r="C7" s="305" t="str">
        <f>+'GASOLINA CORRIENTE OXIGENADA'!A11</f>
        <v>Impuesto Nacional a la Gasolina y al ACPM</v>
      </c>
      <c r="D7" s="298">
        <f>Variables!C32</f>
        <v>561.12</v>
      </c>
      <c r="E7" s="298">
        <f>Variables!C33</f>
        <v>715.17</v>
      </c>
      <c r="F7" s="298">
        <f>+E7</f>
        <v>715.17</v>
      </c>
      <c r="G7" s="64"/>
      <c r="H7" s="64"/>
      <c r="I7" s="298">
        <f>ROUND(F7*96%,2)</f>
        <v>686.56</v>
      </c>
      <c r="J7" s="101">
        <f>ROUND(E7*98%,2)</f>
        <v>700.87</v>
      </c>
    </row>
    <row r="8" spans="3:12" ht="22.8" customHeight="1">
      <c r="C8" s="305" t="str">
        <f>+'GASOLINA CORRIENTE OXIGENADA'!A12</f>
        <v>Impuesto sobre las Ventas</v>
      </c>
      <c r="D8" s="398" t="str">
        <f>'COMBUSTIBLES '!E12</f>
        <v>(3)</v>
      </c>
      <c r="E8" s="398" t="str">
        <f>'COMBUSTIBLES '!E12</f>
        <v>(3)</v>
      </c>
      <c r="F8" s="398" t="str">
        <f>+E8</f>
        <v>(3)</v>
      </c>
      <c r="G8" s="399"/>
      <c r="H8" s="399"/>
      <c r="I8" s="398" t="str">
        <f>+F8</f>
        <v>(3)</v>
      </c>
      <c r="J8" s="400" t="str">
        <f>+I8</f>
        <v>(3)</v>
      </c>
    </row>
    <row r="9" spans="3:12" ht="22.8" customHeight="1">
      <c r="C9" s="305" t="str">
        <f>+'GASOLINA CORRIENTE OXIGENADA'!A13</f>
        <v>Impuesto al carbono</v>
      </c>
      <c r="D9" s="295">
        <f>'COMBUSTIBLES '!E13</f>
        <v>191</v>
      </c>
      <c r="E9" s="295">
        <f>'COMBUSTIBLES '!E13</f>
        <v>191</v>
      </c>
      <c r="F9" s="295">
        <f>'COMBUSTIBLES '!E13</f>
        <v>191</v>
      </c>
      <c r="I9" s="295">
        <f>ROUND(F9*96%,2)</f>
        <v>183.36</v>
      </c>
      <c r="J9" s="304">
        <f>ROUND(E9*98%,2)</f>
        <v>187.18</v>
      </c>
    </row>
    <row r="10" spans="3:12" ht="22.8" customHeight="1">
      <c r="C10" s="302" t="s">
        <v>216</v>
      </c>
      <c r="D10" s="297" t="str">
        <f>+I10</f>
        <v>(*)</v>
      </c>
      <c r="E10" s="297" t="str">
        <f>+D10</f>
        <v>(*)</v>
      </c>
      <c r="F10" s="297" t="str">
        <f>+E10</f>
        <v>(*)</v>
      </c>
      <c r="I10" s="297" t="s">
        <v>11</v>
      </c>
      <c r="J10" s="367" t="str">
        <f>+I10</f>
        <v>(*)</v>
      </c>
    </row>
    <row r="11" spans="3:12" ht="17.100000000000001" hidden="1" customHeight="1">
      <c r="C11" s="84" t="s">
        <v>213</v>
      </c>
      <c r="D11" s="298"/>
      <c r="E11" s="298"/>
      <c r="F11" s="298"/>
      <c r="I11" s="298">
        <f>+F11</f>
        <v>0</v>
      </c>
      <c r="J11" s="101"/>
    </row>
    <row r="12" spans="3:12" ht="26.55" customHeight="1">
      <c r="C12" s="306" t="s">
        <v>193</v>
      </c>
      <c r="D12" s="299">
        <f>SUM(D6:D11)</f>
        <v>5082.57</v>
      </c>
      <c r="E12" s="299">
        <f>SUM(E6:E11)</f>
        <v>5236.62</v>
      </c>
      <c r="F12" s="299">
        <f>SUM(F6:F11)</f>
        <v>4370.53</v>
      </c>
      <c r="I12" s="299">
        <f>SUM(I6:I11)</f>
        <v>5119.6531999999997</v>
      </c>
      <c r="J12" s="307">
        <f>SUM(J6:J11)</f>
        <v>4745.0965999999999</v>
      </c>
    </row>
    <row r="13" spans="3:12" ht="22.8" customHeight="1" thickBot="1">
      <c r="C13" s="308" t="s">
        <v>8</v>
      </c>
      <c r="D13" s="644">
        <f>'COMBUSTIBLES '!E16</f>
        <v>301</v>
      </c>
      <c r="E13" s="309"/>
      <c r="F13" s="309"/>
      <c r="I13" s="309"/>
      <c r="J13" s="310"/>
    </row>
    <row r="14" spans="3:12" ht="12.3" customHeight="1" thickTop="1">
      <c r="C14" s="294"/>
      <c r="D14" s="25"/>
      <c r="E14" s="25"/>
      <c r="F14" s="379"/>
      <c r="G14" s="379"/>
      <c r="H14" s="379"/>
      <c r="I14" s="378"/>
    </row>
    <row r="15" spans="3:12" ht="18.75" customHeight="1">
      <c r="C15" s="887" t="s">
        <v>230</v>
      </c>
      <c r="D15" s="887"/>
      <c r="E15" s="887"/>
      <c r="F15" s="887"/>
      <c r="G15" s="887"/>
      <c r="H15" s="887"/>
    </row>
    <row r="16" spans="3:12" ht="49.8" customHeight="1">
      <c r="C16" s="885" t="s">
        <v>677</v>
      </c>
      <c r="D16" s="885"/>
      <c r="E16" s="885"/>
      <c r="F16" s="885"/>
      <c r="G16" s="885"/>
      <c r="H16" s="885"/>
    </row>
    <row r="17" spans="3:11" ht="21.15" hidden="1" customHeight="1">
      <c r="C17" s="882"/>
      <c r="D17" s="882"/>
      <c r="E17" s="882"/>
      <c r="F17" s="882"/>
      <c r="G17" s="882"/>
      <c r="H17" s="882"/>
    </row>
    <row r="18" spans="3:11">
      <c r="C18" s="882" t="s">
        <v>257</v>
      </c>
      <c r="D18" s="882"/>
      <c r="E18" s="882"/>
      <c r="F18" s="882"/>
      <c r="G18" s="882"/>
      <c r="H18" s="882"/>
    </row>
    <row r="19" spans="3:11" ht="10.050000000000001" customHeight="1">
      <c r="C19" s="311"/>
      <c r="D19" s="311"/>
      <c r="E19" s="311"/>
      <c r="F19" s="311"/>
      <c r="G19" s="311"/>
      <c r="H19" s="311"/>
    </row>
    <row r="20" spans="3:11">
      <c r="C20" s="843" t="s">
        <v>295</v>
      </c>
      <c r="D20" s="843"/>
      <c r="E20" s="843"/>
      <c r="F20" s="843"/>
      <c r="G20" s="843"/>
      <c r="H20" s="843"/>
      <c r="I20" s="843"/>
      <c r="J20" s="2" t="s">
        <v>147</v>
      </c>
    </row>
    <row r="21" spans="3:11">
      <c r="C21" s="843" t="s">
        <v>293</v>
      </c>
      <c r="D21" s="843"/>
      <c r="E21" s="843"/>
      <c r="F21" s="843"/>
      <c r="G21" s="843"/>
      <c r="H21" s="843"/>
      <c r="I21" s="843"/>
    </row>
    <row r="22" spans="3:11">
      <c r="C22" s="843" t="s">
        <v>294</v>
      </c>
      <c r="D22" s="843"/>
      <c r="E22" s="843"/>
      <c r="F22" s="843"/>
      <c r="G22" s="843"/>
      <c r="H22" s="843"/>
      <c r="I22" s="843"/>
    </row>
    <row r="23" spans="3:11">
      <c r="C23" s="622"/>
      <c r="D23" s="622"/>
      <c r="E23" s="622"/>
      <c r="F23" s="622"/>
      <c r="G23" s="622"/>
      <c r="H23" s="622"/>
      <c r="I23" s="622"/>
    </row>
    <row r="24" spans="3:11">
      <c r="C24" s="622"/>
      <c r="D24" s="622"/>
      <c r="E24" s="622"/>
      <c r="F24" s="622"/>
      <c r="G24" s="622"/>
      <c r="H24" s="622"/>
      <c r="I24" s="622"/>
    </row>
    <row r="25" spans="3:11" ht="15.6">
      <c r="C25" s="883" t="s">
        <v>38</v>
      </c>
      <c r="D25" s="883"/>
      <c r="E25" s="883"/>
      <c r="F25" s="883"/>
      <c r="G25" s="883"/>
      <c r="H25" s="883"/>
      <c r="J25" s="2" t="s">
        <v>147</v>
      </c>
    </row>
    <row r="26" spans="3:11" ht="15.6">
      <c r="C26" s="883" t="s">
        <v>32</v>
      </c>
      <c r="D26" s="883"/>
      <c r="E26" s="883"/>
      <c r="F26" s="883"/>
      <c r="G26" s="883"/>
      <c r="H26" s="883"/>
    </row>
    <row r="27" spans="3:11" ht="15.6">
      <c r="C27" s="883" t="s">
        <v>14</v>
      </c>
      <c r="D27" s="883"/>
      <c r="E27" s="883"/>
      <c r="F27" s="883"/>
      <c r="G27" s="883"/>
      <c r="H27" s="883"/>
    </row>
    <row r="28" spans="3:11" ht="14.4" thickBot="1">
      <c r="C28" s="280">
        <f>+C4</f>
        <v>0</v>
      </c>
      <c r="D28" s="26"/>
      <c r="E28" s="27"/>
      <c r="F28"/>
      <c r="J28" s="64"/>
    </row>
    <row r="29" spans="3:11" ht="57.3" customHeight="1" thickTop="1">
      <c r="C29" s="100" t="s">
        <v>15</v>
      </c>
      <c r="D29" s="300" t="str">
        <f>+D5</f>
        <v>DIESEL MARINO DM0</v>
      </c>
      <c r="E29" s="300" t="str">
        <f>+E5</f>
        <v>DIESEL MARINO CON CUPO (ART 174 LEY 1607/12)</v>
      </c>
      <c r="F29" s="300" t="str">
        <f>+F5</f>
        <v>DIESEL MARINO CON CUPO (ART 174 LEY 1607/12) CON DESCUENTO****</v>
      </c>
      <c r="G29" s="300" t="s">
        <v>252</v>
      </c>
      <c r="H29" s="300" t="s">
        <v>253</v>
      </c>
      <c r="J29" s="300" t="s">
        <v>635</v>
      </c>
    </row>
    <row r="30" spans="3:11" ht="23.4" customHeight="1">
      <c r="C30" s="302" t="s">
        <v>19</v>
      </c>
      <c r="D30" s="298">
        <f>'COMBUSTIBLES '!E7</f>
        <v>4330.45</v>
      </c>
      <c r="E30" s="295">
        <f>+D30</f>
        <v>4330.45</v>
      </c>
      <c r="F30" s="296">
        <f>+D30*80%</f>
        <v>3464.36</v>
      </c>
      <c r="G30" s="509">
        <v>1903.2</v>
      </c>
      <c r="H30" s="303">
        <v>1280.03</v>
      </c>
      <c r="J30" s="303">
        <f>+(F30*98%)+(BIODIESEL!B7*2%)</f>
        <v>3857.0465999999997</v>
      </c>
      <c r="K30" s="28" t="s">
        <v>147</v>
      </c>
    </row>
    <row r="31" spans="3:11" ht="23.4" customHeight="1">
      <c r="C31" s="305" t="str">
        <f>+C7</f>
        <v>Impuesto Nacional a la Gasolina y al ACPM</v>
      </c>
      <c r="D31" s="298">
        <f>+Variables!C33</f>
        <v>715.17</v>
      </c>
      <c r="E31" s="298">
        <f>D31</f>
        <v>715.17</v>
      </c>
      <c r="F31" s="298">
        <f>E31</f>
        <v>715.17</v>
      </c>
      <c r="G31" s="510">
        <f>+D31</f>
        <v>715.17</v>
      </c>
      <c r="H31" s="304">
        <f>+F31</f>
        <v>715.17</v>
      </c>
      <c r="J31" s="101">
        <f>ROUND(F31*98%,2)</f>
        <v>700.87</v>
      </c>
    </row>
    <row r="32" spans="3:11" ht="23.4" customHeight="1">
      <c r="C32" s="305" t="str">
        <f t="shared" ref="C32:F33" si="0">+C8</f>
        <v>Impuesto sobre las Ventas</v>
      </c>
      <c r="D32" s="295"/>
      <c r="E32" s="295"/>
      <c r="F32" s="295"/>
      <c r="G32" s="510"/>
      <c r="H32" s="304"/>
      <c r="J32" s="304"/>
    </row>
    <row r="33" spans="1:10" ht="23.4" customHeight="1">
      <c r="C33" s="305" t="str">
        <f t="shared" si="0"/>
        <v>Impuesto al carbono</v>
      </c>
      <c r="D33" s="295">
        <f t="shared" si="0"/>
        <v>191</v>
      </c>
      <c r="E33" s="295">
        <f t="shared" si="0"/>
        <v>191</v>
      </c>
      <c r="F33" s="295">
        <f t="shared" si="0"/>
        <v>191</v>
      </c>
      <c r="G33" s="510"/>
      <c r="H33" s="304"/>
      <c r="J33" s="101">
        <f>ROUND(F33*98%,2)</f>
        <v>187.18</v>
      </c>
    </row>
    <row r="34" spans="1:10" ht="23.4" customHeight="1">
      <c r="C34" s="302" t="s">
        <v>20</v>
      </c>
      <c r="D34" s="298" t="str">
        <f>+D10</f>
        <v>(*)</v>
      </c>
      <c r="E34" s="298" t="str">
        <f>+D34</f>
        <v>(*)</v>
      </c>
      <c r="F34" s="298" t="str">
        <f>+E34</f>
        <v>(*)</v>
      </c>
      <c r="G34" s="511" t="str">
        <f>+F34</f>
        <v>(*)</v>
      </c>
      <c r="H34" s="101" t="str">
        <f>+G34</f>
        <v>(*)</v>
      </c>
      <c r="J34" s="101">
        <f>+I34</f>
        <v>0</v>
      </c>
    </row>
    <row r="35" spans="1:10" ht="23.4" hidden="1" customHeight="1">
      <c r="C35" s="84"/>
      <c r="D35" s="295"/>
      <c r="E35" s="295"/>
      <c r="F35" s="295"/>
      <c r="G35" s="512"/>
      <c r="H35" s="304"/>
      <c r="J35" s="304"/>
    </row>
    <row r="36" spans="1:10" ht="23.4" customHeight="1">
      <c r="C36" s="312" t="s">
        <v>33</v>
      </c>
      <c r="D36" s="299">
        <f>SUM(D30:D35)</f>
        <v>5236.62</v>
      </c>
      <c r="E36" s="299">
        <f>SUM(E30:E35)</f>
        <v>5236.62</v>
      </c>
      <c r="F36" s="299">
        <f>SUM(F30:F35)</f>
        <v>4370.53</v>
      </c>
      <c r="G36" s="513">
        <f>SUM(G30:G35)</f>
        <v>2618.37</v>
      </c>
      <c r="H36" s="307">
        <f>SUM(H30:H35)</f>
        <v>1995.1999999999998</v>
      </c>
      <c r="J36" s="307">
        <f>SUM(J30:J35)</f>
        <v>4745.0965999999999</v>
      </c>
    </row>
    <row r="37" spans="1:10" ht="23.4" customHeight="1">
      <c r="C37" s="102" t="s">
        <v>217</v>
      </c>
      <c r="D37" s="82" t="s">
        <v>11</v>
      </c>
      <c r="E37" s="82" t="str">
        <f>+D37</f>
        <v>(*)</v>
      </c>
      <c r="F37" s="82" t="str">
        <f>E37</f>
        <v>(*)</v>
      </c>
      <c r="G37" s="514" t="str">
        <f>+F37</f>
        <v>(*)</v>
      </c>
      <c r="H37" s="83" t="str">
        <f>G37</f>
        <v>(*)</v>
      </c>
      <c r="J37" s="83" t="str">
        <f>+F37</f>
        <v>(*)</v>
      </c>
    </row>
    <row r="38" spans="1:10" ht="23.4" customHeight="1">
      <c r="C38" s="102" t="s">
        <v>219</v>
      </c>
      <c r="D38" s="82" t="s">
        <v>12</v>
      </c>
      <c r="E38" s="82" t="str">
        <f>+D38</f>
        <v>(**)</v>
      </c>
      <c r="F38" s="82" t="str">
        <f>E38</f>
        <v>(**)</v>
      </c>
      <c r="G38" s="514" t="str">
        <f>+F38</f>
        <v>(**)</v>
      </c>
      <c r="H38" s="83" t="str">
        <f>G38</f>
        <v>(**)</v>
      </c>
      <c r="I38" s="28"/>
      <c r="J38" s="83" t="str">
        <f>+F37</f>
        <v>(*)</v>
      </c>
    </row>
    <row r="39" spans="1:10" ht="23.4" customHeight="1">
      <c r="C39" s="306" t="s">
        <v>34</v>
      </c>
      <c r="D39" s="299">
        <f>SUM(D36:D38)</f>
        <v>5236.62</v>
      </c>
      <c r="E39" s="299">
        <f>SUM(E36:E38)</f>
        <v>5236.62</v>
      </c>
      <c r="F39" s="299">
        <f>SUM(F36:F38)</f>
        <v>4370.53</v>
      </c>
      <c r="G39" s="513">
        <f>SUM(G36:G38)</f>
        <v>2618.37</v>
      </c>
      <c r="H39" s="307">
        <f>SUM(H36:H38)</f>
        <v>1995.1999999999998</v>
      </c>
      <c r="J39" s="307">
        <f>SUM(J36:J38)</f>
        <v>4745.0965999999999</v>
      </c>
    </row>
    <row r="40" spans="1:10" ht="23.4" customHeight="1" thickBot="1">
      <c r="C40" s="308" t="s">
        <v>8</v>
      </c>
      <c r="D40" s="645">
        <f>'COMBUSTIBLES '!E16</f>
        <v>301</v>
      </c>
      <c r="E40" s="309"/>
      <c r="F40" s="309"/>
      <c r="G40" s="493"/>
      <c r="H40" s="310"/>
      <c r="J40" s="310"/>
    </row>
    <row r="41" spans="1:10" ht="14.4" thickTop="1">
      <c r="A41" s="2" t="s">
        <v>147</v>
      </c>
      <c r="C41" s="29" t="s">
        <v>147</v>
      </c>
      <c r="D41" s="30"/>
      <c r="E41" s="30"/>
      <c r="F41" s="64"/>
      <c r="G41" s="64"/>
      <c r="H41" s="64"/>
    </row>
    <row r="42" spans="1:10" ht="15" customHeight="1">
      <c r="C42" s="845" t="s">
        <v>231</v>
      </c>
      <c r="D42" s="845"/>
      <c r="E42" s="845"/>
      <c r="F42" s="845"/>
      <c r="G42" s="845"/>
      <c r="H42" s="845"/>
      <c r="I42" s="845"/>
      <c r="J42" s="845"/>
    </row>
    <row r="43" spans="1:10" ht="18" customHeight="1">
      <c r="C43" s="845" t="s">
        <v>218</v>
      </c>
      <c r="D43" s="845"/>
      <c r="E43" s="845"/>
      <c r="F43" s="845"/>
      <c r="G43" s="845"/>
      <c r="H43" s="845"/>
      <c r="I43" s="845"/>
      <c r="J43" s="845"/>
    </row>
    <row r="44" spans="1:10" ht="65.25" customHeight="1">
      <c r="C44" s="884" t="s">
        <v>254</v>
      </c>
      <c r="D44" s="884"/>
      <c r="E44" s="884"/>
      <c r="F44" s="884"/>
      <c r="G44" s="884"/>
      <c r="H44" s="884"/>
      <c r="I44" s="884"/>
      <c r="J44" s="884"/>
    </row>
    <row r="45" spans="1:10" ht="28.5" customHeight="1">
      <c r="C45" s="882" t="s">
        <v>621</v>
      </c>
      <c r="D45" s="882"/>
      <c r="E45" s="882"/>
      <c r="F45" s="882"/>
      <c r="G45" s="882"/>
      <c r="H45" s="882"/>
      <c r="I45" s="13"/>
      <c r="J45" s="13"/>
    </row>
    <row r="46" spans="1:10" s="13" customFormat="1" ht="18" customHeight="1">
      <c r="C46" s="31"/>
      <c r="D46" s="32"/>
      <c r="E46" s="32"/>
    </row>
    <row r="47" spans="1:10" ht="19.649999999999999" customHeight="1">
      <c r="C47" s="623" t="s">
        <v>39</v>
      </c>
      <c r="D47" s="624"/>
      <c r="E47" s="625"/>
      <c r="F47" s="626"/>
    </row>
    <row r="48" spans="1:10" ht="15.6">
      <c r="C48" s="623" t="s">
        <v>35</v>
      </c>
      <c r="D48" s="624"/>
      <c r="E48" s="625"/>
      <c r="F48" s="626"/>
    </row>
    <row r="49" spans="3:10" ht="15.6">
      <c r="C49" s="623" t="s">
        <v>36</v>
      </c>
      <c r="D49" s="624"/>
      <c r="E49" s="625"/>
      <c r="F49" s="626"/>
    </row>
    <row r="50" spans="3:10" ht="15.6">
      <c r="C50" s="623" t="s">
        <v>14</v>
      </c>
      <c r="D50" s="624"/>
      <c r="E50" s="625"/>
      <c r="F50" s="626"/>
    </row>
    <row r="51" spans="3:10" ht="14.4" thickBot="1">
      <c r="C51" s="280">
        <f>+C28</f>
        <v>0</v>
      </c>
      <c r="D51" s="26"/>
      <c r="E51" s="719"/>
      <c r="F51" s="720"/>
    </row>
    <row r="52" spans="3:10" ht="33" customHeight="1" thickTop="1">
      <c r="C52" s="100" t="s">
        <v>15</v>
      </c>
      <c r="D52" s="300" t="s">
        <v>221</v>
      </c>
      <c r="E52" s="300" t="s">
        <v>637</v>
      </c>
      <c r="F52" s="301" t="s">
        <v>636</v>
      </c>
    </row>
    <row r="53" spans="3:10" ht="26.55" customHeight="1">
      <c r="C53" s="302" t="s">
        <v>222</v>
      </c>
      <c r="D53" s="295">
        <f>+BIODIESEL!E10</f>
        <v>4705.8100000000004</v>
      </c>
      <c r="E53" s="295">
        <f>+D53</f>
        <v>4705.8100000000004</v>
      </c>
      <c r="F53" s="101">
        <f>+BIODIESEL!B7*2%+('COMBUSTIBLES '!E7*77%)*98%</f>
        <v>3729.7313699999995</v>
      </c>
      <c r="G53" s="370"/>
      <c r="J53" s="519"/>
    </row>
    <row r="54" spans="3:10" ht="26.55" customHeight="1">
      <c r="C54" s="302" t="str">
        <f>+C31</f>
        <v>Impuesto Nacional a la Gasolina y al ACPM</v>
      </c>
      <c r="D54" s="618">
        <f>+D7*98%</f>
        <v>549.89760000000001</v>
      </c>
      <c r="E54" s="298">
        <f>+J7</f>
        <v>700.87</v>
      </c>
      <c r="F54" s="101">
        <f>E54</f>
        <v>700.87</v>
      </c>
      <c r="G54" s="28"/>
      <c r="J54" s="615"/>
    </row>
    <row r="55" spans="3:10" ht="26.55" customHeight="1">
      <c r="C55" s="302" t="str">
        <f>+C32</f>
        <v>Impuesto sobre las Ventas</v>
      </c>
      <c r="D55" s="398" t="str">
        <f>+'COMBUSTIBLES '!C12</f>
        <v>(3)</v>
      </c>
      <c r="E55" s="398" t="str">
        <f>+D55</f>
        <v>(3)</v>
      </c>
      <c r="F55" s="400" t="str">
        <f>+E55</f>
        <v>(3)</v>
      </c>
      <c r="G55" s="28"/>
    </row>
    <row r="56" spans="3:10" ht="26.55" customHeight="1">
      <c r="C56" s="302" t="str">
        <f>+C33</f>
        <v>Impuesto al carbono</v>
      </c>
      <c r="D56" s="295">
        <f>+D9*98%</f>
        <v>187.18</v>
      </c>
      <c r="E56" s="295">
        <f>+E33*98%</f>
        <v>187.18</v>
      </c>
      <c r="F56" s="304">
        <f>E56</f>
        <v>187.18</v>
      </c>
      <c r="G56" s="28"/>
    </row>
    <row r="57" spans="3:10" ht="26.55" customHeight="1">
      <c r="C57" s="302" t="s">
        <v>220</v>
      </c>
      <c r="D57" s="517" t="s">
        <v>11</v>
      </c>
      <c r="E57" s="82" t="str">
        <f>+D57</f>
        <v>(*)</v>
      </c>
      <c r="F57" s="83" t="str">
        <f>+E57</f>
        <v>(*)</v>
      </c>
    </row>
    <row r="58" spans="3:10" ht="26.55" customHeight="1">
      <c r="C58" s="302" t="s">
        <v>208</v>
      </c>
      <c r="D58" s="385">
        <v>24.874908872567737</v>
      </c>
      <c r="E58" s="298">
        <f>+D58</f>
        <v>24.874908872567737</v>
      </c>
      <c r="F58" s="101">
        <f>+E58</f>
        <v>24.874908872567737</v>
      </c>
    </row>
    <row r="59" spans="3:10" ht="26.55" hidden="1" customHeight="1">
      <c r="C59" s="84"/>
      <c r="D59" s="295"/>
      <c r="E59" s="295"/>
      <c r="F59" s="304"/>
    </row>
    <row r="60" spans="3:10" ht="26.55" customHeight="1">
      <c r="C60" s="302" t="s">
        <v>31</v>
      </c>
      <c r="D60" s="313">
        <f>SUM(D53:D59)</f>
        <v>5467.762508872569</v>
      </c>
      <c r="E60" s="313">
        <f>SUM(E53:E59)</f>
        <v>5618.7349088725687</v>
      </c>
      <c r="F60" s="314">
        <f>SUM(F53:F59)</f>
        <v>4642.6562788725678</v>
      </c>
      <c r="I60" s="28"/>
    </row>
    <row r="61" spans="3:10" ht="37.200000000000003" customHeight="1">
      <c r="C61" s="306" t="s">
        <v>37</v>
      </c>
      <c r="D61" s="315">
        <f>SUM(D60:D60)</f>
        <v>5467.762508872569</v>
      </c>
      <c r="E61" s="315">
        <f>SUM(E60:E60)</f>
        <v>5618.7349088725687</v>
      </c>
      <c r="F61" s="316">
        <f>SUM(F60:F60)</f>
        <v>4642.6562788725678</v>
      </c>
    </row>
    <row r="62" spans="3:10" ht="37.200000000000003" customHeight="1" thickBot="1">
      <c r="C62" s="308" t="s">
        <v>46</v>
      </c>
      <c r="D62" s="645">
        <f>D40</f>
        <v>301</v>
      </c>
      <c r="E62" s="309"/>
      <c r="F62" s="310"/>
    </row>
    <row r="63" spans="3:10" ht="18.75" customHeight="1" thickTop="1">
      <c r="C63" s="879" t="s">
        <v>147</v>
      </c>
      <c r="D63" s="880"/>
      <c r="E63" s="880"/>
      <c r="F63" s="64"/>
    </row>
    <row r="64" spans="3:10" ht="18.75" customHeight="1">
      <c r="C64" s="842" t="s">
        <v>562</v>
      </c>
      <c r="D64" s="842"/>
      <c r="E64" s="842"/>
      <c r="F64" s="842"/>
    </row>
    <row r="65" spans="3:16" ht="18.75" customHeight="1">
      <c r="C65" s="842" t="s">
        <v>678</v>
      </c>
      <c r="D65" s="842"/>
      <c r="E65" s="842"/>
      <c r="F65" s="842"/>
    </row>
    <row r="66" spans="3:16" ht="10.050000000000001" customHeight="1">
      <c r="C66" s="541"/>
      <c r="D66" s="541"/>
      <c r="E66" s="541"/>
      <c r="F66" s="541"/>
    </row>
    <row r="67" spans="3:16" ht="40.799999999999997" customHeight="1">
      <c r="C67" s="827" t="s">
        <v>554</v>
      </c>
      <c r="D67" s="827"/>
      <c r="E67" s="827"/>
      <c r="F67" s="827"/>
      <c r="G67" s="827"/>
      <c r="H67" s="827"/>
      <c r="I67" s="827"/>
    </row>
    <row r="68" spans="3:16" ht="44.55" customHeight="1">
      <c r="C68" s="881"/>
      <c r="D68" s="881"/>
      <c r="E68" s="881"/>
      <c r="F68" s="881"/>
    </row>
    <row r="72" spans="3:16" ht="19.649999999999999" customHeight="1" outlineLevel="1">
      <c r="C72" s="278" t="s">
        <v>517</v>
      </c>
      <c r="D72" s="278" t="s">
        <v>187</v>
      </c>
      <c r="E72" s="278" t="s">
        <v>188</v>
      </c>
      <c r="F72" s="278" t="s">
        <v>189</v>
      </c>
    </row>
    <row r="73" spans="3:16" ht="19.649999999999999" customHeight="1" outlineLevel="1">
      <c r="C73" s="276" t="s">
        <v>639</v>
      </c>
      <c r="D73" s="277">
        <f>+E6</f>
        <v>4330.45</v>
      </c>
      <c r="E73" s="277">
        <f>+F6</f>
        <v>3464.36</v>
      </c>
      <c r="F73" s="424">
        <f t="shared" ref="F73:F76" si="1">+D73-E73</f>
        <v>866.08999999999969</v>
      </c>
      <c r="I73" s="463" t="s">
        <v>531</v>
      </c>
      <c r="J73" s="545" t="s">
        <v>533</v>
      </c>
      <c r="K73" s="534">
        <v>912.6</v>
      </c>
      <c r="L73" s="28">
        <f>+F73-K73</f>
        <v>-46.510000000000332</v>
      </c>
      <c r="N73" s="2" t="s">
        <v>588</v>
      </c>
    </row>
    <row r="74" spans="3:16" ht="20.100000000000001" customHeight="1" outlineLevel="1">
      <c r="C74" s="276" t="s">
        <v>640</v>
      </c>
      <c r="D74" s="276">
        <f>+BIODIESEL!E10</f>
        <v>4705.8100000000004</v>
      </c>
      <c r="E74" s="277">
        <f>+J6</f>
        <v>3857.0465999999997</v>
      </c>
      <c r="F74" s="424">
        <f t="shared" si="1"/>
        <v>848.76340000000073</v>
      </c>
      <c r="I74" s="463" t="s">
        <v>531</v>
      </c>
      <c r="J74" s="545" t="s">
        <v>692</v>
      </c>
      <c r="K74" s="534">
        <v>894.35</v>
      </c>
      <c r="L74" s="28">
        <f t="shared" ref="L74:L77" si="2">+F74-K74</f>
        <v>-45.586599999999294</v>
      </c>
      <c r="O74" s="544" t="s">
        <v>589</v>
      </c>
    </row>
    <row r="75" spans="3:16" ht="19.649999999999999" customHeight="1" outlineLevel="1">
      <c r="C75" s="425" t="s">
        <v>516</v>
      </c>
      <c r="D75" s="426">
        <f>+E6</f>
        <v>4330.45</v>
      </c>
      <c r="E75" s="533">
        <f>+D75*77%</f>
        <v>3334.4465</v>
      </c>
      <c r="F75" s="543">
        <f t="shared" si="1"/>
        <v>996.0034999999998</v>
      </c>
      <c r="I75" s="463" t="s">
        <v>531</v>
      </c>
      <c r="J75" s="545" t="s">
        <v>533</v>
      </c>
      <c r="K75" s="534">
        <v>2281.5</v>
      </c>
      <c r="L75" s="28">
        <f t="shared" si="2"/>
        <v>-1285.4965000000002</v>
      </c>
      <c r="O75" s="545">
        <f>+D75-D75*0.77</f>
        <v>996.0034999999998</v>
      </c>
      <c r="P75" s="2" t="s">
        <v>590</v>
      </c>
    </row>
    <row r="76" spans="3:16" ht="19.649999999999999" customHeight="1" outlineLevel="1">
      <c r="C76" s="425" t="s">
        <v>515</v>
      </c>
      <c r="D76" s="426">
        <f>D53</f>
        <v>4705.8100000000004</v>
      </c>
      <c r="E76" s="426">
        <f>F53</f>
        <v>3729.7313699999995</v>
      </c>
      <c r="F76" s="543">
        <f t="shared" si="1"/>
        <v>976.07863000000089</v>
      </c>
      <c r="I76" s="463"/>
      <c r="J76" s="545" t="s">
        <v>691</v>
      </c>
      <c r="K76" s="534">
        <v>2235.87</v>
      </c>
      <c r="L76" s="28">
        <f t="shared" si="2"/>
        <v>-1259.791369999999</v>
      </c>
      <c r="O76" s="602">
        <f>+D76-D75*0.98*0.77-13242.08*0.02</f>
        <v>1173.2108300000007</v>
      </c>
    </row>
    <row r="77" spans="3:16" ht="22.95" customHeight="1" outlineLevel="1">
      <c r="C77" s="276" t="s">
        <v>569</v>
      </c>
      <c r="D77" s="706">
        <f>+D30</f>
        <v>4330.45</v>
      </c>
      <c r="E77" s="277">
        <f>+F30</f>
        <v>3464.36</v>
      </c>
      <c r="F77" s="277">
        <f>+D77-E77</f>
        <v>866.08999999999969</v>
      </c>
      <c r="J77" s="545" t="s">
        <v>533</v>
      </c>
      <c r="K77" s="534">
        <v>912.6</v>
      </c>
      <c r="L77" s="28">
        <f t="shared" si="2"/>
        <v>-46.510000000000332</v>
      </c>
      <c r="O77" s="28"/>
    </row>
    <row r="78" spans="3:16">
      <c r="D78" s="519"/>
      <c r="K78" s="534"/>
    </row>
    <row r="79" spans="3:16">
      <c r="D79" s="519"/>
      <c r="J79" s="28"/>
    </row>
    <row r="80" spans="3:16" ht="143.55000000000001" customHeight="1">
      <c r="C80" s="878" t="s">
        <v>696</v>
      </c>
      <c r="D80" s="878"/>
      <c r="E80" s="878"/>
      <c r="F80" s="878"/>
      <c r="G80" s="878"/>
      <c r="J80" s="28"/>
    </row>
  </sheetData>
  <sheetProtection algorithmName="SHA-512" hashValue="KWPU4TytEQ6+UqqppuoRfqOt7IQO6XYGZ5e3NEXabBFyckwHq0uZlXNqnhXgYMnaSs0KoM09oSso58pUILep9w==" saltValue="8cQ5UU4sudludjRJx0+gHA==" spinCount="100000" sheet="1" objects="1" scenarios="1"/>
  <mergeCells count="24">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80:G80"/>
    <mergeCell ref="C63:E63"/>
    <mergeCell ref="C64:F64"/>
    <mergeCell ref="C65:F65"/>
    <mergeCell ref="C67:I67"/>
    <mergeCell ref="C68:F68"/>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48"/>
  <sheetViews>
    <sheetView showGridLines="0" tabSelected="1" zoomScale="70" zoomScaleNormal="70" workbookViewId="0">
      <selection activeCell="M6" sqref="M6"/>
    </sheetView>
  </sheetViews>
  <sheetFormatPr baseColWidth="10" defaultColWidth="7.88671875" defaultRowHeight="13.8"/>
  <cols>
    <col min="1" max="1" width="56.21875" style="281" customWidth="1"/>
    <col min="2" max="2" width="21.77734375" style="281" customWidth="1"/>
    <col min="3" max="3" width="16.21875" style="281" customWidth="1"/>
    <col min="4" max="4" width="12.33203125" style="281" hidden="1" customWidth="1"/>
    <col min="5" max="5" width="21" style="281" customWidth="1"/>
    <col min="6" max="6" width="13.88671875" style="281" hidden="1" customWidth="1"/>
    <col min="7" max="7" width="16.77734375" style="281" hidden="1" customWidth="1"/>
    <col min="8" max="8" width="17.21875" style="281" customWidth="1"/>
    <col min="9" max="9" width="18.88671875" style="281" customWidth="1"/>
    <col min="10" max="10" width="18.77734375" style="281" customWidth="1"/>
    <col min="11" max="11" width="7.88671875" style="281"/>
    <col min="12" max="12" width="10.77734375" style="281" bestFit="1" customWidth="1"/>
    <col min="13" max="13" width="11.77734375" style="281" bestFit="1" customWidth="1"/>
    <col min="14" max="16384" width="7.88671875" style="281"/>
  </cols>
  <sheetData>
    <row r="1" spans="1:25" s="14" customFormat="1" ht="17.399999999999999">
      <c r="A1" s="890" t="s">
        <v>29</v>
      </c>
      <c r="B1" s="890"/>
      <c r="C1" s="890"/>
      <c r="D1" s="890"/>
      <c r="E1" s="890"/>
      <c r="F1" s="890"/>
      <c r="G1" s="890"/>
      <c r="H1" s="890"/>
      <c r="I1" s="890"/>
      <c r="J1" s="890"/>
    </row>
    <row r="2" spans="1:25" s="14" customFormat="1" ht="56.1" customHeight="1">
      <c r="A2" s="891" t="s">
        <v>276</v>
      </c>
      <c r="B2" s="891"/>
      <c r="C2" s="891"/>
      <c r="D2" s="891"/>
      <c r="E2" s="891"/>
      <c r="F2" s="891"/>
      <c r="G2" s="891"/>
      <c r="H2" s="891"/>
      <c r="I2" s="891"/>
      <c r="J2" s="891"/>
      <c r="M2" s="281"/>
      <c r="N2" s="281"/>
      <c r="O2" s="281"/>
      <c r="P2" s="281"/>
      <c r="Q2" s="281"/>
      <c r="R2" s="281"/>
    </row>
    <row r="3" spans="1:25" ht="24.75" customHeight="1">
      <c r="A3" s="892" t="s">
        <v>23</v>
      </c>
      <c r="B3" s="892"/>
      <c r="C3" s="892"/>
      <c r="D3" s="892"/>
      <c r="E3" s="892"/>
      <c r="F3" s="892"/>
      <c r="G3" s="390"/>
      <c r="I3" s="459"/>
      <c r="J3" s="459"/>
      <c r="K3" s="459"/>
      <c r="L3" s="459"/>
      <c r="M3" s="459"/>
      <c r="N3" s="459"/>
      <c r="O3" s="459"/>
    </row>
    <row r="4" spans="1:25">
      <c r="A4" s="24"/>
      <c r="C4" s="742"/>
      <c r="D4" s="742"/>
      <c r="E4" s="742"/>
      <c r="F4" s="742"/>
      <c r="G4" s="742"/>
      <c r="H4" s="742"/>
    </row>
    <row r="5" spans="1:25" ht="14.4" thickBot="1">
      <c r="A5" s="21" t="str">
        <f>+'COMBUSTIBLES '!A1</f>
        <v>01 DE AGOSTO 2022</v>
      </c>
      <c r="B5" s="165">
        <v>0</v>
      </c>
      <c r="C5" s="165">
        <v>0.02</v>
      </c>
      <c r="D5" s="165">
        <v>0</v>
      </c>
      <c r="E5" s="166">
        <v>0.02</v>
      </c>
      <c r="F5" s="165">
        <v>0</v>
      </c>
      <c r="G5" s="165">
        <v>0</v>
      </c>
      <c r="H5" s="166">
        <v>0.02</v>
      </c>
      <c r="I5" s="165">
        <v>0</v>
      </c>
      <c r="J5" s="166">
        <v>0</v>
      </c>
    </row>
    <row r="6" spans="1:25" ht="47.25" customHeight="1" thickTop="1">
      <c r="A6" s="317" t="s">
        <v>15</v>
      </c>
      <c r="B6" s="318" t="s">
        <v>54</v>
      </c>
      <c r="C6" s="318" t="s">
        <v>558</v>
      </c>
      <c r="D6" s="318" t="s">
        <v>149</v>
      </c>
      <c r="E6" s="318" t="s">
        <v>559</v>
      </c>
      <c r="F6" s="318" t="s">
        <v>150</v>
      </c>
      <c r="G6" s="318" t="s">
        <v>263</v>
      </c>
      <c r="H6" s="318" t="s">
        <v>560</v>
      </c>
      <c r="I6" s="318" t="s">
        <v>251</v>
      </c>
      <c r="J6" s="319" t="s">
        <v>250</v>
      </c>
    </row>
    <row r="7" spans="1:25" ht="27.75" customHeight="1">
      <c r="A7" s="99" t="s">
        <v>224</v>
      </c>
      <c r="B7" s="705">
        <v>16600.310000000001</v>
      </c>
      <c r="C7" s="705">
        <v>16600.310000000001</v>
      </c>
      <c r="D7" s="705">
        <v>6875.1811988924737</v>
      </c>
      <c r="E7" s="705">
        <v>16681.39</v>
      </c>
      <c r="F7" s="297">
        <v>6794.4669776671717</v>
      </c>
      <c r="G7" s="297">
        <v>6537.1057563440854</v>
      </c>
      <c r="H7" s="705">
        <v>16600.310000000001</v>
      </c>
      <c r="I7" s="490">
        <v>16600.310000000001</v>
      </c>
      <c r="J7" s="367">
        <f>+I7</f>
        <v>16600.310000000001</v>
      </c>
      <c r="M7" s="535"/>
    </row>
    <row r="8" spans="1:25" ht="27.75" customHeight="1">
      <c r="A8" s="305" t="s">
        <v>55</v>
      </c>
      <c r="B8" s="320">
        <v>0</v>
      </c>
      <c r="C8" s="297">
        <f>+BIODIESEL!B7</f>
        <v>23098.69</v>
      </c>
      <c r="D8" s="558">
        <v>0</v>
      </c>
      <c r="E8" s="558">
        <f>+C8</f>
        <v>23098.69</v>
      </c>
      <c r="F8" s="558">
        <v>0</v>
      </c>
      <c r="G8" s="558">
        <v>0</v>
      </c>
      <c r="H8" s="558">
        <f>+E8</f>
        <v>23098.69</v>
      </c>
      <c r="I8" s="490">
        <f>+D8</f>
        <v>0</v>
      </c>
      <c r="J8" s="367">
        <f>+D8</f>
        <v>0</v>
      </c>
      <c r="M8" s="536"/>
      <c r="N8" s="536"/>
      <c r="O8" s="536"/>
      <c r="P8" s="536"/>
      <c r="Q8" s="536"/>
      <c r="R8" s="328"/>
      <c r="S8" s="328"/>
      <c r="T8" s="328"/>
      <c r="U8" s="328"/>
      <c r="V8" s="328"/>
      <c r="W8" s="328"/>
      <c r="X8" s="328"/>
      <c r="Y8" s="328"/>
    </row>
    <row r="9" spans="1:25" ht="35.549999999999997" customHeight="1">
      <c r="A9" s="322" t="s">
        <v>148</v>
      </c>
      <c r="B9" s="323">
        <f>+B8*B5+B7*(1-B5)</f>
        <v>16600.310000000001</v>
      </c>
      <c r="C9" s="371">
        <f>+ROUND(C8*C5,2)+C7*(1-C5)</f>
        <v>16730.273800000003</v>
      </c>
      <c r="D9" s="371">
        <f>+D8*D5+D7*(1-D5)</f>
        <v>6875.1811988924737</v>
      </c>
      <c r="E9" s="371">
        <f>ROUND((E8*E5),2)+ROUND(E7*(1-E5),2)</f>
        <v>16809.73</v>
      </c>
      <c r="F9" s="371">
        <f t="shared" ref="F9:G9" si="0">+F8*F5+F7*(1-F5)</f>
        <v>6794.4669776671717</v>
      </c>
      <c r="G9" s="371">
        <f t="shared" si="0"/>
        <v>6537.1057563440854</v>
      </c>
      <c r="H9" s="371">
        <f>+ROUND(H8*H5,2)+H7*(1-H5)</f>
        <v>16730.273800000003</v>
      </c>
      <c r="I9" s="491">
        <f>+I7</f>
        <v>16600.310000000001</v>
      </c>
      <c r="J9" s="372">
        <f>+J7</f>
        <v>16600.310000000001</v>
      </c>
      <c r="L9" s="520" t="s">
        <v>147</v>
      </c>
      <c r="M9" s="536"/>
      <c r="N9" s="328">
        <v>6978.4077749146245</v>
      </c>
      <c r="O9" s="328">
        <v>6875.1811988924737</v>
      </c>
      <c r="P9" s="328">
        <v>7272.6860170874797</v>
      </c>
      <c r="Q9" s="328">
        <v>6794.4669776671717</v>
      </c>
      <c r="R9" s="328">
        <v>6537.1057563440854</v>
      </c>
      <c r="S9" s="328">
        <v>7022.1892934113339</v>
      </c>
      <c r="T9" s="328">
        <v>6875.1811988924737</v>
      </c>
      <c r="U9" s="328">
        <v>6875.1811988924737</v>
      </c>
      <c r="V9" s="328"/>
      <c r="W9" s="328"/>
      <c r="X9" s="328"/>
      <c r="Y9" s="328"/>
    </row>
    <row r="10" spans="1:25" ht="27.75" customHeight="1">
      <c r="A10" s="305" t="s">
        <v>53</v>
      </c>
      <c r="B10" s="321">
        <f>+'COMBUSTIBLES '!E8</f>
        <v>8.6314000000000011</v>
      </c>
      <c r="C10" s="297">
        <f>+BIODIESEL!F14</f>
        <v>8.6314000000000011</v>
      </c>
      <c r="D10" s="297">
        <f>+'COMBUSTIBLES '!E8</f>
        <v>8.6314000000000011</v>
      </c>
      <c r="E10" s="297">
        <f>+BIODIESEL!E14</f>
        <v>8.6314000000000011</v>
      </c>
      <c r="F10" s="297">
        <f>'COMBUSTIBLES '!E8</f>
        <v>8.6314000000000011</v>
      </c>
      <c r="G10" s="297">
        <f>E10</f>
        <v>8.6314000000000011</v>
      </c>
      <c r="H10" s="297">
        <f>+BIODIESEL!E14</f>
        <v>8.6314000000000011</v>
      </c>
      <c r="I10" s="490">
        <v>0</v>
      </c>
      <c r="J10" s="367">
        <v>0</v>
      </c>
      <c r="M10" s="328">
        <v>6474.0480291453787</v>
      </c>
      <c r="N10" s="328">
        <v>6414.6173003313961</v>
      </c>
      <c r="O10" s="328">
        <v>6875.1811988924737</v>
      </c>
      <c r="P10" s="328">
        <v>6660.1986685624715</v>
      </c>
      <c r="Q10" s="328">
        <v>6794.4669776671717</v>
      </c>
      <c r="R10" s="328">
        <v>6537.1057563440854</v>
      </c>
      <c r="S10" s="328">
        <v>6414.6173003313961</v>
      </c>
      <c r="T10" s="328">
        <v>6875.1811988924737</v>
      </c>
      <c r="U10" s="328">
        <v>6875.1811988924737</v>
      </c>
      <c r="V10" s="328"/>
      <c r="W10" s="328"/>
      <c r="X10" s="328"/>
      <c r="Y10" s="328"/>
    </row>
    <row r="11" spans="1:25" ht="27.75" customHeight="1">
      <c r="A11" s="305" t="s">
        <v>176</v>
      </c>
      <c r="B11" s="297">
        <v>23.5</v>
      </c>
      <c r="C11" s="297">
        <f>+B11</f>
        <v>23.5</v>
      </c>
      <c r="D11" s="297">
        <f>+B11</f>
        <v>23.5</v>
      </c>
      <c r="E11" s="297">
        <f>+B11</f>
        <v>23.5</v>
      </c>
      <c r="F11" s="297">
        <f>+B11</f>
        <v>23.5</v>
      </c>
      <c r="G11" s="297">
        <f>+C11</f>
        <v>23.5</v>
      </c>
      <c r="H11" s="297">
        <f>+B11</f>
        <v>23.5</v>
      </c>
      <c r="I11" s="490">
        <f>+D11</f>
        <v>23.5</v>
      </c>
      <c r="J11" s="367">
        <f>+D11</f>
        <v>23.5</v>
      </c>
      <c r="M11" s="328"/>
      <c r="N11" s="328"/>
      <c r="O11" s="328"/>
      <c r="P11" s="328"/>
      <c r="Q11" s="328"/>
      <c r="R11" s="521">
        <f t="shared" ref="R11:U11" si="1">+(R10-R9)/R9</f>
        <v>0</v>
      </c>
      <c r="S11" s="521">
        <f t="shared" si="1"/>
        <v>-8.6521733848730145E-2</v>
      </c>
      <c r="T11" s="521">
        <f t="shared" si="1"/>
        <v>0</v>
      </c>
      <c r="U11" s="521">
        <f t="shared" si="1"/>
        <v>0</v>
      </c>
      <c r="V11" s="328"/>
      <c r="W11" s="328"/>
      <c r="X11" s="328"/>
      <c r="Y11" s="328"/>
    </row>
    <row r="12" spans="1:25" ht="23.55" hidden="1" customHeight="1">
      <c r="A12" s="84"/>
      <c r="B12" s="321"/>
      <c r="C12" s="321"/>
      <c r="D12" s="321"/>
      <c r="E12" s="321"/>
      <c r="F12" s="321"/>
      <c r="G12" s="321"/>
      <c r="H12" s="321"/>
      <c r="I12" s="490"/>
      <c r="J12" s="367"/>
      <c r="M12" s="328"/>
      <c r="N12" s="328"/>
      <c r="O12" s="328"/>
      <c r="P12" s="328"/>
      <c r="Q12" s="328"/>
      <c r="R12" s="328"/>
      <c r="S12" s="328"/>
      <c r="T12" s="328"/>
      <c r="U12" s="328"/>
      <c r="V12" s="328"/>
      <c r="W12" s="328"/>
      <c r="X12" s="328"/>
      <c r="Y12" s="328"/>
    </row>
    <row r="13" spans="1:25" ht="27.75" customHeight="1">
      <c r="A13" s="305" t="str">
        <f>+'COMBUSTIBLES '!A11</f>
        <v>Impuesto Nacional a la Gasolina y al ACPM</v>
      </c>
      <c r="B13" s="321">
        <f>+'COMBUSTIBLES '!E11</f>
        <v>561.12</v>
      </c>
      <c r="C13" s="321">
        <f>+BIODIESEL!E11</f>
        <v>549.9</v>
      </c>
      <c r="D13" s="321">
        <f>+'COMBUSTIBLES '!E11</f>
        <v>561.12</v>
      </c>
      <c r="E13" s="321">
        <f>+BIODIESEL!E11</f>
        <v>549.9</v>
      </c>
      <c r="F13" s="321">
        <f>+'COMBUSTIBLES '!E11</f>
        <v>561.12</v>
      </c>
      <c r="G13" s="321">
        <f>+F13</f>
        <v>561.12</v>
      </c>
      <c r="H13" s="321">
        <f>+BIODIESEL!E11</f>
        <v>549.9</v>
      </c>
      <c r="I13" s="490">
        <f>+Variables!C32</f>
        <v>561.12</v>
      </c>
      <c r="J13" s="367">
        <f>+Variables!C33</f>
        <v>715.17</v>
      </c>
    </row>
    <row r="14" spans="1:25" ht="27.75" customHeight="1">
      <c r="A14" s="305" t="s">
        <v>236</v>
      </c>
      <c r="B14" s="398" t="str">
        <f>+'COMBUSTIBLES '!C12</f>
        <v>(3)</v>
      </c>
      <c r="C14" s="398" t="str">
        <f>+'COMBUSTIBLES '!D12</f>
        <v>(3)</v>
      </c>
      <c r="D14" s="398" t="str">
        <f>+B14</f>
        <v>(3)</v>
      </c>
      <c r="E14" s="398" t="str">
        <f>+D14</f>
        <v>(3)</v>
      </c>
      <c r="F14" s="398" t="str">
        <f>+D14</f>
        <v>(3)</v>
      </c>
      <c r="G14" s="398" t="str">
        <f>+E14</f>
        <v>(3)</v>
      </c>
      <c r="H14" s="398" t="str">
        <f>+F14</f>
        <v>(3)</v>
      </c>
      <c r="I14" s="492" t="str">
        <f>+G14</f>
        <v>(3)</v>
      </c>
      <c r="J14" s="83" t="str">
        <f>+H14</f>
        <v>(3)</v>
      </c>
    </row>
    <row r="15" spans="1:25" ht="27.75" customHeight="1">
      <c r="A15" s="281" t="s">
        <v>277</v>
      </c>
      <c r="B15" s="321">
        <f>+'COMBUSTIBLES '!E13</f>
        <v>191</v>
      </c>
      <c r="C15" s="321">
        <f>+BIODIESEL!E13</f>
        <v>187.18</v>
      </c>
      <c r="D15" s="321">
        <f>+B15</f>
        <v>191</v>
      </c>
      <c r="E15" s="321">
        <f>+BIODIESEL!E13</f>
        <v>187.18</v>
      </c>
      <c r="F15" s="321">
        <f>+'COMBUSTIBLES '!E13</f>
        <v>191</v>
      </c>
      <c r="G15" s="321"/>
      <c r="H15" s="321">
        <f>+E15</f>
        <v>187.18</v>
      </c>
      <c r="I15" s="490">
        <f>+D15</f>
        <v>191</v>
      </c>
      <c r="J15" s="367">
        <f>+I15</f>
        <v>191</v>
      </c>
      <c r="L15" s="395"/>
    </row>
    <row r="16" spans="1:25" ht="27.75" customHeight="1">
      <c r="A16" s="305" t="s">
        <v>226</v>
      </c>
      <c r="B16" s="324" t="s">
        <v>21</v>
      </c>
      <c r="C16" s="321" t="s">
        <v>21</v>
      </c>
      <c r="D16" s="321" t="str">
        <f t="shared" ref="D16:G17" si="2">+C16</f>
        <v>(***)</v>
      </c>
      <c r="E16" s="321" t="str">
        <f t="shared" si="2"/>
        <v>(***)</v>
      </c>
      <c r="F16" s="321" t="str">
        <f t="shared" si="2"/>
        <v>(***)</v>
      </c>
      <c r="G16" s="321" t="str">
        <f t="shared" si="2"/>
        <v>(***)</v>
      </c>
      <c r="H16" s="321" t="str">
        <f>+F16</f>
        <v>(***)</v>
      </c>
      <c r="I16" s="490" t="str">
        <f>+D16</f>
        <v>(***)</v>
      </c>
      <c r="J16" s="367" t="s">
        <v>21</v>
      </c>
    </row>
    <row r="17" spans="1:11" ht="27.75" customHeight="1">
      <c r="A17" s="305" t="s">
        <v>225</v>
      </c>
      <c r="B17" s="321" t="s">
        <v>199</v>
      </c>
      <c r="C17" s="321" t="str">
        <f>+B17</f>
        <v>(****)</v>
      </c>
      <c r="D17" s="321" t="str">
        <f t="shared" si="2"/>
        <v>(****)</v>
      </c>
      <c r="E17" s="321" t="str">
        <f t="shared" si="2"/>
        <v>(****)</v>
      </c>
      <c r="F17" s="321" t="str">
        <f t="shared" si="2"/>
        <v>(****)</v>
      </c>
      <c r="G17" s="321" t="str">
        <f t="shared" si="2"/>
        <v>(****)</v>
      </c>
      <c r="H17" s="321" t="str">
        <f>+F17</f>
        <v>(****)</v>
      </c>
      <c r="I17" s="490" t="str">
        <f>+D17</f>
        <v>(****)</v>
      </c>
      <c r="J17" s="367" t="s">
        <v>199</v>
      </c>
    </row>
    <row r="18" spans="1:11" ht="27.75" customHeight="1" thickBot="1">
      <c r="A18" s="325" t="s">
        <v>642</v>
      </c>
      <c r="B18" s="645">
        <f>+'COMBUSTIBLES '!E16</f>
        <v>301</v>
      </c>
      <c r="C18" s="645">
        <f>+B18</f>
        <v>301</v>
      </c>
      <c r="D18" s="645">
        <f>+B18</f>
        <v>301</v>
      </c>
      <c r="E18" s="645">
        <f>+B18</f>
        <v>301</v>
      </c>
      <c r="F18" s="645">
        <f>+D18</f>
        <v>301</v>
      </c>
      <c r="G18" s="645">
        <f>+E18</f>
        <v>301</v>
      </c>
      <c r="H18" s="645">
        <f>+F18</f>
        <v>301</v>
      </c>
      <c r="I18" s="646">
        <f>+D18</f>
        <v>301</v>
      </c>
      <c r="J18" s="743">
        <f>+I18</f>
        <v>301</v>
      </c>
    </row>
    <row r="19" spans="1:11" s="328" customFormat="1" ht="16.05" customHeight="1" thickTop="1">
      <c r="A19" s="22"/>
      <c r="B19" s="23"/>
      <c r="C19" s="734"/>
      <c r="D19" s="23"/>
      <c r="I19" s="23"/>
    </row>
    <row r="20" spans="1:11" s="328" customFormat="1" ht="16.05" customHeight="1">
      <c r="A20" s="389"/>
      <c r="B20" s="23"/>
      <c r="C20" s="23"/>
      <c r="D20" s="23"/>
      <c r="I20" s="23"/>
    </row>
    <row r="21" spans="1:11" s="328" customFormat="1" ht="16.05" customHeight="1">
      <c r="A21" s="740" t="s">
        <v>700</v>
      </c>
      <c r="B21" s="23"/>
      <c r="C21" s="23"/>
      <c r="D21" s="23"/>
      <c r="I21" s="23"/>
    </row>
    <row r="22" spans="1:11" s="328" customFormat="1" ht="18" customHeight="1">
      <c r="A22" s="15" t="s">
        <v>152</v>
      </c>
      <c r="B22" s="23"/>
      <c r="C22" s="23"/>
      <c r="D22" s="23"/>
      <c r="I22" s="23"/>
    </row>
    <row r="23" spans="1:11" s="17" customFormat="1">
      <c r="B23" s="16"/>
      <c r="C23" s="16"/>
    </row>
    <row r="24" spans="1:11" s="17" customFormat="1">
      <c r="A24" s="15" t="s">
        <v>153</v>
      </c>
      <c r="B24" s="16"/>
      <c r="C24" s="16"/>
      <c r="K24" s="17" t="s">
        <v>147</v>
      </c>
    </row>
    <row r="25" spans="1:11" s="17" customFormat="1" ht="11.25" customHeight="1">
      <c r="A25" s="15"/>
      <c r="B25" s="16"/>
      <c r="C25" s="16"/>
    </row>
    <row r="26" spans="1:11" s="17" customFormat="1" ht="32.25" customHeight="1">
      <c r="A26" s="893" t="s">
        <v>223</v>
      </c>
      <c r="B26" s="893"/>
      <c r="C26" s="893"/>
      <c r="D26" s="893"/>
      <c r="E26" s="893"/>
      <c r="F26" s="893"/>
      <c r="G26" s="893"/>
      <c r="H26" s="893"/>
      <c r="I26" s="893"/>
      <c r="J26" s="893"/>
    </row>
    <row r="27" spans="1:11" s="17" customFormat="1" ht="8.5500000000000007" customHeight="1">
      <c r="A27" s="15"/>
      <c r="B27" s="16"/>
      <c r="C27" s="16"/>
    </row>
    <row r="28" spans="1:11" s="17" customFormat="1" ht="30.75" customHeight="1">
      <c r="A28" s="893" t="s">
        <v>227</v>
      </c>
      <c r="B28" s="893"/>
      <c r="C28" s="893"/>
      <c r="D28" s="893"/>
      <c r="E28" s="893"/>
      <c r="F28" s="893"/>
      <c r="G28" s="893"/>
      <c r="H28" s="893"/>
      <c r="I28" s="893"/>
      <c r="J28" s="893"/>
    </row>
    <row r="29" spans="1:11" s="17" customFormat="1" ht="9.75" customHeight="1">
      <c r="A29" s="15"/>
      <c r="B29" s="16"/>
      <c r="C29" s="16"/>
    </row>
    <row r="30" spans="1:11" s="17" customFormat="1" ht="14.25" customHeight="1">
      <c r="A30" s="888" t="s">
        <v>550</v>
      </c>
      <c r="B30" s="888"/>
      <c r="C30" s="888"/>
      <c r="D30" s="888"/>
      <c r="E30" s="888"/>
      <c r="F30" s="888"/>
      <c r="G30" s="888"/>
      <c r="H30" s="888"/>
      <c r="I30" s="888"/>
      <c r="J30" s="888"/>
    </row>
    <row r="31" spans="1:11" ht="70.95" customHeight="1">
      <c r="A31" s="888"/>
      <c r="B31" s="888"/>
      <c r="C31" s="888"/>
      <c r="D31" s="888"/>
      <c r="E31" s="888"/>
      <c r="F31" s="888"/>
      <c r="G31" s="888"/>
      <c r="H31" s="888"/>
      <c r="I31" s="888"/>
      <c r="J31" s="888"/>
    </row>
    <row r="32" spans="1:11" ht="23.55" customHeight="1">
      <c r="A32" s="889" t="s">
        <v>643</v>
      </c>
      <c r="B32" s="889"/>
      <c r="C32" s="889"/>
      <c r="D32" s="889"/>
      <c r="E32" s="889"/>
      <c r="F32" s="889"/>
      <c r="G32" s="889"/>
      <c r="H32" s="889"/>
      <c r="I32" s="889"/>
    </row>
    <row r="47" spans="4:12">
      <c r="D47" s="459"/>
      <c r="E47" s="459"/>
      <c r="F47" s="459"/>
      <c r="G47" s="459"/>
      <c r="H47" s="459"/>
      <c r="I47" s="459"/>
      <c r="J47" s="459"/>
      <c r="K47" s="459"/>
      <c r="L47" s="459"/>
    </row>
    <row r="48" spans="4:12">
      <c r="D48" s="459"/>
      <c r="E48" s="459"/>
      <c r="F48" s="459"/>
      <c r="G48" s="459"/>
      <c r="H48" s="459"/>
      <c r="I48" s="459"/>
      <c r="J48" s="459"/>
      <c r="K48" s="459"/>
      <c r="L48" s="459"/>
    </row>
  </sheetData>
  <sheetProtection algorithmName="SHA-512" hashValue="syK2iuVTlZlemxAV3nvuHVsueBthBDddtibrl1A5f0hJfYfpHzQsyyypaS1l/FnjLBai9tSCNISL439LoJoovQ==" saltValue="4iBqwCksE2i/cyfR+9DIkQ==" spinCount="100000" sheet="1" objects="1" scenarios="1"/>
  <mergeCells count="7">
    <mergeCell ref="A30:J31"/>
    <mergeCell ref="A32:I32"/>
    <mergeCell ref="A1:J1"/>
    <mergeCell ref="A2:J2"/>
    <mergeCell ref="A3:F3"/>
    <mergeCell ref="A26:J26"/>
    <mergeCell ref="A28:J28"/>
  </mergeCells>
  <phoneticPr fontId="31"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zoomScale="70" zoomScaleNormal="70" workbookViewId="0">
      <selection activeCell="G10" sqref="G10"/>
    </sheetView>
  </sheetViews>
  <sheetFormatPr baseColWidth="10" defaultColWidth="11.21875" defaultRowHeight="13.2" outlineLevelRow="1"/>
  <cols>
    <col min="1" max="1" width="4.77734375" style="121" customWidth="1"/>
    <col min="2" max="2" width="36.77734375" style="119" customWidth="1"/>
    <col min="3" max="3" width="16.21875" style="121" customWidth="1"/>
    <col min="4" max="4" width="2.77734375" style="121" customWidth="1"/>
    <col min="5" max="7" width="14.21875" style="121" customWidth="1"/>
    <col min="8" max="16384" width="11.21875" style="121"/>
  </cols>
  <sheetData>
    <row r="1" spans="2:7">
      <c r="B1" s="387" t="s">
        <v>278</v>
      </c>
      <c r="C1" s="727">
        <v>490</v>
      </c>
    </row>
    <row r="2" spans="2:7">
      <c r="B2" s="387" t="s">
        <v>279</v>
      </c>
      <c r="C2" s="727">
        <v>469</v>
      </c>
    </row>
    <row r="3" spans="2:7">
      <c r="B3" s="387" t="s">
        <v>264</v>
      </c>
      <c r="C3" s="727">
        <v>930</v>
      </c>
    </row>
    <row r="4" spans="2:7" outlineLevel="1">
      <c r="B4" s="387" t="s">
        <v>265</v>
      </c>
      <c r="C4" s="727">
        <v>1109.5455419999998</v>
      </c>
    </row>
    <row r="5" spans="2:7" outlineLevel="1">
      <c r="B5" s="387" t="s">
        <v>266</v>
      </c>
      <c r="C5" s="727">
        <v>529.41173003999995</v>
      </c>
    </row>
    <row r="6" spans="2:7">
      <c r="B6" s="387" t="s">
        <v>270</v>
      </c>
      <c r="C6" s="727">
        <v>965.24</v>
      </c>
    </row>
    <row r="7" spans="2:7">
      <c r="B7" s="387" t="s">
        <v>272</v>
      </c>
      <c r="C7" s="727">
        <v>1021.31</v>
      </c>
    </row>
    <row r="8" spans="2:7">
      <c r="B8" s="387" t="s">
        <v>271</v>
      </c>
      <c r="C8" s="727">
        <v>639.51</v>
      </c>
    </row>
    <row r="9" spans="2:7">
      <c r="B9" s="387" t="s">
        <v>291</v>
      </c>
      <c r="C9" s="727">
        <v>597.75187500000004</v>
      </c>
    </row>
    <row r="10" spans="2:7">
      <c r="B10" s="387" t="s">
        <v>281</v>
      </c>
      <c r="C10" s="727">
        <v>135</v>
      </c>
    </row>
    <row r="11" spans="2:7">
      <c r="B11" s="387" t="s">
        <v>282</v>
      </c>
      <c r="C11" s="727">
        <v>152</v>
      </c>
    </row>
    <row r="12" spans="2:7">
      <c r="B12" s="387" t="s">
        <v>283</v>
      </c>
      <c r="C12" s="727">
        <v>148</v>
      </c>
    </row>
    <row r="13" spans="2:7">
      <c r="B13" s="387" t="s">
        <v>284</v>
      </c>
      <c r="C13" s="727">
        <v>177</v>
      </c>
      <c r="F13" s="121">
        <v>490</v>
      </c>
      <c r="G13" s="561">
        <f>+F13*(1+$C$15)*(1+$C$16)*(1+3.8%)</f>
        <v>546.25819534439995</v>
      </c>
    </row>
    <row r="14" spans="2:7">
      <c r="B14" s="386" t="s">
        <v>292</v>
      </c>
      <c r="C14" s="728">
        <v>5.7500000000000002E-2</v>
      </c>
      <c r="D14" s="729"/>
      <c r="E14" s="729"/>
      <c r="F14" s="729">
        <v>930</v>
      </c>
      <c r="G14" s="730">
        <f>+F14*(1+$C$15)*(1+$C$16)*(1+3.8%)</f>
        <v>1036.7757585108</v>
      </c>
    </row>
    <row r="15" spans="2:7">
      <c r="B15" s="386" t="s">
        <v>520</v>
      </c>
      <c r="C15" s="728">
        <v>4.0899999999999999E-2</v>
      </c>
      <c r="D15" s="731"/>
      <c r="E15" s="729"/>
      <c r="F15" s="729">
        <v>469</v>
      </c>
      <c r="G15" s="730">
        <f>+F15*(1+$C$15)*(1+$C$16)*(1+3.8%)</f>
        <v>522.84712982964004</v>
      </c>
    </row>
    <row r="16" spans="2:7">
      <c r="B16" s="386" t="s">
        <v>530</v>
      </c>
      <c r="C16" s="728">
        <v>3.1800000000000002E-2</v>
      </c>
      <c r="D16" s="731"/>
      <c r="E16" s="729"/>
      <c r="F16" s="729"/>
      <c r="G16" s="729"/>
    </row>
    <row r="17" spans="2:12" s="118" customFormat="1">
      <c r="B17" s="776" t="str">
        <f>+'COMBUSTIBLES '!A1</f>
        <v>01 DE AGOSTO 2022</v>
      </c>
      <c r="C17" s="125" t="s">
        <v>234</v>
      </c>
      <c r="E17" s="776" t="s">
        <v>623</v>
      </c>
      <c r="F17" s="776"/>
      <c r="G17" s="776"/>
    </row>
    <row r="18" spans="2:12" s="118" customFormat="1">
      <c r="B18" s="776"/>
      <c r="C18" s="126" t="s">
        <v>162</v>
      </c>
      <c r="D18" s="127"/>
      <c r="E18" s="777" t="s">
        <v>162</v>
      </c>
      <c r="F18" s="777"/>
      <c r="G18" s="777"/>
    </row>
    <row r="19" spans="2:12" s="118" customFormat="1">
      <c r="B19" s="776"/>
      <c r="C19" s="128" t="s">
        <v>166</v>
      </c>
      <c r="D19" s="127"/>
      <c r="E19" s="128" t="s">
        <v>163</v>
      </c>
      <c r="F19" s="128" t="s">
        <v>164</v>
      </c>
      <c r="G19" s="128" t="s">
        <v>165</v>
      </c>
      <c r="I19" s="118">
        <f>1555*1.0244</f>
        <v>1592.942</v>
      </c>
    </row>
    <row r="20" spans="2:12" ht="15">
      <c r="B20" s="122" t="s">
        <v>24</v>
      </c>
      <c r="C20" s="723">
        <v>586.25</v>
      </c>
      <c r="D20" s="120"/>
      <c r="E20" s="726">
        <v>5078.7700000000004</v>
      </c>
      <c r="F20" s="726">
        <v>1900</v>
      </c>
      <c r="G20" s="726">
        <v>1900</v>
      </c>
      <c r="H20" s="279"/>
      <c r="I20" s="274"/>
      <c r="J20" s="274"/>
      <c r="K20" s="274"/>
      <c r="L20" s="274"/>
    </row>
    <row r="21" spans="2:12" ht="15">
      <c r="B21" s="122" t="s">
        <v>686</v>
      </c>
      <c r="C21" s="723">
        <v>586.25</v>
      </c>
      <c r="D21" s="120"/>
      <c r="E21" s="726">
        <f t="shared" ref="E21:G22" si="0">+E20</f>
        <v>5078.7700000000004</v>
      </c>
      <c r="F21" s="726">
        <f t="shared" si="0"/>
        <v>1900</v>
      </c>
      <c r="G21" s="726">
        <f t="shared" si="0"/>
        <v>1900</v>
      </c>
      <c r="H21" s="279">
        <f>+C21*16%</f>
        <v>93.8</v>
      </c>
      <c r="I21" s="274">
        <f>+H21*92%</f>
        <v>86.296000000000006</v>
      </c>
      <c r="J21" s="274"/>
      <c r="K21" s="274"/>
      <c r="L21" s="274"/>
    </row>
    <row r="22" spans="2:12" ht="15">
      <c r="B22" s="122" t="s">
        <v>687</v>
      </c>
      <c r="C22" s="723">
        <v>586.25</v>
      </c>
      <c r="D22" s="120"/>
      <c r="E22" s="726">
        <f t="shared" si="0"/>
        <v>5078.7700000000004</v>
      </c>
      <c r="F22" s="726">
        <f t="shared" si="0"/>
        <v>1900</v>
      </c>
      <c r="G22" s="726">
        <f t="shared" si="0"/>
        <v>1900</v>
      </c>
      <c r="H22" s="279">
        <f>+C22*16%</f>
        <v>93.8</v>
      </c>
      <c r="I22" s="274">
        <f>+H22*92%</f>
        <v>86.296000000000006</v>
      </c>
      <c r="J22" s="274"/>
      <c r="K22" s="274"/>
      <c r="L22" s="274"/>
    </row>
    <row r="23" spans="2:12" ht="15">
      <c r="B23" s="122" t="s">
        <v>10</v>
      </c>
      <c r="C23" s="723">
        <v>1112.67</v>
      </c>
      <c r="D23" s="120"/>
      <c r="E23" s="726">
        <v>7107.81</v>
      </c>
      <c r="F23" s="726" t="s">
        <v>146</v>
      </c>
      <c r="G23" s="726" t="s">
        <v>146</v>
      </c>
      <c r="H23" s="279">
        <f>+C23*90%</f>
        <v>1001.4030000000001</v>
      </c>
      <c r="I23" s="274">
        <f>+C23*92%</f>
        <v>1023.6564000000001</v>
      </c>
      <c r="J23" s="274"/>
      <c r="K23" s="274"/>
      <c r="L23" s="274"/>
    </row>
    <row r="24" spans="2:12" ht="15">
      <c r="B24" s="122" t="s">
        <v>268</v>
      </c>
      <c r="C24" s="732">
        <v>1154.83</v>
      </c>
      <c r="D24" s="120"/>
      <c r="E24" s="388"/>
      <c r="F24" s="388"/>
      <c r="G24" s="388"/>
      <c r="H24" s="279"/>
      <c r="I24" s="274"/>
      <c r="J24" s="274">
        <f>+E23*0.25</f>
        <v>1776.9525000000001</v>
      </c>
      <c r="K24" s="274"/>
      <c r="L24" s="274"/>
    </row>
    <row r="25" spans="2:12" ht="15">
      <c r="B25" s="122" t="s">
        <v>273</v>
      </c>
      <c r="C25" s="732">
        <v>1221.92</v>
      </c>
      <c r="D25" s="436" t="s">
        <v>522</v>
      </c>
      <c r="E25" s="616"/>
      <c r="F25" s="388"/>
      <c r="G25" s="388"/>
      <c r="H25" s="279"/>
      <c r="I25" s="274"/>
      <c r="J25" s="274"/>
      <c r="K25" s="274"/>
      <c r="L25" s="274"/>
    </row>
    <row r="26" spans="2:12" ht="6.75" customHeight="1">
      <c r="C26" s="724"/>
      <c r="D26" s="120"/>
      <c r="E26" s="120"/>
      <c r="F26" s="120"/>
      <c r="G26" s="120"/>
      <c r="H26" s="274"/>
      <c r="I26" s="274"/>
      <c r="J26" s="274"/>
      <c r="K26" s="274"/>
      <c r="L26" s="274"/>
    </row>
    <row r="27" spans="2:12" ht="15">
      <c r="B27" s="122" t="s">
        <v>157</v>
      </c>
      <c r="C27" s="723">
        <v>561.12</v>
      </c>
      <c r="D27" s="120"/>
      <c r="E27" s="726">
        <v>5024.59</v>
      </c>
      <c r="F27" s="726">
        <v>1900</v>
      </c>
      <c r="G27" s="726">
        <v>3400</v>
      </c>
      <c r="H27" s="279"/>
      <c r="I27" s="274"/>
      <c r="J27" s="603" t="s">
        <v>620</v>
      </c>
      <c r="K27" s="274"/>
      <c r="L27" s="274"/>
    </row>
    <row r="28" spans="2:12">
      <c r="B28" s="122" t="s">
        <v>158</v>
      </c>
      <c r="C28" s="725">
        <f>+C27</f>
        <v>561.12</v>
      </c>
      <c r="D28" s="120"/>
      <c r="E28" s="726">
        <f t="shared" ref="E28:G31" si="1">+E27</f>
        <v>5024.59</v>
      </c>
      <c r="F28" s="726">
        <f t="shared" si="1"/>
        <v>1900</v>
      </c>
      <c r="G28" s="726">
        <f t="shared" si="1"/>
        <v>3400</v>
      </c>
      <c r="H28" s="274"/>
      <c r="I28" s="274"/>
      <c r="J28" s="274"/>
      <c r="K28" s="274"/>
      <c r="L28" s="274"/>
    </row>
    <row r="29" spans="2:12">
      <c r="B29" s="122" t="s">
        <v>159</v>
      </c>
      <c r="C29" s="725">
        <f>+C28</f>
        <v>561.12</v>
      </c>
      <c r="D29" s="120"/>
      <c r="E29" s="726">
        <f t="shared" si="1"/>
        <v>5024.59</v>
      </c>
      <c r="F29" s="726">
        <f t="shared" si="1"/>
        <v>1900</v>
      </c>
      <c r="G29" s="726">
        <f t="shared" si="1"/>
        <v>3400</v>
      </c>
      <c r="J29" s="274"/>
      <c r="K29" s="274"/>
      <c r="L29" s="274"/>
    </row>
    <row r="30" spans="2:12">
      <c r="B30" s="122" t="s">
        <v>160</v>
      </c>
      <c r="C30" s="725">
        <f>+C29</f>
        <v>561.12</v>
      </c>
      <c r="D30" s="120"/>
      <c r="E30" s="726">
        <f t="shared" si="1"/>
        <v>5024.59</v>
      </c>
      <c r="F30" s="726">
        <f t="shared" si="1"/>
        <v>1900</v>
      </c>
      <c r="G30" s="726">
        <f t="shared" si="1"/>
        <v>3400</v>
      </c>
      <c r="H30" s="274"/>
      <c r="I30" s="274"/>
    </row>
    <row r="31" spans="2:12">
      <c r="B31" s="122" t="s">
        <v>161</v>
      </c>
      <c r="C31" s="725">
        <f>+C30</f>
        <v>561.12</v>
      </c>
      <c r="D31" s="120"/>
      <c r="E31" s="726">
        <f t="shared" si="1"/>
        <v>5024.59</v>
      </c>
      <c r="F31" s="726">
        <f t="shared" si="1"/>
        <v>1900</v>
      </c>
      <c r="G31" s="726">
        <f t="shared" si="1"/>
        <v>3400</v>
      </c>
      <c r="H31" s="274"/>
      <c r="I31" s="274"/>
    </row>
    <row r="32" spans="2:12">
      <c r="B32" s="122" t="s">
        <v>249</v>
      </c>
      <c r="C32" s="725">
        <f>C27</f>
        <v>561.12</v>
      </c>
    </row>
    <row r="33" spans="2:7">
      <c r="B33" s="122" t="s">
        <v>267</v>
      </c>
      <c r="C33" s="725">
        <v>715.17</v>
      </c>
    </row>
    <row r="34" spans="2:7">
      <c r="B34" s="122" t="s">
        <v>269</v>
      </c>
      <c r="C34" s="732">
        <v>765.13</v>
      </c>
    </row>
    <row r="36" spans="2:7">
      <c r="B36" s="122" t="s">
        <v>173</v>
      </c>
      <c r="C36" s="124" t="s">
        <v>11</v>
      </c>
      <c r="D36" s="120"/>
      <c r="E36" s="123"/>
      <c r="F36" s="123"/>
      <c r="G36" s="123"/>
    </row>
    <row r="37" spans="2:7">
      <c r="B37" s="122" t="s">
        <v>174</v>
      </c>
      <c r="C37" s="124" t="s">
        <v>11</v>
      </c>
      <c r="D37" s="120"/>
      <c r="E37" s="123"/>
      <c r="F37" s="123"/>
      <c r="G37" s="123"/>
    </row>
    <row r="39" spans="2:7">
      <c r="B39" s="122" t="s">
        <v>235</v>
      </c>
      <c r="C39" s="123">
        <v>0.19</v>
      </c>
    </row>
    <row r="40" spans="2:7">
      <c r="C40" s="275"/>
    </row>
    <row r="41" spans="2:7">
      <c r="B41" s="386" t="s">
        <v>570</v>
      </c>
      <c r="C41" s="393" t="s">
        <v>147</v>
      </c>
    </row>
    <row r="42" spans="2:7">
      <c r="B42" s="386"/>
      <c r="C42" s="393" t="s">
        <v>147</v>
      </c>
    </row>
    <row r="43" spans="2:7">
      <c r="B43" s="776" t="str">
        <f>B17</f>
        <v>01 DE AGOSTO 2022</v>
      </c>
      <c r="C43" s="391" t="s">
        <v>280</v>
      </c>
    </row>
    <row r="44" spans="2:7">
      <c r="B44" s="776"/>
      <c r="C44" s="392" t="s">
        <v>162</v>
      </c>
    </row>
    <row r="45" spans="2:7">
      <c r="B45" s="776"/>
      <c r="C45" s="128" t="s">
        <v>166</v>
      </c>
    </row>
    <row r="46" spans="2:7">
      <c r="B46" s="122" t="s">
        <v>285</v>
      </c>
      <c r="C46" s="733">
        <v>169</v>
      </c>
    </row>
    <row r="47" spans="2:7">
      <c r="B47" s="122" t="s">
        <v>18</v>
      </c>
      <c r="C47" s="733">
        <v>191</v>
      </c>
    </row>
    <row r="48" spans="2:7">
      <c r="B48" s="122" t="s">
        <v>286</v>
      </c>
      <c r="C48" s="733">
        <v>186</v>
      </c>
    </row>
    <row r="49" spans="2:8">
      <c r="B49" s="122" t="s">
        <v>287</v>
      </c>
      <c r="C49" s="733">
        <v>222</v>
      </c>
    </row>
    <row r="58" spans="2:8">
      <c r="C58" s="633"/>
    </row>
    <row r="59" spans="2:8">
      <c r="H59" s="617"/>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topLeftCell="A79" workbookViewId="0">
      <selection activeCell="AK10" sqref="AK10"/>
    </sheetView>
  </sheetViews>
  <sheetFormatPr baseColWidth="10" defaultColWidth="10.88671875" defaultRowHeight="13.2"/>
  <cols>
    <col min="1" max="1" width="6.21875" style="171" customWidth="1"/>
    <col min="2" max="2" width="37.77734375" style="171" customWidth="1"/>
    <col min="3" max="3" width="9" style="171" hidden="1" customWidth="1"/>
    <col min="4" max="4" width="7.21875" style="171" hidden="1" customWidth="1"/>
    <col min="5" max="5" width="11.77734375" style="171" hidden="1" customWidth="1"/>
    <col min="6" max="7" width="8.77734375" style="171" hidden="1" customWidth="1"/>
    <col min="8" max="8" width="9.88671875" style="171" hidden="1" customWidth="1"/>
    <col min="9" max="9" width="11.21875" style="171" hidden="1" customWidth="1"/>
    <col min="10" max="10" width="9" style="171" hidden="1" customWidth="1"/>
    <col min="11" max="11" width="9.21875" style="171" hidden="1" customWidth="1"/>
    <col min="12" max="12" width="12.21875" style="171" hidden="1" customWidth="1"/>
    <col min="13" max="14" width="11.21875" style="171" hidden="1" customWidth="1"/>
    <col min="15" max="15" width="15.21875" style="171" hidden="1" customWidth="1"/>
    <col min="16" max="17" width="11.21875" style="171" hidden="1" customWidth="1"/>
    <col min="18" max="28" width="11.21875" style="170" hidden="1" customWidth="1"/>
    <col min="29" max="30" width="10.88671875" style="170" hidden="1" customWidth="1"/>
    <col min="31" max="32" width="10.88671875" style="171" hidden="1" customWidth="1"/>
    <col min="33" max="35" width="10.88671875" style="171" customWidth="1"/>
    <col min="36" max="38" width="10.88671875" style="171"/>
    <col min="39" max="39" width="36.109375" style="171" bestFit="1" customWidth="1"/>
    <col min="40" max="42" width="10.88671875" style="171"/>
    <col min="43" max="43" width="36.109375" style="171" bestFit="1" customWidth="1"/>
    <col min="44" max="16384" width="10.88671875" style="171"/>
  </cols>
  <sheetData>
    <row r="1" spans="1:61" ht="15.6" thickBot="1">
      <c r="A1" s="167"/>
      <c r="B1" s="168"/>
      <c r="C1" s="168"/>
      <c r="D1" s="168"/>
      <c r="E1" s="168"/>
      <c r="F1" s="168"/>
      <c r="G1" s="168"/>
      <c r="H1" s="168"/>
      <c r="I1" s="169"/>
      <c r="J1" s="169"/>
      <c r="K1" s="170"/>
      <c r="L1" s="170"/>
      <c r="M1" s="170"/>
      <c r="N1" s="170"/>
      <c r="O1" s="170"/>
      <c r="P1" s="170"/>
      <c r="Q1" s="170"/>
      <c r="AA1" s="810" t="s">
        <v>56</v>
      </c>
      <c r="AB1" s="810"/>
      <c r="AC1" s="810"/>
      <c r="AD1" s="810" t="s">
        <v>57</v>
      </c>
      <c r="AE1" s="810"/>
      <c r="AF1" s="810"/>
      <c r="AG1" s="810" t="s">
        <v>154</v>
      </c>
      <c r="AH1" s="810"/>
      <c r="AI1" s="810"/>
      <c r="AJ1" s="810" t="s">
        <v>177</v>
      </c>
      <c r="AK1" s="810"/>
      <c r="AL1" s="810"/>
      <c r="AM1" s="168"/>
      <c r="AN1" s="812" t="s">
        <v>240</v>
      </c>
      <c r="AO1" s="812"/>
      <c r="AP1" s="812"/>
      <c r="AQ1" s="168"/>
      <c r="AR1" s="791" t="s">
        <v>258</v>
      </c>
      <c r="AS1" s="792"/>
      <c r="AT1" s="793"/>
      <c r="AU1" s="791" t="s">
        <v>260</v>
      </c>
      <c r="AV1" s="792"/>
      <c r="AW1" s="793"/>
      <c r="AX1" s="791" t="s">
        <v>274</v>
      </c>
      <c r="AY1" s="792"/>
      <c r="AZ1" s="793"/>
      <c r="BA1" s="791" t="s">
        <v>288</v>
      </c>
      <c r="BB1" s="792"/>
      <c r="BC1" s="793"/>
      <c r="BD1" s="791" t="s">
        <v>521</v>
      </c>
      <c r="BE1" s="792"/>
      <c r="BF1" s="793"/>
      <c r="BG1" s="791" t="s">
        <v>528</v>
      </c>
      <c r="BH1" s="792"/>
      <c r="BI1" s="793"/>
    </row>
    <row r="2" spans="1:61" ht="15" customHeight="1">
      <c r="A2" s="805" t="s">
        <v>58</v>
      </c>
      <c r="B2" s="806"/>
      <c r="C2" s="172"/>
      <c r="D2" s="172"/>
      <c r="E2" s="172"/>
      <c r="F2" s="172"/>
      <c r="G2" s="172"/>
      <c r="H2" s="172"/>
      <c r="I2" s="172"/>
      <c r="J2" s="172"/>
      <c r="K2" s="172"/>
      <c r="L2" s="172"/>
      <c r="M2" s="172"/>
      <c r="N2" s="172"/>
      <c r="O2" s="172"/>
      <c r="P2" s="172"/>
      <c r="Q2" s="172"/>
      <c r="R2" s="173"/>
      <c r="S2" s="173"/>
      <c r="T2" s="173"/>
      <c r="U2" s="174"/>
      <c r="V2" s="175" t="s">
        <v>59</v>
      </c>
      <c r="W2" s="176">
        <v>0.04</v>
      </c>
      <c r="X2" s="174"/>
      <c r="Y2" s="177" t="s">
        <v>60</v>
      </c>
      <c r="Z2" s="176">
        <v>0.04</v>
      </c>
      <c r="AA2" s="174" t="s">
        <v>61</v>
      </c>
      <c r="AB2" s="177"/>
      <c r="AC2" s="176">
        <v>0.05</v>
      </c>
      <c r="AD2" s="174" t="s">
        <v>61</v>
      </c>
      <c r="AE2" s="177"/>
      <c r="AF2" s="176">
        <v>0.03</v>
      </c>
      <c r="AG2" s="174" t="s">
        <v>61</v>
      </c>
      <c r="AH2" s="177"/>
      <c r="AI2" s="176">
        <v>0.03</v>
      </c>
      <c r="AJ2" s="174" t="s">
        <v>61</v>
      </c>
      <c r="AK2" s="177"/>
      <c r="AL2" s="176">
        <v>0.03</v>
      </c>
      <c r="AM2" s="343"/>
      <c r="AN2" s="813" t="s">
        <v>61</v>
      </c>
      <c r="AO2" s="814"/>
      <c r="AP2" s="817">
        <v>0.03</v>
      </c>
      <c r="AQ2" s="380"/>
      <c r="AR2" s="794" t="s">
        <v>61</v>
      </c>
      <c r="AS2" s="795"/>
      <c r="AT2" s="798">
        <v>0.03</v>
      </c>
      <c r="AU2" s="794" t="s">
        <v>61</v>
      </c>
      <c r="AV2" s="795"/>
      <c r="AW2" s="798">
        <v>0.03</v>
      </c>
      <c r="AX2" s="794" t="s">
        <v>61</v>
      </c>
      <c r="AY2" s="795"/>
      <c r="AZ2" s="798">
        <v>0.03</v>
      </c>
      <c r="BA2" s="794" t="s">
        <v>61</v>
      </c>
      <c r="BB2" s="795"/>
      <c r="BC2" s="798">
        <v>0.03</v>
      </c>
      <c r="BD2" s="794" t="s">
        <v>61</v>
      </c>
      <c r="BE2" s="795"/>
      <c r="BF2" s="798">
        <v>0.03</v>
      </c>
      <c r="BG2" s="794" t="s">
        <v>61</v>
      </c>
      <c r="BH2" s="795"/>
      <c r="BI2" s="798">
        <v>0.03</v>
      </c>
    </row>
    <row r="3" spans="1:61" ht="55.65" customHeight="1" thickBot="1">
      <c r="A3" s="807"/>
      <c r="B3" s="808"/>
      <c r="C3" s="802" t="s">
        <v>62</v>
      </c>
      <c r="D3" s="803"/>
      <c r="E3" s="804"/>
      <c r="F3" s="802" t="s">
        <v>63</v>
      </c>
      <c r="G3" s="803"/>
      <c r="H3" s="804"/>
      <c r="I3" s="802" t="s">
        <v>64</v>
      </c>
      <c r="J3" s="803"/>
      <c r="K3" s="804"/>
      <c r="L3" s="802" t="s">
        <v>65</v>
      </c>
      <c r="M3" s="803"/>
      <c r="N3" s="804"/>
      <c r="O3" s="802" t="s">
        <v>66</v>
      </c>
      <c r="P3" s="803"/>
      <c r="Q3" s="804"/>
      <c r="R3" s="802" t="s">
        <v>67</v>
      </c>
      <c r="S3" s="803"/>
      <c r="T3" s="804"/>
      <c r="U3" s="802" t="s">
        <v>68</v>
      </c>
      <c r="V3" s="803"/>
      <c r="W3" s="804"/>
      <c r="X3" s="802" t="s">
        <v>69</v>
      </c>
      <c r="Y3" s="803"/>
      <c r="Z3" s="804"/>
      <c r="AA3" s="802"/>
      <c r="AB3" s="803"/>
      <c r="AC3" s="804"/>
      <c r="AD3" s="802"/>
      <c r="AE3" s="803"/>
      <c r="AF3" s="804"/>
      <c r="AG3" s="802"/>
      <c r="AH3" s="803"/>
      <c r="AI3" s="804"/>
      <c r="AJ3" s="802"/>
      <c r="AK3" s="803"/>
      <c r="AL3" s="804"/>
      <c r="AM3" s="344"/>
      <c r="AN3" s="815"/>
      <c r="AO3" s="816"/>
      <c r="AP3" s="818"/>
      <c r="AQ3" s="381"/>
      <c r="AR3" s="796"/>
      <c r="AS3" s="797"/>
      <c r="AT3" s="799"/>
      <c r="AU3" s="796"/>
      <c r="AV3" s="797"/>
      <c r="AW3" s="799"/>
      <c r="AX3" s="796"/>
      <c r="AY3" s="797"/>
      <c r="AZ3" s="799"/>
      <c r="BA3" s="796"/>
      <c r="BB3" s="797"/>
      <c r="BC3" s="799"/>
      <c r="BD3" s="796"/>
      <c r="BE3" s="797"/>
      <c r="BF3" s="799"/>
      <c r="BG3" s="796"/>
      <c r="BH3" s="797"/>
      <c r="BI3" s="799"/>
    </row>
    <row r="4" spans="1:61" ht="39.6" thickBot="1">
      <c r="A4" s="178"/>
      <c r="B4" s="179"/>
      <c r="C4" s="180" t="s">
        <v>70</v>
      </c>
      <c r="D4" s="180" t="s">
        <v>71</v>
      </c>
      <c r="E4" s="180" t="s">
        <v>72</v>
      </c>
      <c r="F4" s="181" t="s">
        <v>73</v>
      </c>
      <c r="G4" s="181" t="s">
        <v>71</v>
      </c>
      <c r="H4" s="181" t="s">
        <v>72</v>
      </c>
      <c r="I4" s="181" t="s">
        <v>74</v>
      </c>
      <c r="J4" s="181" t="s">
        <v>71</v>
      </c>
      <c r="K4" s="181" t="s">
        <v>72</v>
      </c>
      <c r="L4" s="181" t="s">
        <v>75</v>
      </c>
      <c r="M4" s="181" t="s">
        <v>71</v>
      </c>
      <c r="N4" s="181" t="s">
        <v>72</v>
      </c>
      <c r="O4" s="181" t="s">
        <v>75</v>
      </c>
      <c r="P4" s="181" t="s">
        <v>71</v>
      </c>
      <c r="Q4" s="181" t="s">
        <v>72</v>
      </c>
      <c r="R4" s="181" t="s">
        <v>75</v>
      </c>
      <c r="S4" s="181" t="s">
        <v>71</v>
      </c>
      <c r="T4" s="181" t="s">
        <v>72</v>
      </c>
      <c r="U4" s="181" t="s">
        <v>76</v>
      </c>
      <c r="V4" s="181" t="s">
        <v>71</v>
      </c>
      <c r="W4" s="181" t="s">
        <v>72</v>
      </c>
      <c r="X4" s="181" t="s">
        <v>76</v>
      </c>
      <c r="Y4" s="181" t="s">
        <v>71</v>
      </c>
      <c r="Z4" s="181" t="s">
        <v>72</v>
      </c>
      <c r="AA4" s="181" t="s">
        <v>76</v>
      </c>
      <c r="AB4" s="181" t="s">
        <v>71</v>
      </c>
      <c r="AC4" s="181" t="s">
        <v>72</v>
      </c>
      <c r="AD4" s="181" t="s">
        <v>77</v>
      </c>
      <c r="AE4" s="182" t="s">
        <v>71</v>
      </c>
      <c r="AF4" s="181" t="s">
        <v>72</v>
      </c>
      <c r="AG4" s="181" t="s">
        <v>178</v>
      </c>
      <c r="AH4" s="182" t="s">
        <v>71</v>
      </c>
      <c r="AI4" s="181" t="s">
        <v>72</v>
      </c>
      <c r="AJ4" s="181" t="s">
        <v>190</v>
      </c>
      <c r="AK4" s="182" t="s">
        <v>71</v>
      </c>
      <c r="AL4" s="181" t="s">
        <v>72</v>
      </c>
      <c r="AM4" s="345"/>
      <c r="AN4" s="346" t="s">
        <v>241</v>
      </c>
      <c r="AO4" s="346" t="s">
        <v>71</v>
      </c>
      <c r="AP4" s="346" t="s">
        <v>72</v>
      </c>
      <c r="AQ4" s="382"/>
      <c r="AR4" s="383" t="s">
        <v>241</v>
      </c>
      <c r="AS4" s="383" t="s">
        <v>71</v>
      </c>
      <c r="AT4" s="383" t="s">
        <v>72</v>
      </c>
      <c r="AU4" s="383" t="s">
        <v>241</v>
      </c>
      <c r="AV4" s="383" t="s">
        <v>71</v>
      </c>
      <c r="AW4" s="383" t="s">
        <v>72</v>
      </c>
      <c r="AX4" s="383" t="s">
        <v>241</v>
      </c>
      <c r="AY4" s="383" t="s">
        <v>71</v>
      </c>
      <c r="AZ4" s="383" t="s">
        <v>72</v>
      </c>
      <c r="BA4" s="383" t="s">
        <v>241</v>
      </c>
      <c r="BB4" s="383" t="s">
        <v>71</v>
      </c>
      <c r="BC4" s="383" t="s">
        <v>72</v>
      </c>
      <c r="BD4" s="383" t="s">
        <v>241</v>
      </c>
      <c r="BE4" s="383" t="s">
        <v>71</v>
      </c>
      <c r="BF4" s="383" t="s">
        <v>72</v>
      </c>
      <c r="BG4" s="383" t="s">
        <v>241</v>
      </c>
      <c r="BH4" s="383" t="s">
        <v>71</v>
      </c>
      <c r="BI4" s="383" t="s">
        <v>72</v>
      </c>
    </row>
    <row r="5" spans="1:61" ht="15">
      <c r="A5" s="183"/>
      <c r="B5" s="129" t="s">
        <v>78</v>
      </c>
      <c r="C5" s="133">
        <v>12</v>
      </c>
      <c r="D5" s="134">
        <v>12</v>
      </c>
      <c r="E5" s="135">
        <v>504</v>
      </c>
      <c r="F5" s="136">
        <v>34</v>
      </c>
      <c r="G5" s="134">
        <v>34</v>
      </c>
      <c r="H5" s="135">
        <v>1428</v>
      </c>
      <c r="I5" s="134">
        <v>35.869999999999997</v>
      </c>
      <c r="J5" s="134">
        <v>35.869999999999997</v>
      </c>
      <c r="K5" s="135">
        <v>1506.54</v>
      </c>
      <c r="L5" s="134">
        <v>37.663499999999999</v>
      </c>
      <c r="M5" s="134">
        <v>37.663499999999999</v>
      </c>
      <c r="N5" s="135">
        <v>1581.867</v>
      </c>
      <c r="O5" s="134">
        <v>39.358357499999997</v>
      </c>
      <c r="P5" s="134">
        <v>39.358357499999997</v>
      </c>
      <c r="Q5" s="135">
        <v>1653.0510149999998</v>
      </c>
      <c r="R5" s="134">
        <v>39.358357499999997</v>
      </c>
      <c r="S5" s="134">
        <v>39.358357499999997</v>
      </c>
      <c r="T5" s="135">
        <v>1653.0510149999998</v>
      </c>
      <c r="U5" s="134">
        <v>40.932691800000001</v>
      </c>
      <c r="V5" s="134">
        <v>40.932691800000001</v>
      </c>
      <c r="W5" s="135">
        <v>1719.1730556</v>
      </c>
      <c r="X5" s="134"/>
      <c r="Y5" s="134"/>
      <c r="Z5" s="135"/>
      <c r="AA5" s="134"/>
      <c r="AB5" s="134"/>
      <c r="AC5" s="135"/>
      <c r="AD5" s="134"/>
      <c r="AE5" s="138"/>
      <c r="AF5" s="135"/>
      <c r="AG5" s="134"/>
      <c r="AH5" s="138"/>
      <c r="AI5" s="135"/>
      <c r="AJ5" s="134"/>
      <c r="AK5" s="138"/>
      <c r="AL5" s="135"/>
      <c r="AM5" s="129" t="s">
        <v>78</v>
      </c>
      <c r="AN5" s="134"/>
      <c r="AO5" s="138"/>
      <c r="AP5" s="135"/>
      <c r="AQ5" s="129" t="s">
        <v>78</v>
      </c>
      <c r="AR5" s="134"/>
      <c r="AS5" s="138"/>
      <c r="AT5" s="135"/>
      <c r="AU5" s="134"/>
      <c r="AV5" s="138"/>
      <c r="AW5" s="135"/>
      <c r="AX5" s="134"/>
      <c r="AY5" s="138"/>
      <c r="AZ5" s="135"/>
      <c r="BA5" s="134"/>
      <c r="BB5" s="138"/>
      <c r="BC5" s="135"/>
      <c r="BD5" s="134"/>
      <c r="BE5" s="138"/>
      <c r="BF5" s="135"/>
      <c r="BG5" s="134"/>
      <c r="BH5" s="138"/>
      <c r="BI5" s="135"/>
    </row>
    <row r="6" spans="1:61" ht="14.4" thickBot="1">
      <c r="A6" s="139">
        <v>420</v>
      </c>
      <c r="B6" s="130" t="s">
        <v>79</v>
      </c>
      <c r="C6" s="140">
        <v>15</v>
      </c>
      <c r="D6" s="141">
        <v>15</v>
      </c>
      <c r="E6" s="142">
        <v>630</v>
      </c>
      <c r="F6" s="143">
        <v>34</v>
      </c>
      <c r="G6" s="141">
        <v>34</v>
      </c>
      <c r="H6" s="142">
        <v>1428</v>
      </c>
      <c r="I6" s="141">
        <v>35.869999999999997</v>
      </c>
      <c r="J6" s="141">
        <v>35.869999999999997</v>
      </c>
      <c r="K6" s="142">
        <v>1506.54</v>
      </c>
      <c r="L6" s="141">
        <v>37.663499999999999</v>
      </c>
      <c r="M6" s="141">
        <v>37.663499999999999</v>
      </c>
      <c r="N6" s="142">
        <v>1581.867</v>
      </c>
      <c r="O6" s="141">
        <v>39.358357499999997</v>
      </c>
      <c r="P6" s="141">
        <v>39.358357499999997</v>
      </c>
      <c r="Q6" s="142">
        <v>1653.0510149999998</v>
      </c>
      <c r="R6" s="141">
        <v>39.358357499999997</v>
      </c>
      <c r="S6" s="141">
        <v>39.358357499999997</v>
      </c>
      <c r="T6" s="142">
        <v>1653.0510149999998</v>
      </c>
      <c r="U6" s="141">
        <v>40.932691800000001</v>
      </c>
      <c r="V6" s="141">
        <v>40.932691800000001</v>
      </c>
      <c r="W6" s="142">
        <v>1719.1730556</v>
      </c>
      <c r="X6" s="141"/>
      <c r="Y6" s="141"/>
      <c r="Z6" s="142"/>
      <c r="AA6" s="141"/>
      <c r="AB6" s="141"/>
      <c r="AC6" s="142"/>
      <c r="AD6" s="141"/>
      <c r="AE6" s="145"/>
      <c r="AF6" s="142"/>
      <c r="AG6" s="141"/>
      <c r="AH6" s="145"/>
      <c r="AI6" s="142"/>
      <c r="AJ6" s="141"/>
      <c r="AK6" s="145"/>
      <c r="AL6" s="142"/>
      <c r="AM6" s="130" t="s">
        <v>79</v>
      </c>
      <c r="AN6" s="141"/>
      <c r="AO6" s="145"/>
      <c r="AP6" s="142"/>
      <c r="AQ6" s="130" t="s">
        <v>79</v>
      </c>
      <c r="AR6" s="141"/>
      <c r="AS6" s="145"/>
      <c r="AT6" s="142"/>
      <c r="AU6" s="141"/>
      <c r="AV6" s="145"/>
      <c r="AW6" s="142"/>
      <c r="AX6" s="141"/>
      <c r="AY6" s="145"/>
      <c r="AZ6" s="142"/>
      <c r="BA6" s="141"/>
      <c r="BB6" s="145"/>
      <c r="BC6" s="142"/>
      <c r="BD6" s="141"/>
      <c r="BE6" s="145"/>
      <c r="BF6" s="142"/>
      <c r="BG6" s="141"/>
      <c r="BH6" s="145"/>
      <c r="BI6" s="142"/>
    </row>
    <row r="7" spans="1:61" ht="13.8">
      <c r="A7" s="139"/>
      <c r="B7" s="184" t="s">
        <v>80</v>
      </c>
      <c r="C7" s="140"/>
      <c r="D7" s="141"/>
      <c r="E7" s="142"/>
      <c r="F7" s="143"/>
      <c r="G7" s="141"/>
      <c r="H7" s="142"/>
      <c r="I7" s="141"/>
      <c r="J7" s="141"/>
      <c r="K7" s="142"/>
      <c r="L7" s="141"/>
      <c r="M7" s="141"/>
      <c r="N7" s="142"/>
      <c r="O7" s="141"/>
      <c r="P7" s="141"/>
      <c r="Q7" s="142"/>
      <c r="R7" s="141"/>
      <c r="S7" s="141"/>
      <c r="T7" s="142"/>
      <c r="U7" s="141">
        <v>56.7</v>
      </c>
      <c r="V7" s="141">
        <v>56.7</v>
      </c>
      <c r="W7" s="142">
        <v>2381.4</v>
      </c>
      <c r="X7" s="141">
        <v>58.968000000000004</v>
      </c>
      <c r="Y7" s="141">
        <v>58.968000000000004</v>
      </c>
      <c r="Z7" s="142">
        <v>2476.6559999999999</v>
      </c>
      <c r="AA7" s="141">
        <v>61.916400000000003</v>
      </c>
      <c r="AB7" s="141">
        <v>61.916400000000003</v>
      </c>
      <c r="AC7" s="142">
        <v>2600.4888000000001</v>
      </c>
      <c r="AD7" s="141">
        <v>63.78</v>
      </c>
      <c r="AE7" s="145">
        <v>63.78</v>
      </c>
      <c r="AF7" s="142">
        <f>AE7*42</f>
        <v>2678.76</v>
      </c>
      <c r="AG7" s="141">
        <f>AD7*(1+$AI$2)</f>
        <v>65.693399999999997</v>
      </c>
      <c r="AH7" s="145">
        <f>AE7*(1+$AI$2)</f>
        <v>65.693399999999997</v>
      </c>
      <c r="AI7" s="142">
        <f>AH7*42</f>
        <v>2759.1228000000001</v>
      </c>
      <c r="AJ7" s="141">
        <f>AG7*(1+$AI$2)</f>
        <v>67.664202000000003</v>
      </c>
      <c r="AK7" s="145">
        <f>AH7*(1+$AI$2)</f>
        <v>67.664202000000003</v>
      </c>
      <c r="AL7" s="142">
        <f>AK7*42</f>
        <v>2841.8964840000003</v>
      </c>
      <c r="AM7" s="329" t="s">
        <v>80</v>
      </c>
      <c r="AN7" s="347">
        <v>69.694128060000011</v>
      </c>
      <c r="AO7" s="348">
        <v>69.694128060000011</v>
      </c>
      <c r="AP7" s="349">
        <v>2927.1533785200004</v>
      </c>
      <c r="AQ7" s="329" t="s">
        <v>80</v>
      </c>
      <c r="AR7" s="347">
        <f>AN7*(1+$AT$2)</f>
        <v>71.784951901800014</v>
      </c>
      <c r="AS7" s="348">
        <f>AO7*(1+$AT$2)</f>
        <v>71.784951901800014</v>
      </c>
      <c r="AT7" s="349">
        <f>AP7*(1+$AT$2)</f>
        <v>3014.9679798756006</v>
      </c>
      <c r="AU7" s="347">
        <f>AR7*(1+$AW$2)</f>
        <v>73.938500458854023</v>
      </c>
      <c r="AV7" s="348">
        <f>AS7*(1+$AW$2)</f>
        <v>73.938500458854023</v>
      </c>
      <c r="AW7" s="349">
        <f>AT7*(1+$AW$2)</f>
        <v>3105.4170192718689</v>
      </c>
      <c r="AX7" s="347">
        <f>AU7*(1+$AZ$2)</f>
        <v>76.156655472619647</v>
      </c>
      <c r="AY7" s="348">
        <f>AV7*(1+$AZ$2)</f>
        <v>76.156655472619647</v>
      </c>
      <c r="AZ7" s="349">
        <f>AW7*(1+$AZ$2)</f>
        <v>3198.5795298500252</v>
      </c>
      <c r="BA7" s="347">
        <f>AX7*(1+$BC$2)</f>
        <v>78.441355136798236</v>
      </c>
      <c r="BB7" s="348">
        <f t="shared" ref="BB7:BB38" si="0">AY7*(1+$BC$2)</f>
        <v>78.441355136798236</v>
      </c>
      <c r="BC7" s="349">
        <f t="shared" ref="BC7:BC38" si="1">AZ7*(1+$BC$2)</f>
        <v>3294.5369157455261</v>
      </c>
      <c r="BD7" s="347">
        <f t="shared" ref="BD7:BD38" si="2">BA7*(1+$BF$2)</f>
        <v>80.794595790902179</v>
      </c>
      <c r="BE7" s="348">
        <f t="shared" ref="BE7:BE38" si="3">BB7*(1+$BF$2)</f>
        <v>80.794595790902179</v>
      </c>
      <c r="BF7" s="349">
        <f t="shared" ref="BF7:BF38" si="4">BC7*(1+$BF$2)</f>
        <v>3393.3730232178918</v>
      </c>
      <c r="BG7" s="347">
        <f t="shared" ref="BG7:BG61" si="5">BD7*(1+$BF$2)</f>
        <v>83.218433664629245</v>
      </c>
      <c r="BH7" s="348">
        <f t="shared" ref="BH7:BH61" si="6">BE7*(1+$BF$2)</f>
        <v>83.218433664629245</v>
      </c>
      <c r="BI7" s="349">
        <f t="shared" ref="BI7:BI61" si="7">BF7*(1+$BF$2)</f>
        <v>3495.1742139144285</v>
      </c>
    </row>
    <row r="8" spans="1:61" ht="13.8">
      <c r="A8" s="139"/>
      <c r="B8" s="185" t="s">
        <v>81</v>
      </c>
      <c r="C8" s="140"/>
      <c r="D8" s="141"/>
      <c r="E8" s="142"/>
      <c r="F8" s="143"/>
      <c r="G8" s="141"/>
      <c r="H8" s="142"/>
      <c r="I8" s="141"/>
      <c r="J8" s="141"/>
      <c r="K8" s="142"/>
      <c r="L8" s="141"/>
      <c r="M8" s="141"/>
      <c r="N8" s="142"/>
      <c r="O8" s="141"/>
      <c r="P8" s="141"/>
      <c r="Q8" s="142"/>
      <c r="R8" s="141"/>
      <c r="S8" s="141"/>
      <c r="T8" s="142"/>
      <c r="U8" s="141">
        <v>56.7</v>
      </c>
      <c r="V8" s="141">
        <v>56.7</v>
      </c>
      <c r="W8" s="142">
        <v>2381.4</v>
      </c>
      <c r="X8" s="141">
        <v>58.968000000000004</v>
      </c>
      <c r="Y8" s="141">
        <v>58.968000000000004</v>
      </c>
      <c r="Z8" s="142">
        <v>2476.6559999999999</v>
      </c>
      <c r="AA8" s="141">
        <v>61.916400000000003</v>
      </c>
      <c r="AB8" s="141">
        <v>61.916400000000003</v>
      </c>
      <c r="AC8" s="142">
        <v>2600.4888000000001</v>
      </c>
      <c r="AD8" s="141">
        <v>63.78</v>
      </c>
      <c r="AE8" s="145">
        <v>63.78</v>
      </c>
      <c r="AF8" s="142">
        <f>AE8*42</f>
        <v>2678.76</v>
      </c>
      <c r="AG8" s="141">
        <f t="shared" ref="AG8:AH47" si="8">AD8*(1+$AI$2)</f>
        <v>65.693399999999997</v>
      </c>
      <c r="AH8" s="145">
        <f t="shared" si="8"/>
        <v>65.693399999999997</v>
      </c>
      <c r="AI8" s="142">
        <f>AH8*42</f>
        <v>2759.1228000000001</v>
      </c>
      <c r="AJ8" s="141">
        <f t="shared" ref="AJ8:AK20" si="9">AG8*(1+$AI$2)</f>
        <v>67.664202000000003</v>
      </c>
      <c r="AK8" s="145">
        <f t="shared" si="9"/>
        <v>67.664202000000003</v>
      </c>
      <c r="AL8" s="142">
        <f>AK8*42</f>
        <v>2841.8964840000003</v>
      </c>
      <c r="AM8" s="330" t="s">
        <v>81</v>
      </c>
      <c r="AN8" s="350">
        <v>69.694128060000011</v>
      </c>
      <c r="AO8" s="351">
        <v>69.694128060000011</v>
      </c>
      <c r="AP8" s="352">
        <v>2927.1533785200004</v>
      </c>
      <c r="AQ8" s="330" t="s">
        <v>81</v>
      </c>
      <c r="AR8" s="350">
        <f t="shared" ref="AR8:AR61" si="10">AN8*(1+$AT$2)</f>
        <v>71.784951901800014</v>
      </c>
      <c r="AS8" s="351">
        <f t="shared" ref="AS8:AS61" si="11">AO8*(1+$AT$2)</f>
        <v>71.784951901800014</v>
      </c>
      <c r="AT8" s="352">
        <f t="shared" ref="AT8:AT61" si="12">AP8*(1+$AT$2)</f>
        <v>3014.9679798756006</v>
      </c>
      <c r="AU8" s="350">
        <f t="shared" ref="AU8:AU61" si="13">AR8*(1+$AW$2)</f>
        <v>73.938500458854023</v>
      </c>
      <c r="AV8" s="351">
        <f t="shared" ref="AV8:AV61" si="14">AS8*(1+$AW$2)</f>
        <v>73.938500458854023</v>
      </c>
      <c r="AW8" s="352">
        <f t="shared" ref="AW8:AW61" si="15">AT8*(1+$AW$2)</f>
        <v>3105.4170192718689</v>
      </c>
      <c r="AX8" s="350">
        <f t="shared" ref="AX8:AX61" si="16">AU8*(1+$AZ$2)</f>
        <v>76.156655472619647</v>
      </c>
      <c r="AY8" s="351">
        <f t="shared" ref="AY8:AY61" si="17">AV8*(1+$AZ$2)</f>
        <v>76.156655472619647</v>
      </c>
      <c r="AZ8" s="352">
        <f t="shared" ref="AZ8:AZ61" si="18">AW8*(1+$AZ$2)</f>
        <v>3198.5795298500252</v>
      </c>
      <c r="BA8" s="350">
        <f t="shared" ref="BA8:BA38" si="19">AX8*(1+$BC$2)</f>
        <v>78.441355136798236</v>
      </c>
      <c r="BB8" s="351">
        <f t="shared" si="0"/>
        <v>78.441355136798236</v>
      </c>
      <c r="BC8" s="352">
        <f t="shared" si="1"/>
        <v>3294.5369157455261</v>
      </c>
      <c r="BD8" s="350">
        <f t="shared" si="2"/>
        <v>80.794595790902179</v>
      </c>
      <c r="BE8" s="351">
        <f t="shared" si="3"/>
        <v>80.794595790902179</v>
      </c>
      <c r="BF8" s="352">
        <f t="shared" si="4"/>
        <v>3393.3730232178918</v>
      </c>
      <c r="BG8" s="350">
        <f t="shared" si="5"/>
        <v>83.218433664629245</v>
      </c>
      <c r="BH8" s="351">
        <f t="shared" si="6"/>
        <v>83.218433664629245</v>
      </c>
      <c r="BI8" s="352">
        <f t="shared" si="7"/>
        <v>3495.1742139144285</v>
      </c>
    </row>
    <row r="9" spans="1:61" ht="14.4" thickBot="1">
      <c r="A9" s="186">
        <v>422</v>
      </c>
      <c r="B9" s="187" t="s">
        <v>82</v>
      </c>
      <c r="C9" s="188">
        <v>50</v>
      </c>
      <c r="D9" s="189">
        <v>50</v>
      </c>
      <c r="E9" s="190">
        <v>2100</v>
      </c>
      <c r="F9" s="191">
        <v>69</v>
      </c>
      <c r="G9" s="189">
        <v>69</v>
      </c>
      <c r="H9" s="190">
        <v>2898</v>
      </c>
      <c r="I9" s="189">
        <v>72.795000000000002</v>
      </c>
      <c r="J9" s="189">
        <v>72.8</v>
      </c>
      <c r="K9" s="190">
        <v>3057.6</v>
      </c>
      <c r="L9" s="189">
        <v>76.434750000000008</v>
      </c>
      <c r="M9" s="189">
        <v>76.434750000000008</v>
      </c>
      <c r="N9" s="190">
        <v>3210.2595000000001</v>
      </c>
      <c r="O9" s="189">
        <v>79.874313749999999</v>
      </c>
      <c r="P9" s="189">
        <v>79.874313749999999</v>
      </c>
      <c r="Q9" s="190">
        <v>3354.7211775000001</v>
      </c>
      <c r="R9" s="189">
        <v>79.874313749999999</v>
      </c>
      <c r="S9" s="189">
        <v>79.874313749999999</v>
      </c>
      <c r="T9" s="190">
        <v>3354.7211775000001</v>
      </c>
      <c r="U9" s="189">
        <v>83.069286300000002</v>
      </c>
      <c r="V9" s="189">
        <v>83.069286300000002</v>
      </c>
      <c r="W9" s="190">
        <v>3488.9100246000003</v>
      </c>
      <c r="X9" s="189">
        <v>86.392057751999999</v>
      </c>
      <c r="Y9" s="189">
        <v>86.392057751999999</v>
      </c>
      <c r="Z9" s="190">
        <v>3628.4664255839998</v>
      </c>
      <c r="AA9" s="189">
        <v>90.711660639599998</v>
      </c>
      <c r="AB9" s="189">
        <v>90.711660639599998</v>
      </c>
      <c r="AC9" s="190">
        <v>3809.8897468631999</v>
      </c>
      <c r="AD9" s="189">
        <f>93.43+0.01</f>
        <v>93.440000000000012</v>
      </c>
      <c r="AE9" s="192">
        <f>93.43+0.01</f>
        <v>93.440000000000012</v>
      </c>
      <c r="AF9" s="190">
        <f t="shared" ref="AF9:AF54" si="20">AE9*42</f>
        <v>3924.4800000000005</v>
      </c>
      <c r="AG9" s="189">
        <f t="shared" si="8"/>
        <v>96.243200000000016</v>
      </c>
      <c r="AH9" s="192">
        <f t="shared" si="8"/>
        <v>96.243200000000016</v>
      </c>
      <c r="AI9" s="190">
        <f t="shared" ref="AI9:AI59" si="21">AH9*42</f>
        <v>4042.2144000000008</v>
      </c>
      <c r="AJ9" s="189">
        <f t="shared" si="9"/>
        <v>99.130496000000022</v>
      </c>
      <c r="AK9" s="192">
        <f t="shared" si="9"/>
        <v>99.130496000000022</v>
      </c>
      <c r="AL9" s="190">
        <f t="shared" ref="AL9:AL57" si="22">AK9*42</f>
        <v>4163.4808320000011</v>
      </c>
      <c r="AM9" s="331" t="s">
        <v>82</v>
      </c>
      <c r="AN9" s="353">
        <v>102.10441088000003</v>
      </c>
      <c r="AO9" s="354">
        <v>102.10441088000003</v>
      </c>
      <c r="AP9" s="355">
        <v>4288.3852569600012</v>
      </c>
      <c r="AQ9" s="331" t="s">
        <v>82</v>
      </c>
      <c r="AR9" s="353">
        <f t="shared" si="10"/>
        <v>105.16754320640004</v>
      </c>
      <c r="AS9" s="354">
        <f t="shared" si="11"/>
        <v>105.16754320640004</v>
      </c>
      <c r="AT9" s="355">
        <f t="shared" si="12"/>
        <v>4417.0368146688015</v>
      </c>
      <c r="AU9" s="353">
        <f t="shared" si="13"/>
        <v>108.32256950259205</v>
      </c>
      <c r="AV9" s="354">
        <f t="shared" si="14"/>
        <v>108.32256950259205</v>
      </c>
      <c r="AW9" s="355">
        <f t="shared" si="15"/>
        <v>4549.5479191088652</v>
      </c>
      <c r="AX9" s="353">
        <f t="shared" si="16"/>
        <v>111.57224658766981</v>
      </c>
      <c r="AY9" s="354">
        <f t="shared" si="17"/>
        <v>111.57224658766981</v>
      </c>
      <c r="AZ9" s="355">
        <f t="shared" si="18"/>
        <v>4686.0343566821311</v>
      </c>
      <c r="BA9" s="353">
        <f t="shared" si="19"/>
        <v>114.91941398529991</v>
      </c>
      <c r="BB9" s="354">
        <f t="shared" si="0"/>
        <v>114.91941398529991</v>
      </c>
      <c r="BC9" s="355">
        <f t="shared" si="1"/>
        <v>4826.6153873825951</v>
      </c>
      <c r="BD9" s="353">
        <f t="shared" si="2"/>
        <v>118.36699640485891</v>
      </c>
      <c r="BE9" s="354">
        <f t="shared" si="3"/>
        <v>118.36699640485891</v>
      </c>
      <c r="BF9" s="355">
        <f t="shared" si="4"/>
        <v>4971.4138490040732</v>
      </c>
      <c r="BG9" s="353">
        <f t="shared" si="5"/>
        <v>121.91800629700468</v>
      </c>
      <c r="BH9" s="354">
        <f t="shared" si="6"/>
        <v>121.91800629700468</v>
      </c>
      <c r="BI9" s="355">
        <f t="shared" si="7"/>
        <v>5120.5562644741958</v>
      </c>
    </row>
    <row r="10" spans="1:61" ht="15">
      <c r="A10" s="193"/>
      <c r="B10" s="194" t="s">
        <v>83</v>
      </c>
      <c r="C10" s="140">
        <v>42</v>
      </c>
      <c r="D10" s="141">
        <v>42</v>
      </c>
      <c r="E10" s="142">
        <v>1764</v>
      </c>
      <c r="F10" s="154">
        <v>42</v>
      </c>
      <c r="G10" s="141">
        <v>42</v>
      </c>
      <c r="H10" s="142">
        <v>1764</v>
      </c>
      <c r="I10" s="141">
        <v>44.31</v>
      </c>
      <c r="J10" s="141">
        <v>44.31</v>
      </c>
      <c r="K10" s="142">
        <v>1861.02</v>
      </c>
      <c r="L10" s="141">
        <v>46.525500000000001</v>
      </c>
      <c r="M10" s="141">
        <v>46.525500000000001</v>
      </c>
      <c r="N10" s="142">
        <v>1954.0710000000001</v>
      </c>
      <c r="O10" s="141">
        <v>48.619147499999997</v>
      </c>
      <c r="P10" s="141">
        <v>48.619147499999997</v>
      </c>
      <c r="Q10" s="142">
        <v>2042.004195</v>
      </c>
      <c r="R10" s="141">
        <v>48.619147499999997</v>
      </c>
      <c r="S10" s="141">
        <v>48.619147499999997</v>
      </c>
      <c r="T10" s="142">
        <v>2042.004195</v>
      </c>
      <c r="U10" s="141">
        <v>50.563913399999997</v>
      </c>
      <c r="V10" s="141">
        <v>50.563913399999997</v>
      </c>
      <c r="W10" s="142">
        <v>2123.6843627999997</v>
      </c>
      <c r="X10" s="141">
        <v>52.576469936000002</v>
      </c>
      <c r="Y10" s="141">
        <v>52.576469936000002</v>
      </c>
      <c r="Z10" s="142">
        <v>2208.211737312</v>
      </c>
      <c r="AA10" s="141">
        <v>55.205293432800005</v>
      </c>
      <c r="AB10" s="141">
        <v>55.205293432800005</v>
      </c>
      <c r="AC10" s="142">
        <v>2318.6223241776001</v>
      </c>
      <c r="AD10" s="141">
        <v>56.87</v>
      </c>
      <c r="AE10" s="145">
        <v>56.87</v>
      </c>
      <c r="AF10" s="142">
        <f t="shared" si="20"/>
        <v>2388.54</v>
      </c>
      <c r="AG10" s="141">
        <f t="shared" si="8"/>
        <v>58.576099999999997</v>
      </c>
      <c r="AH10" s="145">
        <f t="shared" si="8"/>
        <v>58.576099999999997</v>
      </c>
      <c r="AI10" s="142">
        <f t="shared" si="21"/>
        <v>2460.1961999999999</v>
      </c>
      <c r="AJ10" s="141">
        <f t="shared" si="9"/>
        <v>60.333382999999998</v>
      </c>
      <c r="AK10" s="145">
        <f t="shared" si="9"/>
        <v>60.333382999999998</v>
      </c>
      <c r="AL10" s="142">
        <f t="shared" si="22"/>
        <v>2534.002086</v>
      </c>
      <c r="AM10" s="332" t="s">
        <v>83</v>
      </c>
      <c r="AN10" s="350">
        <v>62.143384490000003</v>
      </c>
      <c r="AO10" s="351">
        <v>62.143384490000003</v>
      </c>
      <c r="AP10" s="352">
        <v>2610.0221485800002</v>
      </c>
      <c r="AQ10" s="332" t="s">
        <v>83</v>
      </c>
      <c r="AR10" s="350">
        <f t="shared" si="10"/>
        <v>64.007686024700007</v>
      </c>
      <c r="AS10" s="351">
        <f t="shared" si="11"/>
        <v>64.007686024700007</v>
      </c>
      <c r="AT10" s="352">
        <f t="shared" si="12"/>
        <v>2688.3228130374005</v>
      </c>
      <c r="AU10" s="350">
        <f t="shared" si="13"/>
        <v>65.927916605441013</v>
      </c>
      <c r="AV10" s="351">
        <f t="shared" si="14"/>
        <v>65.927916605441013</v>
      </c>
      <c r="AW10" s="352">
        <f t="shared" si="15"/>
        <v>2768.9724974285227</v>
      </c>
      <c r="AX10" s="350">
        <f t="shared" si="16"/>
        <v>67.905754103604238</v>
      </c>
      <c r="AY10" s="351">
        <f t="shared" si="17"/>
        <v>67.905754103604238</v>
      </c>
      <c r="AZ10" s="352">
        <f t="shared" si="18"/>
        <v>2852.0416723513786</v>
      </c>
      <c r="BA10" s="350">
        <f t="shared" si="19"/>
        <v>69.942926726712372</v>
      </c>
      <c r="BB10" s="351">
        <f t="shared" si="0"/>
        <v>69.942926726712372</v>
      </c>
      <c r="BC10" s="352">
        <f t="shared" si="1"/>
        <v>2937.6029225219199</v>
      </c>
      <c r="BD10" s="350">
        <f t="shared" si="2"/>
        <v>72.041214528513748</v>
      </c>
      <c r="BE10" s="351">
        <f t="shared" si="3"/>
        <v>72.041214528513748</v>
      </c>
      <c r="BF10" s="352">
        <f t="shared" si="4"/>
        <v>3025.7310101975777</v>
      </c>
      <c r="BG10" s="350">
        <f t="shared" si="5"/>
        <v>74.202450964369163</v>
      </c>
      <c r="BH10" s="351">
        <f t="shared" si="6"/>
        <v>74.202450964369163</v>
      </c>
      <c r="BI10" s="352">
        <f t="shared" si="7"/>
        <v>3116.5029405035052</v>
      </c>
    </row>
    <row r="11" spans="1:61" ht="15.6" thickBot="1">
      <c r="A11" s="195"/>
      <c r="B11" s="187" t="s">
        <v>84</v>
      </c>
      <c r="C11" s="188">
        <v>42</v>
      </c>
      <c r="D11" s="141">
        <v>42</v>
      </c>
      <c r="E11" s="142">
        <v>1764</v>
      </c>
      <c r="F11" s="154">
        <v>42</v>
      </c>
      <c r="G11" s="141">
        <v>42</v>
      </c>
      <c r="H11" s="142">
        <v>1764</v>
      </c>
      <c r="I11" s="196">
        <v>44.31</v>
      </c>
      <c r="J11" s="189">
        <v>44.31</v>
      </c>
      <c r="K11" s="190">
        <v>1861.02</v>
      </c>
      <c r="L11" s="196">
        <v>46.525500000000001</v>
      </c>
      <c r="M11" s="189">
        <v>46.525500000000001</v>
      </c>
      <c r="N11" s="190">
        <v>1954.0710000000001</v>
      </c>
      <c r="O11" s="196">
        <v>48.619147499999997</v>
      </c>
      <c r="P11" s="189">
        <v>48.619147499999997</v>
      </c>
      <c r="Q11" s="190">
        <v>2042.004195</v>
      </c>
      <c r="R11" s="196">
        <v>48.619147499999997</v>
      </c>
      <c r="S11" s="189">
        <v>48.619147499999997</v>
      </c>
      <c r="T11" s="190">
        <v>2042.004195</v>
      </c>
      <c r="U11" s="196">
        <v>50.563913399999997</v>
      </c>
      <c r="V11" s="189">
        <v>50.563913399999997</v>
      </c>
      <c r="W11" s="190">
        <v>2123.6843627999997</v>
      </c>
      <c r="X11" s="189">
        <v>52.576469936000002</v>
      </c>
      <c r="Y11" s="189">
        <v>52.576469936000002</v>
      </c>
      <c r="Z11" s="190">
        <v>2208.211737312</v>
      </c>
      <c r="AA11" s="189">
        <v>55.205293432800005</v>
      </c>
      <c r="AB11" s="189">
        <v>55.205293432800005</v>
      </c>
      <c r="AC11" s="190">
        <v>2318.6223241776001</v>
      </c>
      <c r="AD11" s="189">
        <v>56.87</v>
      </c>
      <c r="AE11" s="192">
        <v>56.87</v>
      </c>
      <c r="AF11" s="190">
        <f t="shared" si="20"/>
        <v>2388.54</v>
      </c>
      <c r="AG11" s="189">
        <f t="shared" si="8"/>
        <v>58.576099999999997</v>
      </c>
      <c r="AH11" s="192">
        <f t="shared" si="8"/>
        <v>58.576099999999997</v>
      </c>
      <c r="AI11" s="190">
        <f t="shared" si="21"/>
        <v>2460.1961999999999</v>
      </c>
      <c r="AJ11" s="189">
        <f t="shared" si="9"/>
        <v>60.333382999999998</v>
      </c>
      <c r="AK11" s="192">
        <f t="shared" si="9"/>
        <v>60.333382999999998</v>
      </c>
      <c r="AL11" s="190">
        <f t="shared" si="22"/>
        <v>2534.002086</v>
      </c>
      <c r="AM11" s="331" t="s">
        <v>84</v>
      </c>
      <c r="AN11" s="353">
        <v>62.143384490000003</v>
      </c>
      <c r="AO11" s="354">
        <v>62.143384490000003</v>
      </c>
      <c r="AP11" s="355">
        <v>2610.0221485800002</v>
      </c>
      <c r="AQ11" s="331" t="s">
        <v>84</v>
      </c>
      <c r="AR11" s="353">
        <f t="shared" si="10"/>
        <v>64.007686024700007</v>
      </c>
      <c r="AS11" s="354">
        <f t="shared" si="11"/>
        <v>64.007686024700007</v>
      </c>
      <c r="AT11" s="355">
        <f t="shared" si="12"/>
        <v>2688.3228130374005</v>
      </c>
      <c r="AU11" s="353">
        <f t="shared" si="13"/>
        <v>65.927916605441013</v>
      </c>
      <c r="AV11" s="354">
        <f t="shared" si="14"/>
        <v>65.927916605441013</v>
      </c>
      <c r="AW11" s="355">
        <f t="shared" si="15"/>
        <v>2768.9724974285227</v>
      </c>
      <c r="AX11" s="353">
        <f t="shared" si="16"/>
        <v>67.905754103604238</v>
      </c>
      <c r="AY11" s="354">
        <f t="shared" si="17"/>
        <v>67.905754103604238</v>
      </c>
      <c r="AZ11" s="355">
        <f t="shared" si="18"/>
        <v>2852.0416723513786</v>
      </c>
      <c r="BA11" s="353">
        <f t="shared" si="19"/>
        <v>69.942926726712372</v>
      </c>
      <c r="BB11" s="354">
        <f t="shared" si="0"/>
        <v>69.942926726712372</v>
      </c>
      <c r="BC11" s="355">
        <f t="shared" si="1"/>
        <v>2937.6029225219199</v>
      </c>
      <c r="BD11" s="353">
        <f t="shared" si="2"/>
        <v>72.041214528513748</v>
      </c>
      <c r="BE11" s="354">
        <f t="shared" si="3"/>
        <v>72.041214528513748</v>
      </c>
      <c r="BF11" s="355">
        <f t="shared" si="4"/>
        <v>3025.7310101975777</v>
      </c>
      <c r="BG11" s="353">
        <f t="shared" si="5"/>
        <v>74.202450964369163</v>
      </c>
      <c r="BH11" s="354">
        <f t="shared" si="6"/>
        <v>74.202450964369163</v>
      </c>
      <c r="BI11" s="355">
        <f t="shared" si="7"/>
        <v>3116.5029405035052</v>
      </c>
    </row>
    <row r="12" spans="1:61" ht="13.8">
      <c r="A12" s="139">
        <v>210</v>
      </c>
      <c r="B12" s="130" t="s">
        <v>85</v>
      </c>
      <c r="C12" s="140">
        <v>15</v>
      </c>
      <c r="D12" s="134">
        <v>15</v>
      </c>
      <c r="E12" s="135">
        <v>630</v>
      </c>
      <c r="F12" s="136">
        <v>35.32</v>
      </c>
      <c r="G12" s="134">
        <v>35.32</v>
      </c>
      <c r="H12" s="135">
        <v>1483.44</v>
      </c>
      <c r="I12" s="141">
        <v>37.262599999999999</v>
      </c>
      <c r="J12" s="141">
        <v>37.26</v>
      </c>
      <c r="K12" s="142">
        <v>1564.9199999999998</v>
      </c>
      <c r="L12" s="141">
        <v>39.125729999999997</v>
      </c>
      <c r="M12" s="141">
        <v>39.125729999999997</v>
      </c>
      <c r="N12" s="142">
        <v>1643.2806599999999</v>
      </c>
      <c r="O12" s="141">
        <v>40.886387849999991</v>
      </c>
      <c r="P12" s="141">
        <v>40.886387849999991</v>
      </c>
      <c r="Q12" s="142">
        <v>1717.2282896999996</v>
      </c>
      <c r="R12" s="141">
        <v>63.55</v>
      </c>
      <c r="S12" s="141">
        <v>63.55</v>
      </c>
      <c r="T12" s="142">
        <v>2669.1</v>
      </c>
      <c r="U12" s="141">
        <v>66.091999999999999</v>
      </c>
      <c r="V12" s="141">
        <v>66.091999999999999</v>
      </c>
      <c r="W12" s="142">
        <v>2775.864</v>
      </c>
      <c r="X12" s="141">
        <v>68.725679999999997</v>
      </c>
      <c r="Y12" s="141">
        <v>68.725679999999997</v>
      </c>
      <c r="Z12" s="142">
        <v>2886.47856</v>
      </c>
      <c r="AA12" s="141">
        <v>72.161963999999998</v>
      </c>
      <c r="AB12" s="141">
        <v>72.161963999999998</v>
      </c>
      <c r="AC12" s="142">
        <v>3030.8024879999998</v>
      </c>
      <c r="AD12" s="141">
        <v>74.319999999999993</v>
      </c>
      <c r="AE12" s="145">
        <v>74.319999999999993</v>
      </c>
      <c r="AF12" s="142">
        <f t="shared" si="20"/>
        <v>3121.4399999999996</v>
      </c>
      <c r="AG12" s="141">
        <f t="shared" si="8"/>
        <v>76.549599999999998</v>
      </c>
      <c r="AH12" s="145">
        <f t="shared" si="8"/>
        <v>76.549599999999998</v>
      </c>
      <c r="AI12" s="142">
        <f t="shared" si="21"/>
        <v>3215.0832</v>
      </c>
      <c r="AJ12" s="141">
        <f t="shared" si="9"/>
        <v>78.846087999999995</v>
      </c>
      <c r="AK12" s="145">
        <f t="shared" si="9"/>
        <v>78.846087999999995</v>
      </c>
      <c r="AL12" s="142">
        <f t="shared" si="22"/>
        <v>3311.5356959999999</v>
      </c>
      <c r="AM12" s="332" t="s">
        <v>85</v>
      </c>
      <c r="AN12" s="350">
        <v>81.211470640000002</v>
      </c>
      <c r="AO12" s="351">
        <v>81.211470640000002</v>
      </c>
      <c r="AP12" s="352">
        <v>3410.8817668800002</v>
      </c>
      <c r="AQ12" s="332" t="s">
        <v>85</v>
      </c>
      <c r="AR12" s="350">
        <f t="shared" si="10"/>
        <v>83.647814759200003</v>
      </c>
      <c r="AS12" s="351">
        <f t="shared" si="11"/>
        <v>83.647814759200003</v>
      </c>
      <c r="AT12" s="352">
        <f t="shared" si="12"/>
        <v>3513.2082198864005</v>
      </c>
      <c r="AU12" s="350">
        <f t="shared" si="13"/>
        <v>86.157249201976001</v>
      </c>
      <c r="AV12" s="351">
        <f t="shared" si="14"/>
        <v>86.157249201976001</v>
      </c>
      <c r="AW12" s="352">
        <f t="shared" si="15"/>
        <v>3618.6044664829924</v>
      </c>
      <c r="AX12" s="350">
        <f t="shared" si="16"/>
        <v>88.741966678035283</v>
      </c>
      <c r="AY12" s="351">
        <f t="shared" si="17"/>
        <v>88.741966678035283</v>
      </c>
      <c r="AZ12" s="352">
        <f t="shared" si="18"/>
        <v>3727.1626004774821</v>
      </c>
      <c r="BA12" s="350">
        <f t="shared" si="19"/>
        <v>91.404225678376349</v>
      </c>
      <c r="BB12" s="351">
        <f t="shared" si="0"/>
        <v>91.404225678376349</v>
      </c>
      <c r="BC12" s="352">
        <f t="shared" si="1"/>
        <v>3838.9774784918068</v>
      </c>
      <c r="BD12" s="350">
        <f t="shared" si="2"/>
        <v>94.14635244872764</v>
      </c>
      <c r="BE12" s="351">
        <f t="shared" si="3"/>
        <v>94.14635244872764</v>
      </c>
      <c r="BF12" s="352">
        <f t="shared" si="4"/>
        <v>3954.1468028465611</v>
      </c>
      <c r="BG12" s="350">
        <f t="shared" si="5"/>
        <v>96.970743022189467</v>
      </c>
      <c r="BH12" s="351">
        <f t="shared" si="6"/>
        <v>96.970743022189467</v>
      </c>
      <c r="BI12" s="352">
        <f t="shared" si="7"/>
        <v>4072.7712069319582</v>
      </c>
    </row>
    <row r="13" spans="1:61" ht="13.8">
      <c r="A13" s="139">
        <v>212</v>
      </c>
      <c r="B13" s="194" t="s">
        <v>86</v>
      </c>
      <c r="C13" s="140">
        <v>75</v>
      </c>
      <c r="D13" s="141">
        <v>75</v>
      </c>
      <c r="E13" s="142">
        <v>3150</v>
      </c>
      <c r="F13" s="143">
        <v>94</v>
      </c>
      <c r="G13" s="141">
        <v>94</v>
      </c>
      <c r="H13" s="142">
        <v>3948</v>
      </c>
      <c r="I13" s="141">
        <v>99.17</v>
      </c>
      <c r="J13" s="141">
        <v>99.17</v>
      </c>
      <c r="K13" s="142">
        <v>4165.1400000000003</v>
      </c>
      <c r="L13" s="141">
        <v>104.1285</v>
      </c>
      <c r="M13" s="141">
        <v>104.1285</v>
      </c>
      <c r="N13" s="142">
        <v>4373.3969999999999</v>
      </c>
      <c r="O13" s="141">
        <v>108.81428249999999</v>
      </c>
      <c r="P13" s="141">
        <v>108.81428249999999</v>
      </c>
      <c r="Q13" s="142">
        <v>4570.1998649999996</v>
      </c>
      <c r="R13" s="141">
        <v>108.81428249999999</v>
      </c>
      <c r="S13" s="141">
        <v>108.81428249999999</v>
      </c>
      <c r="T13" s="142">
        <v>4570.1998649999996</v>
      </c>
      <c r="U13" s="141">
        <v>113.1668538</v>
      </c>
      <c r="V13" s="141">
        <v>113.1668538</v>
      </c>
      <c r="W13" s="142">
        <v>4753.0078596000003</v>
      </c>
      <c r="X13" s="141">
        <v>117.703527952</v>
      </c>
      <c r="Y13" s="141">
        <v>117.703527952</v>
      </c>
      <c r="Z13" s="142">
        <v>4943.5481739839997</v>
      </c>
      <c r="AA13" s="141">
        <v>123.58870434960001</v>
      </c>
      <c r="AB13" s="141">
        <v>123.58870434960001</v>
      </c>
      <c r="AC13" s="142">
        <v>5190.7255826832006</v>
      </c>
      <c r="AD13" s="141">
        <v>127.3</v>
      </c>
      <c r="AE13" s="145">
        <v>127.3</v>
      </c>
      <c r="AF13" s="142">
        <f t="shared" si="20"/>
        <v>5346.5999999999995</v>
      </c>
      <c r="AG13" s="141">
        <f t="shared" si="8"/>
        <v>131.119</v>
      </c>
      <c r="AH13" s="145">
        <f t="shared" si="8"/>
        <v>131.119</v>
      </c>
      <c r="AI13" s="142">
        <f t="shared" si="21"/>
        <v>5506.9979999999996</v>
      </c>
      <c r="AJ13" s="141">
        <f t="shared" si="9"/>
        <v>135.05257</v>
      </c>
      <c r="AK13" s="145">
        <f t="shared" si="9"/>
        <v>135.05257</v>
      </c>
      <c r="AL13" s="142">
        <f t="shared" si="22"/>
        <v>5672.2079400000002</v>
      </c>
      <c r="AM13" s="332" t="s">
        <v>86</v>
      </c>
      <c r="AN13" s="350">
        <v>139.10414710000001</v>
      </c>
      <c r="AO13" s="351">
        <v>139.10414710000001</v>
      </c>
      <c r="AP13" s="352">
        <v>5842.3741782000006</v>
      </c>
      <c r="AQ13" s="332" t="s">
        <v>86</v>
      </c>
      <c r="AR13" s="350">
        <f t="shared" si="10"/>
        <v>143.27727151300002</v>
      </c>
      <c r="AS13" s="351">
        <f t="shared" si="11"/>
        <v>143.27727151300002</v>
      </c>
      <c r="AT13" s="352">
        <f t="shared" si="12"/>
        <v>6017.645403546001</v>
      </c>
      <c r="AU13" s="350">
        <f t="shared" si="13"/>
        <v>147.57558965839002</v>
      </c>
      <c r="AV13" s="351">
        <f t="shared" si="14"/>
        <v>147.57558965839002</v>
      </c>
      <c r="AW13" s="352">
        <f t="shared" si="15"/>
        <v>6198.1747656523812</v>
      </c>
      <c r="AX13" s="350">
        <f t="shared" si="16"/>
        <v>152.00285734814173</v>
      </c>
      <c r="AY13" s="351">
        <f t="shared" si="17"/>
        <v>152.00285734814173</v>
      </c>
      <c r="AZ13" s="352">
        <f t="shared" si="18"/>
        <v>6384.1200086219524</v>
      </c>
      <c r="BA13" s="350">
        <f t="shared" si="19"/>
        <v>156.56294306858598</v>
      </c>
      <c r="BB13" s="351">
        <f t="shared" si="0"/>
        <v>156.56294306858598</v>
      </c>
      <c r="BC13" s="352">
        <f t="shared" si="1"/>
        <v>6575.6436088806113</v>
      </c>
      <c r="BD13" s="350">
        <f t="shared" si="2"/>
        <v>161.25983136064357</v>
      </c>
      <c r="BE13" s="351">
        <f t="shared" si="3"/>
        <v>161.25983136064357</v>
      </c>
      <c r="BF13" s="352">
        <f t="shared" si="4"/>
        <v>6772.9129171470295</v>
      </c>
      <c r="BG13" s="350">
        <f t="shared" si="5"/>
        <v>166.0976263014629</v>
      </c>
      <c r="BH13" s="351">
        <f t="shared" si="6"/>
        <v>166.0976263014629</v>
      </c>
      <c r="BI13" s="352">
        <f t="shared" si="7"/>
        <v>6976.1003046614405</v>
      </c>
    </row>
    <row r="14" spans="1:61" ht="14.4" thickBot="1">
      <c r="A14" s="197">
        <v>214</v>
      </c>
      <c r="B14" s="198" t="s">
        <v>87</v>
      </c>
      <c r="C14" s="199">
        <v>31.701030927835053</v>
      </c>
      <c r="D14" s="200">
        <v>31.7</v>
      </c>
      <c r="E14" s="201">
        <v>1331.36</v>
      </c>
      <c r="F14" s="199">
        <v>39.731958762886599</v>
      </c>
      <c r="G14" s="200">
        <v>39.731958762886599</v>
      </c>
      <c r="H14" s="201">
        <v>1668.7422680412371</v>
      </c>
      <c r="I14" s="200">
        <v>41.917216494845363</v>
      </c>
      <c r="J14" s="200">
        <v>41.92</v>
      </c>
      <c r="K14" s="201">
        <v>1760.64</v>
      </c>
      <c r="L14" s="200">
        <v>44.01307731958763</v>
      </c>
      <c r="M14" s="200">
        <v>44.01307731958763</v>
      </c>
      <c r="N14" s="201">
        <v>1848.5492474226805</v>
      </c>
      <c r="O14" s="200">
        <v>45.993665798969069</v>
      </c>
      <c r="P14" s="200">
        <v>45.993665798969069</v>
      </c>
      <c r="Q14" s="201">
        <v>1931.7339635567009</v>
      </c>
      <c r="R14" s="200">
        <v>81.040000000000006</v>
      </c>
      <c r="S14" s="200">
        <v>81.040000000000006</v>
      </c>
      <c r="T14" s="201">
        <v>3403.6800000000003</v>
      </c>
      <c r="U14" s="200">
        <v>84.281600000000012</v>
      </c>
      <c r="V14" s="200">
        <v>84.281600000000012</v>
      </c>
      <c r="W14" s="201">
        <v>3539.8272000000006</v>
      </c>
      <c r="X14" s="200">
        <v>87.652864000000008</v>
      </c>
      <c r="Y14" s="200">
        <v>87.652864000000008</v>
      </c>
      <c r="Z14" s="201">
        <v>3681.4202880000003</v>
      </c>
      <c r="AA14" s="200">
        <v>92.035507200000012</v>
      </c>
      <c r="AB14" s="200">
        <v>92.035507200000012</v>
      </c>
      <c r="AC14" s="201">
        <v>3865.4913024000007</v>
      </c>
      <c r="AD14" s="200">
        <v>94.8</v>
      </c>
      <c r="AE14" s="192">
        <v>94.8</v>
      </c>
      <c r="AF14" s="201">
        <f t="shared" si="20"/>
        <v>3981.6</v>
      </c>
      <c r="AG14" s="200">
        <f t="shared" si="8"/>
        <v>97.644000000000005</v>
      </c>
      <c r="AH14" s="192">
        <f t="shared" si="8"/>
        <v>97.644000000000005</v>
      </c>
      <c r="AI14" s="201">
        <f t="shared" si="21"/>
        <v>4101.0480000000007</v>
      </c>
      <c r="AJ14" s="200">
        <f t="shared" si="9"/>
        <v>100.57332000000001</v>
      </c>
      <c r="AK14" s="192">
        <f t="shared" si="9"/>
        <v>100.57332000000001</v>
      </c>
      <c r="AL14" s="201">
        <f>AK14*42</f>
        <v>4224.0794400000004</v>
      </c>
      <c r="AM14" s="332" t="s">
        <v>87</v>
      </c>
      <c r="AN14" s="350">
        <v>103.59051960000001</v>
      </c>
      <c r="AO14" s="351">
        <v>103.59051960000001</v>
      </c>
      <c r="AP14" s="352">
        <v>4350.8018232000004</v>
      </c>
      <c r="AQ14" s="332" t="s">
        <v>87</v>
      </c>
      <c r="AR14" s="350">
        <f t="shared" si="10"/>
        <v>106.69823518800001</v>
      </c>
      <c r="AS14" s="351">
        <f t="shared" si="11"/>
        <v>106.69823518800001</v>
      </c>
      <c r="AT14" s="352">
        <f t="shared" si="12"/>
        <v>4481.3258778960007</v>
      </c>
      <c r="AU14" s="350">
        <f t="shared" si="13"/>
        <v>109.89918224364001</v>
      </c>
      <c r="AV14" s="351">
        <f t="shared" si="14"/>
        <v>109.89918224364001</v>
      </c>
      <c r="AW14" s="352">
        <f t="shared" si="15"/>
        <v>4615.7656542328805</v>
      </c>
      <c r="AX14" s="350">
        <f t="shared" si="16"/>
        <v>113.19615771094922</v>
      </c>
      <c r="AY14" s="351">
        <f t="shared" si="17"/>
        <v>113.19615771094922</v>
      </c>
      <c r="AZ14" s="352">
        <f t="shared" si="18"/>
        <v>4754.2386238598674</v>
      </c>
      <c r="BA14" s="350">
        <f t="shared" si="19"/>
        <v>116.5920424422777</v>
      </c>
      <c r="BB14" s="351">
        <f t="shared" si="0"/>
        <v>116.5920424422777</v>
      </c>
      <c r="BC14" s="352">
        <f t="shared" si="1"/>
        <v>4896.8657825756636</v>
      </c>
      <c r="BD14" s="350">
        <f t="shared" si="2"/>
        <v>120.08980371554604</v>
      </c>
      <c r="BE14" s="351">
        <f t="shared" si="3"/>
        <v>120.08980371554604</v>
      </c>
      <c r="BF14" s="352">
        <f t="shared" si="4"/>
        <v>5043.7717560529336</v>
      </c>
      <c r="BG14" s="350">
        <f t="shared" si="5"/>
        <v>123.69249782701243</v>
      </c>
      <c r="BH14" s="351">
        <f t="shared" si="6"/>
        <v>123.69249782701243</v>
      </c>
      <c r="BI14" s="352">
        <f t="shared" si="7"/>
        <v>5195.0849087345214</v>
      </c>
    </row>
    <row r="15" spans="1:61" ht="14.4" thickBot="1">
      <c r="A15" s="139">
        <v>210</v>
      </c>
      <c r="B15" s="130" t="s">
        <v>85</v>
      </c>
      <c r="C15" s="140">
        <v>15</v>
      </c>
      <c r="D15" s="141">
        <v>15</v>
      </c>
      <c r="E15" s="142">
        <v>630</v>
      </c>
      <c r="F15" s="202">
        <v>35.32</v>
      </c>
      <c r="G15" s="134">
        <v>35.32</v>
      </c>
      <c r="H15" s="142">
        <v>1483.44</v>
      </c>
      <c r="I15" s="141">
        <v>37.262599999999999</v>
      </c>
      <c r="J15" s="141">
        <v>37.26</v>
      </c>
      <c r="K15" s="142">
        <v>1564.9199999999998</v>
      </c>
      <c r="L15" s="141">
        <v>39.125729999999997</v>
      </c>
      <c r="M15" s="141">
        <v>39.125729999999997</v>
      </c>
      <c r="N15" s="142">
        <v>1643.2806599999999</v>
      </c>
      <c r="O15" s="141">
        <v>40.886387849999991</v>
      </c>
      <c r="P15" s="141">
        <v>40.886387849999991</v>
      </c>
      <c r="Q15" s="142">
        <v>1717.2282896999996</v>
      </c>
      <c r="R15" s="141">
        <v>63.55</v>
      </c>
      <c r="S15" s="141">
        <v>63.55</v>
      </c>
      <c r="T15" s="142">
        <v>2669.1</v>
      </c>
      <c r="U15" s="141">
        <v>66.091999999999999</v>
      </c>
      <c r="V15" s="141">
        <v>66.091999999999999</v>
      </c>
      <c r="W15" s="142">
        <v>2775.864</v>
      </c>
      <c r="X15" s="141">
        <v>68.725679999999997</v>
      </c>
      <c r="Y15" s="141">
        <v>68.725679999999997</v>
      </c>
      <c r="Z15" s="142">
        <v>2886.47856</v>
      </c>
      <c r="AA15" s="141">
        <v>72.161963999999998</v>
      </c>
      <c r="AB15" s="141">
        <v>72.161963999999998</v>
      </c>
      <c r="AC15" s="142">
        <v>3030.8024879999998</v>
      </c>
      <c r="AD15" s="141">
        <v>74.319999999999993</v>
      </c>
      <c r="AE15" s="145">
        <v>74.319999999999993</v>
      </c>
      <c r="AF15" s="142">
        <f t="shared" si="20"/>
        <v>3121.4399999999996</v>
      </c>
      <c r="AG15" s="141">
        <f t="shared" si="8"/>
        <v>76.549599999999998</v>
      </c>
      <c r="AH15" s="145">
        <f t="shared" si="8"/>
        <v>76.549599999999998</v>
      </c>
      <c r="AI15" s="142">
        <f t="shared" si="21"/>
        <v>3215.0832</v>
      </c>
      <c r="AJ15" s="141">
        <f t="shared" si="9"/>
        <v>78.846087999999995</v>
      </c>
      <c r="AK15" s="145">
        <f t="shared" si="9"/>
        <v>78.846087999999995</v>
      </c>
      <c r="AL15" s="142">
        <f t="shared" si="22"/>
        <v>3311.5356959999999</v>
      </c>
      <c r="AM15" s="333" t="s">
        <v>237</v>
      </c>
      <c r="AN15" s="353">
        <v>0.45629000000000003</v>
      </c>
      <c r="AO15" s="354">
        <v>104.04680960000002</v>
      </c>
      <c r="AP15" s="355">
        <v>4369.9660032000002</v>
      </c>
      <c r="AQ15" s="333" t="s">
        <v>237</v>
      </c>
      <c r="AR15" s="353">
        <f t="shared" si="10"/>
        <v>0.46997870000000003</v>
      </c>
      <c r="AS15" s="354">
        <f t="shared" si="11"/>
        <v>107.16821388800003</v>
      </c>
      <c r="AT15" s="355">
        <f t="shared" si="12"/>
        <v>4501.0649832960007</v>
      </c>
      <c r="AU15" s="353">
        <f t="shared" si="13"/>
        <v>0.48407806100000006</v>
      </c>
      <c r="AV15" s="354">
        <f t="shared" si="14"/>
        <v>110.38326030464003</v>
      </c>
      <c r="AW15" s="355">
        <f t="shared" si="15"/>
        <v>4636.0969327948806</v>
      </c>
      <c r="AX15" s="353">
        <f t="shared" si="16"/>
        <v>0.49860040283000007</v>
      </c>
      <c r="AY15" s="354">
        <f t="shared" si="17"/>
        <v>113.69475811377923</v>
      </c>
      <c r="AZ15" s="355">
        <f t="shared" si="18"/>
        <v>4775.1798407787273</v>
      </c>
      <c r="BA15" s="353">
        <f t="shared" si="19"/>
        <v>0.51355841491490006</v>
      </c>
      <c r="BB15" s="354">
        <f t="shared" si="0"/>
        <v>117.10560085719261</v>
      </c>
      <c r="BC15" s="355">
        <f t="shared" si="1"/>
        <v>4918.4352360020894</v>
      </c>
      <c r="BD15" s="353">
        <f t="shared" si="2"/>
        <v>0.52896516736234711</v>
      </c>
      <c r="BE15" s="354">
        <f t="shared" si="3"/>
        <v>120.6187688829084</v>
      </c>
      <c r="BF15" s="355">
        <f t="shared" si="4"/>
        <v>5065.9882930821523</v>
      </c>
      <c r="BG15" s="353">
        <f t="shared" si="5"/>
        <v>0.54483412238321749</v>
      </c>
      <c r="BH15" s="354">
        <f t="shared" si="6"/>
        <v>124.23733194939565</v>
      </c>
      <c r="BI15" s="355">
        <f t="shared" si="7"/>
        <v>5217.9679418746173</v>
      </c>
    </row>
    <row r="16" spans="1:61" ht="13.8">
      <c r="A16" s="139">
        <v>260</v>
      </c>
      <c r="B16" s="130" t="s">
        <v>88</v>
      </c>
      <c r="C16" s="140">
        <v>100</v>
      </c>
      <c r="D16" s="141">
        <v>100</v>
      </c>
      <c r="E16" s="142">
        <v>4200</v>
      </c>
      <c r="F16" s="154">
        <v>106.32</v>
      </c>
      <c r="G16" s="141">
        <v>106.32</v>
      </c>
      <c r="H16" s="142">
        <v>4465.4399999999996</v>
      </c>
      <c r="I16" s="141">
        <v>112.16759999999999</v>
      </c>
      <c r="J16" s="141">
        <v>112.16759999999999</v>
      </c>
      <c r="K16" s="142">
        <v>4711.0391999999993</v>
      </c>
      <c r="L16" s="141">
        <v>117.77598</v>
      </c>
      <c r="M16" s="141">
        <v>117.77598</v>
      </c>
      <c r="N16" s="142">
        <v>4946.5911599999999</v>
      </c>
      <c r="O16" s="141">
        <v>123.0758991</v>
      </c>
      <c r="P16" s="141">
        <v>123.0758991</v>
      </c>
      <c r="Q16" s="142">
        <v>5169.1877622000002</v>
      </c>
      <c r="R16" s="141">
        <v>123.0758991</v>
      </c>
      <c r="S16" s="141">
        <v>123.0758991</v>
      </c>
      <c r="T16" s="142">
        <v>5169.1877622000002</v>
      </c>
      <c r="U16" s="141">
        <v>127.99893506400001</v>
      </c>
      <c r="V16" s="141">
        <v>127.99893506400001</v>
      </c>
      <c r="W16" s="142">
        <v>5375.9552726880002</v>
      </c>
      <c r="X16" s="141">
        <v>133.12389246656002</v>
      </c>
      <c r="Y16" s="141">
        <v>133.12389246656002</v>
      </c>
      <c r="Z16" s="142">
        <v>5591.203483595521</v>
      </c>
      <c r="AA16" s="141">
        <v>139.78008708988804</v>
      </c>
      <c r="AB16" s="141">
        <v>139.78008708988804</v>
      </c>
      <c r="AC16" s="142">
        <v>5870.7636577752974</v>
      </c>
      <c r="AD16" s="141">
        <v>143.97</v>
      </c>
      <c r="AE16" s="145">
        <v>143.97</v>
      </c>
      <c r="AF16" s="142">
        <f t="shared" si="20"/>
        <v>6046.74</v>
      </c>
      <c r="AG16" s="141">
        <f t="shared" si="8"/>
        <v>148.28909999999999</v>
      </c>
      <c r="AH16" s="145">
        <f t="shared" si="8"/>
        <v>148.28909999999999</v>
      </c>
      <c r="AI16" s="142">
        <f t="shared" si="21"/>
        <v>6228.1421999999993</v>
      </c>
      <c r="AJ16" s="141">
        <f t="shared" si="9"/>
        <v>152.737773</v>
      </c>
      <c r="AK16" s="145">
        <f t="shared" si="9"/>
        <v>152.737773</v>
      </c>
      <c r="AL16" s="142">
        <f>AK16*42</f>
        <v>6414.9864660000003</v>
      </c>
      <c r="AM16" s="332" t="s">
        <v>85</v>
      </c>
      <c r="AN16" s="350">
        <v>81.211470640000002</v>
      </c>
      <c r="AO16" s="351">
        <v>81.211470640000002</v>
      </c>
      <c r="AP16" s="352">
        <v>3410.8817668800002</v>
      </c>
      <c r="AQ16" s="332" t="s">
        <v>85</v>
      </c>
      <c r="AR16" s="350">
        <f t="shared" si="10"/>
        <v>83.647814759200003</v>
      </c>
      <c r="AS16" s="351">
        <f t="shared" si="11"/>
        <v>83.647814759200003</v>
      </c>
      <c r="AT16" s="352">
        <f t="shared" si="12"/>
        <v>3513.2082198864005</v>
      </c>
      <c r="AU16" s="350">
        <f t="shared" si="13"/>
        <v>86.157249201976001</v>
      </c>
      <c r="AV16" s="351">
        <f t="shared" si="14"/>
        <v>86.157249201976001</v>
      </c>
      <c r="AW16" s="352">
        <f t="shared" si="15"/>
        <v>3618.6044664829924</v>
      </c>
      <c r="AX16" s="350">
        <f t="shared" si="16"/>
        <v>88.741966678035283</v>
      </c>
      <c r="AY16" s="351">
        <f t="shared" si="17"/>
        <v>88.741966678035283</v>
      </c>
      <c r="AZ16" s="352">
        <f t="shared" si="18"/>
        <v>3727.1626004774821</v>
      </c>
      <c r="BA16" s="350">
        <f t="shared" si="19"/>
        <v>91.404225678376349</v>
      </c>
      <c r="BB16" s="351">
        <f t="shared" si="0"/>
        <v>91.404225678376349</v>
      </c>
      <c r="BC16" s="352">
        <f t="shared" si="1"/>
        <v>3838.9774784918068</v>
      </c>
      <c r="BD16" s="350">
        <f t="shared" si="2"/>
        <v>94.14635244872764</v>
      </c>
      <c r="BE16" s="351">
        <f t="shared" si="3"/>
        <v>94.14635244872764</v>
      </c>
      <c r="BF16" s="352">
        <f t="shared" si="4"/>
        <v>3954.1468028465611</v>
      </c>
      <c r="BG16" s="350">
        <f t="shared" si="5"/>
        <v>96.970743022189467</v>
      </c>
      <c r="BH16" s="351">
        <f t="shared" si="6"/>
        <v>96.970743022189467</v>
      </c>
      <c r="BI16" s="352">
        <f t="shared" si="7"/>
        <v>4072.7712069319582</v>
      </c>
    </row>
    <row r="17" spans="1:61" ht="14.4" thickBot="1">
      <c r="A17" s="186">
        <v>224</v>
      </c>
      <c r="B17" s="203" t="s">
        <v>89</v>
      </c>
      <c r="C17" s="188">
        <v>106.75</v>
      </c>
      <c r="D17" s="189">
        <v>206.75</v>
      </c>
      <c r="E17" s="190">
        <v>8683.5</v>
      </c>
      <c r="F17" s="204">
        <v>129</v>
      </c>
      <c r="G17" s="189">
        <v>235.32</v>
      </c>
      <c r="H17" s="190">
        <v>9883.44</v>
      </c>
      <c r="I17" s="196">
        <v>136.095</v>
      </c>
      <c r="J17" s="189">
        <v>248.27259999999998</v>
      </c>
      <c r="K17" s="190">
        <v>10427.449199999999</v>
      </c>
      <c r="L17" s="196">
        <v>142.89975000000001</v>
      </c>
      <c r="M17" s="189">
        <v>260.67573000000004</v>
      </c>
      <c r="N17" s="190">
        <v>10948.380660000003</v>
      </c>
      <c r="O17" s="196">
        <v>149.33023875000001</v>
      </c>
      <c r="P17" s="189">
        <v>272.40613784999999</v>
      </c>
      <c r="Q17" s="190">
        <v>11441.0577897</v>
      </c>
      <c r="R17" s="196">
        <v>149.33023875000001</v>
      </c>
      <c r="S17" s="189">
        <v>272.40613784999999</v>
      </c>
      <c r="T17" s="190">
        <v>11441.0577897</v>
      </c>
      <c r="U17" s="196">
        <v>155.30344830000001</v>
      </c>
      <c r="V17" s="189">
        <v>283.30238336400004</v>
      </c>
      <c r="W17" s="190">
        <v>11898.700101288001</v>
      </c>
      <c r="X17" s="189">
        <v>161.50558623200004</v>
      </c>
      <c r="Y17" s="189">
        <v>294.62947869856009</v>
      </c>
      <c r="Z17" s="190">
        <v>12374.438105339525</v>
      </c>
      <c r="AA17" s="189">
        <v>169.58086554360005</v>
      </c>
      <c r="AB17" s="189">
        <v>309.36095263348807</v>
      </c>
      <c r="AC17" s="190">
        <v>12993.160010606498</v>
      </c>
      <c r="AD17" s="189">
        <v>174.67</v>
      </c>
      <c r="AE17" s="192">
        <v>318.64</v>
      </c>
      <c r="AF17" s="190">
        <f t="shared" si="20"/>
        <v>13382.88</v>
      </c>
      <c r="AG17" s="189">
        <f t="shared" si="8"/>
        <v>179.9101</v>
      </c>
      <c r="AH17" s="192">
        <f t="shared" si="8"/>
        <v>328.19920000000002</v>
      </c>
      <c r="AI17" s="190">
        <f>AH17*42</f>
        <v>13784.366400000001</v>
      </c>
      <c r="AJ17" s="189">
        <f t="shared" si="9"/>
        <v>185.30740299999999</v>
      </c>
      <c r="AK17" s="192">
        <f t="shared" si="9"/>
        <v>338.04517600000003</v>
      </c>
      <c r="AL17" s="190">
        <f t="shared" si="22"/>
        <v>14197.897392000001</v>
      </c>
      <c r="AM17" s="332" t="s">
        <v>88</v>
      </c>
      <c r="AN17" s="350">
        <v>157.31990619000001</v>
      </c>
      <c r="AO17" s="351">
        <v>157.31990619000001</v>
      </c>
      <c r="AP17" s="352">
        <v>6607.4360599800002</v>
      </c>
      <c r="AQ17" s="332" t="s">
        <v>88</v>
      </c>
      <c r="AR17" s="350">
        <f t="shared" si="10"/>
        <v>162.03950337570001</v>
      </c>
      <c r="AS17" s="351">
        <f t="shared" si="11"/>
        <v>162.03950337570001</v>
      </c>
      <c r="AT17" s="352">
        <f t="shared" si="12"/>
        <v>6805.6591417794007</v>
      </c>
      <c r="AU17" s="350">
        <f t="shared" si="13"/>
        <v>166.900688476971</v>
      </c>
      <c r="AV17" s="351">
        <f t="shared" si="14"/>
        <v>166.900688476971</v>
      </c>
      <c r="AW17" s="352">
        <f t="shared" si="15"/>
        <v>7009.8289160327831</v>
      </c>
      <c r="AX17" s="350">
        <f t="shared" si="16"/>
        <v>171.90770913128014</v>
      </c>
      <c r="AY17" s="351">
        <f t="shared" si="17"/>
        <v>171.90770913128014</v>
      </c>
      <c r="AZ17" s="352">
        <f t="shared" si="18"/>
        <v>7220.1237835137672</v>
      </c>
      <c r="BA17" s="350">
        <f t="shared" si="19"/>
        <v>177.06494040521855</v>
      </c>
      <c r="BB17" s="351">
        <f t="shared" si="0"/>
        <v>177.06494040521855</v>
      </c>
      <c r="BC17" s="352">
        <f t="shared" si="1"/>
        <v>7436.7274970191802</v>
      </c>
      <c r="BD17" s="350">
        <f t="shared" si="2"/>
        <v>182.3768886173751</v>
      </c>
      <c r="BE17" s="351">
        <f t="shared" si="3"/>
        <v>182.3768886173751</v>
      </c>
      <c r="BF17" s="352">
        <f t="shared" si="4"/>
        <v>7659.8293219297557</v>
      </c>
      <c r="BG17" s="350">
        <f t="shared" si="5"/>
        <v>187.84819527589636</v>
      </c>
      <c r="BH17" s="351">
        <f t="shared" si="6"/>
        <v>187.84819527589636</v>
      </c>
      <c r="BI17" s="352">
        <f t="shared" si="7"/>
        <v>7889.6242015876487</v>
      </c>
    </row>
    <row r="18" spans="1:61" ht="14.4" thickBot="1">
      <c r="A18" s="139">
        <v>210</v>
      </c>
      <c r="B18" s="130" t="s">
        <v>85</v>
      </c>
      <c r="C18" s="140">
        <v>15</v>
      </c>
      <c r="D18" s="141">
        <v>15</v>
      </c>
      <c r="E18" s="142">
        <v>630</v>
      </c>
      <c r="F18" s="202">
        <v>35.32</v>
      </c>
      <c r="G18" s="134">
        <v>35.32</v>
      </c>
      <c r="H18" s="142">
        <v>1483.44</v>
      </c>
      <c r="I18" s="141">
        <v>37.262599999999999</v>
      </c>
      <c r="J18" s="141">
        <v>37.26</v>
      </c>
      <c r="K18" s="142">
        <v>1564.9199999999998</v>
      </c>
      <c r="L18" s="141">
        <v>39.125729999999997</v>
      </c>
      <c r="M18" s="141">
        <v>39.125729999999997</v>
      </c>
      <c r="N18" s="142">
        <v>1643.2806599999999</v>
      </c>
      <c r="O18" s="141">
        <v>40.886387849999991</v>
      </c>
      <c r="P18" s="141">
        <v>40.886387849999991</v>
      </c>
      <c r="Q18" s="142">
        <v>1717.2282896999996</v>
      </c>
      <c r="R18" s="141">
        <v>63.55</v>
      </c>
      <c r="S18" s="141">
        <v>63.55</v>
      </c>
      <c r="T18" s="142">
        <v>2669.1</v>
      </c>
      <c r="U18" s="141">
        <v>66.091999999999999</v>
      </c>
      <c r="V18" s="141">
        <v>66.091999999999999</v>
      </c>
      <c r="W18" s="142">
        <v>2775.864</v>
      </c>
      <c r="X18" s="141">
        <v>68.725679999999997</v>
      </c>
      <c r="Y18" s="141">
        <v>68.725679999999997</v>
      </c>
      <c r="Z18" s="142">
        <v>2886.47856</v>
      </c>
      <c r="AA18" s="141">
        <v>72.161963999999998</v>
      </c>
      <c r="AB18" s="141">
        <v>72.161963999999998</v>
      </c>
      <c r="AC18" s="142">
        <v>3030.8024879999998</v>
      </c>
      <c r="AD18" s="141">
        <v>74.319999999999993</v>
      </c>
      <c r="AE18" s="145">
        <v>74.319999999999993</v>
      </c>
      <c r="AF18" s="142">
        <f t="shared" si="20"/>
        <v>3121.4399999999996</v>
      </c>
      <c r="AG18" s="141">
        <f t="shared" si="8"/>
        <v>76.549599999999998</v>
      </c>
      <c r="AH18" s="145">
        <f t="shared" si="8"/>
        <v>76.549599999999998</v>
      </c>
      <c r="AI18" s="142">
        <f t="shared" si="21"/>
        <v>3215.0832</v>
      </c>
      <c r="AJ18" s="141">
        <f t="shared" si="9"/>
        <v>78.846087999999995</v>
      </c>
      <c r="AK18" s="145">
        <f t="shared" si="9"/>
        <v>78.846087999999995</v>
      </c>
      <c r="AL18" s="142">
        <f t="shared" si="22"/>
        <v>3311.5356959999999</v>
      </c>
      <c r="AM18" s="334" t="s">
        <v>89</v>
      </c>
      <c r="AN18" s="353">
        <v>190.86662508999999</v>
      </c>
      <c r="AO18" s="354">
        <v>348.18653128000005</v>
      </c>
      <c r="AP18" s="355">
        <v>14623.83431376</v>
      </c>
      <c r="AQ18" s="334" t="s">
        <v>89</v>
      </c>
      <c r="AR18" s="353">
        <f t="shared" si="10"/>
        <v>196.59262384269999</v>
      </c>
      <c r="AS18" s="354">
        <f t="shared" si="11"/>
        <v>358.63212721840006</v>
      </c>
      <c r="AT18" s="355">
        <f t="shared" si="12"/>
        <v>15062.549343172801</v>
      </c>
      <c r="AU18" s="353">
        <f t="shared" si="13"/>
        <v>202.49040255798099</v>
      </c>
      <c r="AV18" s="354">
        <f t="shared" si="14"/>
        <v>369.39109103495207</v>
      </c>
      <c r="AW18" s="355">
        <f t="shared" si="15"/>
        <v>15514.425823467986</v>
      </c>
      <c r="AX18" s="353">
        <f t="shared" si="16"/>
        <v>208.56511463472043</v>
      </c>
      <c r="AY18" s="354">
        <f t="shared" si="17"/>
        <v>380.47282376600066</v>
      </c>
      <c r="AZ18" s="355">
        <f t="shared" si="18"/>
        <v>15979.858598172026</v>
      </c>
      <c r="BA18" s="353">
        <f t="shared" si="19"/>
        <v>214.82206807376204</v>
      </c>
      <c r="BB18" s="354">
        <f t="shared" si="0"/>
        <v>391.8870084789807</v>
      </c>
      <c r="BC18" s="355">
        <f t="shared" si="1"/>
        <v>16459.254356117188</v>
      </c>
      <c r="BD18" s="353">
        <f t="shared" si="2"/>
        <v>221.26673011597489</v>
      </c>
      <c r="BE18" s="354">
        <f t="shared" si="3"/>
        <v>403.64361873335014</v>
      </c>
      <c r="BF18" s="355">
        <f t="shared" si="4"/>
        <v>16953.031986800703</v>
      </c>
      <c r="BG18" s="353">
        <f t="shared" si="5"/>
        <v>227.90473201945414</v>
      </c>
      <c r="BH18" s="354">
        <f t="shared" si="6"/>
        <v>415.75292729535067</v>
      </c>
      <c r="BI18" s="355">
        <f t="shared" si="7"/>
        <v>17461.622946404725</v>
      </c>
    </row>
    <row r="19" spans="1:61" ht="13.8">
      <c r="A19" s="139">
        <v>260</v>
      </c>
      <c r="B19" s="130" t="s">
        <v>88</v>
      </c>
      <c r="C19" s="140">
        <v>100</v>
      </c>
      <c r="D19" s="141">
        <v>100</v>
      </c>
      <c r="E19" s="142">
        <v>4200</v>
      </c>
      <c r="F19" s="154">
        <v>106.32</v>
      </c>
      <c r="G19" s="141">
        <v>106.32</v>
      </c>
      <c r="H19" s="142">
        <v>4465.4399999999996</v>
      </c>
      <c r="I19" s="141">
        <v>112.16759999999999</v>
      </c>
      <c r="J19" s="141">
        <v>112.16759999999999</v>
      </c>
      <c r="K19" s="142">
        <v>4711.0391999999993</v>
      </c>
      <c r="L19" s="141">
        <v>117.77598</v>
      </c>
      <c r="M19" s="141">
        <v>117.77598</v>
      </c>
      <c r="N19" s="142">
        <v>4946.5911599999999</v>
      </c>
      <c r="O19" s="141">
        <v>123.0758991</v>
      </c>
      <c r="P19" s="141">
        <v>123.0758991</v>
      </c>
      <c r="Q19" s="142">
        <v>5169.1877622000002</v>
      </c>
      <c r="R19" s="141">
        <v>123.0758991</v>
      </c>
      <c r="S19" s="141">
        <v>123.0758991</v>
      </c>
      <c r="T19" s="142">
        <v>5169.1877622000002</v>
      </c>
      <c r="U19" s="141">
        <v>127.99893506400001</v>
      </c>
      <c r="V19" s="141">
        <v>127.99893506400001</v>
      </c>
      <c r="W19" s="142">
        <v>5375.9552726880002</v>
      </c>
      <c r="X19" s="141">
        <v>133.11889246656003</v>
      </c>
      <c r="Y19" s="141">
        <v>133.11889246656003</v>
      </c>
      <c r="Z19" s="142">
        <v>5590.993483595521</v>
      </c>
      <c r="AA19" s="141">
        <v>139.78008708988804</v>
      </c>
      <c r="AB19" s="141">
        <v>139.78008708988804</v>
      </c>
      <c r="AC19" s="142">
        <v>5870.7636577752974</v>
      </c>
      <c r="AD19" s="141">
        <v>143.97</v>
      </c>
      <c r="AE19" s="145">
        <v>143.97</v>
      </c>
      <c r="AF19" s="142">
        <f t="shared" si="20"/>
        <v>6046.74</v>
      </c>
      <c r="AG19" s="141">
        <f t="shared" si="8"/>
        <v>148.28909999999999</v>
      </c>
      <c r="AH19" s="145">
        <f t="shared" si="8"/>
        <v>148.28909999999999</v>
      </c>
      <c r="AI19" s="142">
        <f t="shared" si="21"/>
        <v>6228.1421999999993</v>
      </c>
      <c r="AJ19" s="141">
        <f t="shared" si="9"/>
        <v>152.737773</v>
      </c>
      <c r="AK19" s="145">
        <f t="shared" si="9"/>
        <v>152.737773</v>
      </c>
      <c r="AL19" s="142">
        <f t="shared" si="22"/>
        <v>6414.9864660000003</v>
      </c>
      <c r="AM19" s="332" t="s">
        <v>85</v>
      </c>
      <c r="AN19" s="350">
        <v>81.211470640000002</v>
      </c>
      <c r="AO19" s="351">
        <v>81.211470640000002</v>
      </c>
      <c r="AP19" s="352">
        <v>3410.8817668800002</v>
      </c>
      <c r="AQ19" s="332" t="s">
        <v>85</v>
      </c>
      <c r="AR19" s="350">
        <f t="shared" si="10"/>
        <v>83.647814759200003</v>
      </c>
      <c r="AS19" s="351">
        <f t="shared" si="11"/>
        <v>83.647814759200003</v>
      </c>
      <c r="AT19" s="352">
        <f t="shared" si="12"/>
        <v>3513.2082198864005</v>
      </c>
      <c r="AU19" s="350">
        <f t="shared" si="13"/>
        <v>86.157249201976001</v>
      </c>
      <c r="AV19" s="351">
        <f t="shared" si="14"/>
        <v>86.157249201976001</v>
      </c>
      <c r="AW19" s="352">
        <f t="shared" si="15"/>
        <v>3618.6044664829924</v>
      </c>
      <c r="AX19" s="350">
        <f t="shared" si="16"/>
        <v>88.741966678035283</v>
      </c>
      <c r="AY19" s="351">
        <f t="shared" si="17"/>
        <v>88.741966678035283</v>
      </c>
      <c r="AZ19" s="352">
        <f t="shared" si="18"/>
        <v>3727.1626004774821</v>
      </c>
      <c r="BA19" s="350">
        <f t="shared" si="19"/>
        <v>91.404225678376349</v>
      </c>
      <c r="BB19" s="351">
        <f t="shared" si="0"/>
        <v>91.404225678376349</v>
      </c>
      <c r="BC19" s="352">
        <f t="shared" si="1"/>
        <v>3838.9774784918068</v>
      </c>
      <c r="BD19" s="350">
        <f t="shared" si="2"/>
        <v>94.14635244872764</v>
      </c>
      <c r="BE19" s="351">
        <f t="shared" si="3"/>
        <v>94.14635244872764</v>
      </c>
      <c r="BF19" s="352">
        <f t="shared" si="4"/>
        <v>3954.1468028465611</v>
      </c>
      <c r="BG19" s="350">
        <f t="shared" si="5"/>
        <v>96.970743022189467</v>
      </c>
      <c r="BH19" s="351">
        <f t="shared" si="6"/>
        <v>96.970743022189467</v>
      </c>
      <c r="BI19" s="352">
        <f t="shared" si="7"/>
        <v>4072.7712069319582</v>
      </c>
    </row>
    <row r="20" spans="1:61" ht="13.8">
      <c r="A20" s="146">
        <v>231</v>
      </c>
      <c r="B20" s="131" t="s">
        <v>90</v>
      </c>
      <c r="C20" s="147">
        <v>22.089552238805972</v>
      </c>
      <c r="D20" s="148">
        <v>122.09</v>
      </c>
      <c r="E20" s="149">
        <v>5127.78</v>
      </c>
      <c r="F20" s="147">
        <v>22.089552238805972</v>
      </c>
      <c r="G20" s="148">
        <v>128.40955223880596</v>
      </c>
      <c r="H20" s="149">
        <v>5393.2011940298498</v>
      </c>
      <c r="I20" s="147">
        <v>23.3044776119403</v>
      </c>
      <c r="J20" s="148">
        <v>135.47207761194028</v>
      </c>
      <c r="K20" s="149">
        <v>5689.827259701492</v>
      </c>
      <c r="L20" s="147">
        <v>24.469701492537315</v>
      </c>
      <c r="M20" s="148">
        <v>142.24568149253733</v>
      </c>
      <c r="N20" s="149">
        <v>5974.3186226865682</v>
      </c>
      <c r="O20" s="147">
        <v>25.570838059701494</v>
      </c>
      <c r="P20" s="148">
        <v>148.6467371597015</v>
      </c>
      <c r="Q20" s="149">
        <v>6243.1629607074628</v>
      </c>
      <c r="R20" s="147">
        <v>25.570838059701494</v>
      </c>
      <c r="S20" s="148">
        <v>148.6467371597015</v>
      </c>
      <c r="T20" s="149">
        <v>6243.1629607074628</v>
      </c>
      <c r="U20" s="147">
        <v>26.593671582089556</v>
      </c>
      <c r="V20" s="148">
        <v>154.59260664608956</v>
      </c>
      <c r="W20" s="149">
        <v>6492.8894791357616</v>
      </c>
      <c r="X20" s="148">
        <v>27.647418445373138</v>
      </c>
      <c r="Y20" s="148">
        <v>160.76631091193318</v>
      </c>
      <c r="Z20" s="149">
        <v>6752.1850583011937</v>
      </c>
      <c r="AA20" s="148">
        <v>29.029789367641797</v>
      </c>
      <c r="AB20" s="148">
        <v>168.80987645752984</v>
      </c>
      <c r="AC20" s="149">
        <v>7090.0148112162533</v>
      </c>
      <c r="AD20" s="148">
        <v>29.9</v>
      </c>
      <c r="AE20" s="145">
        <v>173.87</v>
      </c>
      <c r="AF20" s="149">
        <f t="shared" si="20"/>
        <v>7302.54</v>
      </c>
      <c r="AG20" s="148">
        <f t="shared" si="8"/>
        <v>30.797000000000001</v>
      </c>
      <c r="AH20" s="145">
        <f t="shared" si="8"/>
        <v>179.08610000000002</v>
      </c>
      <c r="AI20" s="149">
        <f t="shared" si="21"/>
        <v>7521.6162000000004</v>
      </c>
      <c r="AJ20" s="148">
        <f t="shared" si="9"/>
        <v>31.72091</v>
      </c>
      <c r="AK20" s="145">
        <f t="shared" si="9"/>
        <v>184.45868300000001</v>
      </c>
      <c r="AL20" s="149">
        <f>AK20*42</f>
        <v>7747.2646860000004</v>
      </c>
      <c r="AM20" s="332" t="s">
        <v>88</v>
      </c>
      <c r="AN20" s="350">
        <v>157.31990619000001</v>
      </c>
      <c r="AO20" s="351">
        <v>157.31990619000001</v>
      </c>
      <c r="AP20" s="352">
        <v>6607.4360599800002</v>
      </c>
      <c r="AQ20" s="332" t="s">
        <v>88</v>
      </c>
      <c r="AR20" s="350">
        <f t="shared" si="10"/>
        <v>162.03950337570001</v>
      </c>
      <c r="AS20" s="351">
        <f t="shared" si="11"/>
        <v>162.03950337570001</v>
      </c>
      <c r="AT20" s="352">
        <f t="shared" si="12"/>
        <v>6805.6591417794007</v>
      </c>
      <c r="AU20" s="350">
        <f t="shared" si="13"/>
        <v>166.900688476971</v>
      </c>
      <c r="AV20" s="351">
        <f t="shared" si="14"/>
        <v>166.900688476971</v>
      </c>
      <c r="AW20" s="352">
        <f t="shared" si="15"/>
        <v>7009.8289160327831</v>
      </c>
      <c r="AX20" s="350">
        <f t="shared" si="16"/>
        <v>171.90770913128014</v>
      </c>
      <c r="AY20" s="351">
        <f t="shared" si="17"/>
        <v>171.90770913128014</v>
      </c>
      <c r="AZ20" s="352">
        <f t="shared" si="18"/>
        <v>7220.1237835137672</v>
      </c>
      <c r="BA20" s="350">
        <f t="shared" si="19"/>
        <v>177.06494040521855</v>
      </c>
      <c r="BB20" s="351">
        <f t="shared" si="0"/>
        <v>177.06494040521855</v>
      </c>
      <c r="BC20" s="352">
        <f t="shared" si="1"/>
        <v>7436.7274970191802</v>
      </c>
      <c r="BD20" s="350">
        <f t="shared" si="2"/>
        <v>182.3768886173751</v>
      </c>
      <c r="BE20" s="351">
        <f t="shared" si="3"/>
        <v>182.3768886173751</v>
      </c>
      <c r="BF20" s="352">
        <f t="shared" si="4"/>
        <v>7659.8293219297557</v>
      </c>
      <c r="BG20" s="350">
        <f t="shared" si="5"/>
        <v>187.84819527589636</v>
      </c>
      <c r="BH20" s="351">
        <f t="shared" si="6"/>
        <v>187.84819527589636</v>
      </c>
      <c r="BI20" s="352">
        <f t="shared" si="7"/>
        <v>7889.6242015876487</v>
      </c>
    </row>
    <row r="21" spans="1:61" ht="13.8">
      <c r="A21" s="139">
        <v>221</v>
      </c>
      <c r="B21" s="130" t="s">
        <v>91</v>
      </c>
      <c r="C21" s="140">
        <v>40</v>
      </c>
      <c r="D21" s="141">
        <v>140</v>
      </c>
      <c r="E21" s="142">
        <v>5880</v>
      </c>
      <c r="F21" s="154">
        <v>40</v>
      </c>
      <c r="G21" s="141">
        <v>146.32</v>
      </c>
      <c r="H21" s="142">
        <v>6145.44</v>
      </c>
      <c r="I21" s="141">
        <v>42.2</v>
      </c>
      <c r="J21" s="141">
        <v>154.36759999999998</v>
      </c>
      <c r="K21" s="142">
        <v>6483.4391999999989</v>
      </c>
      <c r="L21" s="141">
        <v>44.31</v>
      </c>
      <c r="M21" s="141">
        <v>162.08598000000001</v>
      </c>
      <c r="N21" s="142">
        <v>6807.6111600000004</v>
      </c>
      <c r="O21" s="141">
        <v>46.30395</v>
      </c>
      <c r="P21" s="141">
        <v>169.3798491</v>
      </c>
      <c r="Q21" s="142">
        <v>7113.9536621999996</v>
      </c>
      <c r="R21" s="141">
        <v>46.30395</v>
      </c>
      <c r="S21" s="141">
        <v>169.3798491</v>
      </c>
      <c r="T21" s="142">
        <v>7113.9536621999996</v>
      </c>
      <c r="U21" s="141">
        <v>48.156108000000003</v>
      </c>
      <c r="V21" s="141">
        <v>176.15504306400001</v>
      </c>
      <c r="W21" s="142">
        <v>7398.5118086880002</v>
      </c>
      <c r="X21" s="141">
        <v>50.092352320000003</v>
      </c>
      <c r="Y21" s="141">
        <v>183.21124478656003</v>
      </c>
      <c r="Z21" s="142">
        <v>7694.8722810355212</v>
      </c>
      <c r="AA21" s="141">
        <v>52.58696993600001</v>
      </c>
      <c r="AB21" s="141">
        <v>192.36705702588804</v>
      </c>
      <c r="AC21" s="142">
        <v>8079.416395087298</v>
      </c>
      <c r="AD21" s="141">
        <v>54.17</v>
      </c>
      <c r="AE21" s="145">
        <v>198.14</v>
      </c>
      <c r="AF21" s="142">
        <f t="shared" si="20"/>
        <v>8321.8799999999992</v>
      </c>
      <c r="AG21" s="141">
        <f>AD21*(1+$AI$2)-0.01</f>
        <v>55.785100000000007</v>
      </c>
      <c r="AH21" s="145">
        <f t="shared" si="8"/>
        <v>204.08419999999998</v>
      </c>
      <c r="AI21" s="142">
        <f t="shared" si="21"/>
        <v>8571.536399999999</v>
      </c>
      <c r="AJ21" s="141">
        <f>AG21*(1+$AI$2)-0.01</f>
        <v>57.448653000000007</v>
      </c>
      <c r="AK21" s="145">
        <f>AH21*(1+$AI$2)-0.02</f>
        <v>210.18672599999996</v>
      </c>
      <c r="AL21" s="142">
        <f t="shared" si="22"/>
        <v>8827.8424919999979</v>
      </c>
      <c r="AM21" s="332" t="s">
        <v>90</v>
      </c>
      <c r="AN21" s="350">
        <v>32.672537300000002</v>
      </c>
      <c r="AO21" s="351">
        <v>189.99244349</v>
      </c>
      <c r="AP21" s="352">
        <v>7979.6826265800009</v>
      </c>
      <c r="AQ21" s="332" t="s">
        <v>90</v>
      </c>
      <c r="AR21" s="350">
        <f t="shared" si="10"/>
        <v>33.652713419000001</v>
      </c>
      <c r="AS21" s="351">
        <f t="shared" si="11"/>
        <v>195.69221679470002</v>
      </c>
      <c r="AT21" s="352">
        <f t="shared" si="12"/>
        <v>8219.0731053774016</v>
      </c>
      <c r="AU21" s="350">
        <f t="shared" si="13"/>
        <v>34.662294821570001</v>
      </c>
      <c r="AV21" s="351">
        <f t="shared" si="14"/>
        <v>201.56298329854101</v>
      </c>
      <c r="AW21" s="352">
        <f t="shared" si="15"/>
        <v>8465.6452985387241</v>
      </c>
      <c r="AX21" s="350">
        <f t="shared" si="16"/>
        <v>35.702163666217103</v>
      </c>
      <c r="AY21" s="351">
        <f t="shared" si="17"/>
        <v>207.60987279749725</v>
      </c>
      <c r="AZ21" s="352">
        <f t="shared" si="18"/>
        <v>8719.6146574948853</v>
      </c>
      <c r="BA21" s="350">
        <f t="shared" si="19"/>
        <v>36.773228576203614</v>
      </c>
      <c r="BB21" s="351">
        <f t="shared" si="0"/>
        <v>213.83816898142217</v>
      </c>
      <c r="BC21" s="352">
        <f t="shared" si="1"/>
        <v>8981.2030972197317</v>
      </c>
      <c r="BD21" s="350">
        <f t="shared" si="2"/>
        <v>37.876425433489722</v>
      </c>
      <c r="BE21" s="351">
        <f t="shared" si="3"/>
        <v>220.25331405086484</v>
      </c>
      <c r="BF21" s="352">
        <f t="shared" si="4"/>
        <v>9250.639190136324</v>
      </c>
      <c r="BG21" s="350">
        <f t="shared" si="5"/>
        <v>39.012718196494411</v>
      </c>
      <c r="BH21" s="351">
        <f t="shared" si="6"/>
        <v>226.86091347239079</v>
      </c>
      <c r="BI21" s="352">
        <f t="shared" si="7"/>
        <v>9528.1583658404143</v>
      </c>
    </row>
    <row r="22" spans="1:61" ht="13.8">
      <c r="A22" s="139">
        <v>225</v>
      </c>
      <c r="B22" s="194" t="s">
        <v>92</v>
      </c>
      <c r="C22" s="140">
        <v>19.07</v>
      </c>
      <c r="D22" s="141">
        <v>159.07</v>
      </c>
      <c r="E22" s="142">
        <v>6680.94</v>
      </c>
      <c r="F22" s="154">
        <v>74</v>
      </c>
      <c r="G22" s="141">
        <v>220.32</v>
      </c>
      <c r="H22" s="142">
        <v>9253.44</v>
      </c>
      <c r="I22" s="141">
        <v>78.069999999999993</v>
      </c>
      <c r="J22" s="141">
        <v>232.43759999999997</v>
      </c>
      <c r="K22" s="142">
        <v>9762.3791999999994</v>
      </c>
      <c r="L22" s="141">
        <v>81.973500000000001</v>
      </c>
      <c r="M22" s="141">
        <v>244.05948000000001</v>
      </c>
      <c r="N22" s="142">
        <v>10250.498160000001</v>
      </c>
      <c r="O22" s="141">
        <v>85.662307499999997</v>
      </c>
      <c r="P22" s="141">
        <v>255.0421566</v>
      </c>
      <c r="Q22" s="142">
        <v>10711.770577200001</v>
      </c>
      <c r="R22" s="141">
        <v>85.662307499999997</v>
      </c>
      <c r="S22" s="141">
        <v>255.0421566</v>
      </c>
      <c r="T22" s="142">
        <v>10711.770577200001</v>
      </c>
      <c r="U22" s="141">
        <v>89.088799800000004</v>
      </c>
      <c r="V22" s="141">
        <v>265.24384286400004</v>
      </c>
      <c r="W22" s="142">
        <v>11140.241400288001</v>
      </c>
      <c r="X22" s="141">
        <v>92.642351791999999</v>
      </c>
      <c r="Y22" s="141">
        <v>275.85359657856003</v>
      </c>
      <c r="Z22" s="142">
        <v>11585.851056299522</v>
      </c>
      <c r="AA22" s="141">
        <v>97.284469381600005</v>
      </c>
      <c r="AB22" s="141">
        <v>289.65152640748806</v>
      </c>
      <c r="AC22" s="142">
        <v>12165.364109114498</v>
      </c>
      <c r="AD22" s="141">
        <v>100.2</v>
      </c>
      <c r="AE22" s="145">
        <v>298.33999999999997</v>
      </c>
      <c r="AF22" s="142">
        <f t="shared" si="20"/>
        <v>12530.279999999999</v>
      </c>
      <c r="AG22" s="141">
        <f t="shared" si="8"/>
        <v>103.206</v>
      </c>
      <c r="AH22" s="145">
        <f t="shared" si="8"/>
        <v>307.29019999999997</v>
      </c>
      <c r="AI22" s="142">
        <f t="shared" si="21"/>
        <v>12906.188399999999</v>
      </c>
      <c r="AJ22" s="141">
        <f t="shared" ref="AJ22:AK35" si="23">AG22*(1+$AI$2)</f>
        <v>106.30218000000001</v>
      </c>
      <c r="AK22" s="145">
        <f>AH22*(1+$AI$2)-0.02</f>
        <v>316.48890599999999</v>
      </c>
      <c r="AL22" s="142">
        <f t="shared" si="22"/>
        <v>13292.534051999999</v>
      </c>
      <c r="AM22" s="332" t="s">
        <v>91</v>
      </c>
      <c r="AN22" s="350">
        <v>59.172112590000012</v>
      </c>
      <c r="AO22" s="351">
        <v>216.49232777999998</v>
      </c>
      <c r="AP22" s="352">
        <v>9092.6777667599981</v>
      </c>
      <c r="AQ22" s="332" t="s">
        <v>91</v>
      </c>
      <c r="AR22" s="350">
        <f t="shared" si="10"/>
        <v>60.947275967700016</v>
      </c>
      <c r="AS22" s="351">
        <f t="shared" si="11"/>
        <v>222.98709761339998</v>
      </c>
      <c r="AT22" s="352">
        <f t="shared" si="12"/>
        <v>9365.4580997627982</v>
      </c>
      <c r="AU22" s="350">
        <f t="shared" si="13"/>
        <v>62.775694246731021</v>
      </c>
      <c r="AV22" s="351">
        <f t="shared" si="14"/>
        <v>229.67671054180198</v>
      </c>
      <c r="AW22" s="352">
        <f t="shared" si="15"/>
        <v>9646.4218427556825</v>
      </c>
      <c r="AX22" s="350">
        <f t="shared" si="16"/>
        <v>64.658965074132951</v>
      </c>
      <c r="AY22" s="351">
        <f t="shared" si="17"/>
        <v>236.56701185805605</v>
      </c>
      <c r="AZ22" s="352">
        <f t="shared" si="18"/>
        <v>9935.8144980383531</v>
      </c>
      <c r="BA22" s="350">
        <f t="shared" si="19"/>
        <v>66.598734026356937</v>
      </c>
      <c r="BB22" s="351">
        <f t="shared" si="0"/>
        <v>243.66402221379775</v>
      </c>
      <c r="BC22" s="352">
        <f t="shared" si="1"/>
        <v>10233.888932979504</v>
      </c>
      <c r="BD22" s="350">
        <f t="shared" si="2"/>
        <v>68.596696047147645</v>
      </c>
      <c r="BE22" s="351">
        <f t="shared" si="3"/>
        <v>250.97394288021169</v>
      </c>
      <c r="BF22" s="352">
        <f t="shared" si="4"/>
        <v>10540.905600968888</v>
      </c>
      <c r="BG22" s="350">
        <f t="shared" si="5"/>
        <v>70.654596928562071</v>
      </c>
      <c r="BH22" s="351">
        <f t="shared" si="6"/>
        <v>258.50316116661804</v>
      </c>
      <c r="BI22" s="352">
        <f t="shared" si="7"/>
        <v>10857.132768997955</v>
      </c>
    </row>
    <row r="23" spans="1:61" ht="13.8">
      <c r="A23" s="139">
        <v>228</v>
      </c>
      <c r="B23" s="130" t="s">
        <v>93</v>
      </c>
      <c r="C23" s="140">
        <v>47.68</v>
      </c>
      <c r="D23" s="141">
        <v>206.75</v>
      </c>
      <c r="E23" s="142">
        <v>8683.5</v>
      </c>
      <c r="F23" s="154">
        <v>15</v>
      </c>
      <c r="G23" s="141">
        <v>235.32</v>
      </c>
      <c r="H23" s="142">
        <v>9883.44</v>
      </c>
      <c r="I23" s="141">
        <v>15.824999999999999</v>
      </c>
      <c r="J23" s="141">
        <v>248.27259999999995</v>
      </c>
      <c r="K23" s="142">
        <v>10427.449199999997</v>
      </c>
      <c r="L23" s="141">
        <v>16.616250000000001</v>
      </c>
      <c r="M23" s="141">
        <v>260.67572999999999</v>
      </c>
      <c r="N23" s="142">
        <v>10948.380659999999</v>
      </c>
      <c r="O23" s="141">
        <v>17.372289375000001</v>
      </c>
      <c r="P23" s="141">
        <v>272.41444597499998</v>
      </c>
      <c r="Q23" s="142">
        <v>11441.406730949999</v>
      </c>
      <c r="R23" s="141">
        <v>17.363981249999998</v>
      </c>
      <c r="S23" s="141">
        <v>272.40613784999999</v>
      </c>
      <c r="T23" s="142">
        <v>11441.0577897</v>
      </c>
      <c r="U23" s="141">
        <v>18.058540499999999</v>
      </c>
      <c r="V23" s="141">
        <v>283.30238336400004</v>
      </c>
      <c r="W23" s="142">
        <v>11898.700101288001</v>
      </c>
      <c r="X23" s="141">
        <v>18.780882120000001</v>
      </c>
      <c r="Y23" s="141">
        <v>294.63447869856003</v>
      </c>
      <c r="Z23" s="142">
        <v>12374.648105339522</v>
      </c>
      <c r="AA23" s="141">
        <v>19.709926226</v>
      </c>
      <c r="AB23" s="141">
        <v>309.36145263348806</v>
      </c>
      <c r="AC23" s="142">
        <v>12993.181010606499</v>
      </c>
      <c r="AD23" s="141">
        <v>20.3</v>
      </c>
      <c r="AE23" s="145">
        <v>318.64</v>
      </c>
      <c r="AF23" s="142">
        <f t="shared" si="20"/>
        <v>13382.88</v>
      </c>
      <c r="AG23" s="141">
        <f t="shared" si="8"/>
        <v>20.909000000000002</v>
      </c>
      <c r="AH23" s="145">
        <f t="shared" si="8"/>
        <v>328.19920000000002</v>
      </c>
      <c r="AI23" s="142">
        <f t="shared" si="21"/>
        <v>13784.366400000001</v>
      </c>
      <c r="AJ23" s="141">
        <f>AG23*(1+$AI$2)+0.03</f>
        <v>21.566270000000003</v>
      </c>
      <c r="AK23" s="145">
        <f>AH23*(1+$AI$2)</f>
        <v>338.04517600000003</v>
      </c>
      <c r="AL23" s="142">
        <f t="shared" si="22"/>
        <v>14197.897392000001</v>
      </c>
      <c r="AM23" s="332" t="s">
        <v>92</v>
      </c>
      <c r="AN23" s="350">
        <v>109.49124540000001</v>
      </c>
      <c r="AO23" s="351">
        <v>325.98357318000001</v>
      </c>
      <c r="AP23" s="352">
        <v>13691.31007356</v>
      </c>
      <c r="AQ23" s="332" t="s">
        <v>92</v>
      </c>
      <c r="AR23" s="350">
        <f t="shared" si="10"/>
        <v>112.77598276200001</v>
      </c>
      <c r="AS23" s="351">
        <f t="shared" si="11"/>
        <v>335.76308037540002</v>
      </c>
      <c r="AT23" s="352">
        <f t="shared" si="12"/>
        <v>14102.049375766801</v>
      </c>
      <c r="AU23" s="350">
        <f t="shared" si="13"/>
        <v>116.15926224486002</v>
      </c>
      <c r="AV23" s="351">
        <f t="shared" si="14"/>
        <v>345.83597278666201</v>
      </c>
      <c r="AW23" s="352">
        <f t="shared" si="15"/>
        <v>14525.110857039805</v>
      </c>
      <c r="AX23" s="350">
        <f t="shared" si="16"/>
        <v>119.64404011220581</v>
      </c>
      <c r="AY23" s="351">
        <f t="shared" si="17"/>
        <v>356.21105197026191</v>
      </c>
      <c r="AZ23" s="352">
        <f t="shared" si="18"/>
        <v>14960.864182751</v>
      </c>
      <c r="BA23" s="350">
        <f t="shared" si="19"/>
        <v>123.233361315572</v>
      </c>
      <c r="BB23" s="351">
        <f t="shared" si="0"/>
        <v>366.89738352936979</v>
      </c>
      <c r="BC23" s="352">
        <f t="shared" si="1"/>
        <v>15409.69010823353</v>
      </c>
      <c r="BD23" s="350">
        <f t="shared" si="2"/>
        <v>126.93036215503916</v>
      </c>
      <c r="BE23" s="351">
        <f t="shared" si="3"/>
        <v>377.9043050352509</v>
      </c>
      <c r="BF23" s="352">
        <f t="shared" si="4"/>
        <v>15871.980811480536</v>
      </c>
      <c r="BG23" s="350">
        <f t="shared" si="5"/>
        <v>130.73827301969035</v>
      </c>
      <c r="BH23" s="351">
        <f t="shared" si="6"/>
        <v>389.24143418630842</v>
      </c>
      <c r="BI23" s="352">
        <f t="shared" si="7"/>
        <v>16348.140235824952</v>
      </c>
    </row>
    <row r="24" spans="1:61" ht="14.4" thickBot="1">
      <c r="A24" s="186">
        <v>227</v>
      </c>
      <c r="B24" s="203" t="s">
        <v>94</v>
      </c>
      <c r="C24" s="196">
        <v>0</v>
      </c>
      <c r="D24" s="189">
        <v>0</v>
      </c>
      <c r="E24" s="190">
        <v>0</v>
      </c>
      <c r="F24" s="189">
        <v>0</v>
      </c>
      <c r="G24" s="189">
        <v>0</v>
      </c>
      <c r="H24" s="190">
        <v>0</v>
      </c>
      <c r="I24" s="196">
        <v>0</v>
      </c>
      <c r="J24" s="189">
        <v>0</v>
      </c>
      <c r="K24" s="190">
        <v>0</v>
      </c>
      <c r="L24" s="196">
        <v>0</v>
      </c>
      <c r="M24" s="189">
        <v>0</v>
      </c>
      <c r="N24" s="190">
        <v>0</v>
      </c>
      <c r="O24" s="196">
        <v>0</v>
      </c>
      <c r="P24" s="189">
        <v>0</v>
      </c>
      <c r="Q24" s="190">
        <v>0</v>
      </c>
      <c r="R24" s="196">
        <v>0</v>
      </c>
      <c r="S24" s="189">
        <v>0</v>
      </c>
      <c r="T24" s="190">
        <v>0</v>
      </c>
      <c r="U24" s="196">
        <v>0</v>
      </c>
      <c r="V24" s="189">
        <v>0</v>
      </c>
      <c r="W24" s="190">
        <v>0</v>
      </c>
      <c r="X24" s="189">
        <v>0</v>
      </c>
      <c r="Y24" s="189">
        <v>0</v>
      </c>
      <c r="Z24" s="190">
        <v>0</v>
      </c>
      <c r="AA24" s="189">
        <v>0</v>
      </c>
      <c r="AB24" s="189">
        <v>0</v>
      </c>
      <c r="AC24" s="190">
        <v>0</v>
      </c>
      <c r="AD24" s="189">
        <v>0</v>
      </c>
      <c r="AE24" s="192">
        <v>0</v>
      </c>
      <c r="AF24" s="190">
        <f t="shared" si="20"/>
        <v>0</v>
      </c>
      <c r="AG24" s="189">
        <f t="shared" si="8"/>
        <v>0</v>
      </c>
      <c r="AH24" s="192">
        <f t="shared" si="8"/>
        <v>0</v>
      </c>
      <c r="AI24" s="190">
        <f t="shared" si="21"/>
        <v>0</v>
      </c>
      <c r="AJ24" s="189">
        <f t="shared" si="23"/>
        <v>0</v>
      </c>
      <c r="AK24" s="192">
        <f t="shared" si="23"/>
        <v>0</v>
      </c>
      <c r="AL24" s="190">
        <f t="shared" si="22"/>
        <v>0</v>
      </c>
      <c r="AM24" s="332" t="s">
        <v>93</v>
      </c>
      <c r="AN24" s="350">
        <v>22.213258100000004</v>
      </c>
      <c r="AO24" s="351">
        <v>348.18653128000005</v>
      </c>
      <c r="AP24" s="352">
        <v>14623.83431376</v>
      </c>
      <c r="AQ24" s="332" t="s">
        <v>93</v>
      </c>
      <c r="AR24" s="350">
        <f t="shared" si="10"/>
        <v>22.879655843000005</v>
      </c>
      <c r="AS24" s="351">
        <f t="shared" si="11"/>
        <v>358.63212721840006</v>
      </c>
      <c r="AT24" s="352">
        <f t="shared" si="12"/>
        <v>15062.549343172801</v>
      </c>
      <c r="AU24" s="350">
        <f t="shared" si="13"/>
        <v>23.566045518290007</v>
      </c>
      <c r="AV24" s="351">
        <f t="shared" si="14"/>
        <v>369.39109103495207</v>
      </c>
      <c r="AW24" s="352">
        <f t="shared" si="15"/>
        <v>15514.425823467986</v>
      </c>
      <c r="AX24" s="350">
        <f t="shared" si="16"/>
        <v>24.273026883838707</v>
      </c>
      <c r="AY24" s="351">
        <f t="shared" si="17"/>
        <v>380.47282376600066</v>
      </c>
      <c r="AZ24" s="352">
        <f t="shared" si="18"/>
        <v>15979.858598172026</v>
      </c>
      <c r="BA24" s="350">
        <f t="shared" si="19"/>
        <v>25.001217690353869</v>
      </c>
      <c r="BB24" s="351">
        <f t="shared" si="0"/>
        <v>391.8870084789807</v>
      </c>
      <c r="BC24" s="352">
        <f t="shared" si="1"/>
        <v>16459.254356117188</v>
      </c>
      <c r="BD24" s="350">
        <f t="shared" si="2"/>
        <v>25.751254221064485</v>
      </c>
      <c r="BE24" s="351">
        <f t="shared" si="3"/>
        <v>403.64361873335014</v>
      </c>
      <c r="BF24" s="352">
        <f t="shared" si="4"/>
        <v>16953.031986800703</v>
      </c>
      <c r="BG24" s="350">
        <f t="shared" si="5"/>
        <v>26.523791847696419</v>
      </c>
      <c r="BH24" s="351">
        <f t="shared" si="6"/>
        <v>415.75292729535067</v>
      </c>
      <c r="BI24" s="352">
        <f t="shared" si="7"/>
        <v>17461.622946404725</v>
      </c>
    </row>
    <row r="25" spans="1:61" ht="14.4" thickBot="1">
      <c r="A25" s="139">
        <v>210</v>
      </c>
      <c r="B25" s="130" t="s">
        <v>85</v>
      </c>
      <c r="C25" s="140">
        <v>15</v>
      </c>
      <c r="D25" s="141">
        <v>15</v>
      </c>
      <c r="E25" s="142">
        <v>630</v>
      </c>
      <c r="F25" s="202">
        <v>35.32</v>
      </c>
      <c r="G25" s="134">
        <v>35.32</v>
      </c>
      <c r="H25" s="142">
        <v>1483.44</v>
      </c>
      <c r="I25" s="141">
        <v>37.262599999999999</v>
      </c>
      <c r="J25" s="141">
        <v>37.262599999999999</v>
      </c>
      <c r="K25" s="142">
        <v>1565.0291999999999</v>
      </c>
      <c r="L25" s="141">
        <v>39.125729999999997</v>
      </c>
      <c r="M25" s="141">
        <v>39.125729999999997</v>
      </c>
      <c r="N25" s="142">
        <v>1643.2806599999999</v>
      </c>
      <c r="O25" s="141">
        <v>40.886387849999991</v>
      </c>
      <c r="P25" s="141">
        <v>40.886387849999991</v>
      </c>
      <c r="Q25" s="142">
        <v>1717.2282896999996</v>
      </c>
      <c r="R25" s="141">
        <v>63.55</v>
      </c>
      <c r="S25" s="141">
        <v>63.55</v>
      </c>
      <c r="T25" s="142">
        <v>2669.1</v>
      </c>
      <c r="U25" s="141">
        <v>66.091999999999999</v>
      </c>
      <c r="V25" s="141">
        <v>66.091999999999999</v>
      </c>
      <c r="W25" s="142">
        <v>2775.864</v>
      </c>
      <c r="X25" s="141">
        <v>68.725679999999997</v>
      </c>
      <c r="Y25" s="141">
        <v>68.725679999999997</v>
      </c>
      <c r="Z25" s="142">
        <v>2886.47856</v>
      </c>
      <c r="AA25" s="141">
        <v>72.161963999999998</v>
      </c>
      <c r="AB25" s="141">
        <v>72.161963999999998</v>
      </c>
      <c r="AC25" s="142">
        <v>3030.8024879999998</v>
      </c>
      <c r="AD25" s="141">
        <v>74.319999999999993</v>
      </c>
      <c r="AE25" s="145">
        <v>74.319999999999993</v>
      </c>
      <c r="AF25" s="142">
        <f t="shared" si="20"/>
        <v>3121.4399999999996</v>
      </c>
      <c r="AG25" s="141">
        <f t="shared" si="8"/>
        <v>76.549599999999998</v>
      </c>
      <c r="AH25" s="145">
        <f t="shared" si="8"/>
        <v>76.549599999999998</v>
      </c>
      <c r="AI25" s="142">
        <f t="shared" si="21"/>
        <v>3215.0832</v>
      </c>
      <c r="AJ25" s="141">
        <f t="shared" si="23"/>
        <v>78.846087999999995</v>
      </c>
      <c r="AK25" s="145">
        <f t="shared" si="23"/>
        <v>78.846087999999995</v>
      </c>
      <c r="AL25" s="142">
        <f t="shared" si="22"/>
        <v>3311.5356959999999</v>
      </c>
      <c r="AM25" s="334" t="s">
        <v>94</v>
      </c>
      <c r="AN25" s="353">
        <v>0</v>
      </c>
      <c r="AO25" s="354">
        <v>0</v>
      </c>
      <c r="AP25" s="355">
        <v>0</v>
      </c>
      <c r="AQ25" s="334" t="s">
        <v>94</v>
      </c>
      <c r="AR25" s="353">
        <f t="shared" si="10"/>
        <v>0</v>
      </c>
      <c r="AS25" s="354">
        <f t="shared" si="11"/>
        <v>0</v>
      </c>
      <c r="AT25" s="355">
        <f t="shared" si="12"/>
        <v>0</v>
      </c>
      <c r="AU25" s="353">
        <f t="shared" si="13"/>
        <v>0</v>
      </c>
      <c r="AV25" s="354">
        <f t="shared" si="14"/>
        <v>0</v>
      </c>
      <c r="AW25" s="355">
        <f t="shared" si="15"/>
        <v>0</v>
      </c>
      <c r="AX25" s="353">
        <f t="shared" si="16"/>
        <v>0</v>
      </c>
      <c r="AY25" s="354">
        <f t="shared" si="17"/>
        <v>0</v>
      </c>
      <c r="AZ25" s="355">
        <f t="shared" si="18"/>
        <v>0</v>
      </c>
      <c r="BA25" s="353">
        <f t="shared" si="19"/>
        <v>0</v>
      </c>
      <c r="BB25" s="354">
        <f t="shared" si="0"/>
        <v>0</v>
      </c>
      <c r="BC25" s="355">
        <f t="shared" si="1"/>
        <v>0</v>
      </c>
      <c r="BD25" s="353">
        <f t="shared" si="2"/>
        <v>0</v>
      </c>
      <c r="BE25" s="354">
        <f t="shared" si="3"/>
        <v>0</v>
      </c>
      <c r="BF25" s="355">
        <f t="shared" si="4"/>
        <v>0</v>
      </c>
      <c r="BG25" s="353">
        <f t="shared" si="5"/>
        <v>0</v>
      </c>
      <c r="BH25" s="354">
        <f t="shared" si="6"/>
        <v>0</v>
      </c>
      <c r="BI25" s="355">
        <f t="shared" si="7"/>
        <v>0</v>
      </c>
    </row>
    <row r="26" spans="1:61" ht="13.8">
      <c r="A26" s="139">
        <v>260</v>
      </c>
      <c r="B26" s="130" t="s">
        <v>88</v>
      </c>
      <c r="C26" s="140">
        <v>100</v>
      </c>
      <c r="D26" s="141">
        <v>100</v>
      </c>
      <c r="E26" s="142">
        <v>4200</v>
      </c>
      <c r="F26" s="154">
        <v>106.32</v>
      </c>
      <c r="G26" s="141">
        <v>106.32</v>
      </c>
      <c r="H26" s="142">
        <v>4465.4399999999996</v>
      </c>
      <c r="I26" s="141">
        <v>112.16759999999999</v>
      </c>
      <c r="J26" s="141">
        <v>112.16759999999999</v>
      </c>
      <c r="K26" s="142">
        <v>4711.0391999999993</v>
      </c>
      <c r="L26" s="141">
        <v>117.77598</v>
      </c>
      <c r="M26" s="141">
        <v>117.77598</v>
      </c>
      <c r="N26" s="142">
        <v>4946.5911599999999</v>
      </c>
      <c r="O26" s="141">
        <v>123.0758991</v>
      </c>
      <c r="P26" s="141">
        <v>123.0758991</v>
      </c>
      <c r="Q26" s="142">
        <v>5169.1877622000002</v>
      </c>
      <c r="R26" s="141">
        <v>123.0758991</v>
      </c>
      <c r="S26" s="141">
        <v>123.0758991</v>
      </c>
      <c r="T26" s="142">
        <v>5169.1877622000002</v>
      </c>
      <c r="U26" s="141">
        <v>127.99893506400001</v>
      </c>
      <c r="V26" s="141">
        <v>127.99893506400001</v>
      </c>
      <c r="W26" s="142">
        <v>5375.9552726880002</v>
      </c>
      <c r="X26" s="141">
        <v>133.11889246656003</v>
      </c>
      <c r="Y26" s="141">
        <v>133.11889246656003</v>
      </c>
      <c r="Z26" s="142">
        <v>5590.993483595521</v>
      </c>
      <c r="AA26" s="141">
        <v>139.78008708988804</v>
      </c>
      <c r="AB26" s="141">
        <v>139.78008708988804</v>
      </c>
      <c r="AC26" s="142">
        <v>5870.7636577752974</v>
      </c>
      <c r="AD26" s="141">
        <v>143.97</v>
      </c>
      <c r="AE26" s="145">
        <v>143.97</v>
      </c>
      <c r="AF26" s="142">
        <f t="shared" si="20"/>
        <v>6046.74</v>
      </c>
      <c r="AG26" s="141">
        <f t="shared" si="8"/>
        <v>148.28909999999999</v>
      </c>
      <c r="AH26" s="145">
        <f t="shared" si="8"/>
        <v>148.28909999999999</v>
      </c>
      <c r="AI26" s="142">
        <f t="shared" si="21"/>
        <v>6228.1421999999993</v>
      </c>
      <c r="AJ26" s="141">
        <f t="shared" si="23"/>
        <v>152.737773</v>
      </c>
      <c r="AK26" s="145">
        <f t="shared" si="23"/>
        <v>152.737773</v>
      </c>
      <c r="AL26" s="142">
        <f t="shared" si="22"/>
        <v>6414.9864660000003</v>
      </c>
      <c r="AM26" s="332" t="s">
        <v>85</v>
      </c>
      <c r="AN26" s="350">
        <v>81.211470640000002</v>
      </c>
      <c r="AO26" s="351">
        <v>81.211470640000002</v>
      </c>
      <c r="AP26" s="352">
        <v>3410.8817668800002</v>
      </c>
      <c r="AQ26" s="332" t="s">
        <v>85</v>
      </c>
      <c r="AR26" s="350">
        <f t="shared" si="10"/>
        <v>83.647814759200003</v>
      </c>
      <c r="AS26" s="351">
        <f t="shared" si="11"/>
        <v>83.647814759200003</v>
      </c>
      <c r="AT26" s="352">
        <f t="shared" si="12"/>
        <v>3513.2082198864005</v>
      </c>
      <c r="AU26" s="350">
        <f t="shared" si="13"/>
        <v>86.157249201976001</v>
      </c>
      <c r="AV26" s="351">
        <f t="shared" si="14"/>
        <v>86.157249201976001</v>
      </c>
      <c r="AW26" s="352">
        <f t="shared" si="15"/>
        <v>3618.6044664829924</v>
      </c>
      <c r="AX26" s="350">
        <f t="shared" si="16"/>
        <v>88.741966678035283</v>
      </c>
      <c r="AY26" s="351">
        <f t="shared" si="17"/>
        <v>88.741966678035283</v>
      </c>
      <c r="AZ26" s="352">
        <f t="shared" si="18"/>
        <v>3727.1626004774821</v>
      </c>
      <c r="BA26" s="350">
        <f t="shared" si="19"/>
        <v>91.404225678376349</v>
      </c>
      <c r="BB26" s="351">
        <f t="shared" si="0"/>
        <v>91.404225678376349</v>
      </c>
      <c r="BC26" s="352">
        <f t="shared" si="1"/>
        <v>3838.9774784918068</v>
      </c>
      <c r="BD26" s="350">
        <f t="shared" si="2"/>
        <v>94.14635244872764</v>
      </c>
      <c r="BE26" s="351">
        <f t="shared" si="3"/>
        <v>94.14635244872764</v>
      </c>
      <c r="BF26" s="352">
        <f t="shared" si="4"/>
        <v>3954.1468028465611</v>
      </c>
      <c r="BG26" s="350">
        <f t="shared" si="5"/>
        <v>96.970743022189467</v>
      </c>
      <c r="BH26" s="351">
        <f t="shared" si="6"/>
        <v>96.970743022189467</v>
      </c>
      <c r="BI26" s="352">
        <f t="shared" si="7"/>
        <v>4072.7712069319582</v>
      </c>
    </row>
    <row r="27" spans="1:61" ht="13.8">
      <c r="A27" s="146">
        <v>231</v>
      </c>
      <c r="B27" s="131" t="s">
        <v>90</v>
      </c>
      <c r="C27" s="147">
        <v>22.089552238805972</v>
      </c>
      <c r="D27" s="148">
        <v>122.09</v>
      </c>
      <c r="E27" s="149">
        <v>5127.78</v>
      </c>
      <c r="F27" s="147">
        <v>22.089552238805972</v>
      </c>
      <c r="G27" s="148">
        <v>128.40955223880596</v>
      </c>
      <c r="H27" s="149">
        <v>5393.2011940298498</v>
      </c>
      <c r="I27" s="147">
        <v>23.3044776119403</v>
      </c>
      <c r="J27" s="148">
        <v>135.47207761194028</v>
      </c>
      <c r="K27" s="149">
        <v>5689.827259701492</v>
      </c>
      <c r="L27" s="148">
        <v>24.469701492537315</v>
      </c>
      <c r="M27" s="148">
        <v>142.24568149253733</v>
      </c>
      <c r="N27" s="149">
        <v>5974.3186226865682</v>
      </c>
      <c r="O27" s="148">
        <v>25.570838059701494</v>
      </c>
      <c r="P27" s="148">
        <v>148.6467371597015</v>
      </c>
      <c r="Q27" s="149">
        <v>6243.1629607074628</v>
      </c>
      <c r="R27" s="148">
        <v>25.570838059701494</v>
      </c>
      <c r="S27" s="148">
        <v>148.6467371597015</v>
      </c>
      <c r="T27" s="149">
        <v>6243.1629607074628</v>
      </c>
      <c r="U27" s="148">
        <v>26.593671582089556</v>
      </c>
      <c r="V27" s="148">
        <v>154.59260664608956</v>
      </c>
      <c r="W27" s="149">
        <v>6492.8894791357616</v>
      </c>
      <c r="X27" s="148">
        <v>27.647418445373138</v>
      </c>
      <c r="Y27" s="148">
        <v>160.76631091193318</v>
      </c>
      <c r="Z27" s="149">
        <v>6752.1850583011937</v>
      </c>
      <c r="AA27" s="148">
        <v>29.029789367641797</v>
      </c>
      <c r="AB27" s="148">
        <v>168.80987645752984</v>
      </c>
      <c r="AC27" s="149">
        <v>7090.0148112162533</v>
      </c>
      <c r="AD27" s="148">
        <v>29.9</v>
      </c>
      <c r="AE27" s="145">
        <v>173.87</v>
      </c>
      <c r="AF27" s="149">
        <f t="shared" si="20"/>
        <v>7302.54</v>
      </c>
      <c r="AG27" s="148">
        <f t="shared" si="8"/>
        <v>30.797000000000001</v>
      </c>
      <c r="AH27" s="145">
        <f t="shared" si="8"/>
        <v>179.08610000000002</v>
      </c>
      <c r="AI27" s="149">
        <f t="shared" si="21"/>
        <v>7521.6162000000004</v>
      </c>
      <c r="AJ27" s="148">
        <f t="shared" si="23"/>
        <v>31.72091</v>
      </c>
      <c r="AK27" s="145">
        <f t="shared" si="23"/>
        <v>184.45868300000001</v>
      </c>
      <c r="AL27" s="149">
        <f t="shared" si="22"/>
        <v>7747.2646860000004</v>
      </c>
      <c r="AM27" s="332" t="s">
        <v>88</v>
      </c>
      <c r="AN27" s="350">
        <v>157.31990619000001</v>
      </c>
      <c r="AO27" s="351">
        <v>157.31990619000001</v>
      </c>
      <c r="AP27" s="352">
        <v>6607.4360599800002</v>
      </c>
      <c r="AQ27" s="332" t="s">
        <v>88</v>
      </c>
      <c r="AR27" s="350">
        <f t="shared" si="10"/>
        <v>162.03950337570001</v>
      </c>
      <c r="AS27" s="351">
        <f t="shared" si="11"/>
        <v>162.03950337570001</v>
      </c>
      <c r="AT27" s="352">
        <f t="shared" si="12"/>
        <v>6805.6591417794007</v>
      </c>
      <c r="AU27" s="350">
        <f t="shared" si="13"/>
        <v>166.900688476971</v>
      </c>
      <c r="AV27" s="351">
        <f t="shared" si="14"/>
        <v>166.900688476971</v>
      </c>
      <c r="AW27" s="352">
        <f t="shared" si="15"/>
        <v>7009.8289160327831</v>
      </c>
      <c r="AX27" s="350">
        <f t="shared" si="16"/>
        <v>171.90770913128014</v>
      </c>
      <c r="AY27" s="351">
        <f t="shared" si="17"/>
        <v>171.90770913128014</v>
      </c>
      <c r="AZ27" s="352">
        <f t="shared" si="18"/>
        <v>7220.1237835137672</v>
      </c>
      <c r="BA27" s="350">
        <f t="shared" si="19"/>
        <v>177.06494040521855</v>
      </c>
      <c r="BB27" s="351">
        <f t="shared" si="0"/>
        <v>177.06494040521855</v>
      </c>
      <c r="BC27" s="352">
        <f t="shared" si="1"/>
        <v>7436.7274970191802</v>
      </c>
      <c r="BD27" s="350">
        <f t="shared" si="2"/>
        <v>182.3768886173751</v>
      </c>
      <c r="BE27" s="351">
        <f t="shared" si="3"/>
        <v>182.3768886173751</v>
      </c>
      <c r="BF27" s="352">
        <f t="shared" si="4"/>
        <v>7659.8293219297557</v>
      </c>
      <c r="BG27" s="350">
        <f t="shared" si="5"/>
        <v>187.84819527589636</v>
      </c>
      <c r="BH27" s="351">
        <f t="shared" si="6"/>
        <v>187.84819527589636</v>
      </c>
      <c r="BI27" s="352">
        <f t="shared" si="7"/>
        <v>7889.6242015876487</v>
      </c>
    </row>
    <row r="28" spans="1:61" ht="13.8">
      <c r="A28" s="139">
        <v>221</v>
      </c>
      <c r="B28" s="130" t="s">
        <v>91</v>
      </c>
      <c r="C28" s="140">
        <v>40</v>
      </c>
      <c r="D28" s="141">
        <v>140</v>
      </c>
      <c r="E28" s="142">
        <v>5880</v>
      </c>
      <c r="F28" s="154">
        <v>40</v>
      </c>
      <c r="G28" s="141">
        <v>146.32</v>
      </c>
      <c r="H28" s="142">
        <v>6145.44</v>
      </c>
      <c r="I28" s="141">
        <v>42.2</v>
      </c>
      <c r="J28" s="141">
        <v>154.36759999999998</v>
      </c>
      <c r="K28" s="142">
        <v>6483.4391999999989</v>
      </c>
      <c r="L28" s="141">
        <v>44.31</v>
      </c>
      <c r="M28" s="141">
        <v>162.08598000000001</v>
      </c>
      <c r="N28" s="142">
        <v>6807.6111600000004</v>
      </c>
      <c r="O28" s="141">
        <v>46.30395</v>
      </c>
      <c r="P28" s="141">
        <v>169.3798491</v>
      </c>
      <c r="Q28" s="142">
        <v>7113.9536621999996</v>
      </c>
      <c r="R28" s="141">
        <v>46.30395</v>
      </c>
      <c r="S28" s="141">
        <v>169.3798491</v>
      </c>
      <c r="T28" s="142">
        <v>7113.9536621999996</v>
      </c>
      <c r="U28" s="141">
        <v>48.156108000000003</v>
      </c>
      <c r="V28" s="141">
        <v>176.15504306400001</v>
      </c>
      <c r="W28" s="142">
        <v>7398.5118086880002</v>
      </c>
      <c r="X28" s="141">
        <v>50.092352320000003</v>
      </c>
      <c r="Y28" s="141">
        <v>183.21124478656003</v>
      </c>
      <c r="Z28" s="142">
        <v>7694.8722810355212</v>
      </c>
      <c r="AA28" s="141">
        <v>52.58696993600001</v>
      </c>
      <c r="AB28" s="141">
        <v>192.36705702588804</v>
      </c>
      <c r="AC28" s="142">
        <v>8079.416395087298</v>
      </c>
      <c r="AD28" s="141">
        <v>54.17</v>
      </c>
      <c r="AE28" s="145">
        <v>198.14</v>
      </c>
      <c r="AF28" s="142">
        <f t="shared" si="20"/>
        <v>8321.8799999999992</v>
      </c>
      <c r="AG28" s="141">
        <f>AD28*(1+$AI$2)-0.01</f>
        <v>55.785100000000007</v>
      </c>
      <c r="AH28" s="145">
        <f t="shared" si="8"/>
        <v>204.08419999999998</v>
      </c>
      <c r="AI28" s="142">
        <f t="shared" si="21"/>
        <v>8571.536399999999</v>
      </c>
      <c r="AJ28" s="141">
        <f>AG28*(1+$AI$2)-0.01</f>
        <v>57.448653000000007</v>
      </c>
      <c r="AK28" s="145">
        <f>AH28*(1+$AI$2)-0.02</f>
        <v>210.18672599999996</v>
      </c>
      <c r="AL28" s="142">
        <f>AK28*42</f>
        <v>8827.8424919999979</v>
      </c>
      <c r="AM28" s="332" t="s">
        <v>90</v>
      </c>
      <c r="AN28" s="350">
        <v>32.672537300000002</v>
      </c>
      <c r="AO28" s="351">
        <v>189.99244349</v>
      </c>
      <c r="AP28" s="352">
        <v>7979.6826265800009</v>
      </c>
      <c r="AQ28" s="332" t="s">
        <v>90</v>
      </c>
      <c r="AR28" s="350">
        <f t="shared" si="10"/>
        <v>33.652713419000001</v>
      </c>
      <c r="AS28" s="351">
        <f t="shared" si="11"/>
        <v>195.69221679470002</v>
      </c>
      <c r="AT28" s="352">
        <f t="shared" si="12"/>
        <v>8219.0731053774016</v>
      </c>
      <c r="AU28" s="350">
        <f t="shared" si="13"/>
        <v>34.662294821570001</v>
      </c>
      <c r="AV28" s="351">
        <f t="shared" si="14"/>
        <v>201.56298329854101</v>
      </c>
      <c r="AW28" s="352">
        <f t="shared" si="15"/>
        <v>8465.6452985387241</v>
      </c>
      <c r="AX28" s="350">
        <f t="shared" si="16"/>
        <v>35.702163666217103</v>
      </c>
      <c r="AY28" s="351">
        <f t="shared" si="17"/>
        <v>207.60987279749725</v>
      </c>
      <c r="AZ28" s="352">
        <f t="shared" si="18"/>
        <v>8719.6146574948853</v>
      </c>
      <c r="BA28" s="350">
        <f t="shared" si="19"/>
        <v>36.773228576203614</v>
      </c>
      <c r="BB28" s="351">
        <f t="shared" si="0"/>
        <v>213.83816898142217</v>
      </c>
      <c r="BC28" s="352">
        <f t="shared" si="1"/>
        <v>8981.2030972197317</v>
      </c>
      <c r="BD28" s="350">
        <f t="shared" si="2"/>
        <v>37.876425433489722</v>
      </c>
      <c r="BE28" s="351">
        <f t="shared" si="3"/>
        <v>220.25331405086484</v>
      </c>
      <c r="BF28" s="352">
        <f t="shared" si="4"/>
        <v>9250.639190136324</v>
      </c>
      <c r="BG28" s="350">
        <f t="shared" si="5"/>
        <v>39.012718196494411</v>
      </c>
      <c r="BH28" s="351">
        <f t="shared" si="6"/>
        <v>226.86091347239079</v>
      </c>
      <c r="BI28" s="352">
        <f t="shared" si="7"/>
        <v>9528.1583658404143</v>
      </c>
    </row>
    <row r="29" spans="1:61" ht="13.8">
      <c r="A29" s="146">
        <v>243</v>
      </c>
      <c r="B29" s="131" t="s">
        <v>95</v>
      </c>
      <c r="C29" s="147">
        <v>8.1360946745562135</v>
      </c>
      <c r="D29" s="148">
        <v>148.13999999999999</v>
      </c>
      <c r="E29" s="149">
        <v>6221.8799999999992</v>
      </c>
      <c r="F29" s="147">
        <v>16.272189349112427</v>
      </c>
      <c r="G29" s="148">
        <v>162.5921893491124</v>
      </c>
      <c r="H29" s="149">
        <v>6828.871952662721</v>
      </c>
      <c r="I29" s="147">
        <v>17.168639053254438</v>
      </c>
      <c r="J29" s="148">
        <v>171.53623905325441</v>
      </c>
      <c r="K29" s="149">
        <v>7204.5220402366849</v>
      </c>
      <c r="L29" s="147">
        <v>18.027071005917161</v>
      </c>
      <c r="M29" s="148">
        <v>180.11305100591716</v>
      </c>
      <c r="N29" s="149">
        <v>7564.7481422485207</v>
      </c>
      <c r="O29" s="147">
        <v>18.838289201183432</v>
      </c>
      <c r="P29" s="148">
        <v>188.21813830118344</v>
      </c>
      <c r="Q29" s="149">
        <v>7905.1618086497047</v>
      </c>
      <c r="R29" s="147">
        <v>18.838289201183432</v>
      </c>
      <c r="S29" s="148">
        <v>188.21813830118344</v>
      </c>
      <c r="T29" s="149">
        <v>7905.1618086497047</v>
      </c>
      <c r="U29" s="147">
        <v>19.591820769230772</v>
      </c>
      <c r="V29" s="148">
        <v>195.74686383323078</v>
      </c>
      <c r="W29" s="149">
        <v>8221.3682809956917</v>
      </c>
      <c r="X29" s="148">
        <v>20.365493600000001</v>
      </c>
      <c r="Y29" s="148">
        <v>203.57673838656004</v>
      </c>
      <c r="Z29" s="149">
        <v>8550.2230122355213</v>
      </c>
      <c r="AA29" s="148">
        <v>21.393768280000003</v>
      </c>
      <c r="AB29" s="148">
        <v>213.76082530588803</v>
      </c>
      <c r="AC29" s="149">
        <v>8977.9546628472981</v>
      </c>
      <c r="AD29" s="148">
        <v>22.03</v>
      </c>
      <c r="AE29" s="145">
        <v>220.17</v>
      </c>
      <c r="AF29" s="149">
        <f t="shared" si="20"/>
        <v>9247.14</v>
      </c>
      <c r="AG29" s="148">
        <f>AD29*(1+$AI$2)+0.01</f>
        <v>22.700900000000004</v>
      </c>
      <c r="AH29" s="145">
        <f t="shared" si="8"/>
        <v>226.77509999999998</v>
      </c>
      <c r="AI29" s="149">
        <f t="shared" si="21"/>
        <v>9524.5541999999987</v>
      </c>
      <c r="AJ29" s="148">
        <f>AG29*(1+$AI$2)+0.01</f>
        <v>23.391927000000006</v>
      </c>
      <c r="AK29" s="145">
        <f t="shared" si="23"/>
        <v>233.57835299999999</v>
      </c>
      <c r="AL29" s="149">
        <f t="shared" si="22"/>
        <v>9810.2908260000004</v>
      </c>
      <c r="AM29" s="332" t="s">
        <v>91</v>
      </c>
      <c r="AN29" s="350">
        <v>59.172112590000012</v>
      </c>
      <c r="AO29" s="351">
        <v>216.49232777999998</v>
      </c>
      <c r="AP29" s="352">
        <v>9092.6777667599981</v>
      </c>
      <c r="AQ29" s="332" t="s">
        <v>91</v>
      </c>
      <c r="AR29" s="350">
        <f t="shared" si="10"/>
        <v>60.947275967700016</v>
      </c>
      <c r="AS29" s="351">
        <f t="shared" si="11"/>
        <v>222.98709761339998</v>
      </c>
      <c r="AT29" s="352">
        <f t="shared" si="12"/>
        <v>9365.4580997627982</v>
      </c>
      <c r="AU29" s="350">
        <f t="shared" si="13"/>
        <v>62.775694246731021</v>
      </c>
      <c r="AV29" s="351">
        <f t="shared" si="14"/>
        <v>229.67671054180198</v>
      </c>
      <c r="AW29" s="352">
        <f t="shared" si="15"/>
        <v>9646.4218427556825</v>
      </c>
      <c r="AX29" s="350">
        <f t="shared" si="16"/>
        <v>64.658965074132951</v>
      </c>
      <c r="AY29" s="351">
        <f t="shared" si="17"/>
        <v>236.56701185805605</v>
      </c>
      <c r="AZ29" s="352">
        <f t="shared" si="18"/>
        <v>9935.8144980383531</v>
      </c>
      <c r="BA29" s="350">
        <f t="shared" si="19"/>
        <v>66.598734026356937</v>
      </c>
      <c r="BB29" s="351">
        <f t="shared" si="0"/>
        <v>243.66402221379775</v>
      </c>
      <c r="BC29" s="352">
        <f t="shared" si="1"/>
        <v>10233.888932979504</v>
      </c>
      <c r="BD29" s="350">
        <f t="shared" si="2"/>
        <v>68.596696047147645</v>
      </c>
      <c r="BE29" s="351">
        <f t="shared" si="3"/>
        <v>250.97394288021169</v>
      </c>
      <c r="BF29" s="352">
        <f t="shared" si="4"/>
        <v>10540.905600968888</v>
      </c>
      <c r="BG29" s="350">
        <f t="shared" si="5"/>
        <v>70.654596928562071</v>
      </c>
      <c r="BH29" s="351">
        <f t="shared" si="6"/>
        <v>258.50316116661804</v>
      </c>
      <c r="BI29" s="352">
        <f t="shared" si="7"/>
        <v>10857.132768997955</v>
      </c>
    </row>
    <row r="30" spans="1:61" ht="13.8">
      <c r="A30" s="139">
        <v>258</v>
      </c>
      <c r="B30" s="130" t="s">
        <v>96</v>
      </c>
      <c r="C30" s="140">
        <v>27.5</v>
      </c>
      <c r="D30" s="141">
        <v>167.5</v>
      </c>
      <c r="E30" s="142">
        <v>7035</v>
      </c>
      <c r="F30" s="154">
        <v>55</v>
      </c>
      <c r="G30" s="141">
        <v>201.32</v>
      </c>
      <c r="H30" s="142">
        <v>8455.44</v>
      </c>
      <c r="I30" s="141">
        <v>58.024999999999999</v>
      </c>
      <c r="J30" s="141">
        <v>212.40259999999998</v>
      </c>
      <c r="K30" s="142">
        <v>8920.9091999999982</v>
      </c>
      <c r="L30" s="141">
        <v>60.926250000000003</v>
      </c>
      <c r="M30" s="141">
        <v>223.02223000000001</v>
      </c>
      <c r="N30" s="142">
        <v>9366.9336600000006</v>
      </c>
      <c r="O30" s="141">
        <v>63.667931250000002</v>
      </c>
      <c r="P30" s="141">
        <v>233.04778035000001</v>
      </c>
      <c r="Q30" s="142">
        <v>9788.0067747000012</v>
      </c>
      <c r="R30" s="141">
        <v>63.667931250000002</v>
      </c>
      <c r="S30" s="141">
        <v>233.04778035000001</v>
      </c>
      <c r="T30" s="142">
        <v>9788.0067747000012</v>
      </c>
      <c r="U30" s="141">
        <v>66.21464850000001</v>
      </c>
      <c r="V30" s="141">
        <v>242.36969156400002</v>
      </c>
      <c r="W30" s="142">
        <v>10179.527045688001</v>
      </c>
      <c r="X30" s="141">
        <v>68.853234440000008</v>
      </c>
      <c r="Y30" s="141">
        <v>252.06447922656002</v>
      </c>
      <c r="Z30" s="142">
        <v>10586.708127515521</v>
      </c>
      <c r="AA30" s="141">
        <v>72.30589616200001</v>
      </c>
      <c r="AB30" s="141">
        <v>264.67295318788808</v>
      </c>
      <c r="AC30" s="142">
        <v>11116.264033891299</v>
      </c>
      <c r="AD30" s="141">
        <v>74.48</v>
      </c>
      <c r="AE30" s="145">
        <v>272.62</v>
      </c>
      <c r="AF30" s="142">
        <f t="shared" si="20"/>
        <v>11450.04</v>
      </c>
      <c r="AG30" s="141">
        <f>AD30*(1+$AI$2)+0.01</f>
        <v>76.724400000000017</v>
      </c>
      <c r="AH30" s="145">
        <f t="shared" si="8"/>
        <v>280.79860000000002</v>
      </c>
      <c r="AI30" s="142">
        <f t="shared" si="21"/>
        <v>11793.541200000001</v>
      </c>
      <c r="AJ30" s="141">
        <f t="shared" ref="AJ30:AJ35" si="24">AG30*(1+$AI$2)</f>
        <v>79.026132000000018</v>
      </c>
      <c r="AK30" s="145">
        <f>AH30*(1+$AI$2)-0.01</f>
        <v>289.21255800000006</v>
      </c>
      <c r="AL30" s="142">
        <f t="shared" si="22"/>
        <v>12146.927436000002</v>
      </c>
      <c r="AM30" s="332" t="s">
        <v>95</v>
      </c>
      <c r="AN30" s="350">
        <v>24.093684810000006</v>
      </c>
      <c r="AO30" s="351">
        <v>240.58570359000001</v>
      </c>
      <c r="AP30" s="352">
        <v>10104.59955078</v>
      </c>
      <c r="AQ30" s="332" t="s">
        <v>95</v>
      </c>
      <c r="AR30" s="350">
        <f t="shared" si="10"/>
        <v>24.816495354300006</v>
      </c>
      <c r="AS30" s="351">
        <f t="shared" si="11"/>
        <v>247.8032746977</v>
      </c>
      <c r="AT30" s="352">
        <f t="shared" si="12"/>
        <v>10407.737537303399</v>
      </c>
      <c r="AU30" s="350">
        <f t="shared" si="13"/>
        <v>25.560990214929006</v>
      </c>
      <c r="AV30" s="351">
        <f t="shared" si="14"/>
        <v>255.23737293863101</v>
      </c>
      <c r="AW30" s="352">
        <f t="shared" si="15"/>
        <v>10719.969663422502</v>
      </c>
      <c r="AX30" s="350">
        <f t="shared" si="16"/>
        <v>26.327819921376879</v>
      </c>
      <c r="AY30" s="351">
        <f t="shared" si="17"/>
        <v>262.89449412678994</v>
      </c>
      <c r="AZ30" s="352">
        <f t="shared" si="18"/>
        <v>11041.568753325177</v>
      </c>
      <c r="BA30" s="350">
        <f t="shared" si="19"/>
        <v>27.117654519018185</v>
      </c>
      <c r="BB30" s="351">
        <f t="shared" si="0"/>
        <v>270.78132895059366</v>
      </c>
      <c r="BC30" s="352">
        <f t="shared" si="1"/>
        <v>11372.815815924932</v>
      </c>
      <c r="BD30" s="350">
        <f t="shared" si="2"/>
        <v>27.931184154588731</v>
      </c>
      <c r="BE30" s="351">
        <f t="shared" si="3"/>
        <v>278.9047688191115</v>
      </c>
      <c r="BF30" s="352">
        <f t="shared" si="4"/>
        <v>11714.000290402681</v>
      </c>
      <c r="BG30" s="350">
        <f t="shared" si="5"/>
        <v>28.769119679226392</v>
      </c>
      <c r="BH30" s="351">
        <f t="shared" si="6"/>
        <v>287.27191188368482</v>
      </c>
      <c r="BI30" s="352">
        <f t="shared" si="7"/>
        <v>12065.420299114761</v>
      </c>
    </row>
    <row r="31" spans="1:61" ht="14.4" thickBot="1">
      <c r="A31" s="186">
        <v>259</v>
      </c>
      <c r="B31" s="206" t="s">
        <v>97</v>
      </c>
      <c r="C31" s="188">
        <v>26</v>
      </c>
      <c r="D31" s="141">
        <v>193.5</v>
      </c>
      <c r="E31" s="142">
        <v>8127</v>
      </c>
      <c r="F31" s="154">
        <v>52</v>
      </c>
      <c r="G31" s="189">
        <v>253.32</v>
      </c>
      <c r="H31" s="190">
        <v>10639.44</v>
      </c>
      <c r="I31" s="196">
        <v>54.86</v>
      </c>
      <c r="J31" s="189">
        <v>267.26259999999996</v>
      </c>
      <c r="K31" s="190">
        <v>11225.029199999999</v>
      </c>
      <c r="L31" s="196">
        <v>57.603000000000002</v>
      </c>
      <c r="M31" s="189">
        <v>280.62423000000001</v>
      </c>
      <c r="N31" s="190">
        <v>11786.21766</v>
      </c>
      <c r="O31" s="196">
        <v>60.195135000000001</v>
      </c>
      <c r="P31" s="189">
        <v>293.25291535000002</v>
      </c>
      <c r="Q31" s="190">
        <v>12316.6224447</v>
      </c>
      <c r="R31" s="196">
        <v>60.195135000000001</v>
      </c>
      <c r="S31" s="189">
        <v>293.25291535000002</v>
      </c>
      <c r="T31" s="190">
        <v>12316.6224447</v>
      </c>
      <c r="U31" s="196">
        <v>62.602940400000001</v>
      </c>
      <c r="V31" s="189">
        <v>304.98263196400001</v>
      </c>
      <c r="W31" s="190">
        <v>12809.270542488001</v>
      </c>
      <c r="X31" s="189">
        <v>65.097058016000005</v>
      </c>
      <c r="Y31" s="189">
        <v>317.17153724256002</v>
      </c>
      <c r="Z31" s="190">
        <v>13321.204564187521</v>
      </c>
      <c r="AA31" s="189">
        <v>68.361910916800014</v>
      </c>
      <c r="AB31" s="189">
        <v>333.0348641046881</v>
      </c>
      <c r="AC31" s="190">
        <v>13987.4642923969</v>
      </c>
      <c r="AD31" s="189">
        <v>70.41</v>
      </c>
      <c r="AE31" s="192">
        <v>343.03</v>
      </c>
      <c r="AF31" s="190">
        <f t="shared" si="20"/>
        <v>14407.259999999998</v>
      </c>
      <c r="AG31" s="189">
        <f t="shared" si="8"/>
        <v>72.522300000000001</v>
      </c>
      <c r="AH31" s="192">
        <f t="shared" si="8"/>
        <v>353.32089999999999</v>
      </c>
      <c r="AI31" s="190">
        <f t="shared" si="21"/>
        <v>14839.477800000001</v>
      </c>
      <c r="AJ31" s="189">
        <f t="shared" si="24"/>
        <v>74.697969000000001</v>
      </c>
      <c r="AK31" s="192">
        <f>AH31*(1+$AI$2)-0.01</f>
        <v>363.910527</v>
      </c>
      <c r="AL31" s="190">
        <f t="shared" si="22"/>
        <v>15284.242134</v>
      </c>
      <c r="AM31" s="332" t="s">
        <v>96</v>
      </c>
      <c r="AN31" s="350">
        <v>81.396915960000015</v>
      </c>
      <c r="AO31" s="351">
        <v>297.88893474000008</v>
      </c>
      <c r="AP31" s="352">
        <v>12511.335259080002</v>
      </c>
      <c r="AQ31" s="332" t="s">
        <v>96</v>
      </c>
      <c r="AR31" s="350">
        <f t="shared" si="10"/>
        <v>83.83882343880002</v>
      </c>
      <c r="AS31" s="351">
        <f t="shared" si="11"/>
        <v>306.82560278220006</v>
      </c>
      <c r="AT31" s="352">
        <f t="shared" si="12"/>
        <v>12886.675316852403</v>
      </c>
      <c r="AU31" s="350">
        <f t="shared" si="13"/>
        <v>86.353988141964024</v>
      </c>
      <c r="AV31" s="351">
        <f t="shared" si="14"/>
        <v>316.0303708656661</v>
      </c>
      <c r="AW31" s="352">
        <f t="shared" si="15"/>
        <v>13273.275576357975</v>
      </c>
      <c r="AX31" s="350">
        <f t="shared" si="16"/>
        <v>88.944607786222946</v>
      </c>
      <c r="AY31" s="351">
        <f t="shared" si="17"/>
        <v>325.51128199163611</v>
      </c>
      <c r="AZ31" s="352">
        <f t="shared" si="18"/>
        <v>13671.473843648715</v>
      </c>
      <c r="BA31" s="350">
        <f t="shared" si="19"/>
        <v>91.612946019809641</v>
      </c>
      <c r="BB31" s="351">
        <f t="shared" si="0"/>
        <v>335.27662045138521</v>
      </c>
      <c r="BC31" s="352">
        <f t="shared" si="1"/>
        <v>14081.618058958176</v>
      </c>
      <c r="BD31" s="350">
        <f t="shared" si="2"/>
        <v>94.361334400403933</v>
      </c>
      <c r="BE31" s="351">
        <f t="shared" si="3"/>
        <v>345.33491906492679</v>
      </c>
      <c r="BF31" s="352">
        <f t="shared" si="4"/>
        <v>14504.066600726923</v>
      </c>
      <c r="BG31" s="350">
        <f t="shared" si="5"/>
        <v>97.192174432416053</v>
      </c>
      <c r="BH31" s="351">
        <f t="shared" si="6"/>
        <v>355.6949666368746</v>
      </c>
      <c r="BI31" s="352">
        <f t="shared" si="7"/>
        <v>14939.188598748731</v>
      </c>
    </row>
    <row r="32" spans="1:61" ht="14.4" thickBot="1">
      <c r="A32" s="132">
        <v>210</v>
      </c>
      <c r="B32" s="129" t="s">
        <v>85</v>
      </c>
      <c r="C32" s="150">
        <v>15</v>
      </c>
      <c r="D32" s="134">
        <v>15</v>
      </c>
      <c r="E32" s="134">
        <v>630</v>
      </c>
      <c r="F32" s="136">
        <v>35.32</v>
      </c>
      <c r="G32" s="134">
        <v>35.32</v>
      </c>
      <c r="H32" s="135">
        <v>1483.44</v>
      </c>
      <c r="I32" s="137">
        <v>37.262599999999999</v>
      </c>
      <c r="J32" s="134">
        <v>37.262599999999999</v>
      </c>
      <c r="K32" s="135">
        <v>1565.0291999999999</v>
      </c>
      <c r="L32" s="137">
        <v>39.125729999999997</v>
      </c>
      <c r="M32" s="134">
        <v>39.125729999999997</v>
      </c>
      <c r="N32" s="135">
        <v>1643.2806599999999</v>
      </c>
      <c r="O32" s="137">
        <v>40.886387849999991</v>
      </c>
      <c r="P32" s="134">
        <v>40.886387849999991</v>
      </c>
      <c r="Q32" s="135">
        <v>1717.2282896999996</v>
      </c>
      <c r="R32" s="137">
        <v>63.55</v>
      </c>
      <c r="S32" s="134">
        <v>63.55</v>
      </c>
      <c r="T32" s="135">
        <v>2669.1</v>
      </c>
      <c r="U32" s="137">
        <v>66.091999999999999</v>
      </c>
      <c r="V32" s="134">
        <v>66.091999999999999</v>
      </c>
      <c r="W32" s="135">
        <v>2775.864</v>
      </c>
      <c r="X32" s="134">
        <v>68.725679999999997</v>
      </c>
      <c r="Y32" s="134">
        <v>68.725679999999997</v>
      </c>
      <c r="Z32" s="135">
        <v>2886.47856</v>
      </c>
      <c r="AA32" s="134">
        <v>72.161963999999998</v>
      </c>
      <c r="AB32" s="134">
        <v>72.161963999999998</v>
      </c>
      <c r="AC32" s="135">
        <v>3030.8024879999998</v>
      </c>
      <c r="AD32" s="134">
        <v>74.319999999999993</v>
      </c>
      <c r="AE32" s="138">
        <v>74.319999999999993</v>
      </c>
      <c r="AF32" s="135">
        <f t="shared" si="20"/>
        <v>3121.4399999999996</v>
      </c>
      <c r="AG32" s="134">
        <f t="shared" si="8"/>
        <v>76.549599999999998</v>
      </c>
      <c r="AH32" s="138">
        <f t="shared" si="8"/>
        <v>76.549599999999998</v>
      </c>
      <c r="AI32" s="135">
        <f t="shared" si="21"/>
        <v>3215.0832</v>
      </c>
      <c r="AJ32" s="134">
        <f t="shared" si="24"/>
        <v>78.846087999999995</v>
      </c>
      <c r="AK32" s="138">
        <f t="shared" si="23"/>
        <v>78.846087999999995</v>
      </c>
      <c r="AL32" s="135">
        <f t="shared" si="22"/>
        <v>3311.5356959999999</v>
      </c>
      <c r="AM32" s="331" t="s">
        <v>97</v>
      </c>
      <c r="AN32" s="353">
        <v>76.938908069999997</v>
      </c>
      <c r="AO32" s="354">
        <v>374.82784280999999</v>
      </c>
      <c r="AP32" s="355">
        <v>15742.76939802</v>
      </c>
      <c r="AQ32" s="331" t="s">
        <v>97</v>
      </c>
      <c r="AR32" s="353">
        <f t="shared" si="10"/>
        <v>79.247075312099994</v>
      </c>
      <c r="AS32" s="354">
        <f t="shared" si="11"/>
        <v>386.07267809429999</v>
      </c>
      <c r="AT32" s="355">
        <f t="shared" si="12"/>
        <v>16215.052479960601</v>
      </c>
      <c r="AU32" s="353">
        <f t="shared" si="13"/>
        <v>81.624487571462993</v>
      </c>
      <c r="AV32" s="354">
        <f t="shared" si="14"/>
        <v>397.65485843712901</v>
      </c>
      <c r="AW32" s="355">
        <f t="shared" si="15"/>
        <v>16701.504054359419</v>
      </c>
      <c r="AX32" s="353">
        <f t="shared" si="16"/>
        <v>84.073222198606885</v>
      </c>
      <c r="AY32" s="354">
        <f t="shared" si="17"/>
        <v>409.58450419024291</v>
      </c>
      <c r="AZ32" s="355">
        <f t="shared" si="18"/>
        <v>17202.549175990203</v>
      </c>
      <c r="BA32" s="353">
        <f t="shared" si="19"/>
        <v>86.59541886456509</v>
      </c>
      <c r="BB32" s="354">
        <f t="shared" si="0"/>
        <v>421.87203931595019</v>
      </c>
      <c r="BC32" s="355">
        <f t="shared" si="1"/>
        <v>17718.625651269911</v>
      </c>
      <c r="BD32" s="353">
        <f t="shared" si="2"/>
        <v>89.19328143050204</v>
      </c>
      <c r="BE32" s="354">
        <f t="shared" si="3"/>
        <v>434.52820049542873</v>
      </c>
      <c r="BF32" s="355">
        <f t="shared" si="4"/>
        <v>18250.184420808007</v>
      </c>
      <c r="BG32" s="353">
        <f t="shared" si="5"/>
        <v>91.869079873417107</v>
      </c>
      <c r="BH32" s="354">
        <f t="shared" si="6"/>
        <v>447.56404651029163</v>
      </c>
      <c r="BI32" s="355">
        <f t="shared" si="7"/>
        <v>18797.689953432247</v>
      </c>
    </row>
    <row r="33" spans="1:61" ht="13.8">
      <c r="A33" s="139">
        <v>260</v>
      </c>
      <c r="B33" s="130" t="s">
        <v>88</v>
      </c>
      <c r="C33" s="150">
        <v>100</v>
      </c>
      <c r="D33" s="141">
        <v>100</v>
      </c>
      <c r="E33" s="141">
        <v>4200</v>
      </c>
      <c r="F33" s="143">
        <v>106.32</v>
      </c>
      <c r="G33" s="141">
        <v>106.32</v>
      </c>
      <c r="H33" s="142">
        <v>4465.4399999999996</v>
      </c>
      <c r="I33" s="144">
        <v>112.16759999999999</v>
      </c>
      <c r="J33" s="141">
        <v>112.16759999999999</v>
      </c>
      <c r="K33" s="142">
        <v>4711.0391999999993</v>
      </c>
      <c r="L33" s="144">
        <v>117.77598</v>
      </c>
      <c r="M33" s="141">
        <v>117.77598</v>
      </c>
      <c r="N33" s="142">
        <v>4946.5911599999999</v>
      </c>
      <c r="O33" s="144">
        <v>123.0758991</v>
      </c>
      <c r="P33" s="141">
        <v>123.0758991</v>
      </c>
      <c r="Q33" s="142">
        <v>5169.1877622000002</v>
      </c>
      <c r="R33" s="144">
        <v>123.0758991</v>
      </c>
      <c r="S33" s="141">
        <v>123.0758991</v>
      </c>
      <c r="T33" s="142">
        <v>5169.1877622000002</v>
      </c>
      <c r="U33" s="144">
        <v>127.99893506400001</v>
      </c>
      <c r="V33" s="141">
        <v>127.99893506400001</v>
      </c>
      <c r="W33" s="142">
        <v>5375.9552726880002</v>
      </c>
      <c r="X33" s="141">
        <v>133.11889246656003</v>
      </c>
      <c r="Y33" s="141">
        <v>133.11889246656003</v>
      </c>
      <c r="Z33" s="142">
        <v>5590.993483595521</v>
      </c>
      <c r="AA33" s="141">
        <v>139.78008708988804</v>
      </c>
      <c r="AB33" s="141">
        <v>139.78008708988804</v>
      </c>
      <c r="AC33" s="142">
        <v>5870.7636577752974</v>
      </c>
      <c r="AD33" s="141">
        <v>143.97</v>
      </c>
      <c r="AE33" s="145">
        <v>143.97</v>
      </c>
      <c r="AF33" s="142">
        <f t="shared" si="20"/>
        <v>6046.74</v>
      </c>
      <c r="AG33" s="141">
        <f t="shared" si="8"/>
        <v>148.28909999999999</v>
      </c>
      <c r="AH33" s="145">
        <f t="shared" si="8"/>
        <v>148.28909999999999</v>
      </c>
      <c r="AI33" s="142">
        <f t="shared" si="21"/>
        <v>6228.1421999999993</v>
      </c>
      <c r="AJ33" s="141">
        <f t="shared" si="24"/>
        <v>152.737773</v>
      </c>
      <c r="AK33" s="145">
        <f t="shared" si="23"/>
        <v>152.737773</v>
      </c>
      <c r="AL33" s="142">
        <f t="shared" si="22"/>
        <v>6414.9864660000003</v>
      </c>
      <c r="AM33" s="335" t="s">
        <v>85</v>
      </c>
      <c r="AN33" s="347">
        <v>81.211470640000002</v>
      </c>
      <c r="AO33" s="348">
        <v>81.211470640000002</v>
      </c>
      <c r="AP33" s="349">
        <v>3410.8817668800002</v>
      </c>
      <c r="AQ33" s="335" t="s">
        <v>85</v>
      </c>
      <c r="AR33" s="347">
        <f t="shared" si="10"/>
        <v>83.647814759200003</v>
      </c>
      <c r="AS33" s="348">
        <f t="shared" si="11"/>
        <v>83.647814759200003</v>
      </c>
      <c r="AT33" s="349">
        <f t="shared" si="12"/>
        <v>3513.2082198864005</v>
      </c>
      <c r="AU33" s="347">
        <f t="shared" si="13"/>
        <v>86.157249201976001</v>
      </c>
      <c r="AV33" s="348">
        <f t="shared" si="14"/>
        <v>86.157249201976001</v>
      </c>
      <c r="AW33" s="349">
        <f t="shared" si="15"/>
        <v>3618.6044664829924</v>
      </c>
      <c r="AX33" s="347">
        <f t="shared" si="16"/>
        <v>88.741966678035283</v>
      </c>
      <c r="AY33" s="348">
        <f t="shared" si="17"/>
        <v>88.741966678035283</v>
      </c>
      <c r="AZ33" s="349">
        <f t="shared" si="18"/>
        <v>3727.1626004774821</v>
      </c>
      <c r="BA33" s="347">
        <f t="shared" si="19"/>
        <v>91.404225678376349</v>
      </c>
      <c r="BB33" s="348">
        <f t="shared" si="0"/>
        <v>91.404225678376349</v>
      </c>
      <c r="BC33" s="349">
        <f t="shared" si="1"/>
        <v>3838.9774784918068</v>
      </c>
      <c r="BD33" s="347">
        <f t="shared" si="2"/>
        <v>94.14635244872764</v>
      </c>
      <c r="BE33" s="348">
        <f t="shared" si="3"/>
        <v>94.14635244872764</v>
      </c>
      <c r="BF33" s="349">
        <f t="shared" si="4"/>
        <v>3954.1468028465611</v>
      </c>
      <c r="BG33" s="347">
        <f t="shared" si="5"/>
        <v>96.970743022189467</v>
      </c>
      <c r="BH33" s="348">
        <f t="shared" si="6"/>
        <v>96.970743022189467</v>
      </c>
      <c r="BI33" s="349">
        <f t="shared" si="7"/>
        <v>4072.7712069319582</v>
      </c>
    </row>
    <row r="34" spans="1:61" ht="13.8">
      <c r="A34" s="146">
        <v>263</v>
      </c>
      <c r="B34" s="131" t="s">
        <v>98</v>
      </c>
      <c r="C34" s="148">
        <v>5.5762711864406782</v>
      </c>
      <c r="D34" s="148">
        <v>201.58</v>
      </c>
      <c r="E34" s="148">
        <v>8466.36</v>
      </c>
      <c r="F34" s="147">
        <v>11.152542372881356</v>
      </c>
      <c r="G34" s="148">
        <v>213.47254237288135</v>
      </c>
      <c r="H34" s="149">
        <v>8965.8467796610166</v>
      </c>
      <c r="I34" s="147">
        <v>11.765932203389829</v>
      </c>
      <c r="J34" s="148">
        <v>225.22353220338982</v>
      </c>
      <c r="K34" s="149">
        <v>9459.3883525423735</v>
      </c>
      <c r="L34" s="147">
        <v>12.35422881355932</v>
      </c>
      <c r="M34" s="148">
        <v>236.47420881355933</v>
      </c>
      <c r="N34" s="149">
        <v>9931.9167701694914</v>
      </c>
      <c r="O34" s="147">
        <v>12.910169110169489</v>
      </c>
      <c r="P34" s="148">
        <v>247.11554821016949</v>
      </c>
      <c r="Q34" s="149">
        <v>10378.853024827118</v>
      </c>
      <c r="R34" s="147">
        <v>12.910169110169489</v>
      </c>
      <c r="S34" s="148">
        <v>247.11554821016949</v>
      </c>
      <c r="T34" s="149">
        <v>10378.853024827118</v>
      </c>
      <c r="U34" s="147">
        <v>13.426575874576269</v>
      </c>
      <c r="V34" s="148">
        <v>257.00017013857627</v>
      </c>
      <c r="W34" s="149">
        <v>10794.007145820204</v>
      </c>
      <c r="X34" s="148">
        <v>13.96363890955932</v>
      </c>
      <c r="Y34" s="148">
        <v>267.27017694411933</v>
      </c>
      <c r="Z34" s="149">
        <v>11225.347431653012</v>
      </c>
      <c r="AA34" s="148">
        <v>14.661820855037286</v>
      </c>
      <c r="AB34" s="148">
        <v>280.62893579132532</v>
      </c>
      <c r="AC34" s="149">
        <v>11786.415303235663</v>
      </c>
      <c r="AD34" s="148">
        <v>15.1</v>
      </c>
      <c r="AE34" s="145">
        <v>289.05</v>
      </c>
      <c r="AF34" s="149">
        <f t="shared" si="20"/>
        <v>12140.1</v>
      </c>
      <c r="AG34" s="148">
        <f t="shared" si="8"/>
        <v>15.553000000000001</v>
      </c>
      <c r="AH34" s="145">
        <f t="shared" si="8"/>
        <v>297.72149999999999</v>
      </c>
      <c r="AI34" s="149">
        <f t="shared" si="21"/>
        <v>12504.303</v>
      </c>
      <c r="AJ34" s="148">
        <f t="shared" si="24"/>
        <v>16.019590000000001</v>
      </c>
      <c r="AK34" s="145">
        <f t="shared" si="23"/>
        <v>306.65314499999999</v>
      </c>
      <c r="AL34" s="149">
        <f t="shared" si="22"/>
        <v>12879.43209</v>
      </c>
      <c r="AM34" s="332" t="s">
        <v>88</v>
      </c>
      <c r="AN34" s="350">
        <v>157.31990619000001</v>
      </c>
      <c r="AO34" s="351">
        <v>157.31990619000001</v>
      </c>
      <c r="AP34" s="352">
        <v>6607.4360599800002</v>
      </c>
      <c r="AQ34" s="332" t="s">
        <v>88</v>
      </c>
      <c r="AR34" s="350">
        <f t="shared" si="10"/>
        <v>162.03950337570001</v>
      </c>
      <c r="AS34" s="351">
        <f t="shared" si="11"/>
        <v>162.03950337570001</v>
      </c>
      <c r="AT34" s="352">
        <f t="shared" si="12"/>
        <v>6805.6591417794007</v>
      </c>
      <c r="AU34" s="350">
        <f t="shared" si="13"/>
        <v>166.900688476971</v>
      </c>
      <c r="AV34" s="351">
        <f t="shared" si="14"/>
        <v>166.900688476971</v>
      </c>
      <c r="AW34" s="352">
        <f t="shared" si="15"/>
        <v>7009.8289160327831</v>
      </c>
      <c r="AX34" s="350">
        <f t="shared" si="16"/>
        <v>171.90770913128014</v>
      </c>
      <c r="AY34" s="351">
        <f t="shared" si="17"/>
        <v>171.90770913128014</v>
      </c>
      <c r="AZ34" s="352">
        <f t="shared" si="18"/>
        <v>7220.1237835137672</v>
      </c>
      <c r="BA34" s="350">
        <f t="shared" si="19"/>
        <v>177.06494040521855</v>
      </c>
      <c r="BB34" s="351">
        <f t="shared" si="0"/>
        <v>177.06494040521855</v>
      </c>
      <c r="BC34" s="352">
        <f t="shared" si="1"/>
        <v>7436.7274970191802</v>
      </c>
      <c r="BD34" s="350">
        <f t="shared" si="2"/>
        <v>182.3768886173751</v>
      </c>
      <c r="BE34" s="351">
        <f t="shared" si="3"/>
        <v>182.3768886173751</v>
      </c>
      <c r="BF34" s="352">
        <f t="shared" si="4"/>
        <v>7659.8293219297557</v>
      </c>
      <c r="BG34" s="350">
        <f t="shared" si="5"/>
        <v>187.84819527589636</v>
      </c>
      <c r="BH34" s="351">
        <f t="shared" si="6"/>
        <v>187.84819527589636</v>
      </c>
      <c r="BI34" s="352">
        <f t="shared" si="7"/>
        <v>7889.6242015876487</v>
      </c>
    </row>
    <row r="35" spans="1:61" ht="13.8">
      <c r="A35" s="139">
        <v>264</v>
      </c>
      <c r="B35" s="194" t="s">
        <v>99</v>
      </c>
      <c r="C35" s="150">
        <v>96</v>
      </c>
      <c r="D35" s="141">
        <v>196</v>
      </c>
      <c r="E35" s="141">
        <v>8232</v>
      </c>
      <c r="F35" s="143">
        <v>96</v>
      </c>
      <c r="G35" s="141">
        <v>202.32</v>
      </c>
      <c r="H35" s="142">
        <v>8497.44</v>
      </c>
      <c r="I35" s="144">
        <v>101.28</v>
      </c>
      <c r="J35" s="141">
        <v>213.44759999999999</v>
      </c>
      <c r="K35" s="142">
        <v>8964.7991999999995</v>
      </c>
      <c r="L35" s="144">
        <v>106.34400000000001</v>
      </c>
      <c r="M35" s="141">
        <v>224.11998</v>
      </c>
      <c r="N35" s="142">
        <v>9413.0391600000003</v>
      </c>
      <c r="O35" s="144">
        <v>111.12948</v>
      </c>
      <c r="P35" s="141">
        <v>234.20537910000002</v>
      </c>
      <c r="Q35" s="142">
        <v>9836.6259222000008</v>
      </c>
      <c r="R35" s="144">
        <v>111.12948</v>
      </c>
      <c r="S35" s="141">
        <v>234.20537910000002</v>
      </c>
      <c r="T35" s="142">
        <v>9836.6259222000008</v>
      </c>
      <c r="U35" s="144">
        <v>115.5746592</v>
      </c>
      <c r="V35" s="141">
        <v>243.57359426400001</v>
      </c>
      <c r="W35" s="142">
        <v>10230.090959088</v>
      </c>
      <c r="X35" s="141">
        <v>120.18764556799999</v>
      </c>
      <c r="Y35" s="141">
        <v>253.30653803456002</v>
      </c>
      <c r="Z35" s="142">
        <v>10638.87459745152</v>
      </c>
      <c r="AA35" s="141">
        <v>126.1870278464</v>
      </c>
      <c r="AB35" s="141">
        <v>265.96711493628806</v>
      </c>
      <c r="AC35" s="142">
        <v>11170.618827324099</v>
      </c>
      <c r="AD35" s="141">
        <v>129.97999999999999</v>
      </c>
      <c r="AE35" s="145">
        <v>273.95</v>
      </c>
      <c r="AF35" s="142">
        <f t="shared" si="20"/>
        <v>11505.9</v>
      </c>
      <c r="AG35" s="141">
        <f t="shared" si="8"/>
        <v>133.8794</v>
      </c>
      <c r="AH35" s="145">
        <f t="shared" si="8"/>
        <v>282.16849999999999</v>
      </c>
      <c r="AI35" s="142">
        <f t="shared" si="21"/>
        <v>11851.076999999999</v>
      </c>
      <c r="AJ35" s="141">
        <f t="shared" si="24"/>
        <v>137.895782</v>
      </c>
      <c r="AK35" s="145">
        <f t="shared" si="23"/>
        <v>290.633555</v>
      </c>
      <c r="AL35" s="142">
        <f t="shared" si="22"/>
        <v>12206.60931</v>
      </c>
      <c r="AM35" s="332" t="s">
        <v>98</v>
      </c>
      <c r="AN35" s="350">
        <v>16.500177700000002</v>
      </c>
      <c r="AO35" s="351">
        <v>315.85273934999998</v>
      </c>
      <c r="AP35" s="352">
        <v>13265.8150527</v>
      </c>
      <c r="AQ35" s="332" t="s">
        <v>98</v>
      </c>
      <c r="AR35" s="350">
        <f t="shared" si="10"/>
        <v>16.995183031000003</v>
      </c>
      <c r="AS35" s="351">
        <f t="shared" si="11"/>
        <v>325.32832153049998</v>
      </c>
      <c r="AT35" s="352">
        <f t="shared" si="12"/>
        <v>13663.789504281</v>
      </c>
      <c r="AU35" s="350">
        <f t="shared" si="13"/>
        <v>17.505038521930004</v>
      </c>
      <c r="AV35" s="351">
        <f t="shared" si="14"/>
        <v>335.08817117641496</v>
      </c>
      <c r="AW35" s="352">
        <f t="shared" si="15"/>
        <v>14073.703189409431</v>
      </c>
      <c r="AX35" s="350">
        <f t="shared" si="16"/>
        <v>18.030189677587906</v>
      </c>
      <c r="AY35" s="351">
        <f t="shared" si="17"/>
        <v>345.1408163117074</v>
      </c>
      <c r="AZ35" s="352">
        <f t="shared" si="18"/>
        <v>14495.914285091714</v>
      </c>
      <c r="BA35" s="350">
        <f t="shared" si="19"/>
        <v>18.571095367915543</v>
      </c>
      <c r="BB35" s="351">
        <f t="shared" si="0"/>
        <v>355.49504080105862</v>
      </c>
      <c r="BC35" s="352">
        <f t="shared" si="1"/>
        <v>14930.791713644467</v>
      </c>
      <c r="BD35" s="350">
        <f t="shared" si="2"/>
        <v>19.128228228953009</v>
      </c>
      <c r="BE35" s="351">
        <f t="shared" si="3"/>
        <v>366.15989202509041</v>
      </c>
      <c r="BF35" s="352">
        <f t="shared" si="4"/>
        <v>15378.715465053801</v>
      </c>
      <c r="BG35" s="350">
        <f t="shared" si="5"/>
        <v>19.7020750758216</v>
      </c>
      <c r="BH35" s="351">
        <f t="shared" si="6"/>
        <v>377.14468878584313</v>
      </c>
      <c r="BI35" s="352">
        <f t="shared" si="7"/>
        <v>15840.076929005416</v>
      </c>
    </row>
    <row r="36" spans="1:61" ht="13.8">
      <c r="A36" s="139">
        <v>264</v>
      </c>
      <c r="B36" s="194" t="s">
        <v>100</v>
      </c>
      <c r="C36" s="150"/>
      <c r="D36" s="141"/>
      <c r="E36" s="141"/>
      <c r="F36" s="154"/>
      <c r="G36" s="141"/>
      <c r="H36" s="142"/>
      <c r="I36" s="144"/>
      <c r="J36" s="141"/>
      <c r="K36" s="142"/>
      <c r="L36" s="144"/>
      <c r="M36" s="141"/>
      <c r="N36" s="142"/>
      <c r="O36" s="144">
        <v>93.054100899999995</v>
      </c>
      <c r="P36" s="141">
        <v>216.13</v>
      </c>
      <c r="Q36" s="142">
        <v>9077.4599999999991</v>
      </c>
      <c r="R36" s="144">
        <v>96.781064935999993</v>
      </c>
      <c r="S36" s="144">
        <v>224.78</v>
      </c>
      <c r="T36" s="142">
        <v>9440.76</v>
      </c>
      <c r="U36" s="144">
        <v>96.781064935999993</v>
      </c>
      <c r="V36" s="144">
        <v>224.78</v>
      </c>
      <c r="W36" s="142">
        <v>9440.76</v>
      </c>
      <c r="X36" s="141">
        <v>100.65230753343999</v>
      </c>
      <c r="Y36" s="141">
        <v>233.77120000000002</v>
      </c>
      <c r="Z36" s="142">
        <v>9818.3904000000002</v>
      </c>
      <c r="AA36" s="141">
        <v>105.67492291011199</v>
      </c>
      <c r="AB36" s="141">
        <v>245.45501000000002</v>
      </c>
      <c r="AC36" s="142">
        <v>10309.110420000001</v>
      </c>
      <c r="AD36" s="141">
        <v>108.84</v>
      </c>
      <c r="AE36" s="145">
        <v>252.81</v>
      </c>
      <c r="AF36" s="142">
        <f t="shared" si="20"/>
        <v>10618.02</v>
      </c>
      <c r="AG36" s="141">
        <f>AD36*(1+$AI$2)-0.01</f>
        <v>112.09520000000001</v>
      </c>
      <c r="AH36" s="145">
        <f>AE36*(1+$AI$2)</f>
        <v>260.39429999999999</v>
      </c>
      <c r="AI36" s="142">
        <f t="shared" si="21"/>
        <v>10936.560599999999</v>
      </c>
      <c r="AJ36" s="141">
        <f>AG36*(1+$AI$2)-0.01</f>
        <v>115.44805600000001</v>
      </c>
      <c r="AK36" s="145">
        <f>AH36*(1+$AI$2)-0.02</f>
        <v>268.18612899999999</v>
      </c>
      <c r="AL36" s="142">
        <f t="shared" si="22"/>
        <v>11263.817418000001</v>
      </c>
      <c r="AM36" s="332" t="s">
        <v>99</v>
      </c>
      <c r="AN36" s="350">
        <v>142.03265546</v>
      </c>
      <c r="AO36" s="351">
        <v>299.35256164999998</v>
      </c>
      <c r="AP36" s="352">
        <v>12572.8075893</v>
      </c>
      <c r="AQ36" s="332" t="s">
        <v>99</v>
      </c>
      <c r="AR36" s="350">
        <f t="shared" si="10"/>
        <v>146.29363512380002</v>
      </c>
      <c r="AS36" s="351">
        <f t="shared" si="11"/>
        <v>308.33313849949997</v>
      </c>
      <c r="AT36" s="352">
        <f t="shared" si="12"/>
        <v>12949.991816979002</v>
      </c>
      <c r="AU36" s="350">
        <f t="shared" si="13"/>
        <v>150.68244417751401</v>
      </c>
      <c r="AV36" s="351">
        <f t="shared" si="14"/>
        <v>317.58313265448498</v>
      </c>
      <c r="AW36" s="352">
        <f t="shared" si="15"/>
        <v>13338.491571488372</v>
      </c>
      <c r="AX36" s="350">
        <f t="shared" si="16"/>
        <v>155.20291750283943</v>
      </c>
      <c r="AY36" s="351">
        <f t="shared" si="17"/>
        <v>327.11062663411957</v>
      </c>
      <c r="AZ36" s="352">
        <f t="shared" si="18"/>
        <v>13738.646318633024</v>
      </c>
      <c r="BA36" s="350">
        <f t="shared" si="19"/>
        <v>159.85900502792461</v>
      </c>
      <c r="BB36" s="351">
        <f t="shared" si="0"/>
        <v>336.92394543314316</v>
      </c>
      <c r="BC36" s="352">
        <f t="shared" si="1"/>
        <v>14150.805708192014</v>
      </c>
      <c r="BD36" s="350">
        <f t="shared" si="2"/>
        <v>164.65477517876235</v>
      </c>
      <c r="BE36" s="351">
        <f t="shared" si="3"/>
        <v>347.03166379613748</v>
      </c>
      <c r="BF36" s="352">
        <f t="shared" si="4"/>
        <v>14575.329879437775</v>
      </c>
      <c r="BG36" s="350">
        <f t="shared" si="5"/>
        <v>169.59441843412523</v>
      </c>
      <c r="BH36" s="351">
        <f t="shared" si="6"/>
        <v>357.44261371002159</v>
      </c>
      <c r="BI36" s="352">
        <f t="shared" si="7"/>
        <v>15012.589775820908</v>
      </c>
    </row>
    <row r="37" spans="1:61" ht="13.8">
      <c r="A37" s="139">
        <v>271</v>
      </c>
      <c r="B37" s="130" t="s">
        <v>101</v>
      </c>
      <c r="C37" s="150">
        <v>14</v>
      </c>
      <c r="D37" s="141">
        <v>210</v>
      </c>
      <c r="E37" s="141">
        <v>8820</v>
      </c>
      <c r="F37" s="154">
        <v>28</v>
      </c>
      <c r="G37" s="141">
        <v>230.32</v>
      </c>
      <c r="H37" s="142">
        <v>9673.44</v>
      </c>
      <c r="I37" s="144">
        <v>29.54</v>
      </c>
      <c r="J37" s="141">
        <v>242.98759999999999</v>
      </c>
      <c r="K37" s="142">
        <v>10205.4792</v>
      </c>
      <c r="L37" s="144">
        <v>31.016999999999999</v>
      </c>
      <c r="M37" s="141">
        <v>255.13697999999999</v>
      </c>
      <c r="N37" s="142">
        <v>10715.75316</v>
      </c>
      <c r="O37" s="144">
        <v>32.412765</v>
      </c>
      <c r="P37" s="141">
        <v>266.61814409999999</v>
      </c>
      <c r="Q37" s="142">
        <v>11197.9620522</v>
      </c>
      <c r="R37" s="144">
        <v>32.412765</v>
      </c>
      <c r="S37" s="141">
        <v>266.61814409999999</v>
      </c>
      <c r="T37" s="142">
        <v>11197.9620522</v>
      </c>
      <c r="U37" s="144">
        <v>33.709275599999998</v>
      </c>
      <c r="V37" s="141">
        <v>277.28286986400002</v>
      </c>
      <c r="W37" s="142">
        <v>11645.880534288</v>
      </c>
      <c r="X37" s="141">
        <v>35.067646623999998</v>
      </c>
      <c r="Y37" s="141">
        <v>288.37418465856001</v>
      </c>
      <c r="Z37" s="142">
        <v>12111.715755659521</v>
      </c>
      <c r="AA37" s="141">
        <v>36.821028955199999</v>
      </c>
      <c r="AB37" s="141">
        <v>302.78814389148806</v>
      </c>
      <c r="AC37" s="142">
        <v>12717.102043442499</v>
      </c>
      <c r="AD37" s="141">
        <v>37.92</v>
      </c>
      <c r="AE37" s="145">
        <v>311.87</v>
      </c>
      <c r="AF37" s="142">
        <f t="shared" si="20"/>
        <v>13098.54</v>
      </c>
      <c r="AG37" s="141">
        <f t="shared" si="8"/>
        <v>39.057600000000001</v>
      </c>
      <c r="AH37" s="145">
        <f t="shared" si="8"/>
        <v>321.22610000000003</v>
      </c>
      <c r="AI37" s="142">
        <f t="shared" si="21"/>
        <v>13491.496200000001</v>
      </c>
      <c r="AJ37" s="141">
        <f t="shared" ref="AJ37:AK47" si="25">AG37*(1+$AI$2)</f>
        <v>40.229328000000002</v>
      </c>
      <c r="AK37" s="145">
        <f>AH37*(1+$AI$2)</f>
        <v>330.86288300000007</v>
      </c>
      <c r="AL37" s="142">
        <f t="shared" si="22"/>
        <v>13896.241086000004</v>
      </c>
      <c r="AM37" s="332" t="s">
        <v>100</v>
      </c>
      <c r="AN37" s="350">
        <v>118.91149768000001</v>
      </c>
      <c r="AO37" s="351">
        <v>276.23171287000002</v>
      </c>
      <c r="AP37" s="352">
        <v>11601.731940540001</v>
      </c>
      <c r="AQ37" s="332" t="s">
        <v>100</v>
      </c>
      <c r="AR37" s="350">
        <f t="shared" si="10"/>
        <v>122.47884261040001</v>
      </c>
      <c r="AS37" s="351">
        <f t="shared" si="11"/>
        <v>284.51866425610001</v>
      </c>
      <c r="AT37" s="352">
        <f t="shared" si="12"/>
        <v>11949.783898756201</v>
      </c>
      <c r="AU37" s="350">
        <f t="shared" si="13"/>
        <v>126.15320788871202</v>
      </c>
      <c r="AV37" s="351">
        <f t="shared" si="14"/>
        <v>293.05422418378299</v>
      </c>
      <c r="AW37" s="352">
        <f t="shared" si="15"/>
        <v>12308.277415718887</v>
      </c>
      <c r="AX37" s="350">
        <f t="shared" si="16"/>
        <v>129.93780412537339</v>
      </c>
      <c r="AY37" s="351">
        <f t="shared" si="17"/>
        <v>301.84585090929647</v>
      </c>
      <c r="AZ37" s="352">
        <f t="shared" si="18"/>
        <v>12677.525738190454</v>
      </c>
      <c r="BA37" s="350">
        <f t="shared" si="19"/>
        <v>133.83593824913459</v>
      </c>
      <c r="BB37" s="351">
        <f t="shared" si="0"/>
        <v>310.90122643657537</v>
      </c>
      <c r="BC37" s="352">
        <f t="shared" si="1"/>
        <v>13057.851510336168</v>
      </c>
      <c r="BD37" s="350">
        <f t="shared" si="2"/>
        <v>137.85101639660863</v>
      </c>
      <c r="BE37" s="351">
        <f t="shared" si="3"/>
        <v>320.22826322967262</v>
      </c>
      <c r="BF37" s="352">
        <f t="shared" si="4"/>
        <v>13449.587055646252</v>
      </c>
      <c r="BG37" s="350">
        <f t="shared" si="5"/>
        <v>141.98654688850689</v>
      </c>
      <c r="BH37" s="351">
        <f t="shared" si="6"/>
        <v>329.83511112656282</v>
      </c>
      <c r="BI37" s="352">
        <f t="shared" si="7"/>
        <v>13853.074667315641</v>
      </c>
    </row>
    <row r="38" spans="1:61" ht="13.8">
      <c r="A38" s="146">
        <v>273</v>
      </c>
      <c r="B38" s="131" t="s">
        <v>102</v>
      </c>
      <c r="C38" s="148">
        <v>9.1265822784810133</v>
      </c>
      <c r="D38" s="148">
        <v>219.13</v>
      </c>
      <c r="E38" s="148">
        <v>9203.4599999999991</v>
      </c>
      <c r="F38" s="147">
        <v>18.253164556962027</v>
      </c>
      <c r="G38" s="148">
        <v>248.57316455696201</v>
      </c>
      <c r="H38" s="149">
        <v>10440.072911392404</v>
      </c>
      <c r="I38" s="147">
        <v>19.257088607594937</v>
      </c>
      <c r="J38" s="148">
        <v>262.25468860759491</v>
      </c>
      <c r="K38" s="149">
        <v>11014.696921518986</v>
      </c>
      <c r="L38" s="147">
        <v>20.219943037974684</v>
      </c>
      <c r="M38" s="148">
        <v>275.3569230379747</v>
      </c>
      <c r="N38" s="149">
        <v>11564.990767594938</v>
      </c>
      <c r="O38" s="147">
        <v>21.129840474683544</v>
      </c>
      <c r="P38" s="148">
        <v>287.74798457468353</v>
      </c>
      <c r="Q38" s="149">
        <v>12085.415352136708</v>
      </c>
      <c r="R38" s="147">
        <v>21.129840474683544</v>
      </c>
      <c r="S38" s="148">
        <v>287.74798457468353</v>
      </c>
      <c r="T38" s="149">
        <v>12085.415352136708</v>
      </c>
      <c r="U38" s="147">
        <v>21.975034093670885</v>
      </c>
      <c r="V38" s="148">
        <v>299.25790395767092</v>
      </c>
      <c r="W38" s="149">
        <v>12568.831966222178</v>
      </c>
      <c r="X38" s="148">
        <v>22.854035457417723</v>
      </c>
      <c r="Y38" s="148">
        <v>311.22822011597771</v>
      </c>
      <c r="Z38" s="149">
        <v>13071.585244871063</v>
      </c>
      <c r="AA38" s="148">
        <v>23.996737230288609</v>
      </c>
      <c r="AB38" s="148">
        <v>326.78488112177666</v>
      </c>
      <c r="AC38" s="149">
        <v>13724.965007114621</v>
      </c>
      <c r="AD38" s="148">
        <v>24.72</v>
      </c>
      <c r="AE38" s="145">
        <v>336.59</v>
      </c>
      <c r="AF38" s="149">
        <f t="shared" si="20"/>
        <v>14136.779999999999</v>
      </c>
      <c r="AG38" s="148">
        <f t="shared" si="8"/>
        <v>25.461600000000001</v>
      </c>
      <c r="AH38" s="145">
        <f t="shared" si="8"/>
        <v>346.68770000000001</v>
      </c>
      <c r="AI38" s="149">
        <f t="shared" si="21"/>
        <v>14560.883400000001</v>
      </c>
      <c r="AJ38" s="148">
        <f t="shared" si="25"/>
        <v>26.225448</v>
      </c>
      <c r="AK38" s="145">
        <f t="shared" si="25"/>
        <v>357.08833100000004</v>
      </c>
      <c r="AL38" s="149">
        <f t="shared" si="22"/>
        <v>14997.709902000002</v>
      </c>
      <c r="AM38" s="332" t="s">
        <v>101</v>
      </c>
      <c r="AN38" s="350">
        <v>41.435889570000022</v>
      </c>
      <c r="AO38" s="351">
        <v>340.78845122000001</v>
      </c>
      <c r="AP38" s="352">
        <v>14313.114951240001</v>
      </c>
      <c r="AQ38" s="332" t="s">
        <v>101</v>
      </c>
      <c r="AR38" s="350">
        <f t="shared" si="10"/>
        <v>42.678966257100022</v>
      </c>
      <c r="AS38" s="351">
        <f t="shared" si="11"/>
        <v>351.01210475660002</v>
      </c>
      <c r="AT38" s="352">
        <f t="shared" si="12"/>
        <v>14742.508399777202</v>
      </c>
      <c r="AU38" s="350">
        <f t="shared" si="13"/>
        <v>43.959335244813026</v>
      </c>
      <c r="AV38" s="351">
        <f t="shared" si="14"/>
        <v>361.54246789929806</v>
      </c>
      <c r="AW38" s="352">
        <f t="shared" si="15"/>
        <v>15184.783651770518</v>
      </c>
      <c r="AX38" s="350">
        <f t="shared" si="16"/>
        <v>45.278115302157417</v>
      </c>
      <c r="AY38" s="351">
        <f t="shared" si="17"/>
        <v>372.38874193627703</v>
      </c>
      <c r="AZ38" s="352">
        <f t="shared" si="18"/>
        <v>15640.327161323634</v>
      </c>
      <c r="BA38" s="350">
        <f t="shared" si="19"/>
        <v>46.636458761222144</v>
      </c>
      <c r="BB38" s="351">
        <f t="shared" si="0"/>
        <v>383.56040419436533</v>
      </c>
      <c r="BC38" s="352">
        <f t="shared" si="1"/>
        <v>16109.536976163343</v>
      </c>
      <c r="BD38" s="350">
        <f t="shared" si="2"/>
        <v>48.035552524058808</v>
      </c>
      <c r="BE38" s="351">
        <f t="shared" si="3"/>
        <v>395.06721632019628</v>
      </c>
      <c r="BF38" s="352">
        <f t="shared" si="4"/>
        <v>16592.823085448243</v>
      </c>
      <c r="BG38" s="350">
        <f t="shared" si="5"/>
        <v>49.476619099780571</v>
      </c>
      <c r="BH38" s="351">
        <f t="shared" si="6"/>
        <v>406.91923280980217</v>
      </c>
      <c r="BI38" s="352">
        <f t="shared" si="7"/>
        <v>17090.60777801169</v>
      </c>
    </row>
    <row r="39" spans="1:61" ht="13.8">
      <c r="A39" s="146">
        <v>280</v>
      </c>
      <c r="B39" s="131" t="s">
        <v>103</v>
      </c>
      <c r="C39" s="148">
        <v>4.4303797468354427</v>
      </c>
      <c r="D39" s="148">
        <v>223.56</v>
      </c>
      <c r="E39" s="148">
        <v>9389.52</v>
      </c>
      <c r="F39" s="147">
        <v>8.8607594936708853</v>
      </c>
      <c r="G39" s="148">
        <v>257.43392405063292</v>
      </c>
      <c r="H39" s="149">
        <v>10812.224810126583</v>
      </c>
      <c r="I39" s="147">
        <v>9.348101265822784</v>
      </c>
      <c r="J39" s="148">
        <v>271.60278987341769</v>
      </c>
      <c r="K39" s="149">
        <v>11407.317174683543</v>
      </c>
      <c r="L39" s="147">
        <v>9.8155063291139228</v>
      </c>
      <c r="M39" s="148">
        <v>285.17242936708863</v>
      </c>
      <c r="N39" s="149">
        <v>11977.242033417722</v>
      </c>
      <c r="O39" s="147">
        <v>10.257204113924049</v>
      </c>
      <c r="P39" s="148">
        <v>298.00518868860757</v>
      </c>
      <c r="Q39" s="149">
        <v>12516.217924921519</v>
      </c>
      <c r="R39" s="147">
        <v>10.257204113924049</v>
      </c>
      <c r="S39" s="148">
        <v>298.00518868860757</v>
      </c>
      <c r="T39" s="149">
        <v>12516.217924921519</v>
      </c>
      <c r="U39" s="147">
        <v>10.667492278481012</v>
      </c>
      <c r="V39" s="148">
        <v>309.92539623615193</v>
      </c>
      <c r="W39" s="149">
        <v>13016.866641918381</v>
      </c>
      <c r="X39" s="148">
        <v>11.104191969620253</v>
      </c>
      <c r="Y39" s="148">
        <v>322.33241208559798</v>
      </c>
      <c r="Z39" s="149">
        <v>13537.961307595115</v>
      </c>
      <c r="AA39" s="148">
        <v>11.659401568101266</v>
      </c>
      <c r="AB39" s="148">
        <v>338.44428268987792</v>
      </c>
      <c r="AC39" s="149">
        <v>14214.659872974873</v>
      </c>
      <c r="AD39" s="148">
        <v>12.01</v>
      </c>
      <c r="AE39" s="145">
        <v>348.6</v>
      </c>
      <c r="AF39" s="149">
        <f t="shared" si="20"/>
        <v>14641.2</v>
      </c>
      <c r="AG39" s="148">
        <f t="shared" si="8"/>
        <v>12.3703</v>
      </c>
      <c r="AH39" s="145">
        <f t="shared" si="8"/>
        <v>359.05800000000005</v>
      </c>
      <c r="AI39" s="149">
        <f t="shared" si="21"/>
        <v>15080.436000000002</v>
      </c>
      <c r="AJ39" s="148">
        <f t="shared" si="25"/>
        <v>12.741409000000001</v>
      </c>
      <c r="AK39" s="145">
        <f t="shared" si="25"/>
        <v>369.82974000000007</v>
      </c>
      <c r="AL39" s="149">
        <f t="shared" si="22"/>
        <v>15532.849080000004</v>
      </c>
      <c r="AM39" s="332" t="s">
        <v>102</v>
      </c>
      <c r="AN39" s="350">
        <v>27.012211440000002</v>
      </c>
      <c r="AO39" s="351">
        <v>367.80098093000004</v>
      </c>
      <c r="AP39" s="352">
        <v>15447.641199060003</v>
      </c>
      <c r="AQ39" s="332" t="s">
        <v>102</v>
      </c>
      <c r="AR39" s="350">
        <f t="shared" si="10"/>
        <v>27.822577783200003</v>
      </c>
      <c r="AS39" s="351">
        <f t="shared" si="11"/>
        <v>378.83501035790005</v>
      </c>
      <c r="AT39" s="352">
        <f t="shared" si="12"/>
        <v>15911.070435031803</v>
      </c>
      <c r="AU39" s="350">
        <f t="shared" si="13"/>
        <v>28.657255116696003</v>
      </c>
      <c r="AV39" s="351">
        <f t="shared" si="14"/>
        <v>390.20006066863704</v>
      </c>
      <c r="AW39" s="352">
        <f t="shared" si="15"/>
        <v>16388.402548082759</v>
      </c>
      <c r="AX39" s="350">
        <f t="shared" si="16"/>
        <v>29.516972770196883</v>
      </c>
      <c r="AY39" s="351">
        <f t="shared" si="17"/>
        <v>401.90606248869614</v>
      </c>
      <c r="AZ39" s="352">
        <f t="shared" si="18"/>
        <v>16880.054624525241</v>
      </c>
      <c r="BA39" s="350">
        <f t="shared" ref="BA39:BA61" si="26">AX39*(1+$BC$2)</f>
        <v>30.402481953302789</v>
      </c>
      <c r="BB39" s="351">
        <f t="shared" ref="BB39:BB61" si="27">AY39*(1+$BC$2)</f>
        <v>413.96324436335703</v>
      </c>
      <c r="BC39" s="352">
        <f t="shared" ref="BC39:BC61" si="28">AZ39*(1+$BC$2)</f>
        <v>17386.456263261</v>
      </c>
      <c r="BD39" s="350">
        <f t="shared" ref="BD39:BD61" si="29">BA39*(1+$BF$2)</f>
        <v>31.314556411901872</v>
      </c>
      <c r="BE39" s="351">
        <f t="shared" ref="BE39:BE61" si="30">BB39*(1+$BF$2)</f>
        <v>426.38214169425777</v>
      </c>
      <c r="BF39" s="352">
        <f t="shared" ref="BF39:BF61" si="31">BC39*(1+$BF$2)</f>
        <v>17908.049951158831</v>
      </c>
      <c r="BG39" s="350">
        <f t="shared" si="5"/>
        <v>32.253993104258932</v>
      </c>
      <c r="BH39" s="351">
        <f t="shared" si="6"/>
        <v>439.17360594508551</v>
      </c>
      <c r="BI39" s="352">
        <f t="shared" si="7"/>
        <v>18445.291449693595</v>
      </c>
    </row>
    <row r="40" spans="1:61" ht="13.8">
      <c r="A40" s="139">
        <v>278</v>
      </c>
      <c r="B40" s="130" t="s">
        <v>104</v>
      </c>
      <c r="C40" s="150">
        <v>14</v>
      </c>
      <c r="D40" s="141">
        <v>224</v>
      </c>
      <c r="E40" s="141">
        <v>9408</v>
      </c>
      <c r="F40" s="143">
        <v>28</v>
      </c>
      <c r="G40" s="141">
        <v>258.32</v>
      </c>
      <c r="H40" s="142">
        <v>10849.44</v>
      </c>
      <c r="I40" s="144">
        <v>29.54</v>
      </c>
      <c r="J40" s="141">
        <v>272.52760000000001</v>
      </c>
      <c r="K40" s="142">
        <v>11446.1592</v>
      </c>
      <c r="L40" s="144">
        <v>31.016999999999999</v>
      </c>
      <c r="M40" s="141">
        <v>286.16397999999998</v>
      </c>
      <c r="N40" s="142">
        <v>12018.887159999998</v>
      </c>
      <c r="O40" s="144">
        <v>32.418968399999997</v>
      </c>
      <c r="P40" s="141">
        <v>299.03711249999998</v>
      </c>
      <c r="Q40" s="142">
        <v>12559.558724999999</v>
      </c>
      <c r="R40" s="144">
        <v>32.422764999999998</v>
      </c>
      <c r="S40" s="141">
        <v>299.04090910000002</v>
      </c>
      <c r="T40" s="142">
        <v>12559.7181822</v>
      </c>
      <c r="U40" s="144">
        <v>33.719675600000002</v>
      </c>
      <c r="V40" s="141">
        <v>311.00254546400004</v>
      </c>
      <c r="W40" s="142">
        <v>13062.106909488002</v>
      </c>
      <c r="X40" s="141">
        <v>35.058462624000008</v>
      </c>
      <c r="Y40" s="141">
        <v>323.43264728256003</v>
      </c>
      <c r="Z40" s="142">
        <v>13584.171185867521</v>
      </c>
      <c r="AA40" s="141">
        <v>36.811385755200007</v>
      </c>
      <c r="AB40" s="141">
        <v>339.59952964668798</v>
      </c>
      <c r="AC40" s="142">
        <v>14263.1802451609</v>
      </c>
      <c r="AD40" s="141">
        <v>37.909999999999997</v>
      </c>
      <c r="AE40" s="145">
        <v>349.78</v>
      </c>
      <c r="AF40" s="142">
        <f t="shared" si="20"/>
        <v>14690.759999999998</v>
      </c>
      <c r="AG40" s="141">
        <f t="shared" si="8"/>
        <v>39.0473</v>
      </c>
      <c r="AH40" s="145">
        <f t="shared" si="8"/>
        <v>360.27339999999998</v>
      </c>
      <c r="AI40" s="142">
        <f t="shared" si="21"/>
        <v>15131.4828</v>
      </c>
      <c r="AJ40" s="141">
        <f t="shared" si="25"/>
        <v>40.218719</v>
      </c>
      <c r="AK40" s="364">
        <f t="shared" si="25"/>
        <v>371.08160199999998</v>
      </c>
      <c r="AL40" s="142">
        <f t="shared" si="22"/>
        <v>15585.427283999999</v>
      </c>
      <c r="AM40" s="332" t="s">
        <v>103</v>
      </c>
      <c r="AN40" s="350">
        <v>13.123651270000002</v>
      </c>
      <c r="AO40" s="351">
        <v>380.92463220000008</v>
      </c>
      <c r="AP40" s="352">
        <v>15998.834552400003</v>
      </c>
      <c r="AQ40" s="332" t="s">
        <v>103</v>
      </c>
      <c r="AR40" s="350">
        <f t="shared" si="10"/>
        <v>13.517360808100001</v>
      </c>
      <c r="AS40" s="351">
        <f t="shared" si="11"/>
        <v>392.35237116600007</v>
      </c>
      <c r="AT40" s="352">
        <f t="shared" si="12"/>
        <v>16478.799588972004</v>
      </c>
      <c r="AU40" s="350">
        <f t="shared" si="13"/>
        <v>13.922881632343001</v>
      </c>
      <c r="AV40" s="351">
        <f t="shared" si="14"/>
        <v>404.12294230098007</v>
      </c>
      <c r="AW40" s="352">
        <f t="shared" si="15"/>
        <v>16973.163576641164</v>
      </c>
      <c r="AX40" s="350">
        <f t="shared" si="16"/>
        <v>14.340568081313291</v>
      </c>
      <c r="AY40" s="351">
        <f t="shared" si="17"/>
        <v>416.24663057000947</v>
      </c>
      <c r="AZ40" s="352">
        <f t="shared" si="18"/>
        <v>17482.358483940399</v>
      </c>
      <c r="BA40" s="350">
        <f t="shared" si="26"/>
        <v>14.77078512375269</v>
      </c>
      <c r="BB40" s="351">
        <f t="shared" si="27"/>
        <v>428.73402948710975</v>
      </c>
      <c r="BC40" s="352">
        <f t="shared" si="28"/>
        <v>18006.829238458613</v>
      </c>
      <c r="BD40" s="350">
        <f t="shared" si="29"/>
        <v>15.213908677465271</v>
      </c>
      <c r="BE40" s="351">
        <f t="shared" si="30"/>
        <v>441.59605037172304</v>
      </c>
      <c r="BF40" s="352">
        <f t="shared" si="31"/>
        <v>18547.034115612372</v>
      </c>
      <c r="BG40" s="350">
        <f t="shared" si="5"/>
        <v>15.670325937789229</v>
      </c>
      <c r="BH40" s="351">
        <f t="shared" si="6"/>
        <v>454.84393188287476</v>
      </c>
      <c r="BI40" s="352">
        <f t="shared" si="7"/>
        <v>19103.445139080744</v>
      </c>
    </row>
    <row r="41" spans="1:61" ht="13.8">
      <c r="A41" s="139">
        <v>276</v>
      </c>
      <c r="B41" s="130" t="s">
        <v>105</v>
      </c>
      <c r="C41" s="141"/>
      <c r="D41" s="141"/>
      <c r="E41" s="141"/>
      <c r="F41" s="144"/>
      <c r="G41" s="141"/>
      <c r="H41" s="142"/>
      <c r="I41" s="144">
        <v>0</v>
      </c>
      <c r="J41" s="141"/>
      <c r="K41" s="142">
        <v>0</v>
      </c>
      <c r="L41" s="144"/>
      <c r="M41" s="141"/>
      <c r="N41" s="142"/>
      <c r="O41" s="144"/>
      <c r="P41" s="141"/>
      <c r="Q41" s="142"/>
      <c r="R41" s="144">
        <v>0</v>
      </c>
      <c r="S41" s="141"/>
      <c r="T41" s="142"/>
      <c r="U41" s="144"/>
      <c r="V41" s="141"/>
      <c r="W41" s="142"/>
      <c r="X41" s="141"/>
      <c r="Y41" s="141"/>
      <c r="Z41" s="142"/>
      <c r="AA41" s="141">
        <v>0</v>
      </c>
      <c r="AB41" s="141"/>
      <c r="AC41" s="142">
        <v>0</v>
      </c>
      <c r="AD41" s="141">
        <v>0</v>
      </c>
      <c r="AE41" s="145"/>
      <c r="AF41" s="142">
        <f t="shared" si="20"/>
        <v>0</v>
      </c>
      <c r="AG41" s="141">
        <f t="shared" si="8"/>
        <v>0</v>
      </c>
      <c r="AH41" s="145">
        <f t="shared" si="8"/>
        <v>0</v>
      </c>
      <c r="AI41" s="142">
        <f t="shared" si="21"/>
        <v>0</v>
      </c>
      <c r="AJ41" s="141">
        <f t="shared" si="25"/>
        <v>0</v>
      </c>
      <c r="AK41" s="145">
        <f t="shared" si="25"/>
        <v>0</v>
      </c>
      <c r="AL41" s="142">
        <f t="shared" si="22"/>
        <v>0</v>
      </c>
      <c r="AM41" s="332" t="s">
        <v>104</v>
      </c>
      <c r="AN41" s="350">
        <v>41.425280569999998</v>
      </c>
      <c r="AO41" s="364">
        <v>382.21405005999998</v>
      </c>
      <c r="AP41" s="352">
        <v>16052.99010252</v>
      </c>
      <c r="AQ41" s="332" t="s">
        <v>104</v>
      </c>
      <c r="AR41" s="350">
        <f t="shared" si="10"/>
        <v>42.668038987099997</v>
      </c>
      <c r="AS41" s="364">
        <f t="shared" si="11"/>
        <v>393.6804715618</v>
      </c>
      <c r="AT41" s="352">
        <f t="shared" si="12"/>
        <v>16534.5798055956</v>
      </c>
      <c r="AU41" s="350">
        <f t="shared" si="13"/>
        <v>43.948080156712997</v>
      </c>
      <c r="AV41" s="364">
        <f t="shared" si="14"/>
        <v>405.49088570865399</v>
      </c>
      <c r="AW41" s="352">
        <f t="shared" si="15"/>
        <v>17030.61719976347</v>
      </c>
      <c r="AX41" s="350">
        <f t="shared" si="16"/>
        <v>45.266522561414391</v>
      </c>
      <c r="AY41" s="364">
        <f>AV41*(1+$AZ$2)</f>
        <v>417.65561227991361</v>
      </c>
      <c r="AZ41" s="352">
        <f t="shared" si="18"/>
        <v>17541.535715756374</v>
      </c>
      <c r="BA41" s="350">
        <f t="shared" si="26"/>
        <v>46.624518238256826</v>
      </c>
      <c r="BB41" s="364">
        <f t="shared" si="27"/>
        <v>430.18528064831105</v>
      </c>
      <c r="BC41" s="352">
        <f t="shared" si="28"/>
        <v>18067.781787229065</v>
      </c>
      <c r="BD41" s="350">
        <f t="shared" si="29"/>
        <v>48.023253785404535</v>
      </c>
      <c r="BE41" s="364">
        <f t="shared" si="30"/>
        <v>443.09083906776038</v>
      </c>
      <c r="BF41" s="352">
        <f t="shared" si="31"/>
        <v>18609.815240845939</v>
      </c>
      <c r="BG41" s="350">
        <f t="shared" si="5"/>
        <v>49.463951398966671</v>
      </c>
      <c r="BH41" s="364">
        <f t="shared" si="6"/>
        <v>456.3835642397932</v>
      </c>
      <c r="BI41" s="352">
        <f t="shared" si="7"/>
        <v>19168.109698071319</v>
      </c>
    </row>
    <row r="42" spans="1:61" ht="13.8">
      <c r="A42" s="139">
        <v>279</v>
      </c>
      <c r="B42" s="130" t="s">
        <v>106</v>
      </c>
      <c r="C42" s="141">
        <v>0</v>
      </c>
      <c r="D42" s="141">
        <v>0</v>
      </c>
      <c r="E42" s="141">
        <v>0</v>
      </c>
      <c r="F42" s="143">
        <v>37</v>
      </c>
      <c r="G42" s="141">
        <v>295.32</v>
      </c>
      <c r="H42" s="142">
        <v>12403.44</v>
      </c>
      <c r="I42" s="144">
        <v>39.034999999999997</v>
      </c>
      <c r="J42" s="141">
        <v>311.57259999999997</v>
      </c>
      <c r="K42" s="142">
        <v>13086.049199999998</v>
      </c>
      <c r="L42" s="144">
        <v>40.986750000000001</v>
      </c>
      <c r="M42" s="141">
        <v>327.15072999999995</v>
      </c>
      <c r="N42" s="142">
        <v>13740.330659999998</v>
      </c>
      <c r="O42" s="144">
        <v>42.831153749999999</v>
      </c>
      <c r="P42" s="141">
        <v>341.86826624999998</v>
      </c>
      <c r="Q42" s="142">
        <v>14358.467182499999</v>
      </c>
      <c r="R42" s="144">
        <v>42.831153749999999</v>
      </c>
      <c r="S42" s="141">
        <v>341.87206285000002</v>
      </c>
      <c r="T42" s="142">
        <v>14358.6266397</v>
      </c>
      <c r="U42" s="144">
        <v>44.544399900000002</v>
      </c>
      <c r="V42" s="141">
        <v>355.54694536400007</v>
      </c>
      <c r="W42" s="142">
        <v>14932.971705288002</v>
      </c>
      <c r="X42" s="141">
        <v>46.336175896</v>
      </c>
      <c r="Y42" s="141">
        <v>369.76882317856001</v>
      </c>
      <c r="Z42" s="142">
        <v>15530.29057349952</v>
      </c>
      <c r="AA42" s="141">
        <v>48.652984690800004</v>
      </c>
      <c r="AB42" s="141">
        <v>388.25251433748809</v>
      </c>
      <c r="AC42" s="142">
        <v>16306.605602174501</v>
      </c>
      <c r="AD42" s="141">
        <v>50.11</v>
      </c>
      <c r="AE42" s="145">
        <v>399.89</v>
      </c>
      <c r="AF42" s="142">
        <f t="shared" si="20"/>
        <v>16795.38</v>
      </c>
      <c r="AG42" s="141">
        <f t="shared" si="8"/>
        <v>51.613300000000002</v>
      </c>
      <c r="AH42" s="145">
        <f t="shared" si="8"/>
        <v>411.88670000000002</v>
      </c>
      <c r="AI42" s="142">
        <f t="shared" si="21"/>
        <v>17299.241399999999</v>
      </c>
      <c r="AJ42" s="141">
        <f>AG42*(1+$AI$2)+0.01</f>
        <v>53.171699000000004</v>
      </c>
      <c r="AK42" s="145">
        <f>AH42*(1+$AI$2)+0.01</f>
        <v>424.25330100000002</v>
      </c>
      <c r="AL42" s="142">
        <f t="shared" si="22"/>
        <v>17818.638642000002</v>
      </c>
      <c r="AM42" s="332" t="s">
        <v>105</v>
      </c>
      <c r="AN42" s="350">
        <v>0</v>
      </c>
      <c r="AO42" s="351">
        <v>0</v>
      </c>
      <c r="AP42" s="352">
        <v>0</v>
      </c>
      <c r="AQ42" s="332" t="s">
        <v>105</v>
      </c>
      <c r="AR42" s="350">
        <f t="shared" si="10"/>
        <v>0</v>
      </c>
      <c r="AS42" s="351">
        <f t="shared" si="11"/>
        <v>0</v>
      </c>
      <c r="AT42" s="352">
        <f t="shared" si="12"/>
        <v>0</v>
      </c>
      <c r="AU42" s="350">
        <f t="shared" si="13"/>
        <v>0</v>
      </c>
      <c r="AV42" s="351">
        <f t="shared" si="14"/>
        <v>0</v>
      </c>
      <c r="AW42" s="352">
        <f t="shared" si="15"/>
        <v>0</v>
      </c>
      <c r="AX42" s="350">
        <f t="shared" si="16"/>
        <v>0</v>
      </c>
      <c r="AY42" s="351">
        <f t="shared" si="17"/>
        <v>0</v>
      </c>
      <c r="AZ42" s="352">
        <f t="shared" si="18"/>
        <v>0</v>
      </c>
      <c r="BA42" s="350">
        <f t="shared" si="26"/>
        <v>0</v>
      </c>
      <c r="BB42" s="351">
        <f t="shared" si="27"/>
        <v>0</v>
      </c>
      <c r="BC42" s="352">
        <f t="shared" si="28"/>
        <v>0</v>
      </c>
      <c r="BD42" s="350">
        <f t="shared" si="29"/>
        <v>0</v>
      </c>
      <c r="BE42" s="351">
        <f t="shared" si="30"/>
        <v>0</v>
      </c>
      <c r="BF42" s="352">
        <f t="shared" si="31"/>
        <v>0</v>
      </c>
      <c r="BG42" s="350">
        <f t="shared" si="5"/>
        <v>0</v>
      </c>
      <c r="BH42" s="351">
        <f t="shared" si="6"/>
        <v>0</v>
      </c>
      <c r="BI42" s="352">
        <f t="shared" si="7"/>
        <v>0</v>
      </c>
    </row>
    <row r="43" spans="1:61" ht="13.8">
      <c r="A43" s="139"/>
      <c r="B43" s="130" t="s">
        <v>107</v>
      </c>
      <c r="C43" s="150">
        <v>67</v>
      </c>
      <c r="D43" s="141">
        <v>67</v>
      </c>
      <c r="E43" s="141">
        <v>2814</v>
      </c>
      <c r="F43" s="143">
        <v>37</v>
      </c>
      <c r="G43" s="141">
        <v>332.32</v>
      </c>
      <c r="H43" s="142">
        <v>13957.44</v>
      </c>
      <c r="I43" s="144">
        <v>39.034999999999997</v>
      </c>
      <c r="J43" s="141">
        <v>350.59759999999994</v>
      </c>
      <c r="K43" s="142">
        <v>14725.099199999997</v>
      </c>
      <c r="L43" s="144">
        <v>40.986750000000001</v>
      </c>
      <c r="M43" s="141">
        <v>368.13747999999998</v>
      </c>
      <c r="N43" s="142">
        <v>15461.774159999999</v>
      </c>
      <c r="O43" s="144">
        <v>42.831153749999999</v>
      </c>
      <c r="P43" s="141">
        <v>384.70321659999991</v>
      </c>
      <c r="Q43" s="142">
        <v>16157.535097199996</v>
      </c>
      <c r="R43" s="144">
        <v>42.831153749999999</v>
      </c>
      <c r="S43" s="141">
        <v>384.70321659999991</v>
      </c>
      <c r="T43" s="142">
        <v>16157.535097199996</v>
      </c>
      <c r="U43" s="144">
        <v>44.544399900000002</v>
      </c>
      <c r="V43" s="141">
        <v>400.09134526399987</v>
      </c>
      <c r="W43" s="142">
        <v>16803.836501087993</v>
      </c>
      <c r="X43" s="141">
        <v>46.326175896000002</v>
      </c>
      <c r="Y43" s="141">
        <v>416.09499907455989</v>
      </c>
      <c r="Z43" s="142">
        <v>17475.989961131516</v>
      </c>
      <c r="AA43" s="141">
        <v>48.652484690800001</v>
      </c>
      <c r="AB43" s="141">
        <v>436.90974902828793</v>
      </c>
      <c r="AC43" s="142">
        <v>18350.209459188092</v>
      </c>
      <c r="AD43" s="141">
        <v>50.11</v>
      </c>
      <c r="AE43" s="145">
        <v>450.02</v>
      </c>
      <c r="AF43" s="142">
        <f t="shared" si="20"/>
        <v>18900.84</v>
      </c>
      <c r="AG43" s="141">
        <f t="shared" si="8"/>
        <v>51.613300000000002</v>
      </c>
      <c r="AH43" s="145">
        <f t="shared" si="8"/>
        <v>463.5206</v>
      </c>
      <c r="AI43" s="142">
        <f t="shared" si="21"/>
        <v>19467.8652</v>
      </c>
      <c r="AJ43" s="141">
        <f>AG43*(1+$AI$2)+0.01</f>
        <v>53.171699000000004</v>
      </c>
      <c r="AK43" s="145">
        <f>AH43*(1+$AI$2)</f>
        <v>477.42621800000001</v>
      </c>
      <c r="AL43" s="142">
        <f t="shared" si="22"/>
        <v>20051.901156</v>
      </c>
      <c r="AM43" s="332" t="s">
        <v>106</v>
      </c>
      <c r="AN43" s="350">
        <v>54.766849970000003</v>
      </c>
      <c r="AO43" s="351">
        <v>436.98090003000004</v>
      </c>
      <c r="AP43" s="352">
        <v>18353.197801260001</v>
      </c>
      <c r="AQ43" s="332" t="s">
        <v>106</v>
      </c>
      <c r="AR43" s="350">
        <f t="shared" si="10"/>
        <v>56.409855469100002</v>
      </c>
      <c r="AS43" s="351">
        <f t="shared" si="11"/>
        <v>450.09032703090008</v>
      </c>
      <c r="AT43" s="352">
        <f t="shared" si="12"/>
        <v>18903.793735297801</v>
      </c>
      <c r="AU43" s="350">
        <f t="shared" si="13"/>
        <v>58.102151133173003</v>
      </c>
      <c r="AV43" s="351">
        <f t="shared" si="14"/>
        <v>463.59303684182709</v>
      </c>
      <c r="AW43" s="352">
        <f t="shared" si="15"/>
        <v>19470.907547356735</v>
      </c>
      <c r="AX43" s="350">
        <f t="shared" si="16"/>
        <v>59.845215667168198</v>
      </c>
      <c r="AY43" s="351">
        <f t="shared" si="17"/>
        <v>477.50082794708192</v>
      </c>
      <c r="AZ43" s="352">
        <f t="shared" si="18"/>
        <v>20055.034773777439</v>
      </c>
      <c r="BA43" s="350">
        <f t="shared" si="26"/>
        <v>61.640572137183248</v>
      </c>
      <c r="BB43" s="351">
        <f t="shared" si="27"/>
        <v>491.82585278549436</v>
      </c>
      <c r="BC43" s="352">
        <f t="shared" si="28"/>
        <v>20656.685816990765</v>
      </c>
      <c r="BD43" s="350">
        <f t="shared" si="29"/>
        <v>63.48978930129875</v>
      </c>
      <c r="BE43" s="351">
        <f t="shared" si="30"/>
        <v>506.58062836905918</v>
      </c>
      <c r="BF43" s="352">
        <f t="shared" si="31"/>
        <v>21276.386391500488</v>
      </c>
      <c r="BG43" s="350">
        <f t="shared" si="5"/>
        <v>65.394482980337713</v>
      </c>
      <c r="BH43" s="351">
        <f t="shared" si="6"/>
        <v>521.77804722013093</v>
      </c>
      <c r="BI43" s="352">
        <f t="shared" si="7"/>
        <v>21914.677983245503</v>
      </c>
    </row>
    <row r="44" spans="1:61" ht="14.4" thickBot="1">
      <c r="A44" s="186">
        <v>277</v>
      </c>
      <c r="B44" s="206" t="s">
        <v>108</v>
      </c>
      <c r="C44" s="189">
        <v>0</v>
      </c>
      <c r="D44" s="189">
        <v>0</v>
      </c>
      <c r="E44" s="189">
        <v>0</v>
      </c>
      <c r="F44" s="191">
        <v>295.32</v>
      </c>
      <c r="G44" s="189">
        <v>295.32</v>
      </c>
      <c r="H44" s="190">
        <v>12403.44</v>
      </c>
      <c r="I44" s="196">
        <v>311.56259999999997</v>
      </c>
      <c r="J44" s="189">
        <v>311.57259999999997</v>
      </c>
      <c r="K44" s="190">
        <v>13086.049199999998</v>
      </c>
      <c r="L44" s="196">
        <v>327.14072999999996</v>
      </c>
      <c r="M44" s="189">
        <v>327.15072999999995</v>
      </c>
      <c r="N44" s="190">
        <v>13740.330659999998</v>
      </c>
      <c r="O44" s="196">
        <v>341.86206284999992</v>
      </c>
      <c r="P44" s="189">
        <v>341.87206284999991</v>
      </c>
      <c r="Q44" s="190">
        <v>14358.626639699996</v>
      </c>
      <c r="R44" s="196">
        <v>341.87206284999991</v>
      </c>
      <c r="S44" s="189">
        <v>341.87206284999991</v>
      </c>
      <c r="T44" s="190">
        <v>14358.626639699996</v>
      </c>
      <c r="U44" s="196">
        <v>355.5469453639999</v>
      </c>
      <c r="V44" s="189">
        <v>355.5469453639999</v>
      </c>
      <c r="W44" s="190">
        <v>14932.971705287995</v>
      </c>
      <c r="X44" s="189">
        <v>369.7688231785599</v>
      </c>
      <c r="Y44" s="189">
        <v>369.7688231785599</v>
      </c>
      <c r="Z44" s="190">
        <v>15530.290573499517</v>
      </c>
      <c r="AA44" s="189">
        <v>388.25726433748792</v>
      </c>
      <c r="AB44" s="189">
        <v>388.25726433748792</v>
      </c>
      <c r="AC44" s="190">
        <v>16306.805102174492</v>
      </c>
      <c r="AD44" s="189">
        <v>399.91</v>
      </c>
      <c r="AE44" s="192">
        <v>399.91</v>
      </c>
      <c r="AF44" s="190">
        <f t="shared" si="20"/>
        <v>16796.22</v>
      </c>
      <c r="AG44" s="189">
        <f t="shared" si="8"/>
        <v>411.90730000000002</v>
      </c>
      <c r="AH44" s="192">
        <f t="shared" si="8"/>
        <v>411.90730000000002</v>
      </c>
      <c r="AI44" s="190">
        <f t="shared" si="21"/>
        <v>17300.106599999999</v>
      </c>
      <c r="AJ44" s="189">
        <f>AG44*(1+$AI$2)</f>
        <v>424.26451900000001</v>
      </c>
      <c r="AK44" s="192">
        <f>AH44*(1+$AI$2)</f>
        <v>424.26451900000001</v>
      </c>
      <c r="AL44" s="190">
        <f t="shared" si="22"/>
        <v>17819.109798000001</v>
      </c>
      <c r="AM44" s="332" t="s">
        <v>107</v>
      </c>
      <c r="AN44" s="350">
        <v>54.766849970000003</v>
      </c>
      <c r="AO44" s="351">
        <v>491.74900454000004</v>
      </c>
      <c r="AP44" s="352">
        <v>20653.458190680001</v>
      </c>
      <c r="AQ44" s="332" t="s">
        <v>107</v>
      </c>
      <c r="AR44" s="350">
        <f t="shared" si="10"/>
        <v>56.409855469100002</v>
      </c>
      <c r="AS44" s="351">
        <f t="shared" si="11"/>
        <v>506.50147467620008</v>
      </c>
      <c r="AT44" s="352">
        <f t="shared" si="12"/>
        <v>21273.061936400401</v>
      </c>
      <c r="AU44" s="350">
        <f t="shared" si="13"/>
        <v>58.102151133173003</v>
      </c>
      <c r="AV44" s="351">
        <f t="shared" si="14"/>
        <v>521.69651891648607</v>
      </c>
      <c r="AW44" s="352">
        <f t="shared" si="15"/>
        <v>21911.253794492415</v>
      </c>
      <c r="AX44" s="350">
        <f t="shared" si="16"/>
        <v>59.845215667168198</v>
      </c>
      <c r="AY44" s="351">
        <f t="shared" si="17"/>
        <v>537.34741448398063</v>
      </c>
      <c r="AZ44" s="352">
        <f t="shared" si="18"/>
        <v>22568.591408327189</v>
      </c>
      <c r="BA44" s="350">
        <f t="shared" si="26"/>
        <v>61.640572137183248</v>
      </c>
      <c r="BB44" s="351">
        <f t="shared" si="27"/>
        <v>553.4678369185001</v>
      </c>
      <c r="BC44" s="352">
        <f t="shared" si="28"/>
        <v>23245.649150577006</v>
      </c>
      <c r="BD44" s="350">
        <f t="shared" si="29"/>
        <v>63.48978930129875</v>
      </c>
      <c r="BE44" s="351">
        <f t="shared" si="30"/>
        <v>570.07187202605508</v>
      </c>
      <c r="BF44" s="352">
        <f t="shared" si="31"/>
        <v>23943.018625094319</v>
      </c>
      <c r="BG44" s="350">
        <f t="shared" si="5"/>
        <v>65.394482980337713</v>
      </c>
      <c r="BH44" s="351">
        <f t="shared" si="6"/>
        <v>587.17402818683672</v>
      </c>
      <c r="BI44" s="352">
        <f t="shared" si="7"/>
        <v>24661.309183847148</v>
      </c>
    </row>
    <row r="45" spans="1:61" ht="14.4" thickBot="1">
      <c r="A45" s="139">
        <v>210</v>
      </c>
      <c r="B45" s="130" t="s">
        <v>85</v>
      </c>
      <c r="C45" s="140">
        <v>15</v>
      </c>
      <c r="D45" s="134">
        <v>15</v>
      </c>
      <c r="E45" s="135">
        <v>630</v>
      </c>
      <c r="F45" s="202">
        <v>35.32</v>
      </c>
      <c r="G45" s="134">
        <v>35.32</v>
      </c>
      <c r="H45" s="135">
        <v>1483.44</v>
      </c>
      <c r="I45" s="137">
        <v>37.262599999999999</v>
      </c>
      <c r="J45" s="134">
        <v>37.262599999999999</v>
      </c>
      <c r="K45" s="135">
        <v>1565.0291999999999</v>
      </c>
      <c r="L45" s="137">
        <v>39.125729999999997</v>
      </c>
      <c r="M45" s="134">
        <v>39.125729999999997</v>
      </c>
      <c r="N45" s="135">
        <v>1643.2806599999999</v>
      </c>
      <c r="O45" s="137">
        <v>40.886387849999991</v>
      </c>
      <c r="P45" s="134">
        <v>40.886387849999991</v>
      </c>
      <c r="Q45" s="135">
        <v>1717.2282896999996</v>
      </c>
      <c r="R45" s="137">
        <v>63.55</v>
      </c>
      <c r="S45" s="134">
        <v>63.55</v>
      </c>
      <c r="T45" s="135">
        <v>2669.1</v>
      </c>
      <c r="U45" s="137">
        <v>66.091999999999999</v>
      </c>
      <c r="V45" s="134">
        <v>66.091999999999999</v>
      </c>
      <c r="W45" s="135">
        <v>2775.864</v>
      </c>
      <c r="X45" s="134">
        <v>68.725679999999997</v>
      </c>
      <c r="Y45" s="134">
        <v>68.725679999999997</v>
      </c>
      <c r="Z45" s="135">
        <v>2886.47856</v>
      </c>
      <c r="AA45" s="134">
        <v>72.161963999999998</v>
      </c>
      <c r="AB45" s="134">
        <v>72.161963999999998</v>
      </c>
      <c r="AC45" s="135">
        <v>3030.8024879999998</v>
      </c>
      <c r="AD45" s="134">
        <v>74.319999999999993</v>
      </c>
      <c r="AE45" s="138">
        <v>74.319999999999993</v>
      </c>
      <c r="AF45" s="135">
        <f t="shared" si="20"/>
        <v>3121.4399999999996</v>
      </c>
      <c r="AG45" s="134">
        <f t="shared" si="8"/>
        <v>76.549599999999998</v>
      </c>
      <c r="AH45" s="138">
        <f t="shared" si="8"/>
        <v>76.549599999999998</v>
      </c>
      <c r="AI45" s="135">
        <f t="shared" si="21"/>
        <v>3215.0832</v>
      </c>
      <c r="AJ45" s="134">
        <f t="shared" si="25"/>
        <v>78.846087999999995</v>
      </c>
      <c r="AK45" s="138">
        <f t="shared" si="25"/>
        <v>78.846087999999995</v>
      </c>
      <c r="AL45" s="135">
        <f t="shared" si="22"/>
        <v>3311.5356959999999</v>
      </c>
      <c r="AM45" s="331" t="s">
        <v>108</v>
      </c>
      <c r="AN45" s="353">
        <v>436.99245457000001</v>
      </c>
      <c r="AO45" s="354">
        <v>436.99245457000001</v>
      </c>
      <c r="AP45" s="355">
        <v>18353.683091940002</v>
      </c>
      <c r="AQ45" s="331" t="s">
        <v>108</v>
      </c>
      <c r="AR45" s="353">
        <f t="shared" si="10"/>
        <v>450.10222820710004</v>
      </c>
      <c r="AS45" s="354">
        <f t="shared" si="11"/>
        <v>450.10222820710004</v>
      </c>
      <c r="AT45" s="355">
        <f t="shared" si="12"/>
        <v>18904.293584698204</v>
      </c>
      <c r="AU45" s="353">
        <f t="shared" si="13"/>
        <v>463.60529505331306</v>
      </c>
      <c r="AV45" s="354">
        <f t="shared" si="14"/>
        <v>463.60529505331306</v>
      </c>
      <c r="AW45" s="355">
        <f t="shared" si="15"/>
        <v>19471.42239223915</v>
      </c>
      <c r="AX45" s="353">
        <f t="shared" si="16"/>
        <v>477.51345390491247</v>
      </c>
      <c r="AY45" s="354">
        <f t="shared" si="17"/>
        <v>477.51345390491247</v>
      </c>
      <c r="AZ45" s="355">
        <f t="shared" si="18"/>
        <v>20055.565064006325</v>
      </c>
      <c r="BA45" s="353">
        <f t="shared" si="26"/>
        <v>491.83885752205987</v>
      </c>
      <c r="BB45" s="354">
        <f t="shared" si="27"/>
        <v>491.83885752205987</v>
      </c>
      <c r="BC45" s="355">
        <f t="shared" si="28"/>
        <v>20657.232015926515</v>
      </c>
      <c r="BD45" s="353">
        <f t="shared" si="29"/>
        <v>506.59402324772168</v>
      </c>
      <c r="BE45" s="354">
        <f t="shared" si="30"/>
        <v>506.59402324772168</v>
      </c>
      <c r="BF45" s="355">
        <f t="shared" si="31"/>
        <v>21276.94897640431</v>
      </c>
      <c r="BG45" s="353">
        <f t="shared" si="5"/>
        <v>521.79184394515335</v>
      </c>
      <c r="BH45" s="354">
        <f t="shared" si="6"/>
        <v>521.79184394515335</v>
      </c>
      <c r="BI45" s="355">
        <f t="shared" si="7"/>
        <v>21915.257445696439</v>
      </c>
    </row>
    <row r="46" spans="1:61" ht="13.8">
      <c r="A46" s="139">
        <v>260</v>
      </c>
      <c r="B46" s="130" t="s">
        <v>88</v>
      </c>
      <c r="C46" s="140">
        <v>100</v>
      </c>
      <c r="D46" s="141">
        <v>100</v>
      </c>
      <c r="E46" s="142">
        <v>4200</v>
      </c>
      <c r="F46" s="154">
        <v>106.32</v>
      </c>
      <c r="G46" s="141">
        <v>106.32</v>
      </c>
      <c r="H46" s="142">
        <v>4465.4399999999996</v>
      </c>
      <c r="I46" s="144">
        <v>112.16759999999999</v>
      </c>
      <c r="J46" s="141">
        <v>112.16759999999999</v>
      </c>
      <c r="K46" s="142">
        <v>4711.0391999999993</v>
      </c>
      <c r="L46" s="144">
        <v>117.77598</v>
      </c>
      <c r="M46" s="141">
        <v>117.77598</v>
      </c>
      <c r="N46" s="142">
        <v>4946.5911599999999</v>
      </c>
      <c r="O46" s="144">
        <v>123.0758991</v>
      </c>
      <c r="P46" s="141">
        <v>123.0758991</v>
      </c>
      <c r="Q46" s="142">
        <v>5169.1877622000002</v>
      </c>
      <c r="R46" s="144">
        <v>123.0758991</v>
      </c>
      <c r="S46" s="141">
        <v>123.0758991</v>
      </c>
      <c r="T46" s="142">
        <v>5169.1877622000002</v>
      </c>
      <c r="U46" s="144">
        <v>127.99893506400001</v>
      </c>
      <c r="V46" s="141">
        <v>127.99893506400001</v>
      </c>
      <c r="W46" s="142">
        <v>5375.9552726880002</v>
      </c>
      <c r="X46" s="141">
        <v>133.11889246656003</v>
      </c>
      <c r="Y46" s="141">
        <v>133.11889246656003</v>
      </c>
      <c r="Z46" s="142">
        <v>5590.993483595521</v>
      </c>
      <c r="AA46" s="141">
        <v>139.78008708988804</v>
      </c>
      <c r="AB46" s="141">
        <v>139.78008708988804</v>
      </c>
      <c r="AC46" s="142">
        <v>5870.7636577752974</v>
      </c>
      <c r="AD46" s="141">
        <v>143.97</v>
      </c>
      <c r="AE46" s="145">
        <v>143.97</v>
      </c>
      <c r="AF46" s="142">
        <f t="shared" si="20"/>
        <v>6046.74</v>
      </c>
      <c r="AG46" s="141">
        <f t="shared" si="8"/>
        <v>148.28909999999999</v>
      </c>
      <c r="AH46" s="145">
        <f t="shared" si="8"/>
        <v>148.28909999999999</v>
      </c>
      <c r="AI46" s="142">
        <f t="shared" si="21"/>
        <v>6228.1421999999993</v>
      </c>
      <c r="AJ46" s="141">
        <f t="shared" si="25"/>
        <v>152.737773</v>
      </c>
      <c r="AK46" s="145">
        <f t="shared" si="25"/>
        <v>152.737773</v>
      </c>
      <c r="AL46" s="142">
        <f t="shared" si="22"/>
        <v>6414.9864660000003</v>
      </c>
      <c r="AM46" s="332" t="s">
        <v>85</v>
      </c>
      <c r="AN46" s="347">
        <v>81.211470640000002</v>
      </c>
      <c r="AO46" s="348">
        <v>81.211470640000002</v>
      </c>
      <c r="AP46" s="349">
        <v>3410.8817668800002</v>
      </c>
      <c r="AQ46" s="332" t="s">
        <v>85</v>
      </c>
      <c r="AR46" s="347">
        <f t="shared" si="10"/>
        <v>83.647814759200003</v>
      </c>
      <c r="AS46" s="348">
        <f t="shared" si="11"/>
        <v>83.647814759200003</v>
      </c>
      <c r="AT46" s="349">
        <f t="shared" si="12"/>
        <v>3513.2082198864005</v>
      </c>
      <c r="AU46" s="347">
        <f t="shared" si="13"/>
        <v>86.157249201976001</v>
      </c>
      <c r="AV46" s="348">
        <f t="shared" si="14"/>
        <v>86.157249201976001</v>
      </c>
      <c r="AW46" s="349">
        <f t="shared" si="15"/>
        <v>3618.6044664829924</v>
      </c>
      <c r="AX46" s="347">
        <f t="shared" si="16"/>
        <v>88.741966678035283</v>
      </c>
      <c r="AY46" s="348">
        <f t="shared" si="17"/>
        <v>88.741966678035283</v>
      </c>
      <c r="AZ46" s="349">
        <f t="shared" si="18"/>
        <v>3727.1626004774821</v>
      </c>
      <c r="BA46" s="347">
        <f t="shared" si="26"/>
        <v>91.404225678376349</v>
      </c>
      <c r="BB46" s="348">
        <f t="shared" si="27"/>
        <v>91.404225678376349</v>
      </c>
      <c r="BC46" s="349">
        <f t="shared" si="28"/>
        <v>3838.9774784918068</v>
      </c>
      <c r="BD46" s="347">
        <f t="shared" si="29"/>
        <v>94.14635244872764</v>
      </c>
      <c r="BE46" s="348">
        <f t="shared" si="30"/>
        <v>94.14635244872764</v>
      </c>
      <c r="BF46" s="349">
        <f t="shared" si="31"/>
        <v>3954.1468028465611</v>
      </c>
      <c r="BG46" s="347">
        <f t="shared" si="5"/>
        <v>96.970743022189467</v>
      </c>
      <c r="BH46" s="348">
        <f t="shared" si="6"/>
        <v>96.970743022189467</v>
      </c>
      <c r="BI46" s="349">
        <f t="shared" si="7"/>
        <v>4072.7712069319582</v>
      </c>
    </row>
    <row r="47" spans="1:61" ht="13.8">
      <c r="A47" s="146">
        <v>231</v>
      </c>
      <c r="B47" s="131" t="s">
        <v>90</v>
      </c>
      <c r="C47" s="147">
        <v>22.089552238805972</v>
      </c>
      <c r="D47" s="148">
        <v>122.09</v>
      </c>
      <c r="E47" s="149">
        <v>5127.78</v>
      </c>
      <c r="F47" s="147">
        <v>22.089552238805972</v>
      </c>
      <c r="G47" s="148">
        <v>128.40955223880596</v>
      </c>
      <c r="H47" s="149">
        <v>5393.2011940298498</v>
      </c>
      <c r="I47" s="147">
        <v>23.3044776119403</v>
      </c>
      <c r="J47" s="148">
        <v>135.47207761194028</v>
      </c>
      <c r="K47" s="149">
        <v>5689.827259701492</v>
      </c>
      <c r="L47" s="147">
        <v>24.469701492537315</v>
      </c>
      <c r="M47" s="148">
        <v>142.24568149253733</v>
      </c>
      <c r="N47" s="149">
        <v>5974.3186226865682</v>
      </c>
      <c r="O47" s="147">
        <v>25.570838059701494</v>
      </c>
      <c r="P47" s="148">
        <v>148.6467371597015</v>
      </c>
      <c r="Q47" s="149">
        <v>6243.1629607074628</v>
      </c>
      <c r="R47" s="147">
        <v>25.570838059701494</v>
      </c>
      <c r="S47" s="148">
        <v>148.6467371597015</v>
      </c>
      <c r="T47" s="149">
        <v>6243.1629607074628</v>
      </c>
      <c r="U47" s="147">
        <v>26.593671582089556</v>
      </c>
      <c r="V47" s="148">
        <v>154.59260664608956</v>
      </c>
      <c r="W47" s="149">
        <v>6492.8894791357616</v>
      </c>
      <c r="X47" s="148">
        <v>27.647418445373138</v>
      </c>
      <c r="Y47" s="148">
        <v>160.76631091193318</v>
      </c>
      <c r="Z47" s="149">
        <v>6752.1850583011937</v>
      </c>
      <c r="AA47" s="148">
        <v>29.029789367641797</v>
      </c>
      <c r="AB47" s="148">
        <v>168.80987645752984</v>
      </c>
      <c r="AC47" s="149">
        <v>7090.0148112162533</v>
      </c>
      <c r="AD47" s="148">
        <v>29.9</v>
      </c>
      <c r="AE47" s="145">
        <v>173.87</v>
      </c>
      <c r="AF47" s="149">
        <f t="shared" si="20"/>
        <v>7302.54</v>
      </c>
      <c r="AG47" s="148">
        <f t="shared" si="8"/>
        <v>30.797000000000001</v>
      </c>
      <c r="AH47" s="145">
        <f t="shared" si="8"/>
        <v>179.08610000000002</v>
      </c>
      <c r="AI47" s="149">
        <f t="shared" si="21"/>
        <v>7521.6162000000004</v>
      </c>
      <c r="AJ47" s="148">
        <f t="shared" si="25"/>
        <v>31.72091</v>
      </c>
      <c r="AK47" s="145">
        <f t="shared" si="25"/>
        <v>184.45868300000001</v>
      </c>
      <c r="AL47" s="149">
        <f t="shared" si="22"/>
        <v>7747.2646860000004</v>
      </c>
      <c r="AM47" s="332" t="s">
        <v>88</v>
      </c>
      <c r="AN47" s="350">
        <v>157.31990619000001</v>
      </c>
      <c r="AO47" s="351">
        <v>157.31990619000001</v>
      </c>
      <c r="AP47" s="352">
        <v>6607.4360599800002</v>
      </c>
      <c r="AQ47" s="332" t="s">
        <v>88</v>
      </c>
      <c r="AR47" s="350">
        <f t="shared" si="10"/>
        <v>162.03950337570001</v>
      </c>
      <c r="AS47" s="351">
        <f t="shared" si="11"/>
        <v>162.03950337570001</v>
      </c>
      <c r="AT47" s="352">
        <f t="shared" si="12"/>
        <v>6805.6591417794007</v>
      </c>
      <c r="AU47" s="350">
        <f t="shared" si="13"/>
        <v>166.900688476971</v>
      </c>
      <c r="AV47" s="351">
        <f t="shared" si="14"/>
        <v>166.900688476971</v>
      </c>
      <c r="AW47" s="352">
        <f t="shared" si="15"/>
        <v>7009.8289160327831</v>
      </c>
      <c r="AX47" s="350">
        <f t="shared" si="16"/>
        <v>171.90770913128014</v>
      </c>
      <c r="AY47" s="351">
        <f t="shared" si="17"/>
        <v>171.90770913128014</v>
      </c>
      <c r="AZ47" s="352">
        <f t="shared" si="18"/>
        <v>7220.1237835137672</v>
      </c>
      <c r="BA47" s="350">
        <f t="shared" si="26"/>
        <v>177.06494040521855</v>
      </c>
      <c r="BB47" s="351">
        <f t="shared" si="27"/>
        <v>177.06494040521855</v>
      </c>
      <c r="BC47" s="352">
        <f t="shared" si="28"/>
        <v>7436.7274970191802</v>
      </c>
      <c r="BD47" s="350">
        <f t="shared" si="29"/>
        <v>182.3768886173751</v>
      </c>
      <c r="BE47" s="351">
        <f t="shared" si="30"/>
        <v>182.3768886173751</v>
      </c>
      <c r="BF47" s="352">
        <f t="shared" si="31"/>
        <v>7659.8293219297557</v>
      </c>
      <c r="BG47" s="350">
        <f t="shared" si="5"/>
        <v>187.84819527589636</v>
      </c>
      <c r="BH47" s="351">
        <f t="shared" si="6"/>
        <v>187.84819527589636</v>
      </c>
      <c r="BI47" s="352">
        <f t="shared" si="7"/>
        <v>7889.6242015876487</v>
      </c>
    </row>
    <row r="48" spans="1:61" ht="13.8">
      <c r="A48" s="139">
        <v>221</v>
      </c>
      <c r="B48" s="130" t="s">
        <v>91</v>
      </c>
      <c r="C48" s="140">
        <v>40</v>
      </c>
      <c r="D48" s="141">
        <v>140</v>
      </c>
      <c r="E48" s="142">
        <v>5880</v>
      </c>
      <c r="F48" s="154">
        <v>40</v>
      </c>
      <c r="G48" s="141">
        <v>146.32</v>
      </c>
      <c r="H48" s="142">
        <v>6145.44</v>
      </c>
      <c r="I48" s="144">
        <v>42.2</v>
      </c>
      <c r="J48" s="141">
        <v>154.36759999999998</v>
      </c>
      <c r="K48" s="142">
        <v>6483.4391999999989</v>
      </c>
      <c r="L48" s="144">
        <v>44.31</v>
      </c>
      <c r="M48" s="141">
        <v>162.08598000000001</v>
      </c>
      <c r="N48" s="142">
        <v>6807.6111600000004</v>
      </c>
      <c r="O48" s="144">
        <v>46.30395</v>
      </c>
      <c r="P48" s="141">
        <v>169.3798491</v>
      </c>
      <c r="Q48" s="142">
        <v>7113.9536621999996</v>
      </c>
      <c r="R48" s="144">
        <v>46.30395</v>
      </c>
      <c r="S48" s="141">
        <v>169.3798491</v>
      </c>
      <c r="T48" s="142">
        <v>7113.9536621999996</v>
      </c>
      <c r="U48" s="144">
        <v>48.156108000000003</v>
      </c>
      <c r="V48" s="141">
        <v>176.15504306400001</v>
      </c>
      <c r="W48" s="142">
        <v>7398.5118086880002</v>
      </c>
      <c r="X48" s="141">
        <v>50.092352320000003</v>
      </c>
      <c r="Y48" s="141">
        <v>183.21124478656003</v>
      </c>
      <c r="Z48" s="142">
        <v>7694.8722810355212</v>
      </c>
      <c r="AA48" s="141">
        <v>52.58696993600001</v>
      </c>
      <c r="AB48" s="141">
        <v>192.36705702588804</v>
      </c>
      <c r="AC48" s="142">
        <v>8079.416395087298</v>
      </c>
      <c r="AD48" s="141">
        <v>54.17</v>
      </c>
      <c r="AE48" s="145">
        <v>198.14</v>
      </c>
      <c r="AF48" s="142">
        <f t="shared" si="20"/>
        <v>8321.8799999999992</v>
      </c>
      <c r="AG48" s="141">
        <f>AD48*(1+$AI$2)-0.01</f>
        <v>55.785100000000007</v>
      </c>
      <c r="AH48" s="145">
        <f>AE48*(1+$AI$2)</f>
        <v>204.08419999999998</v>
      </c>
      <c r="AI48" s="142">
        <f t="shared" si="21"/>
        <v>8571.536399999999</v>
      </c>
      <c r="AJ48" s="141">
        <f>AG48*(1+$AI$2)-0.01</f>
        <v>57.448653000000007</v>
      </c>
      <c r="AK48" s="145">
        <f>AH48*(1+$AI$2)-0.02</f>
        <v>210.18672599999996</v>
      </c>
      <c r="AL48" s="142">
        <f t="shared" si="22"/>
        <v>8827.8424919999979</v>
      </c>
      <c r="AM48" s="332" t="s">
        <v>90</v>
      </c>
      <c r="AN48" s="350">
        <v>32.672537300000002</v>
      </c>
      <c r="AO48" s="351">
        <v>189.99244349</v>
      </c>
      <c r="AP48" s="352">
        <v>7979.6826265800009</v>
      </c>
      <c r="AQ48" s="332" t="s">
        <v>90</v>
      </c>
      <c r="AR48" s="350">
        <f t="shared" si="10"/>
        <v>33.652713419000001</v>
      </c>
      <c r="AS48" s="351">
        <f t="shared" si="11"/>
        <v>195.69221679470002</v>
      </c>
      <c r="AT48" s="352">
        <f t="shared" si="12"/>
        <v>8219.0731053774016</v>
      </c>
      <c r="AU48" s="350">
        <f t="shared" si="13"/>
        <v>34.662294821570001</v>
      </c>
      <c r="AV48" s="351">
        <f t="shared" si="14"/>
        <v>201.56298329854101</v>
      </c>
      <c r="AW48" s="352">
        <f t="shared" si="15"/>
        <v>8465.6452985387241</v>
      </c>
      <c r="AX48" s="350">
        <f t="shared" si="16"/>
        <v>35.702163666217103</v>
      </c>
      <c r="AY48" s="351">
        <f t="shared" si="17"/>
        <v>207.60987279749725</v>
      </c>
      <c r="AZ48" s="352">
        <f t="shared" si="18"/>
        <v>8719.6146574948853</v>
      </c>
      <c r="BA48" s="350">
        <f t="shared" si="26"/>
        <v>36.773228576203614</v>
      </c>
      <c r="BB48" s="351">
        <f t="shared" si="27"/>
        <v>213.83816898142217</v>
      </c>
      <c r="BC48" s="352">
        <f t="shared" si="28"/>
        <v>8981.2030972197317</v>
      </c>
      <c r="BD48" s="350">
        <f t="shared" si="29"/>
        <v>37.876425433489722</v>
      </c>
      <c r="BE48" s="351">
        <f t="shared" si="30"/>
        <v>220.25331405086484</v>
      </c>
      <c r="BF48" s="352">
        <f t="shared" si="31"/>
        <v>9250.639190136324</v>
      </c>
      <c r="BG48" s="350">
        <f t="shared" si="5"/>
        <v>39.012718196494411</v>
      </c>
      <c r="BH48" s="351">
        <f t="shared" si="6"/>
        <v>226.86091347239079</v>
      </c>
      <c r="BI48" s="352">
        <f t="shared" si="7"/>
        <v>9528.1583658404143</v>
      </c>
    </row>
    <row r="49" spans="1:61" ht="13.8">
      <c r="A49" s="139">
        <v>245</v>
      </c>
      <c r="B49" s="130" t="s">
        <v>109</v>
      </c>
      <c r="C49" s="140">
        <v>70</v>
      </c>
      <c r="D49" s="141">
        <v>210</v>
      </c>
      <c r="E49" s="142">
        <v>8820</v>
      </c>
      <c r="F49" s="154">
        <v>84</v>
      </c>
      <c r="G49" s="141">
        <v>230.32</v>
      </c>
      <c r="H49" s="142">
        <v>9673.44</v>
      </c>
      <c r="I49" s="144">
        <v>88.62</v>
      </c>
      <c r="J49" s="141">
        <v>242.98759999999999</v>
      </c>
      <c r="K49" s="142">
        <v>10205.4792</v>
      </c>
      <c r="L49" s="144">
        <v>93.051000000000002</v>
      </c>
      <c r="M49" s="141">
        <v>255.13697999999999</v>
      </c>
      <c r="N49" s="142">
        <v>10715.75316</v>
      </c>
      <c r="O49" s="144">
        <v>97.238294999999994</v>
      </c>
      <c r="P49" s="141">
        <v>266.61814409999999</v>
      </c>
      <c r="Q49" s="142">
        <v>11197.9620522</v>
      </c>
      <c r="R49" s="144">
        <v>97.238294999999994</v>
      </c>
      <c r="S49" s="141">
        <v>266.61814409999999</v>
      </c>
      <c r="T49" s="142">
        <v>11197.9620522</v>
      </c>
      <c r="U49" s="144">
        <v>101.11782679999999</v>
      </c>
      <c r="V49" s="141">
        <v>277.27286986399997</v>
      </c>
      <c r="W49" s="142">
        <v>11645.460534287999</v>
      </c>
      <c r="X49" s="141">
        <v>105.15253987199999</v>
      </c>
      <c r="Y49" s="141">
        <v>288.36378465856001</v>
      </c>
      <c r="Z49" s="142">
        <v>12111.27895565952</v>
      </c>
      <c r="AA49" s="141">
        <v>110.41016686559999</v>
      </c>
      <c r="AB49" s="141">
        <v>302.77722389148801</v>
      </c>
      <c r="AC49" s="142">
        <v>12716.643403442496</v>
      </c>
      <c r="AD49" s="141">
        <v>113.72</v>
      </c>
      <c r="AE49" s="145">
        <v>311.86</v>
      </c>
      <c r="AF49" s="142">
        <f t="shared" si="20"/>
        <v>13098.12</v>
      </c>
      <c r="AG49" s="141">
        <f>AD49*(1+$AI$2)+0.01</f>
        <v>117.14160000000001</v>
      </c>
      <c r="AH49" s="145">
        <f>AH48+AG49</f>
        <v>321.22579999999999</v>
      </c>
      <c r="AI49" s="142">
        <f t="shared" si="21"/>
        <v>13491.4836</v>
      </c>
      <c r="AJ49" s="141">
        <f>AG49*(1+$AI$2)+0.02</f>
        <v>120.67584800000002</v>
      </c>
      <c r="AK49" s="145">
        <f>AK48+AJ49</f>
        <v>330.862574</v>
      </c>
      <c r="AL49" s="142">
        <f t="shared" si="22"/>
        <v>13896.228107999999</v>
      </c>
      <c r="AM49" s="332" t="s">
        <v>91</v>
      </c>
      <c r="AN49" s="350">
        <v>59.172112590000012</v>
      </c>
      <c r="AO49" s="351">
        <v>216.49232777999998</v>
      </c>
      <c r="AP49" s="352">
        <v>9092.6777667599981</v>
      </c>
      <c r="AQ49" s="332" t="s">
        <v>91</v>
      </c>
      <c r="AR49" s="350">
        <f t="shared" si="10"/>
        <v>60.947275967700016</v>
      </c>
      <c r="AS49" s="351">
        <f t="shared" si="11"/>
        <v>222.98709761339998</v>
      </c>
      <c r="AT49" s="352">
        <f t="shared" si="12"/>
        <v>9365.4580997627982</v>
      </c>
      <c r="AU49" s="350">
        <f t="shared" si="13"/>
        <v>62.775694246731021</v>
      </c>
      <c r="AV49" s="351">
        <f t="shared" si="14"/>
        <v>229.67671054180198</v>
      </c>
      <c r="AW49" s="352">
        <f t="shared" si="15"/>
        <v>9646.4218427556825</v>
      </c>
      <c r="AX49" s="350">
        <f t="shared" si="16"/>
        <v>64.658965074132951</v>
      </c>
      <c r="AY49" s="351">
        <f t="shared" si="17"/>
        <v>236.56701185805605</v>
      </c>
      <c r="AZ49" s="352">
        <f t="shared" si="18"/>
        <v>9935.8144980383531</v>
      </c>
      <c r="BA49" s="350">
        <f t="shared" si="26"/>
        <v>66.598734026356937</v>
      </c>
      <c r="BB49" s="351">
        <f t="shared" si="27"/>
        <v>243.66402221379775</v>
      </c>
      <c r="BC49" s="352">
        <f t="shared" si="28"/>
        <v>10233.888932979504</v>
      </c>
      <c r="BD49" s="350">
        <f t="shared" si="29"/>
        <v>68.596696047147645</v>
      </c>
      <c r="BE49" s="351">
        <f t="shared" si="30"/>
        <v>250.97394288021169</v>
      </c>
      <c r="BF49" s="352">
        <f t="shared" si="31"/>
        <v>10540.905600968888</v>
      </c>
      <c r="BG49" s="350">
        <f t="shared" si="5"/>
        <v>70.654596928562071</v>
      </c>
      <c r="BH49" s="351">
        <f t="shared" si="6"/>
        <v>258.50316116661804</v>
      </c>
      <c r="BI49" s="352">
        <f t="shared" si="7"/>
        <v>10857.132768997955</v>
      </c>
    </row>
    <row r="50" spans="1:61" ht="14.4" thickBot="1">
      <c r="A50" s="186">
        <v>251</v>
      </c>
      <c r="B50" s="206" t="s">
        <v>110</v>
      </c>
      <c r="C50" s="188">
        <v>70</v>
      </c>
      <c r="D50" s="189">
        <v>162.09</v>
      </c>
      <c r="E50" s="190">
        <v>6807.78</v>
      </c>
      <c r="F50" s="191">
        <v>84</v>
      </c>
      <c r="G50" s="189">
        <v>230.32</v>
      </c>
      <c r="H50" s="190">
        <v>9673.44</v>
      </c>
      <c r="I50" s="196">
        <v>88.62</v>
      </c>
      <c r="J50" s="189">
        <v>242.98759999999999</v>
      </c>
      <c r="K50" s="190">
        <v>10205.4792</v>
      </c>
      <c r="L50" s="196">
        <v>93.051000000000002</v>
      </c>
      <c r="M50" s="189">
        <v>255.13697999999999</v>
      </c>
      <c r="N50" s="190">
        <v>10715.75316</v>
      </c>
      <c r="O50" s="196">
        <v>97.238294999999994</v>
      </c>
      <c r="P50" s="189">
        <v>266.61814409999999</v>
      </c>
      <c r="Q50" s="190">
        <v>11197.9620522</v>
      </c>
      <c r="R50" s="196">
        <v>97.238294999999994</v>
      </c>
      <c r="S50" s="189">
        <v>266.61814409999999</v>
      </c>
      <c r="T50" s="190">
        <v>11197.9620522</v>
      </c>
      <c r="U50" s="196">
        <v>101.11782679999999</v>
      </c>
      <c r="V50" s="189">
        <v>277.27286986399997</v>
      </c>
      <c r="W50" s="190">
        <v>11645.460534287999</v>
      </c>
      <c r="X50" s="189">
        <v>105.15253987199999</v>
      </c>
      <c r="Y50" s="189">
        <v>288.36378465856001</v>
      </c>
      <c r="Z50" s="190">
        <v>12111.27895565952</v>
      </c>
      <c r="AA50" s="189">
        <v>110.41016686559999</v>
      </c>
      <c r="AB50" s="189">
        <v>302.77722389148801</v>
      </c>
      <c r="AC50" s="190">
        <v>12716.643403442496</v>
      </c>
      <c r="AD50" s="189">
        <v>113.72</v>
      </c>
      <c r="AE50" s="192">
        <v>311.86</v>
      </c>
      <c r="AF50" s="190">
        <f t="shared" si="20"/>
        <v>13098.12</v>
      </c>
      <c r="AG50" s="189">
        <f>AD50*(1+$AI$2)+0.01</f>
        <v>117.14160000000001</v>
      </c>
      <c r="AH50" s="192">
        <f>AH48+AG50</f>
        <v>321.22579999999999</v>
      </c>
      <c r="AI50" s="190">
        <f t="shared" si="21"/>
        <v>13491.4836</v>
      </c>
      <c r="AJ50" s="189">
        <f>AG50*(1+$AI$2)+0.02</f>
        <v>120.67584800000002</v>
      </c>
      <c r="AK50" s="192">
        <f>AK48+AJ50</f>
        <v>330.862574</v>
      </c>
      <c r="AL50" s="190">
        <f t="shared" si="22"/>
        <v>13896.228107999999</v>
      </c>
      <c r="AM50" s="332" t="s">
        <v>109</v>
      </c>
      <c r="AN50" s="350">
        <v>124.29612344000002</v>
      </c>
      <c r="AO50" s="351">
        <v>340.78845122000001</v>
      </c>
      <c r="AP50" s="352">
        <v>14313.114951239999</v>
      </c>
      <c r="AQ50" s="332" t="s">
        <v>109</v>
      </c>
      <c r="AR50" s="350">
        <f t="shared" si="10"/>
        <v>128.02500714320001</v>
      </c>
      <c r="AS50" s="351">
        <f t="shared" si="11"/>
        <v>351.01210475660002</v>
      </c>
      <c r="AT50" s="352">
        <f t="shared" si="12"/>
        <v>14742.5083997772</v>
      </c>
      <c r="AU50" s="350">
        <f t="shared" si="13"/>
        <v>131.86575735749602</v>
      </c>
      <c r="AV50" s="351">
        <f t="shared" si="14"/>
        <v>361.54246789929806</v>
      </c>
      <c r="AW50" s="352">
        <f t="shared" si="15"/>
        <v>15184.783651770516</v>
      </c>
      <c r="AX50" s="350">
        <f t="shared" si="16"/>
        <v>135.8217300782209</v>
      </c>
      <c r="AY50" s="351">
        <f t="shared" si="17"/>
        <v>372.38874193627703</v>
      </c>
      <c r="AZ50" s="352">
        <f t="shared" si="18"/>
        <v>15640.327161323632</v>
      </c>
      <c r="BA50" s="350">
        <f t="shared" si="26"/>
        <v>139.89638198056753</v>
      </c>
      <c r="BB50" s="351">
        <f t="shared" si="27"/>
        <v>383.56040419436533</v>
      </c>
      <c r="BC50" s="352">
        <f t="shared" si="28"/>
        <v>16109.536976163341</v>
      </c>
      <c r="BD50" s="350">
        <f t="shared" si="29"/>
        <v>144.09327343998456</v>
      </c>
      <c r="BE50" s="351">
        <f t="shared" si="30"/>
        <v>395.06721632019628</v>
      </c>
      <c r="BF50" s="352">
        <f t="shared" si="31"/>
        <v>16592.823085448243</v>
      </c>
      <c r="BG50" s="350">
        <f t="shared" si="5"/>
        <v>148.4160716431841</v>
      </c>
      <c r="BH50" s="351">
        <f t="shared" si="6"/>
        <v>406.91923280980217</v>
      </c>
      <c r="BI50" s="352">
        <f t="shared" si="7"/>
        <v>17090.60777801169</v>
      </c>
    </row>
    <row r="51" spans="1:61" ht="14.4" thickBot="1">
      <c r="A51" s="132">
        <v>210</v>
      </c>
      <c r="B51" s="129" t="s">
        <v>85</v>
      </c>
      <c r="C51" s="133">
        <v>15</v>
      </c>
      <c r="D51" s="134">
        <v>15</v>
      </c>
      <c r="E51" s="135">
        <v>630</v>
      </c>
      <c r="F51" s="136">
        <v>35.32</v>
      </c>
      <c r="G51" s="134">
        <v>35.32</v>
      </c>
      <c r="H51" s="135">
        <v>1483.44</v>
      </c>
      <c r="I51" s="137">
        <v>37.262599999999999</v>
      </c>
      <c r="J51" s="134">
        <v>37.262599999999999</v>
      </c>
      <c r="K51" s="135">
        <v>1565.0291999999999</v>
      </c>
      <c r="L51" s="137">
        <v>39.125729999999997</v>
      </c>
      <c r="M51" s="134">
        <v>39.125729999999997</v>
      </c>
      <c r="N51" s="135">
        <v>1643.2806599999999</v>
      </c>
      <c r="O51" s="137">
        <v>40.886387849999991</v>
      </c>
      <c r="P51" s="134">
        <v>40.886387849999991</v>
      </c>
      <c r="Q51" s="135">
        <v>1717.2282896999996</v>
      </c>
      <c r="R51" s="134">
        <v>63.55</v>
      </c>
      <c r="S51" s="134">
        <v>63.55</v>
      </c>
      <c r="T51" s="134">
        <v>2669.1</v>
      </c>
      <c r="U51" s="137">
        <v>66.091999999999999</v>
      </c>
      <c r="V51" s="134">
        <v>66.091999999999999</v>
      </c>
      <c r="W51" s="135">
        <v>2775.864</v>
      </c>
      <c r="X51" s="134">
        <v>68.725679999999997</v>
      </c>
      <c r="Y51" s="134">
        <v>68.725679999999997</v>
      </c>
      <c r="Z51" s="134">
        <v>2886.47856</v>
      </c>
      <c r="AA51" s="137">
        <v>72.161963999999998</v>
      </c>
      <c r="AB51" s="134">
        <v>72.161963999999998</v>
      </c>
      <c r="AC51" s="135">
        <v>3030.8024879999998</v>
      </c>
      <c r="AD51" s="137">
        <v>74.319999999999993</v>
      </c>
      <c r="AE51" s="138">
        <v>74.319999999999993</v>
      </c>
      <c r="AF51" s="135">
        <f t="shared" si="20"/>
        <v>3121.4399999999996</v>
      </c>
      <c r="AG51" s="134">
        <f t="shared" ref="AG51:AH54" si="32">AD51*(1+$AI$2)</f>
        <v>76.549599999999998</v>
      </c>
      <c r="AH51" s="138">
        <f t="shared" si="32"/>
        <v>76.549599999999998</v>
      </c>
      <c r="AI51" s="135">
        <f t="shared" si="21"/>
        <v>3215.0832</v>
      </c>
      <c r="AJ51" s="134">
        <f t="shared" ref="AJ51:AK53" si="33">AG51*(1+$AI$2)</f>
        <v>78.846087999999995</v>
      </c>
      <c r="AK51" s="138">
        <f t="shared" si="33"/>
        <v>78.846087999999995</v>
      </c>
      <c r="AL51" s="135">
        <f t="shared" si="22"/>
        <v>3311.5356959999999</v>
      </c>
      <c r="AM51" s="331" t="s">
        <v>110</v>
      </c>
      <c r="AN51" s="353">
        <v>124.29612344000002</v>
      </c>
      <c r="AO51" s="356">
        <v>340.78845122000001</v>
      </c>
      <c r="AP51" s="355">
        <v>14313.114951239999</v>
      </c>
      <c r="AQ51" s="331" t="s">
        <v>110</v>
      </c>
      <c r="AR51" s="353">
        <f t="shared" si="10"/>
        <v>128.02500714320001</v>
      </c>
      <c r="AS51" s="356">
        <f t="shared" si="11"/>
        <v>351.01210475660002</v>
      </c>
      <c r="AT51" s="355">
        <f t="shared" si="12"/>
        <v>14742.5083997772</v>
      </c>
      <c r="AU51" s="353">
        <f t="shared" si="13"/>
        <v>131.86575735749602</v>
      </c>
      <c r="AV51" s="356">
        <f t="shared" si="14"/>
        <v>361.54246789929806</v>
      </c>
      <c r="AW51" s="355">
        <f t="shared" si="15"/>
        <v>15184.783651770516</v>
      </c>
      <c r="AX51" s="353">
        <f t="shared" si="16"/>
        <v>135.8217300782209</v>
      </c>
      <c r="AY51" s="356">
        <f t="shared" si="17"/>
        <v>372.38874193627703</v>
      </c>
      <c r="AZ51" s="355">
        <f t="shared" si="18"/>
        <v>15640.327161323632</v>
      </c>
      <c r="BA51" s="353">
        <f t="shared" si="26"/>
        <v>139.89638198056753</v>
      </c>
      <c r="BB51" s="356">
        <f t="shared" si="27"/>
        <v>383.56040419436533</v>
      </c>
      <c r="BC51" s="355">
        <f t="shared" si="28"/>
        <v>16109.536976163341</v>
      </c>
      <c r="BD51" s="353">
        <f t="shared" si="29"/>
        <v>144.09327343998456</v>
      </c>
      <c r="BE51" s="356">
        <f t="shared" si="30"/>
        <v>395.06721632019628</v>
      </c>
      <c r="BF51" s="355">
        <f t="shared" si="31"/>
        <v>16592.823085448243</v>
      </c>
      <c r="BG51" s="353">
        <f t="shared" si="5"/>
        <v>148.4160716431841</v>
      </c>
      <c r="BH51" s="356">
        <f t="shared" si="6"/>
        <v>406.91923280980217</v>
      </c>
      <c r="BI51" s="355">
        <f t="shared" si="7"/>
        <v>17090.60777801169</v>
      </c>
    </row>
    <row r="52" spans="1:61" ht="13.8">
      <c r="A52" s="139">
        <v>260</v>
      </c>
      <c r="B52" s="130" t="s">
        <v>88</v>
      </c>
      <c r="C52" s="140">
        <v>100</v>
      </c>
      <c r="D52" s="141">
        <v>100</v>
      </c>
      <c r="E52" s="142">
        <v>4200</v>
      </c>
      <c r="F52" s="143">
        <v>106.32</v>
      </c>
      <c r="G52" s="141">
        <v>106.32</v>
      </c>
      <c r="H52" s="142">
        <v>4465.4399999999996</v>
      </c>
      <c r="I52" s="144">
        <v>112.16759999999999</v>
      </c>
      <c r="J52" s="141">
        <v>112.16759999999999</v>
      </c>
      <c r="K52" s="142">
        <v>4711.0391999999993</v>
      </c>
      <c r="L52" s="144">
        <v>117.77598</v>
      </c>
      <c r="M52" s="141">
        <v>117.77598</v>
      </c>
      <c r="N52" s="142">
        <v>4946.5911599999999</v>
      </c>
      <c r="O52" s="144">
        <v>123.0758991</v>
      </c>
      <c r="P52" s="141">
        <v>123.0758991</v>
      </c>
      <c r="Q52" s="142">
        <v>5169.1877622000002</v>
      </c>
      <c r="R52" s="141">
        <v>123.0758991</v>
      </c>
      <c r="S52" s="141">
        <v>123.0758991</v>
      </c>
      <c r="T52" s="141">
        <v>5169.1877622000002</v>
      </c>
      <c r="U52" s="144">
        <v>127.99893506400001</v>
      </c>
      <c r="V52" s="141">
        <v>127.99893506400001</v>
      </c>
      <c r="W52" s="142">
        <v>5375.9552726880002</v>
      </c>
      <c r="X52" s="141">
        <v>133.11889246656003</v>
      </c>
      <c r="Y52" s="141">
        <v>133.11889246656003</v>
      </c>
      <c r="Z52" s="141">
        <v>5590.993483595521</v>
      </c>
      <c r="AA52" s="144">
        <v>139.78008708988804</v>
      </c>
      <c r="AB52" s="141">
        <v>139.78008708988804</v>
      </c>
      <c r="AC52" s="142">
        <v>5870.7636577752974</v>
      </c>
      <c r="AD52" s="144">
        <v>143.97</v>
      </c>
      <c r="AE52" s="145">
        <v>143.97</v>
      </c>
      <c r="AF52" s="142">
        <f t="shared" si="20"/>
        <v>6046.74</v>
      </c>
      <c r="AG52" s="141">
        <f t="shared" si="32"/>
        <v>148.28909999999999</v>
      </c>
      <c r="AH52" s="145">
        <f t="shared" si="32"/>
        <v>148.28909999999999</v>
      </c>
      <c r="AI52" s="142">
        <f t="shared" si="21"/>
        <v>6228.1421999999993</v>
      </c>
      <c r="AJ52" s="141">
        <f t="shared" si="33"/>
        <v>152.737773</v>
      </c>
      <c r="AK52" s="145">
        <f t="shared" si="33"/>
        <v>152.737773</v>
      </c>
      <c r="AL52" s="142">
        <f t="shared" si="22"/>
        <v>6414.9864660000003</v>
      </c>
      <c r="AM52" s="335" t="s">
        <v>85</v>
      </c>
      <c r="AN52" s="347">
        <v>81.211470640000002</v>
      </c>
      <c r="AO52" s="348">
        <v>81.211470640000002</v>
      </c>
      <c r="AP52" s="349">
        <v>3410.8817668800002</v>
      </c>
      <c r="AQ52" s="335" t="s">
        <v>85</v>
      </c>
      <c r="AR52" s="347">
        <f t="shared" si="10"/>
        <v>83.647814759200003</v>
      </c>
      <c r="AS52" s="348">
        <f t="shared" si="11"/>
        <v>83.647814759200003</v>
      </c>
      <c r="AT52" s="349">
        <f t="shared" si="12"/>
        <v>3513.2082198864005</v>
      </c>
      <c r="AU52" s="347">
        <f t="shared" si="13"/>
        <v>86.157249201976001</v>
      </c>
      <c r="AV52" s="348">
        <f t="shared" si="14"/>
        <v>86.157249201976001</v>
      </c>
      <c r="AW52" s="349">
        <f t="shared" si="15"/>
        <v>3618.6044664829924</v>
      </c>
      <c r="AX52" s="347">
        <f t="shared" si="16"/>
        <v>88.741966678035283</v>
      </c>
      <c r="AY52" s="348">
        <f t="shared" si="17"/>
        <v>88.741966678035283</v>
      </c>
      <c r="AZ52" s="349">
        <f t="shared" si="18"/>
        <v>3727.1626004774821</v>
      </c>
      <c r="BA52" s="347">
        <f t="shared" si="26"/>
        <v>91.404225678376349</v>
      </c>
      <c r="BB52" s="348">
        <f t="shared" si="27"/>
        <v>91.404225678376349</v>
      </c>
      <c r="BC52" s="349">
        <f t="shared" si="28"/>
        <v>3838.9774784918068</v>
      </c>
      <c r="BD52" s="347">
        <f t="shared" si="29"/>
        <v>94.14635244872764</v>
      </c>
      <c r="BE52" s="348">
        <f t="shared" si="30"/>
        <v>94.14635244872764</v>
      </c>
      <c r="BF52" s="349">
        <f t="shared" si="31"/>
        <v>3954.1468028465611</v>
      </c>
      <c r="BG52" s="347">
        <f t="shared" si="5"/>
        <v>96.970743022189467</v>
      </c>
      <c r="BH52" s="348">
        <f t="shared" si="6"/>
        <v>96.970743022189467</v>
      </c>
      <c r="BI52" s="349">
        <f t="shared" si="7"/>
        <v>4072.7712069319582</v>
      </c>
    </row>
    <row r="53" spans="1:61" ht="13.8">
      <c r="A53" s="146">
        <v>231</v>
      </c>
      <c r="B53" s="131" t="s">
        <v>90</v>
      </c>
      <c r="C53" s="147">
        <v>22.089552238805972</v>
      </c>
      <c r="D53" s="148">
        <v>122.09</v>
      </c>
      <c r="E53" s="149">
        <v>5127.78</v>
      </c>
      <c r="F53" s="147">
        <v>22.089552238805972</v>
      </c>
      <c r="G53" s="148">
        <v>128.40955223880596</v>
      </c>
      <c r="H53" s="149">
        <v>5393.2011940298498</v>
      </c>
      <c r="I53" s="147">
        <v>23.3044776119403</v>
      </c>
      <c r="J53" s="148">
        <v>135.47207761194028</v>
      </c>
      <c r="K53" s="149">
        <v>5689.827259701492</v>
      </c>
      <c r="L53" s="147">
        <v>24.469701492537315</v>
      </c>
      <c r="M53" s="148">
        <v>142.24568149253733</v>
      </c>
      <c r="N53" s="149">
        <v>5974.3186226865682</v>
      </c>
      <c r="O53" s="147">
        <v>25.570838059701494</v>
      </c>
      <c r="P53" s="148">
        <v>148.6467371597015</v>
      </c>
      <c r="Q53" s="149">
        <v>6243.1629607074628</v>
      </c>
      <c r="R53" s="148">
        <v>25.570838059701494</v>
      </c>
      <c r="S53" s="148">
        <v>148.6467371597015</v>
      </c>
      <c r="T53" s="148">
        <v>6243.1629607074628</v>
      </c>
      <c r="U53" s="147">
        <v>26.593671582089556</v>
      </c>
      <c r="V53" s="148">
        <v>154.59260664608956</v>
      </c>
      <c r="W53" s="149">
        <v>6492.8894791357616</v>
      </c>
      <c r="X53" s="148">
        <v>27.647418445373138</v>
      </c>
      <c r="Y53" s="148">
        <v>160.76631091193318</v>
      </c>
      <c r="Z53" s="148">
        <v>6752.1850583011937</v>
      </c>
      <c r="AA53" s="147">
        <v>29.029789367641797</v>
      </c>
      <c r="AB53" s="148">
        <v>168.80987645752984</v>
      </c>
      <c r="AC53" s="149">
        <v>7090.0148112162533</v>
      </c>
      <c r="AD53" s="147">
        <v>29.9</v>
      </c>
      <c r="AE53" s="145">
        <v>173.87</v>
      </c>
      <c r="AF53" s="149">
        <f t="shared" si="20"/>
        <v>7302.54</v>
      </c>
      <c r="AG53" s="148">
        <f t="shared" si="32"/>
        <v>30.797000000000001</v>
      </c>
      <c r="AH53" s="145">
        <f t="shared" si="32"/>
        <v>179.08610000000002</v>
      </c>
      <c r="AI53" s="149">
        <f t="shared" si="21"/>
        <v>7521.6162000000004</v>
      </c>
      <c r="AJ53" s="148">
        <f t="shared" si="33"/>
        <v>31.72091</v>
      </c>
      <c r="AK53" s="145">
        <f t="shared" si="33"/>
        <v>184.45868300000001</v>
      </c>
      <c r="AL53" s="149">
        <f t="shared" si="22"/>
        <v>7747.2646860000004</v>
      </c>
      <c r="AM53" s="332" t="s">
        <v>88</v>
      </c>
      <c r="AN53" s="350">
        <v>157.31990619000001</v>
      </c>
      <c r="AO53" s="351">
        <v>157.31990619000001</v>
      </c>
      <c r="AP53" s="352">
        <v>6607.4360599800002</v>
      </c>
      <c r="AQ53" s="332" t="s">
        <v>88</v>
      </c>
      <c r="AR53" s="350">
        <f t="shared" si="10"/>
        <v>162.03950337570001</v>
      </c>
      <c r="AS53" s="351">
        <f t="shared" si="11"/>
        <v>162.03950337570001</v>
      </c>
      <c r="AT53" s="352">
        <f t="shared" si="12"/>
        <v>6805.6591417794007</v>
      </c>
      <c r="AU53" s="350">
        <f t="shared" si="13"/>
        <v>166.900688476971</v>
      </c>
      <c r="AV53" s="351">
        <f t="shared" si="14"/>
        <v>166.900688476971</v>
      </c>
      <c r="AW53" s="352">
        <f t="shared" si="15"/>
        <v>7009.8289160327831</v>
      </c>
      <c r="AX53" s="350">
        <f t="shared" si="16"/>
        <v>171.90770913128014</v>
      </c>
      <c r="AY53" s="351">
        <f t="shared" si="17"/>
        <v>171.90770913128014</v>
      </c>
      <c r="AZ53" s="352">
        <f t="shared" si="18"/>
        <v>7220.1237835137672</v>
      </c>
      <c r="BA53" s="350">
        <f t="shared" si="26"/>
        <v>177.06494040521855</v>
      </c>
      <c r="BB53" s="351">
        <f t="shared" si="27"/>
        <v>177.06494040521855</v>
      </c>
      <c r="BC53" s="352">
        <f t="shared" si="28"/>
        <v>7436.7274970191802</v>
      </c>
      <c r="BD53" s="350">
        <f t="shared" si="29"/>
        <v>182.3768886173751</v>
      </c>
      <c r="BE53" s="351">
        <f t="shared" si="30"/>
        <v>182.3768886173751</v>
      </c>
      <c r="BF53" s="352">
        <f t="shared" si="31"/>
        <v>7659.8293219297557</v>
      </c>
      <c r="BG53" s="350">
        <f t="shared" si="5"/>
        <v>187.84819527589636</v>
      </c>
      <c r="BH53" s="351">
        <f t="shared" si="6"/>
        <v>187.84819527589636</v>
      </c>
      <c r="BI53" s="352">
        <f t="shared" si="7"/>
        <v>7889.6242015876487</v>
      </c>
    </row>
    <row r="54" spans="1:61" ht="13.8">
      <c r="A54" s="139">
        <v>221</v>
      </c>
      <c r="B54" s="130" t="s">
        <v>91</v>
      </c>
      <c r="C54" s="140">
        <v>40</v>
      </c>
      <c r="D54" s="141">
        <v>140</v>
      </c>
      <c r="E54" s="142">
        <v>5880</v>
      </c>
      <c r="F54" s="143">
        <v>40</v>
      </c>
      <c r="G54" s="141">
        <v>146.32</v>
      </c>
      <c r="H54" s="142">
        <v>6145.44</v>
      </c>
      <c r="I54" s="144">
        <v>42.2</v>
      </c>
      <c r="J54" s="141">
        <v>154.36759999999998</v>
      </c>
      <c r="K54" s="142">
        <v>6483.4391999999989</v>
      </c>
      <c r="L54" s="144">
        <v>44.31</v>
      </c>
      <c r="M54" s="141">
        <v>162.08598000000001</v>
      </c>
      <c r="N54" s="142">
        <v>6807.6111600000004</v>
      </c>
      <c r="O54" s="144">
        <v>46.30395</v>
      </c>
      <c r="P54" s="141">
        <v>169.3798491</v>
      </c>
      <c r="Q54" s="142">
        <v>7113.9536621999996</v>
      </c>
      <c r="R54" s="141">
        <v>46.30395</v>
      </c>
      <c r="S54" s="141">
        <v>169.3798491</v>
      </c>
      <c r="T54" s="141">
        <v>7113.9536621999996</v>
      </c>
      <c r="U54" s="144">
        <v>48.156108000000003</v>
      </c>
      <c r="V54" s="141">
        <v>176.15504306400001</v>
      </c>
      <c r="W54" s="142">
        <v>7398.5118086880002</v>
      </c>
      <c r="X54" s="141">
        <v>50.092352320000003</v>
      </c>
      <c r="Y54" s="141">
        <v>183.21124478656003</v>
      </c>
      <c r="Z54" s="141">
        <v>7694.8722810355212</v>
      </c>
      <c r="AA54" s="144">
        <v>52.58696993600001</v>
      </c>
      <c r="AB54" s="141">
        <v>192.36705702588804</v>
      </c>
      <c r="AC54" s="142">
        <v>8079.416395087298</v>
      </c>
      <c r="AD54" s="144">
        <v>54.17</v>
      </c>
      <c r="AE54" s="145">
        <v>198.14</v>
      </c>
      <c r="AF54" s="142">
        <f t="shared" si="20"/>
        <v>8321.8799999999992</v>
      </c>
      <c r="AG54" s="141">
        <f>AD54*(1+$AI$2)-0.01</f>
        <v>55.785100000000007</v>
      </c>
      <c r="AH54" s="145">
        <f t="shared" si="32"/>
        <v>204.08419999999998</v>
      </c>
      <c r="AI54" s="142">
        <f t="shared" si="21"/>
        <v>8571.536399999999</v>
      </c>
      <c r="AJ54" s="141">
        <f>AG54*(1+$AI$2)-0.01</f>
        <v>57.448653000000007</v>
      </c>
      <c r="AK54" s="145">
        <f>AH54*(1+$AI$2)-0.02</f>
        <v>210.18672599999996</v>
      </c>
      <c r="AL54" s="142">
        <f t="shared" si="22"/>
        <v>8827.8424919999979</v>
      </c>
      <c r="AM54" s="332" t="s">
        <v>90</v>
      </c>
      <c r="AN54" s="350">
        <v>32.672537300000002</v>
      </c>
      <c r="AO54" s="351">
        <v>189.99244349</v>
      </c>
      <c r="AP54" s="352">
        <v>7979.6826265800009</v>
      </c>
      <c r="AQ54" s="332" t="s">
        <v>90</v>
      </c>
      <c r="AR54" s="350">
        <f t="shared" si="10"/>
        <v>33.652713419000001</v>
      </c>
      <c r="AS54" s="351">
        <f t="shared" si="11"/>
        <v>195.69221679470002</v>
      </c>
      <c r="AT54" s="352">
        <f t="shared" si="12"/>
        <v>8219.0731053774016</v>
      </c>
      <c r="AU54" s="350">
        <f t="shared" si="13"/>
        <v>34.662294821570001</v>
      </c>
      <c r="AV54" s="351">
        <f t="shared" si="14"/>
        <v>201.56298329854101</v>
      </c>
      <c r="AW54" s="352">
        <f t="shared" si="15"/>
        <v>8465.6452985387241</v>
      </c>
      <c r="AX54" s="350">
        <f t="shared" si="16"/>
        <v>35.702163666217103</v>
      </c>
      <c r="AY54" s="351">
        <f t="shared" si="17"/>
        <v>207.60987279749725</v>
      </c>
      <c r="AZ54" s="352">
        <f t="shared" si="18"/>
        <v>8719.6146574948853</v>
      </c>
      <c r="BA54" s="350">
        <f t="shared" si="26"/>
        <v>36.773228576203614</v>
      </c>
      <c r="BB54" s="351">
        <f t="shared" si="27"/>
        <v>213.83816898142217</v>
      </c>
      <c r="BC54" s="352">
        <f t="shared" si="28"/>
        <v>8981.2030972197317</v>
      </c>
      <c r="BD54" s="350">
        <f t="shared" si="29"/>
        <v>37.876425433489722</v>
      </c>
      <c r="BE54" s="351">
        <f t="shared" si="30"/>
        <v>220.25331405086484</v>
      </c>
      <c r="BF54" s="352">
        <f t="shared" si="31"/>
        <v>9250.639190136324</v>
      </c>
      <c r="BG54" s="350">
        <f t="shared" si="5"/>
        <v>39.012718196494411</v>
      </c>
      <c r="BH54" s="351">
        <f t="shared" si="6"/>
        <v>226.86091347239079</v>
      </c>
      <c r="BI54" s="352">
        <f t="shared" si="7"/>
        <v>9528.1583658404143</v>
      </c>
    </row>
    <row r="55" spans="1:61" ht="14.4" thickBot="1">
      <c r="A55" s="139"/>
      <c r="B55" s="130" t="s">
        <v>167</v>
      </c>
      <c r="C55" s="140"/>
      <c r="D55" s="141"/>
      <c r="E55" s="142"/>
      <c r="F55" s="143"/>
      <c r="G55" s="141"/>
      <c r="H55" s="142"/>
      <c r="I55" s="144"/>
      <c r="J55" s="141"/>
      <c r="K55" s="142"/>
      <c r="L55" s="144"/>
      <c r="M55" s="141"/>
      <c r="N55" s="142"/>
      <c r="O55" s="144"/>
      <c r="P55" s="141"/>
      <c r="Q55" s="142"/>
      <c r="R55" s="141"/>
      <c r="S55" s="141"/>
      <c r="T55" s="141"/>
      <c r="U55" s="144"/>
      <c r="V55" s="141"/>
      <c r="W55" s="142"/>
      <c r="X55" s="141"/>
      <c r="Y55" s="141"/>
      <c r="Z55" s="141"/>
      <c r="AA55" s="144"/>
      <c r="AB55" s="141"/>
      <c r="AC55" s="142"/>
      <c r="AD55" s="189"/>
      <c r="AE55" s="192"/>
      <c r="AF55" s="190"/>
      <c r="AG55" s="189">
        <v>74.599999999999994</v>
      </c>
      <c r="AH55" s="192">
        <f>AH54+AG55</f>
        <v>278.68419999999998</v>
      </c>
      <c r="AI55" s="190">
        <f t="shared" si="21"/>
        <v>11704.7364</v>
      </c>
      <c r="AJ55" s="189">
        <f>AG55*(1+$AI$2)</f>
        <v>76.837999999999994</v>
      </c>
      <c r="AK55" s="192">
        <f>AK54+AJ55</f>
        <v>287.02472599999999</v>
      </c>
      <c r="AL55" s="190">
        <f t="shared" si="22"/>
        <v>12055.038492</v>
      </c>
      <c r="AM55" s="332" t="s">
        <v>91</v>
      </c>
      <c r="AN55" s="350">
        <v>59.172112590000012</v>
      </c>
      <c r="AO55" s="351">
        <v>216.49232777999998</v>
      </c>
      <c r="AP55" s="352">
        <v>9092.6777667599981</v>
      </c>
      <c r="AQ55" s="332" t="s">
        <v>91</v>
      </c>
      <c r="AR55" s="350">
        <f t="shared" si="10"/>
        <v>60.947275967700016</v>
      </c>
      <c r="AS55" s="351">
        <f t="shared" si="11"/>
        <v>222.98709761339998</v>
      </c>
      <c r="AT55" s="352">
        <f t="shared" si="12"/>
        <v>9365.4580997627982</v>
      </c>
      <c r="AU55" s="350">
        <f t="shared" si="13"/>
        <v>62.775694246731021</v>
      </c>
      <c r="AV55" s="351">
        <f t="shared" si="14"/>
        <v>229.67671054180198</v>
      </c>
      <c r="AW55" s="352">
        <f t="shared" si="15"/>
        <v>9646.4218427556825</v>
      </c>
      <c r="AX55" s="350">
        <f t="shared" si="16"/>
        <v>64.658965074132951</v>
      </c>
      <c r="AY55" s="351">
        <f t="shared" si="17"/>
        <v>236.56701185805605</v>
      </c>
      <c r="AZ55" s="352">
        <f t="shared" si="18"/>
        <v>9935.8144980383531</v>
      </c>
      <c r="BA55" s="350">
        <f t="shared" si="26"/>
        <v>66.598734026356937</v>
      </c>
      <c r="BB55" s="351">
        <f t="shared" si="27"/>
        <v>243.66402221379775</v>
      </c>
      <c r="BC55" s="352">
        <f t="shared" si="28"/>
        <v>10233.888932979504</v>
      </c>
      <c r="BD55" s="350">
        <f t="shared" si="29"/>
        <v>68.596696047147645</v>
      </c>
      <c r="BE55" s="351">
        <f t="shared" si="30"/>
        <v>250.97394288021169</v>
      </c>
      <c r="BF55" s="352">
        <f t="shared" si="31"/>
        <v>10540.905600968888</v>
      </c>
      <c r="BG55" s="350">
        <f t="shared" si="5"/>
        <v>70.654596928562071</v>
      </c>
      <c r="BH55" s="351">
        <f t="shared" si="6"/>
        <v>258.50316116661804</v>
      </c>
      <c r="BI55" s="352">
        <f t="shared" si="7"/>
        <v>10857.132768997955</v>
      </c>
    </row>
    <row r="56" spans="1:61" ht="14.4" thickBot="1">
      <c r="A56" s="132">
        <v>210</v>
      </c>
      <c r="B56" s="129" t="s">
        <v>85</v>
      </c>
      <c r="C56" s="133">
        <v>15</v>
      </c>
      <c r="D56" s="134">
        <v>15</v>
      </c>
      <c r="E56" s="135">
        <v>630</v>
      </c>
      <c r="F56" s="136">
        <v>35.32</v>
      </c>
      <c r="G56" s="134">
        <v>35.32</v>
      </c>
      <c r="H56" s="135">
        <v>1483.44</v>
      </c>
      <c r="I56" s="137">
        <v>37.262599999999999</v>
      </c>
      <c r="J56" s="134">
        <v>37.262599999999999</v>
      </c>
      <c r="K56" s="135">
        <v>1565.0291999999999</v>
      </c>
      <c r="L56" s="137">
        <v>39.125729999999997</v>
      </c>
      <c r="M56" s="134">
        <v>39.125729999999997</v>
      </c>
      <c r="N56" s="135">
        <v>1643.2806599999999</v>
      </c>
      <c r="O56" s="137">
        <v>40.886387849999991</v>
      </c>
      <c r="P56" s="134">
        <v>40.886387849999991</v>
      </c>
      <c r="Q56" s="135">
        <v>1717.2282896999996</v>
      </c>
      <c r="R56" s="134">
        <v>63.55</v>
      </c>
      <c r="S56" s="134">
        <v>63.55</v>
      </c>
      <c r="T56" s="134">
        <v>2669.1</v>
      </c>
      <c r="U56" s="137">
        <v>66.091999999999999</v>
      </c>
      <c r="V56" s="134">
        <v>66.091999999999999</v>
      </c>
      <c r="W56" s="135">
        <v>2775.864</v>
      </c>
      <c r="X56" s="134">
        <v>68.725679999999997</v>
      </c>
      <c r="Y56" s="134">
        <v>68.725679999999997</v>
      </c>
      <c r="Z56" s="134">
        <v>2886.47856</v>
      </c>
      <c r="AA56" s="137">
        <v>72.161963999999998</v>
      </c>
      <c r="AB56" s="134">
        <v>72.161963999999998</v>
      </c>
      <c r="AC56" s="135">
        <v>3030.8024879999998</v>
      </c>
      <c r="AD56" s="137">
        <v>74.319999999999993</v>
      </c>
      <c r="AE56" s="138">
        <v>74.319999999999993</v>
      </c>
      <c r="AF56" s="135">
        <f>AE56*42</f>
        <v>3121.4399999999996</v>
      </c>
      <c r="AG56" s="134">
        <f>AD56*(1+$AI$2)</f>
        <v>76.549599999999998</v>
      </c>
      <c r="AH56" s="138">
        <f>AE56*(1+$AI$2)</f>
        <v>76.549599999999998</v>
      </c>
      <c r="AI56" s="135">
        <f t="shared" si="21"/>
        <v>3215.0832</v>
      </c>
      <c r="AJ56" s="134">
        <f t="shared" ref="AJ56:AK59" si="34">AG56*(1+$AI$2)</f>
        <v>78.846087999999995</v>
      </c>
      <c r="AK56" s="138">
        <f t="shared" si="34"/>
        <v>78.846087999999995</v>
      </c>
      <c r="AL56" s="135">
        <f t="shared" si="22"/>
        <v>3311.5356959999999</v>
      </c>
      <c r="AM56" s="332" t="s">
        <v>167</v>
      </c>
      <c r="AN56" s="353">
        <v>53.436400000000006</v>
      </c>
      <c r="AO56" s="354">
        <v>269.92872777999997</v>
      </c>
      <c r="AP56" s="355">
        <v>11337.006566759999</v>
      </c>
      <c r="AQ56" s="332" t="s">
        <v>167</v>
      </c>
      <c r="AR56" s="353">
        <f t="shared" si="10"/>
        <v>55.03949200000001</v>
      </c>
      <c r="AS56" s="354">
        <f t="shared" si="11"/>
        <v>278.02658961340001</v>
      </c>
      <c r="AT56" s="355">
        <f t="shared" si="12"/>
        <v>11677.116763762799</v>
      </c>
      <c r="AU56" s="353">
        <f t="shared" si="13"/>
        <v>56.690676760000009</v>
      </c>
      <c r="AV56" s="354">
        <f t="shared" si="14"/>
        <v>286.36738730180201</v>
      </c>
      <c r="AW56" s="355">
        <f t="shared" si="15"/>
        <v>12027.430266675683</v>
      </c>
      <c r="AX56" s="353">
        <f t="shared" si="16"/>
        <v>58.39139706280001</v>
      </c>
      <c r="AY56" s="354">
        <f t="shared" si="17"/>
        <v>294.95840892085607</v>
      </c>
      <c r="AZ56" s="355">
        <f t="shared" si="18"/>
        <v>12388.253174675954</v>
      </c>
      <c r="BA56" s="353">
        <f t="shared" si="26"/>
        <v>60.143138974684014</v>
      </c>
      <c r="BB56" s="354">
        <f t="shared" si="27"/>
        <v>303.80716118848176</v>
      </c>
      <c r="BC56" s="355">
        <f t="shared" si="28"/>
        <v>12759.900769916234</v>
      </c>
      <c r="BD56" s="353">
        <f t="shared" si="29"/>
        <v>61.947433143924535</v>
      </c>
      <c r="BE56" s="354">
        <f t="shared" si="30"/>
        <v>312.92137602413624</v>
      </c>
      <c r="BF56" s="355">
        <f t="shared" si="31"/>
        <v>13142.697793013722</v>
      </c>
      <c r="BG56" s="353">
        <f t="shared" si="5"/>
        <v>63.80585613824227</v>
      </c>
      <c r="BH56" s="354">
        <f t="shared" si="6"/>
        <v>322.30901730486033</v>
      </c>
      <c r="BI56" s="355">
        <f t="shared" si="7"/>
        <v>13536.978726804135</v>
      </c>
    </row>
    <row r="57" spans="1:61" ht="13.8">
      <c r="A57" s="139">
        <v>260</v>
      </c>
      <c r="B57" s="130" t="s">
        <v>88</v>
      </c>
      <c r="C57" s="140">
        <v>100</v>
      </c>
      <c r="D57" s="141">
        <v>100</v>
      </c>
      <c r="E57" s="142">
        <v>4200</v>
      </c>
      <c r="F57" s="143">
        <v>106.32</v>
      </c>
      <c r="G57" s="141">
        <v>106.32</v>
      </c>
      <c r="H57" s="142">
        <v>4465.4399999999996</v>
      </c>
      <c r="I57" s="144">
        <v>112.16759999999999</v>
      </c>
      <c r="J57" s="141">
        <v>112.16759999999999</v>
      </c>
      <c r="K57" s="142">
        <v>4711.0391999999993</v>
      </c>
      <c r="L57" s="144">
        <v>117.77598</v>
      </c>
      <c r="M57" s="141">
        <v>117.77598</v>
      </c>
      <c r="N57" s="142">
        <v>4946.5911599999999</v>
      </c>
      <c r="O57" s="144">
        <v>123.0758991</v>
      </c>
      <c r="P57" s="141">
        <v>123.0758991</v>
      </c>
      <c r="Q57" s="142">
        <v>5169.1877622000002</v>
      </c>
      <c r="R57" s="141">
        <v>123.0758991</v>
      </c>
      <c r="S57" s="141">
        <v>123.0758991</v>
      </c>
      <c r="T57" s="141">
        <v>5169.1877622000002</v>
      </c>
      <c r="U57" s="144">
        <v>127.99893506400001</v>
      </c>
      <c r="V57" s="141">
        <v>127.99893506400001</v>
      </c>
      <c r="W57" s="142">
        <v>5375.9552726880002</v>
      </c>
      <c r="X57" s="141">
        <v>133.11889246656003</v>
      </c>
      <c r="Y57" s="141">
        <v>133.11889246656003</v>
      </c>
      <c r="Z57" s="141">
        <v>5590.993483595521</v>
      </c>
      <c r="AA57" s="144">
        <v>139.78008708988804</v>
      </c>
      <c r="AB57" s="141">
        <v>139.78008708988804</v>
      </c>
      <c r="AC57" s="142">
        <v>5870.7636577752974</v>
      </c>
      <c r="AD57" s="144">
        <v>143.97</v>
      </c>
      <c r="AE57" s="145">
        <v>143.97</v>
      </c>
      <c r="AF57" s="142">
        <f>AE57*42</f>
        <v>6046.74</v>
      </c>
      <c r="AG57" s="141">
        <f>AD57*(1+$AI$2)</f>
        <v>148.28909999999999</v>
      </c>
      <c r="AH57" s="145">
        <f>AE57*(1+$AI$2)</f>
        <v>148.28909999999999</v>
      </c>
      <c r="AI57" s="142">
        <f t="shared" si="21"/>
        <v>6228.1421999999993</v>
      </c>
      <c r="AJ57" s="141">
        <f t="shared" si="34"/>
        <v>152.737773</v>
      </c>
      <c r="AK57" s="145">
        <f t="shared" si="34"/>
        <v>152.737773</v>
      </c>
      <c r="AL57" s="142">
        <f t="shared" si="22"/>
        <v>6414.9864660000003</v>
      </c>
      <c r="AM57" s="335" t="s">
        <v>85</v>
      </c>
      <c r="AN57" s="347">
        <v>81.211470640000002</v>
      </c>
      <c r="AO57" s="348">
        <v>81.211470640000002</v>
      </c>
      <c r="AP57" s="349">
        <v>3410.8817668800002</v>
      </c>
      <c r="AQ57" s="335" t="s">
        <v>85</v>
      </c>
      <c r="AR57" s="347">
        <f t="shared" si="10"/>
        <v>83.647814759200003</v>
      </c>
      <c r="AS57" s="348">
        <f t="shared" si="11"/>
        <v>83.647814759200003</v>
      </c>
      <c r="AT57" s="349">
        <f t="shared" si="12"/>
        <v>3513.2082198864005</v>
      </c>
      <c r="AU57" s="347">
        <f t="shared" si="13"/>
        <v>86.157249201976001</v>
      </c>
      <c r="AV57" s="348">
        <f t="shared" si="14"/>
        <v>86.157249201976001</v>
      </c>
      <c r="AW57" s="349">
        <f t="shared" si="15"/>
        <v>3618.6044664829924</v>
      </c>
      <c r="AX57" s="347">
        <f t="shared" si="16"/>
        <v>88.741966678035283</v>
      </c>
      <c r="AY57" s="348">
        <f t="shared" si="17"/>
        <v>88.741966678035283</v>
      </c>
      <c r="AZ57" s="349">
        <f t="shared" si="18"/>
        <v>3727.1626004774821</v>
      </c>
      <c r="BA57" s="347">
        <f t="shared" si="26"/>
        <v>91.404225678376349</v>
      </c>
      <c r="BB57" s="348">
        <f t="shared" si="27"/>
        <v>91.404225678376349</v>
      </c>
      <c r="BC57" s="349">
        <f t="shared" si="28"/>
        <v>3838.9774784918068</v>
      </c>
      <c r="BD57" s="347">
        <f t="shared" si="29"/>
        <v>94.14635244872764</v>
      </c>
      <c r="BE57" s="348">
        <f t="shared" si="30"/>
        <v>94.14635244872764</v>
      </c>
      <c r="BF57" s="349">
        <f t="shared" si="31"/>
        <v>3954.1468028465611</v>
      </c>
      <c r="BG57" s="347">
        <f t="shared" si="5"/>
        <v>96.970743022189467</v>
      </c>
      <c r="BH57" s="348">
        <f t="shared" si="6"/>
        <v>96.970743022189467</v>
      </c>
      <c r="BI57" s="349">
        <f t="shared" si="7"/>
        <v>4072.7712069319582</v>
      </c>
    </row>
    <row r="58" spans="1:61" ht="13.8">
      <c r="A58" s="207"/>
      <c r="B58" s="194" t="s">
        <v>179</v>
      </c>
      <c r="C58" s="208"/>
      <c r="D58" s="209"/>
      <c r="E58" s="210"/>
      <c r="F58" s="208"/>
      <c r="G58" s="209"/>
      <c r="H58" s="210"/>
      <c r="I58" s="208"/>
      <c r="J58" s="209"/>
      <c r="K58" s="210"/>
      <c r="L58" s="208"/>
      <c r="M58" s="209"/>
      <c r="N58" s="210"/>
      <c r="O58" s="208"/>
      <c r="P58" s="209"/>
      <c r="Q58" s="210"/>
      <c r="R58" s="209"/>
      <c r="S58" s="209"/>
      <c r="T58" s="209"/>
      <c r="U58" s="208"/>
      <c r="V58" s="209"/>
      <c r="W58" s="210"/>
      <c r="X58" s="209"/>
      <c r="Y58" s="209"/>
      <c r="Z58" s="209"/>
      <c r="AA58" s="208"/>
      <c r="AB58" s="209"/>
      <c r="AC58" s="210"/>
      <c r="AD58" s="141"/>
      <c r="AE58" s="145"/>
      <c r="AF58" s="142"/>
      <c r="AG58" s="141">
        <v>116.27947684440193</v>
      </c>
      <c r="AH58" s="145">
        <f>+AG58+AH57</f>
        <v>264.56857684440195</v>
      </c>
      <c r="AI58" s="142">
        <f>AH58*42</f>
        <v>11111.880227464882</v>
      </c>
      <c r="AJ58" s="141">
        <f t="shared" si="34"/>
        <v>119.76786114973399</v>
      </c>
      <c r="AK58" s="145">
        <f>+AJ58+AK57</f>
        <v>272.50563414973396</v>
      </c>
      <c r="AL58" s="142">
        <f>AK58*42</f>
        <v>11445.236634288827</v>
      </c>
      <c r="AM58" s="332" t="s">
        <v>88</v>
      </c>
      <c r="AN58" s="350">
        <v>157.31990619000001</v>
      </c>
      <c r="AO58" s="351">
        <v>157.31990619000001</v>
      </c>
      <c r="AP58" s="352">
        <v>6607.4360599800002</v>
      </c>
      <c r="AQ58" s="332" t="s">
        <v>88</v>
      </c>
      <c r="AR58" s="350">
        <f t="shared" si="10"/>
        <v>162.03950337570001</v>
      </c>
      <c r="AS58" s="351">
        <f t="shared" si="11"/>
        <v>162.03950337570001</v>
      </c>
      <c r="AT58" s="352">
        <f t="shared" si="12"/>
        <v>6805.6591417794007</v>
      </c>
      <c r="AU58" s="350">
        <f t="shared" si="13"/>
        <v>166.900688476971</v>
      </c>
      <c r="AV58" s="351">
        <f t="shared" si="14"/>
        <v>166.900688476971</v>
      </c>
      <c r="AW58" s="352">
        <f t="shared" si="15"/>
        <v>7009.8289160327831</v>
      </c>
      <c r="AX58" s="350">
        <f t="shared" si="16"/>
        <v>171.90770913128014</v>
      </c>
      <c r="AY58" s="351">
        <f t="shared" si="17"/>
        <v>171.90770913128014</v>
      </c>
      <c r="AZ58" s="352">
        <f t="shared" si="18"/>
        <v>7220.1237835137672</v>
      </c>
      <c r="BA58" s="350">
        <f t="shared" si="26"/>
        <v>177.06494040521855</v>
      </c>
      <c r="BB58" s="351">
        <f t="shared" si="27"/>
        <v>177.06494040521855</v>
      </c>
      <c r="BC58" s="352">
        <f t="shared" si="28"/>
        <v>7436.7274970191802</v>
      </c>
      <c r="BD58" s="350">
        <f t="shared" si="29"/>
        <v>182.3768886173751</v>
      </c>
      <c r="BE58" s="351">
        <f t="shared" si="30"/>
        <v>182.3768886173751</v>
      </c>
      <c r="BF58" s="352">
        <f t="shared" si="31"/>
        <v>7659.8293219297557</v>
      </c>
      <c r="BG58" s="350">
        <f t="shared" si="5"/>
        <v>187.84819527589636</v>
      </c>
      <c r="BH58" s="351">
        <f t="shared" si="6"/>
        <v>187.84819527589636</v>
      </c>
      <c r="BI58" s="352">
        <f t="shared" si="7"/>
        <v>7889.6242015876487</v>
      </c>
    </row>
    <row r="59" spans="1:61" ht="14.4" thickBot="1">
      <c r="A59" s="186"/>
      <c r="B59" s="206" t="s">
        <v>180</v>
      </c>
      <c r="C59" s="211"/>
      <c r="D59" s="212"/>
      <c r="E59" s="213"/>
      <c r="F59" s="211"/>
      <c r="G59" s="212"/>
      <c r="H59" s="213"/>
      <c r="I59" s="211"/>
      <c r="J59" s="212"/>
      <c r="K59" s="213"/>
      <c r="L59" s="211"/>
      <c r="M59" s="212"/>
      <c r="N59" s="213"/>
      <c r="O59" s="211"/>
      <c r="P59" s="212"/>
      <c r="Q59" s="213"/>
      <c r="R59" s="212"/>
      <c r="S59" s="212"/>
      <c r="T59" s="212"/>
      <c r="U59" s="211"/>
      <c r="V59" s="212"/>
      <c r="W59" s="213"/>
      <c r="X59" s="212"/>
      <c r="Y59" s="212"/>
      <c r="Z59" s="212"/>
      <c r="AA59" s="211"/>
      <c r="AB59" s="212"/>
      <c r="AC59" s="213"/>
      <c r="AD59" s="189"/>
      <c r="AE59" s="192"/>
      <c r="AF59" s="190"/>
      <c r="AG59" s="189">
        <v>205.64</v>
      </c>
      <c r="AH59" s="192">
        <f>+AH58+AG59</f>
        <v>470.20857684440193</v>
      </c>
      <c r="AI59" s="190">
        <f t="shared" si="21"/>
        <v>19748.760227464882</v>
      </c>
      <c r="AJ59" s="189">
        <f t="shared" si="34"/>
        <v>211.8092</v>
      </c>
      <c r="AK59" s="192">
        <f>+AK58+AJ59</f>
        <v>484.314834149734</v>
      </c>
      <c r="AL59" s="190">
        <f>AK59*42</f>
        <v>20341.223034288829</v>
      </c>
      <c r="AM59" s="332" t="s">
        <v>179</v>
      </c>
      <c r="AN59" s="350">
        <v>127.0617238937528</v>
      </c>
      <c r="AO59" s="351">
        <v>284.38163008375284</v>
      </c>
      <c r="AP59" s="352">
        <v>11944.028463517619</v>
      </c>
      <c r="AQ59" s="332" t="s">
        <v>179</v>
      </c>
      <c r="AR59" s="350">
        <f t="shared" si="10"/>
        <v>130.87357561056538</v>
      </c>
      <c r="AS59" s="351">
        <f t="shared" si="11"/>
        <v>292.91307898626542</v>
      </c>
      <c r="AT59" s="352">
        <f t="shared" si="12"/>
        <v>12302.349317423148</v>
      </c>
      <c r="AU59" s="350">
        <f t="shared" si="13"/>
        <v>134.79978287888235</v>
      </c>
      <c r="AV59" s="351">
        <f t="shared" si="14"/>
        <v>301.70047135585338</v>
      </c>
      <c r="AW59" s="352">
        <f t="shared" si="15"/>
        <v>12671.419796945844</v>
      </c>
      <c r="AX59" s="350">
        <f t="shared" si="16"/>
        <v>138.84377636524883</v>
      </c>
      <c r="AY59" s="351">
        <f t="shared" si="17"/>
        <v>310.75148549652897</v>
      </c>
      <c r="AZ59" s="352">
        <f t="shared" si="18"/>
        <v>13051.56239085422</v>
      </c>
      <c r="BA59" s="350">
        <f t="shared" si="26"/>
        <v>143.0090896562063</v>
      </c>
      <c r="BB59" s="351">
        <f t="shared" si="27"/>
        <v>320.07403006142482</v>
      </c>
      <c r="BC59" s="352">
        <f t="shared" si="28"/>
        <v>13443.109262579846</v>
      </c>
      <c r="BD59" s="350">
        <f t="shared" si="29"/>
        <v>147.29936234589249</v>
      </c>
      <c r="BE59" s="351">
        <f t="shared" si="30"/>
        <v>329.67625096326759</v>
      </c>
      <c r="BF59" s="352">
        <f t="shared" si="31"/>
        <v>13846.402540457242</v>
      </c>
      <c r="BG59" s="350">
        <f t="shared" si="5"/>
        <v>151.71834321626926</v>
      </c>
      <c r="BH59" s="351">
        <f t="shared" si="6"/>
        <v>339.56653849216565</v>
      </c>
      <c r="BI59" s="352">
        <f t="shared" si="7"/>
        <v>14261.794616670959</v>
      </c>
    </row>
    <row r="60" spans="1:61" ht="14.4" thickBot="1">
      <c r="A60" s="150" t="s">
        <v>111</v>
      </c>
      <c r="B60" s="150"/>
      <c r="C60" s="150"/>
      <c r="D60" s="150"/>
      <c r="E60" s="150"/>
      <c r="F60" s="214"/>
      <c r="G60" s="214"/>
      <c r="H60" s="214"/>
      <c r="I60" s="214"/>
      <c r="J60" s="214"/>
      <c r="K60" s="214"/>
      <c r="L60" s="214"/>
      <c r="M60" s="214"/>
      <c r="N60" s="214"/>
      <c r="O60" s="214"/>
      <c r="P60" s="214"/>
      <c r="Q60" s="214"/>
      <c r="AE60" s="170"/>
      <c r="AF60" s="170"/>
      <c r="AM60" s="331" t="s">
        <v>180</v>
      </c>
      <c r="AN60" s="353">
        <v>218.163476</v>
      </c>
      <c r="AO60" s="354">
        <v>502.54510608375284</v>
      </c>
      <c r="AP60" s="355">
        <v>21106.89445551762</v>
      </c>
      <c r="AQ60" s="331" t="s">
        <v>180</v>
      </c>
      <c r="AR60" s="353">
        <f t="shared" si="10"/>
        <v>224.70838028</v>
      </c>
      <c r="AS60" s="354">
        <f t="shared" si="11"/>
        <v>517.62145926626545</v>
      </c>
      <c r="AT60" s="355">
        <f t="shared" si="12"/>
        <v>21740.101289183149</v>
      </c>
      <c r="AU60" s="353">
        <f t="shared" si="13"/>
        <v>231.44963168840002</v>
      </c>
      <c r="AV60" s="354">
        <f t="shared" si="14"/>
        <v>533.15010304425346</v>
      </c>
      <c r="AW60" s="355">
        <f t="shared" si="15"/>
        <v>22392.304327858645</v>
      </c>
      <c r="AX60" s="353">
        <f t="shared" si="16"/>
        <v>238.39312063905203</v>
      </c>
      <c r="AY60" s="354">
        <f t="shared" si="17"/>
        <v>549.14460613558106</v>
      </c>
      <c r="AZ60" s="355">
        <f t="shared" si="18"/>
        <v>23064.073457694405</v>
      </c>
      <c r="BA60" s="353">
        <f t="shared" si="26"/>
        <v>245.5449142582236</v>
      </c>
      <c r="BB60" s="354">
        <f t="shared" si="27"/>
        <v>565.61894431964845</v>
      </c>
      <c r="BC60" s="355">
        <f t="shared" si="28"/>
        <v>23755.995661425237</v>
      </c>
      <c r="BD60" s="353">
        <f t="shared" si="29"/>
        <v>252.91126168597032</v>
      </c>
      <c r="BE60" s="354">
        <f t="shared" si="30"/>
        <v>582.58751264923796</v>
      </c>
      <c r="BF60" s="355">
        <f t="shared" si="31"/>
        <v>24468.675531267996</v>
      </c>
      <c r="BG60" s="353">
        <f t="shared" si="5"/>
        <v>260.49859953654942</v>
      </c>
      <c r="BH60" s="354">
        <f t="shared" si="6"/>
        <v>600.06513802871507</v>
      </c>
      <c r="BI60" s="355">
        <f t="shared" si="7"/>
        <v>25202.735797206038</v>
      </c>
    </row>
    <row r="61" spans="1:61" ht="14.4" thickBot="1">
      <c r="A61" s="151" t="s">
        <v>112</v>
      </c>
      <c r="B61" s="152"/>
      <c r="C61" s="151"/>
      <c r="D61" s="151"/>
      <c r="E61" s="151"/>
      <c r="F61" s="170"/>
      <c r="G61" s="170"/>
      <c r="H61" s="214"/>
      <c r="I61" s="170"/>
      <c r="J61" s="170"/>
      <c r="K61" s="170"/>
      <c r="L61" s="214"/>
      <c r="M61" s="214"/>
      <c r="N61" s="214"/>
      <c r="O61" s="214"/>
      <c r="P61" s="214"/>
      <c r="Q61" s="214"/>
      <c r="AE61" s="170"/>
      <c r="AF61" s="170"/>
      <c r="AG61" s="205"/>
      <c r="AM61" s="336" t="s">
        <v>238</v>
      </c>
      <c r="AN61" s="357">
        <v>43.568999999999996</v>
      </c>
      <c r="AO61" s="358">
        <v>43.568999999999996</v>
      </c>
      <c r="AP61" s="355">
        <v>1829.8979999999999</v>
      </c>
      <c r="AQ61" s="336" t="s">
        <v>238</v>
      </c>
      <c r="AR61" s="357">
        <f t="shared" si="10"/>
        <v>44.876069999999999</v>
      </c>
      <c r="AS61" s="358">
        <f t="shared" si="11"/>
        <v>44.876069999999999</v>
      </c>
      <c r="AT61" s="355">
        <f t="shared" si="12"/>
        <v>1884.79494</v>
      </c>
      <c r="AU61" s="357">
        <f t="shared" si="13"/>
        <v>46.222352100000002</v>
      </c>
      <c r="AV61" s="358">
        <f t="shared" si="14"/>
        <v>46.222352100000002</v>
      </c>
      <c r="AW61" s="355">
        <f t="shared" si="15"/>
        <v>1941.3387882</v>
      </c>
      <c r="AX61" s="357">
        <f t="shared" si="16"/>
        <v>47.609022663000005</v>
      </c>
      <c r="AY61" s="358">
        <f t="shared" si="17"/>
        <v>47.609022663000005</v>
      </c>
      <c r="AZ61" s="355">
        <f t="shared" si="18"/>
        <v>1999.5789518460001</v>
      </c>
      <c r="BA61" s="357">
        <f t="shared" si="26"/>
        <v>49.037293342890003</v>
      </c>
      <c r="BB61" s="358">
        <f t="shared" si="27"/>
        <v>49.037293342890003</v>
      </c>
      <c r="BC61" s="355">
        <f t="shared" si="28"/>
        <v>2059.5663204013804</v>
      </c>
      <c r="BD61" s="357">
        <f t="shared" si="29"/>
        <v>50.508412143176706</v>
      </c>
      <c r="BE61" s="358">
        <f t="shared" si="30"/>
        <v>50.508412143176706</v>
      </c>
      <c r="BF61" s="355">
        <f t="shared" si="31"/>
        <v>2121.3533100134218</v>
      </c>
      <c r="BG61" s="357">
        <f t="shared" si="5"/>
        <v>52.023664507472006</v>
      </c>
      <c r="BH61" s="358">
        <f t="shared" si="6"/>
        <v>52.023664507472006</v>
      </c>
      <c r="BI61" s="355">
        <f t="shared" si="7"/>
        <v>2184.9939093138246</v>
      </c>
    </row>
    <row r="62" spans="1:61" ht="15" customHeight="1">
      <c r="A62" s="153" t="s">
        <v>113</v>
      </c>
      <c r="B62" s="153"/>
      <c r="C62" s="153"/>
      <c r="D62" s="153"/>
      <c r="E62" s="153"/>
      <c r="F62" s="170"/>
      <c r="G62" s="170"/>
      <c r="H62" s="214"/>
      <c r="I62" s="170"/>
      <c r="J62" s="170"/>
      <c r="K62" s="170"/>
      <c r="L62" s="170"/>
      <c r="M62" s="170"/>
      <c r="N62" s="170"/>
      <c r="O62" s="170"/>
      <c r="P62" s="170"/>
      <c r="Q62" s="170"/>
      <c r="AE62" s="170"/>
      <c r="AF62" s="170"/>
      <c r="AM62" s="150"/>
      <c r="AQ62" s="150"/>
    </row>
    <row r="63" spans="1:61" ht="13.8">
      <c r="A63" s="154" t="s">
        <v>114</v>
      </c>
      <c r="B63" s="154"/>
      <c r="C63" s="154"/>
      <c r="D63" s="154"/>
      <c r="E63" s="154"/>
      <c r="F63" s="215"/>
      <c r="G63" s="215"/>
      <c r="H63" s="215"/>
      <c r="I63" s="170"/>
      <c r="J63" s="170"/>
      <c r="K63" s="170"/>
      <c r="L63" s="170"/>
      <c r="M63" s="170"/>
      <c r="N63" s="170"/>
      <c r="O63" s="170"/>
      <c r="P63" s="170"/>
      <c r="Q63" s="170"/>
      <c r="AE63" s="170"/>
      <c r="AF63" s="170"/>
      <c r="AM63" s="152"/>
      <c r="AQ63" s="152"/>
    </row>
    <row r="64" spans="1:61" ht="13.8">
      <c r="A64" s="155" t="s">
        <v>168</v>
      </c>
      <c r="B64" s="155"/>
      <c r="C64" s="155"/>
      <c r="D64" s="155"/>
      <c r="E64" s="155"/>
      <c r="F64" s="215"/>
      <c r="G64" s="215"/>
      <c r="H64" s="215"/>
      <c r="I64" s="170"/>
      <c r="J64" s="170"/>
      <c r="K64" s="170"/>
      <c r="L64" s="170"/>
      <c r="M64" s="170"/>
      <c r="N64" s="170"/>
      <c r="O64" s="170"/>
      <c r="P64" s="170"/>
      <c r="Q64" s="170"/>
      <c r="AE64" s="170"/>
      <c r="AF64" s="170"/>
      <c r="AM64" s="153"/>
      <c r="AQ64" s="153"/>
    </row>
    <row r="65" spans="1:61" ht="14.4" thickBot="1">
      <c r="A65" s="216" t="s">
        <v>181</v>
      </c>
      <c r="B65" s="216"/>
      <c r="C65" s="216"/>
      <c r="D65" s="216"/>
      <c r="E65" s="216"/>
      <c r="F65" s="215"/>
      <c r="G65" s="215"/>
      <c r="H65" s="215"/>
      <c r="I65" s="170"/>
      <c r="J65" s="170"/>
      <c r="K65" s="170"/>
      <c r="L65" s="170"/>
      <c r="M65" s="170"/>
      <c r="N65" s="170"/>
      <c r="O65" s="170"/>
      <c r="P65" s="170"/>
      <c r="Q65" s="170"/>
      <c r="AE65" s="170"/>
      <c r="AF65" s="170"/>
      <c r="AM65" s="154"/>
      <c r="AQ65" s="154"/>
    </row>
    <row r="66" spans="1:61" ht="14.4" thickBot="1">
      <c r="A66" s="217">
        <v>279</v>
      </c>
      <c r="B66" s="218" t="s">
        <v>115</v>
      </c>
      <c r="C66" s="219"/>
      <c r="D66" s="219"/>
      <c r="E66" s="219"/>
      <c r="F66" s="219"/>
      <c r="G66" s="219"/>
      <c r="H66" s="219"/>
      <c r="I66" s="219"/>
      <c r="J66" s="219"/>
      <c r="K66" s="220">
        <v>6.4899999999999999E-2</v>
      </c>
      <c r="L66" s="170"/>
      <c r="M66" s="170"/>
      <c r="N66" s="220">
        <v>5.5E-2</v>
      </c>
      <c r="O66" s="170"/>
      <c r="P66" s="170"/>
      <c r="Q66" s="220">
        <v>4.8500000000000001E-2</v>
      </c>
      <c r="T66" s="220"/>
      <c r="V66" s="221" t="s">
        <v>116</v>
      </c>
      <c r="W66" s="220">
        <v>4.48E-2</v>
      </c>
      <c r="Y66" s="221" t="s">
        <v>117</v>
      </c>
      <c r="Z66" s="220">
        <v>5.6899999999999999E-2</v>
      </c>
      <c r="AB66" s="221"/>
      <c r="AC66" s="220">
        <v>7.6700000000000004E-2</v>
      </c>
      <c r="AE66" s="221"/>
      <c r="AF66" s="220">
        <v>0.02</v>
      </c>
      <c r="AG66" s="222" t="s">
        <v>155</v>
      </c>
      <c r="AI66" s="223">
        <v>3.1699999999999999E-2</v>
      </c>
      <c r="AJ66" s="222" t="s">
        <v>182</v>
      </c>
      <c r="AL66" s="223">
        <v>3.73E-2</v>
      </c>
      <c r="AM66" s="155"/>
      <c r="AQ66" s="155"/>
    </row>
    <row r="67" spans="1:61" ht="13.8" thickBot="1">
      <c r="A67" s="224"/>
      <c r="B67" s="225" t="s">
        <v>118</v>
      </c>
      <c r="C67" s="226" t="s">
        <v>119</v>
      </c>
      <c r="D67" s="227"/>
      <c r="E67" s="227"/>
      <c r="F67" s="228" t="s">
        <v>120</v>
      </c>
      <c r="G67" s="229"/>
      <c r="H67" s="229"/>
      <c r="I67" s="228" t="s">
        <v>121</v>
      </c>
      <c r="J67" s="229"/>
      <c r="K67" s="229"/>
      <c r="L67" s="228" t="s">
        <v>122</v>
      </c>
      <c r="M67" s="229"/>
      <c r="N67" s="229"/>
      <c r="O67" s="228" t="s">
        <v>123</v>
      </c>
      <c r="P67" s="229"/>
      <c r="Q67" s="229"/>
      <c r="R67" s="228" t="s">
        <v>123</v>
      </c>
      <c r="S67" s="229"/>
      <c r="T67" s="229"/>
      <c r="U67" s="228" t="s">
        <v>124</v>
      </c>
      <c r="V67" s="229"/>
      <c r="W67" s="229"/>
      <c r="X67" s="230" t="s">
        <v>125</v>
      </c>
      <c r="Y67" s="231"/>
      <c r="Z67" s="232"/>
      <c r="AA67" s="230" t="s">
        <v>126</v>
      </c>
      <c r="AB67" s="233"/>
      <c r="AC67" s="232"/>
      <c r="AD67" s="230" t="s">
        <v>127</v>
      </c>
      <c r="AE67" s="233"/>
      <c r="AF67" s="232"/>
      <c r="AG67" s="230" t="s">
        <v>156</v>
      </c>
      <c r="AH67" s="233"/>
      <c r="AI67" s="232"/>
      <c r="AJ67" s="230" t="s">
        <v>183</v>
      </c>
      <c r="AK67" s="233"/>
      <c r="AL67" s="232"/>
      <c r="AM67" s="216"/>
      <c r="AQ67" s="216"/>
    </row>
    <row r="68" spans="1:61" ht="13.8" thickBot="1">
      <c r="A68" s="234"/>
      <c r="B68" s="227" t="s">
        <v>128</v>
      </c>
      <c r="C68" s="227">
        <v>306.31</v>
      </c>
      <c r="D68" s="227">
        <v>306.31</v>
      </c>
      <c r="E68" s="235">
        <v>12865.02</v>
      </c>
      <c r="F68" s="227">
        <v>327.72</v>
      </c>
      <c r="G68" s="227">
        <v>327.72</v>
      </c>
      <c r="H68" s="235">
        <v>13764.240000000002</v>
      </c>
      <c r="I68" s="235">
        <v>348.98902800000002</v>
      </c>
      <c r="J68" s="235">
        <v>348.98902800000002</v>
      </c>
      <c r="K68" s="235">
        <v>14657.539176</v>
      </c>
      <c r="L68" s="235">
        <v>368.18342454000003</v>
      </c>
      <c r="M68" s="235">
        <v>368.18342454000003</v>
      </c>
      <c r="N68" s="235">
        <v>15463.703830680002</v>
      </c>
      <c r="O68" s="235">
        <v>386.04032063019002</v>
      </c>
      <c r="P68" s="235">
        <v>386.04032063019002</v>
      </c>
      <c r="Q68" s="235">
        <v>16213.693466467981</v>
      </c>
      <c r="R68" s="235">
        <v>386.04032063019002</v>
      </c>
      <c r="S68" s="235">
        <v>386.04032063019002</v>
      </c>
      <c r="T68" s="235">
        <v>16213.693466467981</v>
      </c>
      <c r="U68" s="235">
        <v>403.33492699442252</v>
      </c>
      <c r="V68" s="235">
        <v>403.33492699442252</v>
      </c>
      <c r="W68" s="235">
        <v>16940.066933765745</v>
      </c>
      <c r="X68" s="235">
        <v>426.28468434040514</v>
      </c>
      <c r="Y68" s="235">
        <v>426.28468434040514</v>
      </c>
      <c r="Z68" s="235">
        <v>17903.956742297014</v>
      </c>
      <c r="AA68" s="235">
        <v>458.98071962931419</v>
      </c>
      <c r="AB68" s="235">
        <v>458.98071962931419</v>
      </c>
      <c r="AC68" s="235">
        <v>19277.190224431197</v>
      </c>
      <c r="AD68" s="235">
        <v>468.16</v>
      </c>
      <c r="AE68" s="235">
        <v>468.16</v>
      </c>
      <c r="AF68" s="235">
        <f>AE68*42</f>
        <v>19662.72</v>
      </c>
      <c r="AG68" s="235">
        <f>AD68*(1+$AI$66)</f>
        <v>483.00067200000007</v>
      </c>
      <c r="AH68" s="235">
        <f>AE68*(1+$AI$66)</f>
        <v>483.00067200000007</v>
      </c>
      <c r="AI68" s="235">
        <f>AH68*42</f>
        <v>20286.028224000002</v>
      </c>
      <c r="AJ68" s="235">
        <f>AG68*(1+$AL$66)</f>
        <v>501.01659706560014</v>
      </c>
      <c r="AK68" s="235">
        <f>AH68*(1+$AL$66)</f>
        <v>501.01659706560014</v>
      </c>
      <c r="AL68" s="235">
        <f>AK68*42</f>
        <v>21042.697076755205</v>
      </c>
      <c r="AM68" s="216"/>
      <c r="AQ68" s="216"/>
    </row>
    <row r="69" spans="1:61" ht="13.8" thickBot="1">
      <c r="A69" s="234"/>
      <c r="B69" s="227" t="s">
        <v>129</v>
      </c>
      <c r="C69" s="236"/>
      <c r="D69" s="219"/>
      <c r="E69" s="237"/>
      <c r="F69" s="228" t="s">
        <v>130</v>
      </c>
      <c r="G69" s="233"/>
      <c r="H69" s="238"/>
      <c r="I69" s="228" t="s">
        <v>121</v>
      </c>
      <c r="J69" s="239"/>
      <c r="K69" s="238"/>
      <c r="L69" s="228" t="s">
        <v>122</v>
      </c>
      <c r="M69" s="239"/>
      <c r="N69" s="238"/>
      <c r="O69" s="228" t="s">
        <v>122</v>
      </c>
      <c r="P69" s="239"/>
      <c r="Q69" s="238"/>
      <c r="R69" s="228" t="s">
        <v>123</v>
      </c>
      <c r="S69" s="239"/>
      <c r="T69" s="238"/>
      <c r="U69" s="228" t="s">
        <v>124</v>
      </c>
      <c r="V69" s="239"/>
      <c r="W69" s="238"/>
      <c r="X69" s="230" t="s">
        <v>125</v>
      </c>
      <c r="Y69" s="239"/>
      <c r="Z69" s="238"/>
      <c r="AA69" s="230" t="s">
        <v>126</v>
      </c>
      <c r="AB69" s="239"/>
      <c r="AC69" s="238"/>
      <c r="AD69" s="230" t="s">
        <v>127</v>
      </c>
      <c r="AE69" s="239"/>
      <c r="AF69" s="238"/>
      <c r="AG69" s="230" t="s">
        <v>156</v>
      </c>
      <c r="AH69" s="239"/>
      <c r="AI69" s="238"/>
      <c r="AJ69" s="230" t="s">
        <v>183</v>
      </c>
      <c r="AK69" s="239"/>
      <c r="AL69" s="238"/>
      <c r="AM69" s="337"/>
      <c r="AQ69" s="337"/>
    </row>
    <row r="70" spans="1:61" ht="13.8" thickBot="1">
      <c r="A70" s="227"/>
      <c r="B70" s="227" t="s">
        <v>131</v>
      </c>
      <c r="C70" s="236"/>
      <c r="D70" s="219"/>
      <c r="E70" s="240"/>
      <c r="F70" s="235">
        <v>323</v>
      </c>
      <c r="G70" s="235">
        <v>323</v>
      </c>
      <c r="H70" s="235">
        <v>13566</v>
      </c>
      <c r="I70" s="235">
        <v>343.96269999999998</v>
      </c>
      <c r="J70" s="235">
        <v>343.96269999999998</v>
      </c>
      <c r="K70" s="235">
        <v>14446.4334</v>
      </c>
      <c r="L70" s="235">
        <v>362.88064850000001</v>
      </c>
      <c r="M70" s="235">
        <v>362.88064850000001</v>
      </c>
      <c r="N70" s="235">
        <v>15240.987237000001</v>
      </c>
      <c r="O70" s="235">
        <v>380.48035995225001</v>
      </c>
      <c r="P70" s="235">
        <v>380.48035995225001</v>
      </c>
      <c r="Q70" s="235">
        <v>15980.1751179945</v>
      </c>
      <c r="R70" s="235">
        <v>380.48035995225001</v>
      </c>
      <c r="S70" s="235">
        <v>380.48035995225001</v>
      </c>
      <c r="T70" s="235">
        <v>15980.1751179945</v>
      </c>
      <c r="U70" s="235">
        <v>397.52588007811079</v>
      </c>
      <c r="V70" s="235">
        <v>397.52588007811079</v>
      </c>
      <c r="W70" s="235">
        <v>16696.086963280653</v>
      </c>
      <c r="X70" s="235">
        <v>420.14510265455527</v>
      </c>
      <c r="Y70" s="235">
        <v>420.14510265455527</v>
      </c>
      <c r="Z70" s="235">
        <v>17646.094311491321</v>
      </c>
      <c r="AA70" s="235">
        <v>452.37023202815965</v>
      </c>
      <c r="AB70" s="235">
        <v>452.37023202815965</v>
      </c>
      <c r="AC70" s="235">
        <v>18999.549745182707</v>
      </c>
      <c r="AD70" s="235">
        <v>461.42</v>
      </c>
      <c r="AE70" s="235">
        <v>461.42</v>
      </c>
      <c r="AF70" s="235">
        <f>AE70*42</f>
        <v>19379.64</v>
      </c>
      <c r="AG70" s="235">
        <f>AD70*(1+$AI$66)</f>
        <v>476.04701400000005</v>
      </c>
      <c r="AH70" s="235">
        <f>AE70*(1+$AI$66)</f>
        <v>476.04701400000005</v>
      </c>
      <c r="AI70" s="235">
        <f>AH70*42</f>
        <v>19993.974588000001</v>
      </c>
      <c r="AJ70" s="235">
        <f>AG70*(1+$AL$66)</f>
        <v>493.80356762220009</v>
      </c>
      <c r="AK70" s="235">
        <f>AH70*(1+$AL$66)</f>
        <v>493.80356762220009</v>
      </c>
      <c r="AL70" s="235">
        <f>AK70*42</f>
        <v>20739.749840132405</v>
      </c>
      <c r="AM70" s="170"/>
      <c r="AQ70" s="170"/>
    </row>
    <row r="71" spans="1:61" ht="24.6" thickBot="1">
      <c r="A71" s="169"/>
      <c r="B71" s="227" t="s">
        <v>129</v>
      </c>
      <c r="C71" s="169"/>
      <c r="D71" s="169"/>
      <c r="E71" s="214"/>
      <c r="F71" s="169"/>
      <c r="G71" s="169"/>
      <c r="H71" s="214"/>
      <c r="I71" s="214"/>
      <c r="J71" s="214"/>
      <c r="K71" s="214"/>
      <c r="L71" s="170"/>
      <c r="M71" s="170"/>
      <c r="N71" s="241"/>
      <c r="O71" s="170"/>
      <c r="P71" s="170"/>
      <c r="Q71" s="241"/>
      <c r="T71" s="241"/>
      <c r="W71" s="241"/>
      <c r="Z71" s="241"/>
      <c r="AC71" s="241"/>
      <c r="AE71" s="170"/>
      <c r="AF71" s="241"/>
      <c r="AM71" s="338" t="s">
        <v>239</v>
      </c>
      <c r="AN71" s="359" t="s">
        <v>242</v>
      </c>
      <c r="AO71" s="360"/>
      <c r="AP71" s="361">
        <v>2.4400000000000002E-2</v>
      </c>
      <c r="AQ71" s="338" t="s">
        <v>239</v>
      </c>
      <c r="AR71" s="359" t="s">
        <v>261</v>
      </c>
      <c r="AS71" s="360"/>
      <c r="AT71" s="361">
        <v>1.9400000000000001E-2</v>
      </c>
      <c r="AU71" s="359" t="s">
        <v>262</v>
      </c>
      <c r="AV71" s="360"/>
      <c r="AW71" s="361">
        <v>3.6600000000000001E-2</v>
      </c>
      <c r="AX71" s="359" t="s">
        <v>275</v>
      </c>
      <c r="AY71" s="360"/>
      <c r="AZ71" s="361">
        <v>6.7699999999999996E-2</v>
      </c>
      <c r="BA71" s="359" t="s">
        <v>289</v>
      </c>
      <c r="BB71" s="360"/>
      <c r="BC71" s="361">
        <v>5.7500000000000002E-2</v>
      </c>
      <c r="BD71" s="359" t="s">
        <v>289</v>
      </c>
      <c r="BE71" s="360"/>
      <c r="BF71" s="361">
        <v>5.7500000000000002E-2</v>
      </c>
      <c r="BG71" s="359" t="s">
        <v>289</v>
      </c>
      <c r="BH71" s="360"/>
      <c r="BI71" s="361">
        <v>5.7500000000000002E-2</v>
      </c>
    </row>
    <row r="72" spans="1:61" ht="14.4" thickTop="1" thickBot="1">
      <c r="A72" s="242"/>
      <c r="B72" s="243" t="s">
        <v>132</v>
      </c>
      <c r="C72" s="244" t="s">
        <v>133</v>
      </c>
      <c r="D72" s="242"/>
      <c r="E72" s="245"/>
      <c r="F72" s="244" t="s">
        <v>130</v>
      </c>
      <c r="G72" s="246"/>
      <c r="H72" s="247"/>
      <c r="I72" s="248" t="s">
        <v>134</v>
      </c>
      <c r="J72" s="249"/>
      <c r="K72" s="249"/>
      <c r="L72" s="170"/>
      <c r="M72" s="170"/>
      <c r="N72" s="170"/>
      <c r="O72" s="170"/>
      <c r="P72" s="170"/>
      <c r="Q72" s="170"/>
      <c r="AD72" s="250"/>
      <c r="AE72" s="170"/>
      <c r="AF72" s="170"/>
      <c r="AM72" s="339" t="s">
        <v>118</v>
      </c>
      <c r="AN72" s="800" t="s">
        <v>243</v>
      </c>
      <c r="AO72" s="800"/>
      <c r="AP72" s="801"/>
      <c r="AQ72" s="339" t="s">
        <v>118</v>
      </c>
      <c r="AR72" s="800" t="s">
        <v>243</v>
      </c>
      <c r="AS72" s="800"/>
      <c r="AT72" s="801"/>
      <c r="AU72" s="800" t="s">
        <v>243</v>
      </c>
      <c r="AV72" s="800"/>
      <c r="AW72" s="801"/>
      <c r="AX72" s="800" t="s">
        <v>243</v>
      </c>
      <c r="AY72" s="800"/>
      <c r="AZ72" s="801"/>
      <c r="BA72" s="800" t="s">
        <v>243</v>
      </c>
      <c r="BB72" s="800"/>
      <c r="BC72" s="801"/>
      <c r="BD72" s="800" t="s">
        <v>243</v>
      </c>
      <c r="BE72" s="800"/>
      <c r="BF72" s="801"/>
      <c r="BG72" s="800" t="s">
        <v>243</v>
      </c>
      <c r="BH72" s="800"/>
      <c r="BI72" s="801"/>
    </row>
    <row r="73" spans="1:61" ht="14.4" thickTop="1" thickBot="1">
      <c r="A73" s="251"/>
      <c r="B73" s="242" t="s">
        <v>135</v>
      </c>
      <c r="C73" s="252">
        <v>320.31</v>
      </c>
      <c r="D73" s="252">
        <v>320.31</v>
      </c>
      <c r="E73" s="253">
        <v>13453.02</v>
      </c>
      <c r="F73" s="253">
        <v>297.03999999999996</v>
      </c>
      <c r="G73" s="253">
        <v>297.03999999999996</v>
      </c>
      <c r="H73" s="253">
        <v>12475.679999999998</v>
      </c>
      <c r="I73" s="245">
        <v>299.55292800000001</v>
      </c>
      <c r="J73" s="245">
        <v>299.55292800000001</v>
      </c>
      <c r="K73" s="245">
        <v>12581.222976000001</v>
      </c>
      <c r="L73" s="170"/>
      <c r="M73" s="170"/>
      <c r="N73" s="170"/>
      <c r="O73" s="170"/>
      <c r="P73" s="170"/>
      <c r="Q73" s="170"/>
      <c r="AE73" s="170"/>
      <c r="AF73" s="170"/>
      <c r="AM73" s="340" t="s">
        <v>128</v>
      </c>
      <c r="AN73" s="362">
        <v>513.24140203400077</v>
      </c>
      <c r="AO73" s="362">
        <v>513.24140203400077</v>
      </c>
      <c r="AP73" s="363">
        <v>21556.13888542803</v>
      </c>
      <c r="AQ73" s="340" t="s">
        <v>128</v>
      </c>
      <c r="AR73" s="362">
        <f>AN73*(1+$AT$71)</f>
        <v>523.19828523346041</v>
      </c>
      <c r="AS73" s="362">
        <f>AO73*(1+$AT$71)</f>
        <v>523.19828523346041</v>
      </c>
      <c r="AT73" s="362">
        <f>AP73*(1+$AT$71)</f>
        <v>21974.327979805337</v>
      </c>
      <c r="AU73" s="362">
        <f>AR73*(1+$AW$71)</f>
        <v>542.34734247300503</v>
      </c>
      <c r="AV73" s="362">
        <f>AS73*(1+$AW$71)</f>
        <v>542.34734247300503</v>
      </c>
      <c r="AW73" s="362">
        <f>AT73*(1+$AW$71)</f>
        <v>22778.588383866212</v>
      </c>
      <c r="AX73" s="362">
        <f>AU73*(1+$AZ$71)</f>
        <v>579.06425755842747</v>
      </c>
      <c r="AY73" s="362">
        <f>AV73*(1+$AZ$71)</f>
        <v>579.06425755842747</v>
      </c>
      <c r="AZ73" s="362">
        <f>AW73*(1+$AZ$71)</f>
        <v>24320.698817453958</v>
      </c>
      <c r="BA73" s="362">
        <f t="shared" ref="BA73:BF73" si="35">AX73*(1+$BC$71)</f>
        <v>612.36045236803716</v>
      </c>
      <c r="BB73" s="362">
        <f t="shared" si="35"/>
        <v>612.36045236803716</v>
      </c>
      <c r="BC73" s="362">
        <f t="shared" si="35"/>
        <v>25719.138999457562</v>
      </c>
      <c r="BD73" s="362">
        <f t="shared" si="35"/>
        <v>647.57117837919941</v>
      </c>
      <c r="BE73" s="362">
        <f t="shared" si="35"/>
        <v>647.57117837919941</v>
      </c>
      <c r="BF73" s="362">
        <f t="shared" si="35"/>
        <v>27197.989491926375</v>
      </c>
      <c r="BG73" s="362">
        <f>BD73*(1+$BC$71)</f>
        <v>684.80652113600343</v>
      </c>
      <c r="BH73" s="362">
        <f>BE73*(1+$BC$71)</f>
        <v>684.80652113600343</v>
      </c>
      <c r="BI73" s="362">
        <f>BF73*(1+$BC$71)</f>
        <v>28761.873887712143</v>
      </c>
    </row>
    <row r="74" spans="1:61" ht="14.4" thickTop="1" thickBot="1">
      <c r="A74" s="254"/>
      <c r="B74" s="255" t="s">
        <v>118</v>
      </c>
      <c r="C74" s="169"/>
      <c r="D74" s="169"/>
      <c r="E74" s="214"/>
      <c r="F74" s="214"/>
      <c r="G74" s="214"/>
      <c r="H74" s="214"/>
      <c r="I74" s="256" t="s">
        <v>136</v>
      </c>
      <c r="J74" s="257"/>
      <c r="K74" s="258"/>
      <c r="L74" s="256" t="s">
        <v>137</v>
      </c>
      <c r="M74" s="257"/>
      <c r="N74" s="258"/>
      <c r="O74" s="256" t="s">
        <v>137</v>
      </c>
      <c r="P74" s="257"/>
      <c r="Q74" s="258"/>
      <c r="R74" s="256" t="s">
        <v>123</v>
      </c>
      <c r="S74" s="257"/>
      <c r="T74" s="258"/>
      <c r="U74" s="256" t="s">
        <v>124</v>
      </c>
      <c r="V74" s="257"/>
      <c r="W74" s="258"/>
      <c r="X74" s="259" t="s">
        <v>125</v>
      </c>
      <c r="Y74" s="257"/>
      <c r="Z74" s="258"/>
      <c r="AA74" s="259" t="s">
        <v>126</v>
      </c>
      <c r="AB74" s="257"/>
      <c r="AC74" s="258"/>
      <c r="AD74" s="259" t="s">
        <v>127</v>
      </c>
      <c r="AE74" s="257"/>
      <c r="AF74" s="258"/>
      <c r="AG74" s="259" t="s">
        <v>156</v>
      </c>
      <c r="AH74" s="257"/>
      <c r="AI74" s="258"/>
      <c r="AJ74" s="259" t="s">
        <v>183</v>
      </c>
      <c r="AK74" s="257"/>
      <c r="AL74" s="258"/>
      <c r="AM74" s="340" t="s">
        <v>129</v>
      </c>
      <c r="AN74" s="787" t="s">
        <v>244</v>
      </c>
      <c r="AO74" s="787"/>
      <c r="AP74" s="788"/>
      <c r="AQ74" s="340" t="s">
        <v>129</v>
      </c>
      <c r="AR74" s="787"/>
      <c r="AS74" s="787"/>
      <c r="AT74" s="788"/>
      <c r="AU74" s="787"/>
      <c r="AV74" s="787"/>
      <c r="AW74" s="788"/>
      <c r="AX74" s="787"/>
      <c r="AY74" s="787"/>
      <c r="AZ74" s="788"/>
      <c r="BA74" s="787"/>
      <c r="BB74" s="787"/>
      <c r="BC74" s="788"/>
      <c r="BD74" s="787"/>
      <c r="BE74" s="787"/>
      <c r="BF74" s="788"/>
      <c r="BG74" s="787"/>
      <c r="BH74" s="787"/>
      <c r="BI74" s="788"/>
    </row>
    <row r="75" spans="1:61" ht="14.4" thickTop="1" thickBot="1">
      <c r="A75" s="260"/>
      <c r="B75" s="261" t="s">
        <v>129</v>
      </c>
      <c r="C75" s="262"/>
      <c r="D75" s="262"/>
      <c r="E75" s="263"/>
      <c r="F75" s="263"/>
      <c r="G75" s="263"/>
      <c r="H75" s="263"/>
      <c r="I75" s="253">
        <v>313.76052800000002</v>
      </c>
      <c r="J75" s="264">
        <v>313.76052800000002</v>
      </c>
      <c r="K75" s="265">
        <v>13177.942176</v>
      </c>
      <c r="L75" s="253">
        <v>329.66471903999997</v>
      </c>
      <c r="M75" s="264">
        <v>329.66471903999997</v>
      </c>
      <c r="N75" s="265">
        <v>13845.918199679998</v>
      </c>
      <c r="O75" s="253">
        <v>344.64763738343999</v>
      </c>
      <c r="P75" s="264">
        <v>344.64763738343999</v>
      </c>
      <c r="Q75" s="265">
        <v>14475.200770104479</v>
      </c>
      <c r="R75" s="253">
        <v>344.64763738343999</v>
      </c>
      <c r="S75" s="264">
        <v>344.64763738343999</v>
      </c>
      <c r="T75" s="265">
        <v>14475.200770104479</v>
      </c>
      <c r="U75" s="253">
        <v>358.65642186221817</v>
      </c>
      <c r="V75" s="264">
        <v>358.65642186221817</v>
      </c>
      <c r="W75" s="265">
        <v>15063.569718213163</v>
      </c>
      <c r="X75" s="253">
        <v>373.79802924783672</v>
      </c>
      <c r="Y75" s="264">
        <v>373.79802924783672</v>
      </c>
      <c r="Z75" s="265">
        <v>15699.517228409142</v>
      </c>
      <c r="AA75" s="253">
        <v>393.82793640870153</v>
      </c>
      <c r="AB75" s="264">
        <v>393.82793640870153</v>
      </c>
      <c r="AC75" s="265">
        <v>16540.773329165466</v>
      </c>
      <c r="AD75" s="253">
        <f>38.72*1.0649*1.055*1.0485*1.0448*1.0569*1.0767*1.02+AE40</f>
        <v>405.09297489725367</v>
      </c>
      <c r="AE75" s="264">
        <f>AD75</f>
        <v>405.09297489725367</v>
      </c>
      <c r="AF75" s="265">
        <f>AE75*42</f>
        <v>17013.904945684655</v>
      </c>
      <c r="AG75" s="253">
        <f>38.72*1.0649*1.055*1.0485*1.0448*1.0569*1.0767*1.02*1.0317+AH40</f>
        <v>417.33979620149665</v>
      </c>
      <c r="AH75" s="264">
        <f>AG75</f>
        <v>417.33979620149665</v>
      </c>
      <c r="AI75" s="265">
        <f>AH75*42</f>
        <v>17528.27144046286</v>
      </c>
      <c r="AJ75" s="253">
        <f>38.72*1.0649*1.055*1.0485*1.0448*1.0569*1.0767*1.02*1.0317*1.0373+AK40</f>
        <v>430.27657477981245</v>
      </c>
      <c r="AK75" s="264">
        <f>AJ75</f>
        <v>430.27657477981245</v>
      </c>
      <c r="AL75" s="265">
        <f>AK75*42</f>
        <v>18071.616140752121</v>
      </c>
      <c r="AM75" s="340" t="s">
        <v>131</v>
      </c>
      <c r="AN75" s="362">
        <v>505.85237467218178</v>
      </c>
      <c r="AO75" s="362">
        <v>505.85237467218178</v>
      </c>
      <c r="AP75" s="363">
        <v>21245.799736231635</v>
      </c>
      <c r="AQ75" s="340" t="s">
        <v>131</v>
      </c>
      <c r="AR75" s="362">
        <f>AN75*(1+$AT$71)</f>
        <v>515.66591074082214</v>
      </c>
      <c r="AS75" s="362">
        <f>AO75*(1+$AT$71)</f>
        <v>515.66591074082214</v>
      </c>
      <c r="AT75" s="362">
        <f>AP75*(1+$AT$71)</f>
        <v>21657.968251114529</v>
      </c>
      <c r="AU75" s="362">
        <f>AR75*(1+$AW$71)</f>
        <v>534.53928307393619</v>
      </c>
      <c r="AV75" s="362">
        <f>AS75*(1+$AW$71)</f>
        <v>534.53928307393619</v>
      </c>
      <c r="AW75" s="362">
        <f>AT75*(1+$AW$71)</f>
        <v>22450.64988910532</v>
      </c>
      <c r="AX75" s="362">
        <f>AU75*(1+$AZ$71)</f>
        <v>570.72759253804168</v>
      </c>
      <c r="AY75" s="362">
        <f>AV75*(1+$AZ$71)</f>
        <v>570.72759253804168</v>
      </c>
      <c r="AZ75" s="362">
        <f>AW75*(1+$AZ$71)</f>
        <v>23970.558886597752</v>
      </c>
      <c r="BA75" s="362">
        <f t="shared" ref="BA75:BF75" si="36">AX75*(1+$BC$71)</f>
        <v>603.5444291089791</v>
      </c>
      <c r="BB75" s="362">
        <f t="shared" si="36"/>
        <v>603.5444291089791</v>
      </c>
      <c r="BC75" s="362">
        <f t="shared" si="36"/>
        <v>25348.866022577124</v>
      </c>
      <c r="BD75" s="362">
        <f t="shared" si="36"/>
        <v>638.2482337827455</v>
      </c>
      <c r="BE75" s="362">
        <f t="shared" si="36"/>
        <v>638.2482337827455</v>
      </c>
      <c r="BF75" s="362">
        <f t="shared" si="36"/>
        <v>26806.425818875312</v>
      </c>
      <c r="BG75" s="362">
        <f>BD75*(1+$BC$71)</f>
        <v>674.94750722525339</v>
      </c>
      <c r="BH75" s="362">
        <f>BE75*(1+$BC$71)</f>
        <v>674.94750722525339</v>
      </c>
      <c r="BI75" s="362">
        <f>BF75*(1+$BC$71)</f>
        <v>28347.795303460643</v>
      </c>
    </row>
    <row r="76" spans="1:61" ht="12.75" customHeight="1" thickTop="1">
      <c r="A76" s="266"/>
      <c r="B76" s="267" t="s">
        <v>138</v>
      </c>
      <c r="C76" s="170"/>
      <c r="D76" s="170"/>
      <c r="E76" s="170"/>
      <c r="G76" s="170"/>
      <c r="H76" s="170"/>
      <c r="I76" s="250">
        <v>41.232927999999994</v>
      </c>
      <c r="J76" s="170"/>
      <c r="K76" s="170"/>
      <c r="L76" s="250">
        <v>43.500739039999992</v>
      </c>
      <c r="M76" s="170"/>
      <c r="N76" s="170"/>
      <c r="O76" s="250">
        <v>45.610524883439993</v>
      </c>
      <c r="P76" s="170"/>
      <c r="Q76" s="170"/>
      <c r="R76" s="250">
        <v>45.610524883439993</v>
      </c>
      <c r="U76" s="250">
        <v>47.653876398218102</v>
      </c>
      <c r="X76" s="250">
        <v>50.355381965276713</v>
      </c>
      <c r="AA76" s="250">
        <v>54.227639762013432</v>
      </c>
      <c r="AD76" s="250">
        <v>55.31</v>
      </c>
      <c r="AE76" s="170"/>
      <c r="AF76" s="170"/>
      <c r="AG76" s="268">
        <f>AD76*(1+AI66)</f>
        <v>57.063327000000008</v>
      </c>
      <c r="AJ76" s="365">
        <f>AG76*(1+AL66)</f>
        <v>59.191789097100013</v>
      </c>
      <c r="AM76" s="340" t="s">
        <v>129</v>
      </c>
      <c r="AN76" s="778"/>
      <c r="AO76" s="779"/>
      <c r="AP76" s="780"/>
      <c r="AQ76" s="340" t="s">
        <v>129</v>
      </c>
      <c r="AR76" s="778"/>
      <c r="AS76" s="779"/>
      <c r="AT76" s="780"/>
      <c r="AU76" s="778"/>
      <c r="AV76" s="779"/>
      <c r="AW76" s="780"/>
      <c r="AX76" s="778"/>
      <c r="AY76" s="779"/>
      <c r="AZ76" s="780"/>
      <c r="BA76" s="778"/>
      <c r="BB76" s="779"/>
      <c r="BC76" s="780"/>
      <c r="BD76" s="778"/>
      <c r="BE76" s="779"/>
      <c r="BF76" s="780"/>
      <c r="BG76" s="778"/>
      <c r="BH76" s="779"/>
      <c r="BI76" s="780"/>
    </row>
    <row r="77" spans="1:61">
      <c r="A77" s="269" t="s">
        <v>139</v>
      </c>
      <c r="B77" s="170"/>
      <c r="C77" s="170"/>
      <c r="D77" s="170"/>
      <c r="E77" s="170"/>
      <c r="F77" s="241"/>
      <c r="G77" s="170"/>
      <c r="H77" s="170"/>
      <c r="I77" s="170"/>
      <c r="J77" s="170"/>
      <c r="K77" s="170"/>
      <c r="L77" s="170"/>
      <c r="M77" s="170"/>
      <c r="N77" s="170"/>
      <c r="O77" s="170"/>
      <c r="P77" s="170"/>
      <c r="Q77" s="170"/>
      <c r="AM77" s="341" t="s">
        <v>132</v>
      </c>
      <c r="AN77" s="781"/>
      <c r="AO77" s="782"/>
      <c r="AP77" s="783"/>
      <c r="AQ77" s="341" t="s">
        <v>132</v>
      </c>
      <c r="AR77" s="781"/>
      <c r="AS77" s="782"/>
      <c r="AT77" s="783"/>
      <c r="AU77" s="781"/>
      <c r="AV77" s="782"/>
      <c r="AW77" s="783"/>
      <c r="AX77" s="781"/>
      <c r="AY77" s="782"/>
      <c r="AZ77" s="783"/>
      <c r="BA77" s="781"/>
      <c r="BB77" s="782"/>
      <c r="BC77" s="783"/>
      <c r="BD77" s="781"/>
      <c r="BE77" s="782"/>
      <c r="BF77" s="783"/>
      <c r="BG77" s="781"/>
      <c r="BH77" s="782"/>
      <c r="BI77" s="783"/>
    </row>
    <row r="78" spans="1:61">
      <c r="A78" s="269" t="s">
        <v>140</v>
      </c>
      <c r="B78" s="170"/>
      <c r="C78" s="170"/>
      <c r="D78" s="170"/>
      <c r="E78" s="170"/>
      <c r="F78" s="241"/>
      <c r="G78" s="170"/>
      <c r="H78" s="170"/>
      <c r="I78" s="170"/>
      <c r="J78" s="170"/>
      <c r="K78" s="170"/>
      <c r="L78" s="270"/>
      <c r="M78" s="170"/>
      <c r="N78" s="170"/>
      <c r="O78" s="271"/>
      <c r="P78" s="170"/>
      <c r="Q78" s="170"/>
      <c r="AC78" s="272"/>
      <c r="AM78" s="340" t="s">
        <v>135</v>
      </c>
      <c r="AN78" s="784"/>
      <c r="AO78" s="785"/>
      <c r="AP78" s="786"/>
      <c r="AQ78" s="340" t="s">
        <v>135</v>
      </c>
      <c r="AR78" s="784"/>
      <c r="AS78" s="785"/>
      <c r="AT78" s="786"/>
      <c r="AU78" s="784"/>
      <c r="AV78" s="785"/>
      <c r="AW78" s="786"/>
      <c r="AX78" s="784"/>
      <c r="AY78" s="785"/>
      <c r="AZ78" s="786"/>
      <c r="BA78" s="784"/>
      <c r="BB78" s="785"/>
      <c r="BC78" s="786"/>
      <c r="BD78" s="784"/>
      <c r="BE78" s="785"/>
      <c r="BF78" s="786"/>
      <c r="BG78" s="784"/>
      <c r="BH78" s="785"/>
      <c r="BI78" s="786"/>
    </row>
    <row r="79" spans="1:61">
      <c r="A79" s="266"/>
      <c r="B79" s="170"/>
      <c r="C79" s="170"/>
      <c r="D79" s="170"/>
      <c r="E79" s="170"/>
      <c r="F79" s="170"/>
      <c r="G79" s="170"/>
      <c r="H79" s="170"/>
      <c r="I79" s="170"/>
      <c r="J79" s="170"/>
      <c r="K79" s="170"/>
      <c r="L79" s="170"/>
      <c r="M79" s="170"/>
      <c r="N79" s="170"/>
      <c r="O79" s="170"/>
      <c r="P79" s="170"/>
      <c r="Q79" s="170"/>
      <c r="AC79" s="250"/>
      <c r="AM79" s="340" t="s">
        <v>118</v>
      </c>
      <c r="AN79" s="787" t="s">
        <v>244</v>
      </c>
      <c r="AO79" s="787"/>
      <c r="AP79" s="788"/>
      <c r="AQ79" s="340" t="s">
        <v>118</v>
      </c>
      <c r="AR79" s="787"/>
      <c r="AS79" s="787"/>
      <c r="AT79" s="788"/>
      <c r="AU79" s="787"/>
      <c r="AV79" s="787"/>
      <c r="AW79" s="788"/>
      <c r="AX79" s="787"/>
      <c r="AY79" s="787"/>
      <c r="AZ79" s="788"/>
      <c r="BA79" s="787"/>
      <c r="BB79" s="787"/>
      <c r="BC79" s="788"/>
      <c r="BD79" s="787"/>
      <c r="BE79" s="787"/>
      <c r="BF79" s="788"/>
      <c r="BG79" s="787"/>
      <c r="BH79" s="787"/>
      <c r="BI79" s="788"/>
    </row>
    <row r="80" spans="1:61">
      <c r="A80" s="170"/>
      <c r="B80" s="170"/>
      <c r="C80" s="170"/>
      <c r="D80" s="170"/>
      <c r="E80" s="170"/>
      <c r="F80" s="170"/>
      <c r="G80" s="170"/>
      <c r="H80" s="170"/>
      <c r="I80" s="170"/>
      <c r="J80" s="170"/>
      <c r="K80" s="170"/>
      <c r="L80" s="170"/>
      <c r="M80" s="170"/>
      <c r="N80" s="170"/>
      <c r="O80" s="170"/>
      <c r="P80" s="170"/>
      <c r="Q80" s="170"/>
      <c r="AM80" s="340" t="s">
        <v>129</v>
      </c>
      <c r="AN80" s="362">
        <v>442.85011881106925</v>
      </c>
      <c r="AO80" s="362">
        <v>442.85011881106925</v>
      </c>
      <c r="AP80" s="363">
        <v>18599.704990064907</v>
      </c>
      <c r="AQ80" s="340" t="s">
        <v>129</v>
      </c>
      <c r="AR80" s="362">
        <f>AN80*(1+$AT$71)</f>
        <v>451.44141111600402</v>
      </c>
      <c r="AS80" s="362">
        <f>AO80*(1+$AT$71)</f>
        <v>451.44141111600402</v>
      </c>
      <c r="AT80" s="362">
        <f>AP80*(1+$AT$71)</f>
        <v>18960.539266872169</v>
      </c>
      <c r="AU80" s="362">
        <f>AR80*(1+$AW$71)</f>
        <v>467.96416676284974</v>
      </c>
      <c r="AV80" s="362">
        <f>AS80*(1+$AW$71)</f>
        <v>467.96416676284974</v>
      </c>
      <c r="AW80" s="362">
        <f>AT80*(1+$AW$71)</f>
        <v>19654.495004039691</v>
      </c>
      <c r="AX80" s="362">
        <f>AU80*(1+$AZ$71)</f>
        <v>499.64534085269469</v>
      </c>
      <c r="AY80" s="362">
        <f>AV80*(1+$AZ$71)</f>
        <v>499.64534085269469</v>
      </c>
      <c r="AZ80" s="362">
        <f>AW80*(1+$AZ$71)</f>
        <v>20985.10431581318</v>
      </c>
      <c r="BA80" s="362">
        <f t="shared" ref="BA80:BF80" si="37">AX80*(1+$BC$71)</f>
        <v>528.37494795172472</v>
      </c>
      <c r="BB80" s="362">
        <f t="shared" si="37"/>
        <v>528.37494795172472</v>
      </c>
      <c r="BC80" s="362">
        <f t="shared" si="37"/>
        <v>22191.747813972441</v>
      </c>
      <c r="BD80" s="362">
        <f t="shared" si="37"/>
        <v>558.75650745894893</v>
      </c>
      <c r="BE80" s="362">
        <f t="shared" si="37"/>
        <v>558.75650745894893</v>
      </c>
      <c r="BF80" s="362">
        <f t="shared" si="37"/>
        <v>23467.773313275859</v>
      </c>
      <c r="BG80" s="362">
        <f>BD80*(1+$BC$71)</f>
        <v>590.8850066378385</v>
      </c>
      <c r="BH80" s="362">
        <f>BE80*(1+$BC$71)</f>
        <v>590.8850066378385</v>
      </c>
      <c r="BI80" s="362">
        <f>BF80*(1+$BC$71)</f>
        <v>24817.170278789225</v>
      </c>
    </row>
    <row r="81" spans="1:61" ht="14.25" customHeight="1" thickBot="1">
      <c r="A81" s="170"/>
      <c r="B81" s="170"/>
      <c r="C81" s="170"/>
      <c r="D81" s="170"/>
      <c r="E81" s="170"/>
      <c r="F81" s="170"/>
      <c r="G81" s="170"/>
      <c r="H81" s="170"/>
      <c r="I81" s="170"/>
      <c r="J81" s="170"/>
      <c r="K81" s="170"/>
      <c r="L81" s="170"/>
      <c r="M81" s="170"/>
      <c r="N81" s="170"/>
      <c r="O81" s="170"/>
      <c r="P81" s="170"/>
      <c r="Q81" s="170"/>
      <c r="Z81" s="811" t="s">
        <v>141</v>
      </c>
      <c r="AA81" s="811"/>
      <c r="AD81" s="811" t="s">
        <v>142</v>
      </c>
      <c r="AE81" s="811"/>
      <c r="AG81" s="811" t="s">
        <v>184</v>
      </c>
      <c r="AH81" s="811"/>
      <c r="AJ81" s="811" t="s">
        <v>184</v>
      </c>
      <c r="AK81" s="811"/>
      <c r="AM81" s="342" t="s">
        <v>138</v>
      </c>
      <c r="AN81" s="366">
        <v>60.636068751069253</v>
      </c>
      <c r="AO81" s="789"/>
      <c r="AP81" s="790"/>
      <c r="AQ81" s="342" t="s">
        <v>138</v>
      </c>
      <c r="AR81" s="366">
        <f>AN81*(1+$AT$71)</f>
        <v>61.812408484839999</v>
      </c>
      <c r="AS81" s="789"/>
      <c r="AT81" s="790"/>
      <c r="AU81" s="366">
        <f>AR81*(1+$AW$71)</f>
        <v>64.074742635385135</v>
      </c>
      <c r="AV81" s="789"/>
      <c r="AW81" s="790"/>
      <c r="AX81" s="366">
        <f>AU81*(1+$AZ$71)</f>
        <v>68.412602711800716</v>
      </c>
      <c r="AY81" s="789"/>
      <c r="AZ81" s="790"/>
      <c r="BA81" s="366">
        <f>AX81*(1+$BC$71)</f>
        <v>72.346327367729259</v>
      </c>
      <c r="BB81" s="789"/>
      <c r="BC81" s="790"/>
      <c r="BD81" s="366">
        <f>BA81*(1+$BC$71)</f>
        <v>76.506241191373704</v>
      </c>
      <c r="BE81" s="789"/>
      <c r="BF81" s="790"/>
      <c r="BG81" s="366">
        <f>BD81*(1+$BC$71)</f>
        <v>80.905350059877705</v>
      </c>
      <c r="BH81" s="789"/>
      <c r="BI81" s="790"/>
    </row>
    <row r="82" spans="1:61">
      <c r="A82" s="170"/>
      <c r="B82" s="170"/>
      <c r="C82" s="170"/>
      <c r="D82" s="170"/>
      <c r="E82" s="170"/>
      <c r="F82" s="170"/>
      <c r="G82" s="170"/>
      <c r="H82" s="170"/>
      <c r="I82" s="170"/>
      <c r="J82" s="170"/>
      <c r="K82" s="170"/>
      <c r="L82" s="170"/>
      <c r="M82" s="170"/>
      <c r="N82" s="170"/>
      <c r="O82" s="170"/>
      <c r="P82" s="170"/>
      <c r="Q82" s="170"/>
      <c r="Z82" s="811"/>
      <c r="AA82" s="811"/>
      <c r="AD82" s="811"/>
      <c r="AE82" s="811"/>
      <c r="AG82" s="811"/>
      <c r="AH82" s="811"/>
      <c r="AJ82" s="811"/>
      <c r="AK82" s="811"/>
    </row>
    <row r="83" spans="1:61" ht="83.25" customHeight="1">
      <c r="A83" s="170"/>
      <c r="B83" s="170"/>
      <c r="C83" s="170"/>
      <c r="D83" s="170"/>
      <c r="E83" s="170"/>
      <c r="F83" s="170"/>
      <c r="G83" s="170"/>
      <c r="H83" s="170"/>
      <c r="I83" s="170"/>
      <c r="J83" s="170"/>
      <c r="K83" s="170"/>
      <c r="L83" s="170"/>
      <c r="M83" s="170"/>
      <c r="N83" s="170"/>
      <c r="O83" s="170"/>
      <c r="P83" s="170"/>
      <c r="Q83" s="170"/>
      <c r="Z83" s="809" t="s">
        <v>143</v>
      </c>
      <c r="AA83" s="809"/>
      <c r="AD83" s="809" t="s">
        <v>144</v>
      </c>
      <c r="AE83" s="809"/>
      <c r="AG83" s="273" t="s">
        <v>185</v>
      </c>
      <c r="AJ83" s="273" t="s">
        <v>185</v>
      </c>
    </row>
    <row r="84" spans="1:61">
      <c r="A84" s="170"/>
      <c r="B84" s="170"/>
      <c r="C84" s="170"/>
      <c r="D84" s="170"/>
      <c r="E84" s="170"/>
      <c r="F84" s="170"/>
      <c r="G84" s="170"/>
      <c r="H84" s="170"/>
      <c r="I84" s="170"/>
      <c r="J84" s="170"/>
      <c r="K84" s="170"/>
      <c r="L84" s="170"/>
      <c r="M84" s="170"/>
      <c r="N84" s="170"/>
      <c r="O84" s="170"/>
      <c r="P84" s="170"/>
      <c r="Q84" s="170"/>
      <c r="AD84" s="809"/>
      <c r="AE84" s="809"/>
    </row>
    <row r="85" spans="1:61">
      <c r="A85" s="170"/>
      <c r="B85" s="170"/>
      <c r="C85" s="170"/>
      <c r="D85" s="170"/>
      <c r="E85" s="170"/>
      <c r="F85" s="170"/>
      <c r="G85" s="170"/>
      <c r="H85" s="170"/>
      <c r="I85" s="170"/>
      <c r="J85" s="170"/>
      <c r="K85" s="170"/>
      <c r="L85" s="170"/>
      <c r="M85" s="170"/>
      <c r="N85" s="170"/>
      <c r="O85" s="170"/>
      <c r="P85" s="170"/>
      <c r="Q85" s="170"/>
      <c r="AD85" s="809"/>
      <c r="AE85" s="809"/>
    </row>
    <row r="86" spans="1:61">
      <c r="A86" s="170"/>
      <c r="B86" s="170"/>
      <c r="C86" s="170"/>
      <c r="D86" s="170"/>
      <c r="E86" s="170"/>
      <c r="F86" s="170"/>
      <c r="G86" s="170"/>
      <c r="H86" s="170"/>
      <c r="I86" s="170"/>
      <c r="J86" s="170"/>
      <c r="K86" s="170"/>
      <c r="L86" s="170"/>
      <c r="M86" s="170"/>
      <c r="N86" s="170"/>
      <c r="O86" s="170"/>
      <c r="P86" s="170"/>
      <c r="Q86" s="170"/>
      <c r="AD86" s="809"/>
      <c r="AE86" s="809"/>
    </row>
    <row r="87" spans="1:61">
      <c r="A87" s="170"/>
      <c r="B87" s="170"/>
      <c r="C87" s="170"/>
      <c r="D87" s="170"/>
      <c r="E87" s="170"/>
      <c r="F87" s="170"/>
      <c r="G87" s="170"/>
      <c r="H87" s="170"/>
      <c r="I87" s="170"/>
      <c r="J87" s="170"/>
      <c r="K87" s="170"/>
      <c r="L87" s="170"/>
      <c r="M87" s="170"/>
      <c r="N87" s="170"/>
      <c r="O87" s="170"/>
      <c r="P87" s="170"/>
      <c r="Q87" s="170"/>
      <c r="AD87" s="809"/>
      <c r="AE87" s="809"/>
    </row>
    <row r="88" spans="1:61">
      <c r="A88" s="170"/>
      <c r="B88" s="170"/>
      <c r="C88" s="170"/>
      <c r="D88" s="170"/>
      <c r="E88" s="170"/>
      <c r="F88" s="170"/>
      <c r="G88" s="170"/>
      <c r="H88" s="170"/>
      <c r="I88" s="170"/>
      <c r="J88" s="170"/>
      <c r="K88" s="170"/>
      <c r="L88" s="170"/>
      <c r="M88" s="170"/>
      <c r="N88" s="170"/>
      <c r="O88" s="170"/>
      <c r="P88" s="170"/>
      <c r="Q88" s="170"/>
      <c r="AD88" s="809"/>
      <c r="AE88" s="809"/>
    </row>
    <row r="89" spans="1:61">
      <c r="A89" s="170"/>
      <c r="B89" s="170"/>
      <c r="C89" s="170"/>
      <c r="D89" s="170"/>
      <c r="E89" s="170"/>
      <c r="F89" s="170"/>
      <c r="G89" s="170"/>
      <c r="H89" s="170"/>
      <c r="I89" s="170"/>
      <c r="J89" s="170"/>
      <c r="K89" s="170"/>
      <c r="L89" s="170"/>
      <c r="M89" s="170"/>
      <c r="N89" s="170"/>
      <c r="O89" s="170"/>
      <c r="P89" s="170"/>
      <c r="Q89" s="170"/>
      <c r="AD89" s="809"/>
      <c r="AE89" s="809"/>
    </row>
    <row r="90" spans="1:61">
      <c r="A90" s="170"/>
      <c r="B90" s="170"/>
      <c r="C90" s="170"/>
      <c r="D90" s="170"/>
      <c r="E90" s="170"/>
      <c r="F90" s="170"/>
      <c r="G90" s="170"/>
      <c r="H90" s="170"/>
      <c r="I90" s="170"/>
      <c r="J90" s="170"/>
      <c r="K90" s="170"/>
      <c r="L90" s="170"/>
      <c r="M90" s="170"/>
      <c r="N90" s="170"/>
      <c r="O90" s="170"/>
      <c r="P90" s="170"/>
      <c r="Q90" s="170"/>
      <c r="AD90" s="170" t="s">
        <v>145</v>
      </c>
      <c r="AG90" s="171" t="s">
        <v>186</v>
      </c>
      <c r="AJ90" s="171" t="s">
        <v>186</v>
      </c>
    </row>
    <row r="91" spans="1:61">
      <c r="A91" s="170"/>
      <c r="B91" s="170"/>
      <c r="C91" s="170"/>
      <c r="D91" s="170"/>
      <c r="E91" s="170"/>
      <c r="F91" s="170"/>
      <c r="G91" s="170"/>
      <c r="H91" s="170"/>
      <c r="I91" s="170"/>
      <c r="J91" s="170"/>
      <c r="K91" s="170"/>
      <c r="L91" s="170"/>
      <c r="M91" s="170"/>
      <c r="N91" s="170"/>
      <c r="O91" s="170"/>
      <c r="P91" s="170"/>
      <c r="Q91" s="170"/>
    </row>
    <row r="92" spans="1:61">
      <c r="A92" s="170"/>
      <c r="B92" s="170"/>
      <c r="C92" s="170"/>
      <c r="D92" s="170"/>
      <c r="E92" s="170"/>
      <c r="F92" s="170"/>
      <c r="G92" s="170"/>
      <c r="H92" s="170"/>
      <c r="I92" s="170"/>
      <c r="J92" s="170"/>
      <c r="K92" s="170"/>
      <c r="L92" s="170"/>
      <c r="M92" s="170"/>
      <c r="N92" s="170"/>
      <c r="O92" s="170"/>
      <c r="P92" s="170"/>
      <c r="Q92" s="170"/>
    </row>
    <row r="93" spans="1:61">
      <c r="A93" s="170"/>
      <c r="B93" s="170"/>
      <c r="C93" s="170"/>
      <c r="D93" s="170"/>
      <c r="E93" s="170"/>
      <c r="F93" s="170"/>
      <c r="G93" s="170"/>
      <c r="H93" s="170"/>
      <c r="I93" s="170"/>
      <c r="J93" s="170"/>
      <c r="K93" s="170"/>
      <c r="L93" s="170"/>
      <c r="M93" s="170"/>
      <c r="N93" s="170"/>
      <c r="O93" s="170"/>
      <c r="P93" s="170"/>
      <c r="Q93" s="170"/>
    </row>
    <row r="94" spans="1:61">
      <c r="A94" s="170"/>
      <c r="B94" s="170"/>
      <c r="C94" s="170"/>
      <c r="D94" s="170"/>
      <c r="E94" s="170"/>
      <c r="F94" s="170"/>
      <c r="G94" s="170"/>
      <c r="H94" s="170"/>
      <c r="I94" s="170"/>
      <c r="J94" s="170"/>
      <c r="K94" s="170"/>
      <c r="L94" s="170"/>
      <c r="M94" s="170"/>
      <c r="N94" s="170"/>
      <c r="O94" s="170"/>
      <c r="P94" s="170"/>
      <c r="Q94" s="170"/>
    </row>
    <row r="95" spans="1:61">
      <c r="A95" s="170"/>
      <c r="B95" s="170"/>
      <c r="C95" s="170"/>
      <c r="D95" s="170"/>
      <c r="E95" s="170"/>
      <c r="F95" s="170"/>
      <c r="G95" s="170"/>
      <c r="H95" s="170"/>
      <c r="I95" s="170"/>
      <c r="J95" s="170"/>
      <c r="K95" s="170"/>
      <c r="L95" s="170"/>
      <c r="M95" s="170"/>
      <c r="N95" s="170"/>
      <c r="O95" s="170"/>
      <c r="P95" s="170"/>
      <c r="Q95" s="170"/>
    </row>
    <row r="96" spans="1:61">
      <c r="A96" s="170"/>
      <c r="B96" s="170"/>
      <c r="C96" s="170"/>
      <c r="D96" s="170"/>
      <c r="E96" s="170"/>
      <c r="F96" s="170"/>
      <c r="G96" s="170"/>
      <c r="H96" s="170"/>
      <c r="I96" s="170"/>
      <c r="J96" s="170"/>
      <c r="K96" s="170"/>
      <c r="L96" s="170"/>
      <c r="M96" s="170"/>
      <c r="N96" s="170"/>
      <c r="O96" s="170"/>
      <c r="P96" s="170"/>
      <c r="Q96" s="170"/>
    </row>
    <row r="97" spans="1:236">
      <c r="A97" s="170"/>
      <c r="B97" s="170"/>
      <c r="C97" s="170"/>
      <c r="D97" s="170"/>
      <c r="E97" s="170"/>
      <c r="F97" s="170"/>
      <c r="G97" s="170"/>
      <c r="H97" s="170"/>
      <c r="I97" s="170"/>
      <c r="J97" s="170"/>
      <c r="K97" s="170"/>
      <c r="L97" s="170"/>
      <c r="M97" s="170"/>
      <c r="N97" s="170"/>
      <c r="O97" s="170"/>
      <c r="P97" s="170"/>
      <c r="Q97" s="170"/>
    </row>
    <row r="98" spans="1:236">
      <c r="A98" s="170"/>
      <c r="B98" s="170"/>
      <c r="C98" s="170"/>
      <c r="D98" s="170"/>
      <c r="E98" s="170"/>
      <c r="F98" s="170"/>
      <c r="G98" s="170"/>
      <c r="H98" s="170"/>
      <c r="I98" s="170"/>
      <c r="J98" s="170"/>
      <c r="K98" s="170"/>
      <c r="L98" s="170"/>
      <c r="M98" s="170"/>
      <c r="N98" s="170"/>
      <c r="O98" s="170"/>
      <c r="P98" s="170"/>
      <c r="Q98" s="170"/>
    </row>
    <row r="99" spans="1:236">
      <c r="A99" s="170"/>
      <c r="B99" s="170"/>
      <c r="C99" s="170"/>
      <c r="D99" s="170"/>
      <c r="E99" s="170"/>
      <c r="F99" s="170"/>
      <c r="G99" s="170"/>
      <c r="H99" s="170"/>
      <c r="I99" s="170"/>
      <c r="J99" s="170"/>
      <c r="K99" s="170"/>
      <c r="L99" s="170"/>
      <c r="M99" s="170"/>
      <c r="N99" s="170"/>
      <c r="O99" s="170"/>
      <c r="P99" s="170"/>
      <c r="Q99" s="170"/>
    </row>
    <row r="100" spans="1:236">
      <c r="A100" s="170"/>
      <c r="B100" s="170"/>
      <c r="C100" s="170"/>
      <c r="D100" s="170"/>
      <c r="E100" s="170"/>
      <c r="F100" s="170"/>
      <c r="G100" s="170"/>
      <c r="H100" s="170"/>
      <c r="I100" s="170"/>
      <c r="J100" s="170"/>
      <c r="K100" s="170"/>
      <c r="L100" s="170"/>
      <c r="M100" s="170"/>
      <c r="N100" s="170"/>
      <c r="O100" s="170"/>
      <c r="P100" s="170"/>
      <c r="Q100" s="170"/>
    </row>
    <row r="101" spans="1:236">
      <c r="A101" s="170"/>
      <c r="B101" s="170"/>
      <c r="C101" s="170"/>
      <c r="D101" s="170"/>
      <c r="E101" s="170"/>
      <c r="F101" s="170"/>
      <c r="G101" s="170"/>
      <c r="H101" s="170"/>
      <c r="I101" s="170"/>
      <c r="J101" s="170"/>
      <c r="K101" s="170"/>
      <c r="L101" s="170"/>
      <c r="M101" s="170"/>
      <c r="N101" s="170"/>
      <c r="O101" s="170"/>
      <c r="P101" s="170"/>
      <c r="Q101" s="170"/>
    </row>
    <row r="102" spans="1:236">
      <c r="A102" s="170"/>
      <c r="B102" s="170"/>
      <c r="C102" s="170"/>
      <c r="D102" s="170"/>
      <c r="E102" s="170"/>
      <c r="F102" s="170"/>
      <c r="G102" s="170"/>
      <c r="H102" s="170"/>
      <c r="I102" s="170"/>
      <c r="J102" s="170"/>
      <c r="K102" s="170"/>
      <c r="L102" s="170"/>
      <c r="M102" s="170"/>
      <c r="N102" s="170"/>
      <c r="O102" s="170"/>
      <c r="P102" s="170"/>
      <c r="Q102" s="170"/>
    </row>
    <row r="103" spans="1:236" s="117" customFormat="1" ht="13.8">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row>
    <row r="104" spans="1:236" s="117" customFormat="1" ht="13.8">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row>
    <row r="105" spans="1:236" s="117" customFormat="1" ht="13.8">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row>
    <row r="106" spans="1:236" s="117" customFormat="1" ht="13.8">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row>
    <row r="107" spans="1:236" s="117" customFormat="1" ht="13.8">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row>
    <row r="108" spans="1:236" s="117" customFormat="1" ht="13.8">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row>
    <row r="109" spans="1:236" s="117" customFormat="1" ht="13.8">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row>
    <row r="110" spans="1:236" s="117" customFormat="1" ht="13.8">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row>
    <row r="111" spans="1:236" s="117" customFormat="1" ht="13.8">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row>
    <row r="112" spans="1:236" s="117" customFormat="1" ht="13.8">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row>
    <row r="113" spans="1:236" s="117" customFormat="1" ht="13.8">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row>
    <row r="114" spans="1:236" s="117" customFormat="1" ht="13.8">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row>
    <row r="115" spans="1:236" s="117" customFormat="1" ht="13.8">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row>
    <row r="116" spans="1:236" s="117" customFormat="1" ht="13.8">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row>
    <row r="117" spans="1:236" s="117" customFormat="1" ht="13.8">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row>
    <row r="118" spans="1:236" s="117" customFormat="1" ht="13.8">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row>
    <row r="119" spans="1:236" s="117" customFormat="1" ht="13.8">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row>
    <row r="120" spans="1:236" s="117" customFormat="1" ht="13.8">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row>
    <row r="121" spans="1:236" s="117" customFormat="1" ht="13.8">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row>
    <row r="122" spans="1:236" s="117" customFormat="1" ht="13.8">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row>
    <row r="123" spans="1:236" s="117" customFormat="1" ht="13.8">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row>
    <row r="124" spans="1:236" s="117" customFormat="1" ht="13.8">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row>
    <row r="125" spans="1:236" s="117" customFormat="1" ht="13.8">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row>
    <row r="126" spans="1:236" s="117" customFormat="1" ht="13.8">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row>
    <row r="127" spans="1:236" s="117" customFormat="1" ht="13.8">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row>
    <row r="128" spans="1:236" s="117" customFormat="1" ht="13.8">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row>
    <row r="129" spans="1:236" s="117" customFormat="1" ht="13.8">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row>
    <row r="130" spans="1:236" s="117" customFormat="1" ht="13.8">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row>
    <row r="131" spans="1:236" s="117" customFormat="1" ht="13.8">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row>
    <row r="132" spans="1:236" s="117" customFormat="1" ht="13.8">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row>
    <row r="133" spans="1:236" s="117" customFormat="1" ht="13.8">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row>
    <row r="134" spans="1:236" s="117" customFormat="1" ht="13.8">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row>
    <row r="135" spans="1:236" s="117" customFormat="1" ht="13.8">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row>
    <row r="136" spans="1:236" s="117" customFormat="1" ht="13.8">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row>
    <row r="137" spans="1:236" s="117" customFormat="1" ht="13.8">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row>
    <row r="138" spans="1:236" s="117" customFormat="1" ht="13.8">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row>
    <row r="139" spans="1:236" s="117" customFormat="1" ht="13.8">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row>
    <row r="140" spans="1:236" s="117" customFormat="1" ht="13.8">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row>
    <row r="141" spans="1:236" s="117" customFormat="1" ht="13.8">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row>
    <row r="142" spans="1:236" s="117" customFormat="1" ht="13.8">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row>
    <row r="143" spans="1:236" s="117" customFormat="1" ht="13.8">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row>
    <row r="144" spans="1:236" s="117" customFormat="1" ht="13.8">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row>
    <row r="145" spans="1:236" s="117" customFormat="1" ht="13.8">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row>
    <row r="146" spans="1:236" s="117" customFormat="1" ht="13.8">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row>
    <row r="147" spans="1:236" s="117" customFormat="1" ht="13.8">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row>
    <row r="148" spans="1:236" s="117" customFormat="1" ht="13.8">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row>
    <row r="149" spans="1:236" s="117" customFormat="1" ht="13.8">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row>
    <row r="150" spans="1:236" s="117" customFormat="1" ht="13.8">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row>
    <row r="151" spans="1:236" s="117" customFormat="1" ht="13.8">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row>
    <row r="152" spans="1:236" s="117" customFormat="1" ht="13.8">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row>
    <row r="153" spans="1:236" s="117" customFormat="1" ht="13.8">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row>
    <row r="154" spans="1:236" s="117" customFormat="1" ht="13.8">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row>
    <row r="155" spans="1:236" s="117" customFormat="1" ht="13.8">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row>
    <row r="156" spans="1:236" s="117" customFormat="1" ht="13.8">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row>
    <row r="157" spans="1:236" s="117" customFormat="1" ht="13.8">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row>
    <row r="158" spans="1:236" s="117" customFormat="1" ht="13.8">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row>
    <row r="159" spans="1:236" s="117" customFormat="1" ht="13.8">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row>
    <row r="160" spans="1:236" s="117" customFormat="1" ht="13.8">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row>
    <row r="161" spans="1:236" s="117" customFormat="1" ht="13.8">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row>
    <row r="162" spans="1:236" s="117" customFormat="1" ht="13.8">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row>
    <row r="163" spans="1:236" s="117" customFormat="1" ht="13.8">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row>
    <row r="164" spans="1:236" s="117" customFormat="1" ht="13.8">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row>
    <row r="165" spans="1:236" s="117" customFormat="1" ht="13.8">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row>
    <row r="166" spans="1:236" s="117" customFormat="1" ht="13.8">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row>
    <row r="167" spans="1:236" s="117" customFormat="1" ht="13.8">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row>
    <row r="168" spans="1:236" s="117" customFormat="1" ht="13.8">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row>
    <row r="169" spans="1:236" s="117" customFormat="1" ht="13.8">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row>
    <row r="170" spans="1:236" s="117" customFormat="1" ht="13.8">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row>
    <row r="171" spans="1:236" s="117" customFormat="1" ht="13.8">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row>
    <row r="172" spans="1:236" s="117" customFormat="1" ht="13.8">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row>
    <row r="173" spans="1:236" s="117" customFormat="1" ht="13.8">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row>
    <row r="174" spans="1:236">
      <c r="A174" s="170"/>
      <c r="B174" s="170"/>
      <c r="C174" s="170"/>
      <c r="D174" s="170"/>
      <c r="E174" s="170"/>
      <c r="F174" s="170"/>
      <c r="G174" s="170"/>
      <c r="H174" s="170"/>
      <c r="I174" s="170"/>
      <c r="J174" s="170"/>
      <c r="K174" s="170"/>
      <c r="L174" s="170"/>
      <c r="M174" s="170"/>
      <c r="N174" s="170"/>
      <c r="O174" s="170"/>
      <c r="P174" s="170"/>
      <c r="Q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row>
    <row r="175" spans="1:236">
      <c r="A175" s="170"/>
      <c r="B175" s="170"/>
      <c r="C175" s="170"/>
      <c r="D175" s="170"/>
      <c r="E175" s="170"/>
      <c r="F175" s="170"/>
      <c r="G175" s="170"/>
      <c r="H175" s="170"/>
      <c r="I175" s="170"/>
      <c r="J175" s="170"/>
      <c r="K175" s="170"/>
      <c r="L175" s="170"/>
      <c r="M175" s="170"/>
      <c r="N175" s="170"/>
      <c r="O175" s="170"/>
      <c r="P175" s="170"/>
      <c r="Q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row>
    <row r="176" spans="1:236">
      <c r="A176" s="170"/>
      <c r="B176" s="170"/>
      <c r="C176" s="170"/>
      <c r="D176" s="170"/>
      <c r="E176" s="170"/>
      <c r="F176" s="170"/>
      <c r="G176" s="170"/>
      <c r="H176" s="170"/>
      <c r="I176" s="170"/>
      <c r="J176" s="170"/>
      <c r="K176" s="170"/>
      <c r="L176" s="170"/>
      <c r="M176" s="170"/>
      <c r="N176" s="170"/>
      <c r="O176" s="170"/>
      <c r="P176" s="170"/>
      <c r="Q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row>
    <row r="177" spans="1:236">
      <c r="A177" s="170"/>
      <c r="B177" s="170"/>
      <c r="C177" s="170"/>
      <c r="D177" s="170"/>
      <c r="E177" s="170"/>
      <c r="F177" s="170"/>
      <c r="G177" s="170"/>
      <c r="H177" s="170"/>
      <c r="I177" s="170"/>
      <c r="J177" s="170"/>
      <c r="K177" s="170"/>
      <c r="L177" s="170"/>
      <c r="M177" s="170"/>
      <c r="N177" s="170"/>
      <c r="O177" s="170"/>
      <c r="P177" s="170"/>
      <c r="Q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row>
    <row r="178" spans="1:236">
      <c r="A178" s="170"/>
      <c r="B178" s="170"/>
      <c r="C178" s="170"/>
      <c r="D178" s="170"/>
      <c r="E178" s="170"/>
      <c r="F178" s="170"/>
      <c r="G178" s="170"/>
      <c r="H178" s="170"/>
      <c r="I178" s="170"/>
      <c r="J178" s="170"/>
      <c r="K178" s="170"/>
      <c r="L178" s="170"/>
      <c r="M178" s="170"/>
      <c r="N178" s="170"/>
      <c r="O178" s="170"/>
      <c r="P178" s="170"/>
      <c r="Q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31"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AL113"/>
  <sheetViews>
    <sheetView showGridLines="0" zoomScale="55" zoomScaleNormal="55" workbookViewId="0">
      <selection activeCell="P73" sqref="P73"/>
    </sheetView>
  </sheetViews>
  <sheetFormatPr baseColWidth="10" defaultRowHeight="13.2"/>
  <cols>
    <col min="12" max="12" width="34.77734375" customWidth="1"/>
    <col min="20" max="20" width="19.109375" customWidth="1"/>
  </cols>
  <sheetData>
    <row r="4" spans="12:38">
      <c r="L4" s="562" t="s">
        <v>599</v>
      </c>
    </row>
    <row r="13" spans="12:38">
      <c r="V13" s="568">
        <v>2022</v>
      </c>
      <c r="AD13">
        <v>2021</v>
      </c>
      <c r="AL13">
        <v>2020</v>
      </c>
    </row>
    <row r="31" spans="12:17" ht="18" customHeight="1">
      <c r="M31" s="566">
        <v>2017</v>
      </c>
      <c r="N31" s="566">
        <v>2018</v>
      </c>
      <c r="O31" s="566">
        <v>2019</v>
      </c>
      <c r="P31" s="566">
        <v>2020</v>
      </c>
      <c r="Q31" s="566">
        <v>2021</v>
      </c>
    </row>
    <row r="32" spans="12:17" ht="15" customHeight="1">
      <c r="L32" s="565" t="s">
        <v>600</v>
      </c>
      <c r="M32" s="567">
        <v>4.0899999999999999E-2</v>
      </c>
      <c r="N32" s="567">
        <v>3.1800000000000002E-2</v>
      </c>
      <c r="O32" s="567">
        <v>3.7999999999999999E-2</v>
      </c>
      <c r="P32" s="567">
        <v>1.61E-2</v>
      </c>
      <c r="Q32" s="567">
        <v>5.62E-2</v>
      </c>
    </row>
    <row r="34" spans="12:18">
      <c r="L34" s="569" t="s">
        <v>612</v>
      </c>
      <c r="M34" s="570"/>
      <c r="N34" s="570"/>
      <c r="O34" s="570"/>
      <c r="P34" s="570"/>
      <c r="Q34" s="603" t="s">
        <v>620</v>
      </c>
    </row>
    <row r="35" spans="12:18">
      <c r="L35" s="568"/>
    </row>
    <row r="36" spans="12:18">
      <c r="L36" s="822"/>
      <c r="M36" s="822"/>
      <c r="N36" s="821" t="s">
        <v>604</v>
      </c>
      <c r="O36" s="821"/>
      <c r="P36" s="821"/>
    </row>
    <row r="37" spans="12:18" ht="14.25" customHeight="1">
      <c r="L37" s="572" t="s">
        <v>606</v>
      </c>
      <c r="M37" s="578" t="s">
        <v>605</v>
      </c>
      <c r="N37" s="578">
        <v>2018</v>
      </c>
      <c r="O37" s="578">
        <v>2019</v>
      </c>
      <c r="P37" s="578">
        <v>2020</v>
      </c>
      <c r="Q37" s="578">
        <v>2021</v>
      </c>
      <c r="R37" s="578">
        <v>2022</v>
      </c>
    </row>
    <row r="38" spans="12:18" ht="13.8" customHeight="1">
      <c r="L38" s="573" t="s">
        <v>601</v>
      </c>
      <c r="M38" s="579">
        <v>490</v>
      </c>
      <c r="N38" s="577">
        <f>+M38*(1+$M$32)</f>
        <v>510.041</v>
      </c>
      <c r="O38" s="577">
        <f>+N38*(1+$N$32)</f>
        <v>526.26030379999997</v>
      </c>
      <c r="P38" s="614">
        <f>+O38*(1+$O$32)</f>
        <v>546.25819534439995</v>
      </c>
      <c r="Q38" s="722">
        <f t="shared" ref="Q38:Q43" si="0">+P38*(1+$P$32)</f>
        <v>555.05295228944476</v>
      </c>
      <c r="R38" s="710">
        <f t="shared" ref="R38:R42" si="1">+Q38*(1+$Q$32)</f>
        <v>586.24692820811163</v>
      </c>
    </row>
    <row r="39" spans="12:18" ht="13.8" customHeight="1">
      <c r="L39" s="573" t="s">
        <v>602</v>
      </c>
      <c r="M39" s="579">
        <v>930</v>
      </c>
      <c r="N39" s="577">
        <f>+M39*(1+$M$32)</f>
        <v>968.03699999999992</v>
      </c>
      <c r="O39" s="577">
        <f>+N39*(1+$N$32)</f>
        <v>998.82057659999998</v>
      </c>
      <c r="P39" s="614">
        <f>+O39*(1+$O$32)</f>
        <v>1036.7757585108</v>
      </c>
      <c r="Q39" s="722">
        <f t="shared" si="0"/>
        <v>1053.4678482228239</v>
      </c>
      <c r="R39" s="710">
        <f t="shared" si="1"/>
        <v>1112.6727412929467</v>
      </c>
    </row>
    <row r="40" spans="12:18" ht="13.8" customHeight="1">
      <c r="L40" s="573" t="s">
        <v>18</v>
      </c>
      <c r="M40" s="579">
        <v>469</v>
      </c>
      <c r="N40" s="577">
        <f>+M40*(1+$M$32)</f>
        <v>488.18209999999999</v>
      </c>
      <c r="O40" s="577">
        <f>+N40*(1+$N$32)</f>
        <v>503.70629078000002</v>
      </c>
      <c r="P40" s="614">
        <f>+O40*(1+$O$32)</f>
        <v>522.84712982964004</v>
      </c>
      <c r="Q40" s="722">
        <v>531.27</v>
      </c>
      <c r="R40" s="710">
        <v>561.12</v>
      </c>
    </row>
    <row r="41" spans="12:18" ht="13.8" customHeight="1">
      <c r="L41" s="573" t="s">
        <v>603</v>
      </c>
      <c r="M41" s="579">
        <v>490</v>
      </c>
      <c r="N41" s="577">
        <f>+M41*(1+$M$32)</f>
        <v>510.041</v>
      </c>
      <c r="O41" s="577">
        <f>+N41*(1+$N$32)</f>
        <v>526.26030379999997</v>
      </c>
      <c r="P41" s="614">
        <f>+O41*(1+$O$32)</f>
        <v>546.25819534439995</v>
      </c>
      <c r="Q41" s="722">
        <f t="shared" si="0"/>
        <v>555.05295228944476</v>
      </c>
      <c r="R41" s="710">
        <f t="shared" si="1"/>
        <v>586.24692820811163</v>
      </c>
    </row>
    <row r="42" spans="12:18" ht="13.8" customHeight="1">
      <c r="L42" s="573" t="s">
        <v>301</v>
      </c>
      <c r="M42" s="579"/>
      <c r="N42" s="577">
        <v>478.42</v>
      </c>
      <c r="O42" s="577">
        <v>493.63</v>
      </c>
      <c r="P42" s="614">
        <v>512.39</v>
      </c>
      <c r="Q42" s="722">
        <f t="shared" si="0"/>
        <v>520.63947899999994</v>
      </c>
      <c r="R42" s="710">
        <f t="shared" si="1"/>
        <v>549.8994177198</v>
      </c>
    </row>
    <row r="43" spans="12:18" ht="13.8" customHeight="1">
      <c r="L43" s="574" t="s">
        <v>608</v>
      </c>
      <c r="M43" s="579"/>
      <c r="N43" s="577">
        <v>622.20000000000005</v>
      </c>
      <c r="O43" s="577">
        <v>641.99</v>
      </c>
      <c r="P43" s="614">
        <v>666.38</v>
      </c>
      <c r="Q43" s="722">
        <f t="shared" si="0"/>
        <v>677.10871799999995</v>
      </c>
      <c r="R43" s="710">
        <f>+Q43*(1+$Q$32)+0.01</f>
        <v>715.17222795160001</v>
      </c>
    </row>
    <row r="44" spans="12:18">
      <c r="O44" s="577"/>
    </row>
    <row r="45" spans="12:18">
      <c r="L45" s="612" t="s">
        <v>631</v>
      </c>
      <c r="M45" s="612"/>
      <c r="N45" s="612"/>
      <c r="O45" s="612"/>
      <c r="P45" s="613"/>
    </row>
    <row r="46" spans="12:18">
      <c r="P46" s="563"/>
    </row>
    <row r="47" spans="12:18">
      <c r="L47" s="569" t="s">
        <v>614</v>
      </c>
      <c r="M47" s="570"/>
      <c r="N47" s="570"/>
      <c r="O47" s="570"/>
      <c r="P47" s="571"/>
      <c r="Q47" s="603" t="s">
        <v>620</v>
      </c>
    </row>
    <row r="48" spans="12:18">
      <c r="P48" s="563"/>
    </row>
    <row r="49" spans="12:18">
      <c r="L49" s="582" t="s">
        <v>607</v>
      </c>
      <c r="M49" s="823" t="s">
        <v>604</v>
      </c>
      <c r="N49" s="821"/>
      <c r="O49" s="821"/>
      <c r="P49" s="821"/>
    </row>
    <row r="50" spans="12:18">
      <c r="L50" s="581" t="s">
        <v>606</v>
      </c>
      <c r="M50" s="575">
        <v>2017</v>
      </c>
      <c r="N50" s="575">
        <v>2018</v>
      </c>
      <c r="O50" s="575">
        <v>2019</v>
      </c>
      <c r="P50" s="575">
        <v>2020</v>
      </c>
      <c r="Q50" s="578">
        <v>2021</v>
      </c>
      <c r="R50" s="578">
        <v>2022</v>
      </c>
    </row>
    <row r="51" spans="12:18">
      <c r="L51" s="573" t="s">
        <v>601</v>
      </c>
      <c r="M51" s="576">
        <v>965.24</v>
      </c>
      <c r="N51" s="577">
        <f>+M51*(1+$M$32)</f>
        <v>1004.718316</v>
      </c>
      <c r="O51" s="577">
        <f>+N51*(1+$N$32)</f>
        <v>1036.6683584488001</v>
      </c>
      <c r="P51" s="577">
        <f>+O51*(1+$O$32)</f>
        <v>1076.0617560698545</v>
      </c>
      <c r="Q51" s="722">
        <v>1093.3800000000001</v>
      </c>
      <c r="R51" s="710">
        <v>1154.83</v>
      </c>
    </row>
    <row r="52" spans="12:18">
      <c r="L52" s="574" t="s">
        <v>602</v>
      </c>
      <c r="M52" s="576">
        <v>1021.31</v>
      </c>
      <c r="N52" s="596">
        <f>+M52*(1+$M$32)</f>
        <v>1063.0815789999999</v>
      </c>
      <c r="O52" s="577">
        <f>+N52*(1+$N$32)</f>
        <v>1096.8875732121999</v>
      </c>
      <c r="P52" s="577">
        <f>+O52*(1+$O$32)</f>
        <v>1138.5693009942636</v>
      </c>
      <c r="Q52" s="722">
        <f>+P52*(1+$P$32)</f>
        <v>1156.9002667402713</v>
      </c>
      <c r="R52" s="710">
        <v>1221.92</v>
      </c>
    </row>
    <row r="53" spans="12:18">
      <c r="L53" s="574" t="s">
        <v>18</v>
      </c>
      <c r="M53" s="576">
        <v>639.51</v>
      </c>
      <c r="N53" s="577">
        <f>+M53*(1+$M$32)</f>
        <v>665.66595899999993</v>
      </c>
      <c r="O53" s="577">
        <f>+N53*(1+$N$32)+0.006</f>
        <v>686.84013649619999</v>
      </c>
      <c r="P53" s="577">
        <f>+O53*(1+$O$32)</f>
        <v>712.94006168305566</v>
      </c>
      <c r="Q53" s="722">
        <f>+P53*(1+$P$32)</f>
        <v>724.41839667615284</v>
      </c>
      <c r="R53" s="710">
        <v>765.13</v>
      </c>
    </row>
    <row r="55" spans="12:18">
      <c r="L55" s="612" t="s">
        <v>631</v>
      </c>
      <c r="M55" s="612"/>
      <c r="N55" s="612"/>
      <c r="O55" s="612"/>
      <c r="P55" s="613"/>
    </row>
    <row r="56" spans="12:18">
      <c r="L56" s="563"/>
    </row>
    <row r="58" spans="12:18">
      <c r="L58" s="569" t="s">
        <v>613</v>
      </c>
      <c r="M58" s="570"/>
      <c r="N58" s="570"/>
      <c r="O58" s="570"/>
      <c r="P58" s="570"/>
      <c r="Q58" s="603" t="s">
        <v>629</v>
      </c>
    </row>
    <row r="59" spans="12:18">
      <c r="L59" s="568"/>
    </row>
    <row r="60" spans="12:18">
      <c r="M60" s="819" t="s">
        <v>604</v>
      </c>
      <c r="N60" s="819"/>
      <c r="O60" s="819"/>
      <c r="P60" s="820"/>
    </row>
    <row r="61" spans="12:18">
      <c r="N61" s="583"/>
      <c r="O61" s="584"/>
      <c r="P61" s="580"/>
    </row>
    <row r="62" spans="12:18">
      <c r="L62" s="572" t="s">
        <v>606</v>
      </c>
      <c r="M62" s="594">
        <v>2017</v>
      </c>
      <c r="N62" s="595">
        <v>2018</v>
      </c>
      <c r="O62" s="595">
        <v>2019</v>
      </c>
      <c r="P62" s="595">
        <v>2020</v>
      </c>
      <c r="Q62" s="578">
        <v>2021</v>
      </c>
      <c r="R62" s="578">
        <v>2022</v>
      </c>
    </row>
    <row r="63" spans="12:18">
      <c r="L63" s="573" t="s">
        <v>610</v>
      </c>
      <c r="M63" s="587">
        <v>29</v>
      </c>
      <c r="N63" s="588">
        <v>30</v>
      </c>
      <c r="O63" s="589">
        <v>32</v>
      </c>
      <c r="P63" s="589">
        <v>33</v>
      </c>
      <c r="Q63" s="589">
        <v>34</v>
      </c>
      <c r="R63" s="589">
        <v>36</v>
      </c>
    </row>
    <row r="64" spans="12:18">
      <c r="L64" s="573" t="s">
        <v>611</v>
      </c>
      <c r="M64" s="587">
        <v>95</v>
      </c>
      <c r="N64" s="588">
        <v>100</v>
      </c>
      <c r="O64" s="589">
        <v>104</v>
      </c>
      <c r="P64" s="589">
        <v>109</v>
      </c>
      <c r="Q64" s="589">
        <v>112</v>
      </c>
      <c r="R64" s="589">
        <v>119</v>
      </c>
    </row>
    <row r="65" spans="12:18">
      <c r="L65" s="573" t="s">
        <v>601</v>
      </c>
      <c r="M65" s="590">
        <v>135</v>
      </c>
      <c r="N65" s="591">
        <v>142</v>
      </c>
      <c r="O65" s="592">
        <v>148</v>
      </c>
      <c r="P65" s="593">
        <v>155</v>
      </c>
      <c r="Q65" s="593">
        <v>159</v>
      </c>
      <c r="R65" s="593">
        <v>169</v>
      </c>
    </row>
    <row r="66" spans="12:18">
      <c r="L66" s="573" t="s">
        <v>609</v>
      </c>
      <c r="M66" s="587">
        <v>148</v>
      </c>
      <c r="N66" s="588">
        <v>156</v>
      </c>
      <c r="O66" s="589">
        <v>162</v>
      </c>
      <c r="P66" s="589">
        <v>170</v>
      </c>
      <c r="Q66" s="589">
        <v>174</v>
      </c>
      <c r="R66" s="589">
        <v>186</v>
      </c>
    </row>
    <row r="67" spans="12:18">
      <c r="L67" s="573" t="s">
        <v>18</v>
      </c>
      <c r="M67" s="590">
        <v>152</v>
      </c>
      <c r="N67" s="591">
        <v>160</v>
      </c>
      <c r="O67" s="592">
        <v>166</v>
      </c>
      <c r="P67" s="593">
        <v>174</v>
      </c>
      <c r="Q67" s="593">
        <v>179</v>
      </c>
      <c r="R67" s="593">
        <v>191</v>
      </c>
    </row>
    <row r="68" spans="12:18">
      <c r="L68" s="573" t="s">
        <v>287</v>
      </c>
      <c r="M68" s="587">
        <v>177</v>
      </c>
      <c r="N68" s="588">
        <v>186</v>
      </c>
      <c r="O68" s="589">
        <v>194</v>
      </c>
      <c r="P68" s="589">
        <v>203</v>
      </c>
      <c r="Q68" s="589">
        <v>208</v>
      </c>
      <c r="R68" s="589">
        <v>222</v>
      </c>
    </row>
    <row r="69" spans="12:18">
      <c r="L69" s="585" t="s">
        <v>618</v>
      </c>
      <c r="M69" s="586">
        <v>15000</v>
      </c>
      <c r="N69" s="586">
        <v>15764</v>
      </c>
      <c r="O69" s="586">
        <v>16422</v>
      </c>
      <c r="P69" s="586">
        <v>17211</v>
      </c>
      <c r="Q69" s="586">
        <v>17660</v>
      </c>
      <c r="R69" s="586">
        <v>18829</v>
      </c>
    </row>
    <row r="70" spans="12:18">
      <c r="N70" s="597">
        <f>+N69/M69</f>
        <v>1.0509333333333333</v>
      </c>
      <c r="O70" s="597">
        <f>+O69/N69</f>
        <v>1.0417406749555951</v>
      </c>
      <c r="P70" s="597">
        <f>+P69/O69</f>
        <v>1.0480453050785532</v>
      </c>
      <c r="Q70" s="597">
        <f>+Q69/P69</f>
        <v>1.0260879669978502</v>
      </c>
      <c r="R70" s="597">
        <f>+R69/Q69</f>
        <v>1.0661947904869762</v>
      </c>
    </row>
    <row r="71" spans="12:18">
      <c r="P71" s="563"/>
    </row>
    <row r="72" spans="12:18">
      <c r="L72" s="563" t="s">
        <v>615</v>
      </c>
    </row>
    <row r="73" spans="12:18">
      <c r="L73" s="564" t="s">
        <v>619</v>
      </c>
    </row>
    <row r="74" spans="12:18">
      <c r="L74" s="563" t="s">
        <v>617</v>
      </c>
    </row>
    <row r="75" spans="12:18">
      <c r="L75" s="563" t="s">
        <v>616</v>
      </c>
    </row>
    <row r="76" spans="12:18">
      <c r="L76" s="563" t="s">
        <v>676</v>
      </c>
    </row>
    <row r="79" spans="12:18">
      <c r="L79" s="569" t="s">
        <v>622</v>
      </c>
      <c r="M79" s="570"/>
      <c r="N79" s="570"/>
      <c r="O79" s="570"/>
      <c r="P79" s="570"/>
    </row>
    <row r="81" spans="12:12">
      <c r="L81" s="563" t="s">
        <v>646</v>
      </c>
    </row>
    <row r="98" spans="12:19">
      <c r="L98" s="569" t="s">
        <v>624</v>
      </c>
      <c r="M98" s="570"/>
      <c r="N98" s="570"/>
      <c r="O98" s="570"/>
      <c r="P98" s="570"/>
    </row>
    <row r="100" spans="12:19">
      <c r="L100" s="563" t="s">
        <v>625</v>
      </c>
    </row>
    <row r="103" spans="12:19">
      <c r="L103" s="572" t="s">
        <v>606</v>
      </c>
      <c r="M103" s="594">
        <v>2014</v>
      </c>
      <c r="N103" s="595">
        <v>2017</v>
      </c>
      <c r="O103" s="595">
        <v>2018</v>
      </c>
      <c r="P103" s="595">
        <v>2019</v>
      </c>
      <c r="Q103" s="575">
        <v>2020</v>
      </c>
      <c r="R103" s="575">
        <v>2021</v>
      </c>
      <c r="S103" s="575">
        <v>2022</v>
      </c>
    </row>
    <row r="104" spans="12:19">
      <c r="L104" s="573" t="s">
        <v>626</v>
      </c>
      <c r="M104" s="606">
        <v>6.82</v>
      </c>
      <c r="N104" s="588"/>
      <c r="O104" s="588"/>
      <c r="P104" s="589"/>
      <c r="Q104" s="589"/>
      <c r="R104" s="589"/>
      <c r="S104" s="711"/>
    </row>
    <row r="105" spans="12:19">
      <c r="L105" s="573" t="s">
        <v>627</v>
      </c>
      <c r="M105" s="606">
        <v>3.7</v>
      </c>
      <c r="N105" s="607"/>
      <c r="O105" s="607"/>
      <c r="P105" s="608"/>
      <c r="Q105" s="608"/>
      <c r="R105" s="608"/>
      <c r="S105" s="712"/>
    </row>
    <row r="106" spans="12:19">
      <c r="L106" s="573" t="s">
        <v>628</v>
      </c>
      <c r="M106" s="607"/>
      <c r="N106" s="607">
        <v>7.45</v>
      </c>
      <c r="O106" s="607">
        <f>7.45*(1+3%)</f>
        <v>7.6735000000000007</v>
      </c>
      <c r="P106" s="607">
        <f>+O106*(1+3%)</f>
        <v>7.9037050000000013</v>
      </c>
      <c r="Q106" s="610">
        <f>+P106*(1+3%)</f>
        <v>8.1408161500000009</v>
      </c>
      <c r="R106" s="607">
        <f>+ROUND(ROUND(Q106,2)*(1+3%),4)</f>
        <v>8.3841999999999999</v>
      </c>
      <c r="S106" s="710">
        <f>+ROUND(R106,2)*(1+3%)</f>
        <v>8.6314000000000011</v>
      </c>
    </row>
    <row r="107" spans="12:19">
      <c r="L107" s="573"/>
      <c r="M107" s="606"/>
      <c r="N107" s="607"/>
      <c r="O107" s="607"/>
      <c r="P107" s="607"/>
      <c r="Q107" s="608"/>
      <c r="R107" s="608"/>
      <c r="S107" s="712"/>
    </row>
    <row r="108" spans="12:19">
      <c r="Q108" s="609"/>
    </row>
    <row r="109" spans="12:19">
      <c r="L109" s="562" t="s">
        <v>683</v>
      </c>
      <c r="N109" s="609"/>
    </row>
    <row r="112" spans="12:19">
      <c r="L112" s="568" t="s">
        <v>633</v>
      </c>
    </row>
    <row r="113" spans="12:12">
      <c r="L113" s="627" t="s">
        <v>632</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0"/>
  <sheetViews>
    <sheetView showGridLines="0" zoomScale="80" zoomScaleNormal="80" workbookViewId="0">
      <selection activeCell="G14" sqref="G14"/>
    </sheetView>
  </sheetViews>
  <sheetFormatPr baseColWidth="10" defaultColWidth="11.21875" defaultRowHeight="13.8" outlineLevelCol="1"/>
  <cols>
    <col min="1" max="1" width="59.88671875" style="10" customWidth="1"/>
    <col min="2" max="2" width="18.88671875" style="10" customWidth="1" outlineLevel="1"/>
    <col min="3" max="4" width="18.88671875" style="10" customWidth="1"/>
    <col min="5" max="5" width="20.77734375" style="10" customWidth="1" outlineLevel="1"/>
    <col min="6" max="6" width="19.77734375" style="281" customWidth="1" outlineLevel="1"/>
    <col min="7" max="7" width="19.21875" style="10" customWidth="1"/>
    <col min="8" max="8" width="18.21875" style="281" hidden="1" customWidth="1"/>
    <col min="9" max="9" width="18.33203125" style="5" hidden="1" customWidth="1"/>
    <col min="10" max="10" width="13.21875" style="5" customWidth="1"/>
    <col min="11" max="11" width="20" style="5" customWidth="1"/>
    <col min="12" max="12" width="11.21875" style="5"/>
    <col min="13" max="13" width="14.77734375" style="5" bestFit="1" customWidth="1"/>
    <col min="14" max="16384" width="11.21875" style="5"/>
  </cols>
  <sheetData>
    <row r="1" spans="1:20">
      <c r="A1" s="619" t="s">
        <v>702</v>
      </c>
      <c r="B1" s="1"/>
      <c r="C1" s="1">
        <v>7.2405999999999997</v>
      </c>
      <c r="D1" s="3"/>
      <c r="E1" s="4"/>
      <c r="F1" s="4"/>
      <c r="G1" s="2"/>
      <c r="H1" s="2"/>
    </row>
    <row r="2" spans="1:20" s="39" customFormat="1" ht="21.75" customHeight="1">
      <c r="A2" s="829" t="str">
        <f>CONCATENATE("ESTRUCTURAS DE PRECIOS DE COMBUSTIBLES LIQUIDOS VIGENTES A PARTIR DE ",$A$1)</f>
        <v>ESTRUCTURAS DE PRECIOS DE COMBUSTIBLES LIQUIDOS VIGENTES A PARTIR DE 01 DE AGOSTO 2022</v>
      </c>
      <c r="B2" s="829"/>
      <c r="C2" s="829"/>
      <c r="D2" s="829"/>
      <c r="E2" s="829"/>
      <c r="F2" s="829"/>
      <c r="G2" s="829"/>
      <c r="H2" s="539"/>
      <c r="I2" s="540"/>
    </row>
    <row r="3" spans="1:20" s="39" customFormat="1" ht="21.75" customHeight="1">
      <c r="A3" s="285" t="s">
        <v>0</v>
      </c>
      <c r="B3" s="160"/>
      <c r="C3" s="160"/>
      <c r="D3" s="160"/>
      <c r="E3" s="160"/>
      <c r="F3" s="160"/>
      <c r="G3" s="160"/>
      <c r="H3" s="537"/>
      <c r="I3" s="286"/>
      <c r="K3" s="599"/>
      <c r="M3" s="637"/>
    </row>
    <row r="4" spans="1:20" s="35" customFormat="1" ht="23.85" customHeight="1">
      <c r="A4" s="834" t="s">
        <v>1</v>
      </c>
      <c r="B4" s="836" t="s">
        <v>24</v>
      </c>
      <c r="C4" s="838" t="s">
        <v>701</v>
      </c>
      <c r="D4" s="839"/>
      <c r="E4" s="836" t="s">
        <v>581</v>
      </c>
      <c r="F4" s="838" t="s">
        <v>580</v>
      </c>
      <c r="G4" s="840"/>
      <c r="H4" s="838" t="s">
        <v>580</v>
      </c>
      <c r="I4" s="840"/>
      <c r="J4" s="598"/>
      <c r="K4" s="598"/>
      <c r="M4" s="636"/>
    </row>
    <row r="5" spans="1:20" s="35" customFormat="1" ht="30.3" customHeight="1">
      <c r="A5" s="834"/>
      <c r="B5" s="837"/>
      <c r="C5" s="45" t="s">
        <v>44</v>
      </c>
      <c r="D5" s="45" t="s">
        <v>45</v>
      </c>
      <c r="E5" s="837"/>
      <c r="F5" s="287" t="s">
        <v>584</v>
      </c>
      <c r="G5" s="45" t="s">
        <v>585</v>
      </c>
      <c r="H5" s="287" t="s">
        <v>591</v>
      </c>
      <c r="I5" s="287" t="s">
        <v>592</v>
      </c>
      <c r="J5" s="598"/>
      <c r="K5" s="599"/>
    </row>
    <row r="6" spans="1:20" s="35" customFormat="1" ht="23.85" customHeight="1" thickBot="1">
      <c r="A6" s="835"/>
      <c r="B6" s="161" t="str">
        <f>+A1</f>
        <v>01 DE AGOSTO 2022</v>
      </c>
      <c r="C6" s="161" t="str">
        <f>+B6</f>
        <v>01 DE AGOSTO 2022</v>
      </c>
      <c r="D6" s="162" t="str">
        <f>+A1</f>
        <v>01 DE AGOSTO 2022</v>
      </c>
      <c r="E6" s="161" t="str">
        <f>+D6</f>
        <v>01 DE AGOSTO 2022</v>
      </c>
      <c r="F6" s="288" t="str">
        <f>+E6</f>
        <v>01 DE AGOSTO 2022</v>
      </c>
      <c r="G6" s="288" t="str">
        <f>+F6</f>
        <v>01 DE AGOSTO 2022</v>
      </c>
      <c r="H6" s="288" t="str">
        <f>+E6</f>
        <v>01 DE AGOSTO 2022</v>
      </c>
      <c r="I6" s="288" t="str">
        <f>+H6</f>
        <v>01 DE AGOSTO 2022</v>
      </c>
      <c r="K6" s="599"/>
    </row>
    <row r="7" spans="1:20" ht="22.8" customHeight="1" thickTop="1">
      <c r="A7" s="54" t="s">
        <v>3</v>
      </c>
      <c r="B7" s="550">
        <v>5064.8</v>
      </c>
      <c r="C7" s="384">
        <v>13016</v>
      </c>
      <c r="D7" s="384">
        <f>+C7</f>
        <v>13016</v>
      </c>
      <c r="E7" s="550">
        <v>4330.45</v>
      </c>
      <c r="F7" s="560">
        <v>16279.27</v>
      </c>
      <c r="G7" s="741">
        <v>16487.080000000002</v>
      </c>
      <c r="H7" s="560"/>
      <c r="I7" s="709"/>
      <c r="K7" s="691"/>
    </row>
    <row r="8" spans="1:20" ht="22.8" customHeight="1">
      <c r="A8" s="46" t="s">
        <v>47</v>
      </c>
      <c r="B8" s="550">
        <f>+'Resoluciones, leyes'!S106</f>
        <v>8.6314000000000011</v>
      </c>
      <c r="C8" s="384">
        <f>+B8</f>
        <v>8.6314000000000011</v>
      </c>
      <c r="D8" s="384">
        <f>+C8</f>
        <v>8.6314000000000011</v>
      </c>
      <c r="E8" s="555">
        <f>D8</f>
        <v>8.6314000000000011</v>
      </c>
      <c r="F8" s="478"/>
      <c r="G8" s="483"/>
      <c r="H8" s="474"/>
      <c r="I8" s="546"/>
      <c r="K8" s="651" t="s">
        <v>595</v>
      </c>
    </row>
    <row r="9" spans="1:20" ht="22.8" customHeight="1">
      <c r="A9" s="46" t="s">
        <v>206</v>
      </c>
      <c r="B9" s="47" t="s">
        <v>11</v>
      </c>
      <c r="C9" s="47" t="s">
        <v>11</v>
      </c>
      <c r="D9" s="47" t="s">
        <v>11</v>
      </c>
      <c r="E9" s="47" t="s">
        <v>11</v>
      </c>
      <c r="F9" s="475" t="s">
        <v>11</v>
      </c>
      <c r="G9" s="484" t="s">
        <v>11</v>
      </c>
      <c r="H9" s="484" t="s">
        <v>11</v>
      </c>
      <c r="I9" s="484" t="s">
        <v>11</v>
      </c>
      <c r="K9" s="652"/>
    </row>
    <row r="10" spans="1:20" ht="21.75" hidden="1" customHeight="1">
      <c r="A10" s="46" t="s">
        <v>196</v>
      </c>
      <c r="B10" s="555">
        <f>71.51*0</f>
        <v>0</v>
      </c>
      <c r="C10" s="384">
        <f>B10</f>
        <v>0</v>
      </c>
      <c r="D10" s="384">
        <f>B10</f>
        <v>0</v>
      </c>
      <c r="E10" s="555">
        <f>B10</f>
        <v>0</v>
      </c>
      <c r="F10" s="479"/>
      <c r="G10" s="485"/>
      <c r="H10" s="479"/>
      <c r="I10" s="485"/>
      <c r="J10" s="38"/>
      <c r="K10" s="651" t="s">
        <v>595</v>
      </c>
      <c r="L10" s="38"/>
    </row>
    <row r="11" spans="1:20" ht="22.8" customHeight="1">
      <c r="A11" s="46" t="s">
        <v>688</v>
      </c>
      <c r="B11" s="552">
        <f>+Variables!C20</f>
        <v>586.25</v>
      </c>
      <c r="C11" s="48">
        <f>+Variables!C23</f>
        <v>1112.67</v>
      </c>
      <c r="D11" s="48">
        <f>+ROUND(C11,2)</f>
        <v>1112.67</v>
      </c>
      <c r="E11" s="551">
        <f>+Variables!C27</f>
        <v>561.12</v>
      </c>
      <c r="F11" s="476"/>
      <c r="G11" s="485"/>
      <c r="H11" s="476"/>
      <c r="I11" s="485"/>
      <c r="J11" s="522"/>
      <c r="K11" s="651" t="s">
        <v>595</v>
      </c>
      <c r="L11" s="38"/>
    </row>
    <row r="12" spans="1:20" ht="22.8" customHeight="1">
      <c r="A12" s="46" t="s">
        <v>236</v>
      </c>
      <c r="B12" s="397" t="s">
        <v>296</v>
      </c>
      <c r="C12" s="397" t="s">
        <v>296</v>
      </c>
      <c r="D12" s="397" t="s">
        <v>296</v>
      </c>
      <c r="E12" s="397" t="s">
        <v>296</v>
      </c>
      <c r="F12" s="474" t="s">
        <v>296</v>
      </c>
      <c r="G12" s="485" t="s">
        <v>296</v>
      </c>
      <c r="H12" s="485" t="s">
        <v>296</v>
      </c>
      <c r="I12" s="485" t="s">
        <v>296</v>
      </c>
      <c r="J12" s="38"/>
      <c r="K12" s="651"/>
      <c r="L12" s="38"/>
    </row>
    <row r="13" spans="1:20" ht="22.8" customHeight="1">
      <c r="A13" s="46" t="s">
        <v>277</v>
      </c>
      <c r="B13" s="552">
        <f>+Variables!C46</f>
        <v>169</v>
      </c>
      <c r="C13" s="48">
        <f>+B13</f>
        <v>169</v>
      </c>
      <c r="D13" s="48">
        <f>+C13</f>
        <v>169</v>
      </c>
      <c r="E13" s="551">
        <f>+Variables!C47</f>
        <v>191</v>
      </c>
      <c r="F13" s="476"/>
      <c r="G13" s="485"/>
      <c r="H13" s="474"/>
      <c r="I13" s="485"/>
      <c r="J13" s="38"/>
      <c r="K13" s="651" t="s">
        <v>595</v>
      </c>
      <c r="L13" s="38"/>
    </row>
    <row r="14" spans="1:20" ht="22.8" customHeight="1">
      <c r="A14" s="46" t="s">
        <v>22</v>
      </c>
      <c r="B14" s="47" t="s">
        <v>12</v>
      </c>
      <c r="C14" s="47" t="s">
        <v>12</v>
      </c>
      <c r="D14" s="47" t="s">
        <v>12</v>
      </c>
      <c r="E14" s="47" t="s">
        <v>12</v>
      </c>
      <c r="F14" s="475"/>
      <c r="G14" s="484"/>
      <c r="H14" s="475"/>
      <c r="I14" s="484"/>
      <c r="J14" s="38"/>
      <c r="K14" s="38"/>
      <c r="L14" s="38"/>
    </row>
    <row r="15" spans="1:20" ht="22.8" customHeight="1">
      <c r="A15" s="46" t="s">
        <v>197</v>
      </c>
      <c r="B15" s="47" t="s">
        <v>21</v>
      </c>
      <c r="C15" s="47"/>
      <c r="D15" s="47"/>
      <c r="E15" s="47" t="str">
        <f>+B15</f>
        <v>(***)</v>
      </c>
      <c r="F15" s="480"/>
      <c r="G15" s="486"/>
      <c r="H15" s="479"/>
      <c r="I15" s="486"/>
      <c r="J15" s="523"/>
      <c r="K15" s="38"/>
      <c r="L15" s="38"/>
    </row>
    <row r="16" spans="1:20" ht="22.8" customHeight="1">
      <c r="A16" s="46" t="s">
        <v>642</v>
      </c>
      <c r="B16" s="397" t="s">
        <v>644</v>
      </c>
      <c r="C16" s="397" t="s">
        <v>644</v>
      </c>
      <c r="D16" s="397" t="s">
        <v>644</v>
      </c>
      <c r="E16" s="648">
        <v>301</v>
      </c>
      <c r="F16" s="481" t="s">
        <v>2</v>
      </c>
      <c r="G16" s="487" t="s">
        <v>2</v>
      </c>
      <c r="H16" s="476"/>
      <c r="I16" s="487"/>
      <c r="J16" s="523"/>
      <c r="L16" s="38"/>
      <c r="T16" s="38"/>
    </row>
    <row r="17" spans="1:13" ht="22.8" customHeight="1">
      <c r="A17" s="46" t="s">
        <v>5</v>
      </c>
      <c r="B17" s="47" t="s">
        <v>12</v>
      </c>
      <c r="C17" s="47" t="s">
        <v>12</v>
      </c>
      <c r="D17" s="47" t="s">
        <v>12</v>
      </c>
      <c r="E17" s="47" t="s">
        <v>12</v>
      </c>
      <c r="F17" s="481" t="s">
        <v>2</v>
      </c>
      <c r="G17" s="487" t="s">
        <v>2</v>
      </c>
      <c r="H17" s="474"/>
      <c r="I17" s="487"/>
      <c r="J17" s="524"/>
      <c r="K17" s="525"/>
      <c r="L17" s="38"/>
    </row>
    <row r="18" spans="1:13" ht="22.8" customHeight="1">
      <c r="A18" s="46" t="s">
        <v>198</v>
      </c>
      <c r="B18" s="47" t="s">
        <v>21</v>
      </c>
      <c r="C18" s="47"/>
      <c r="D18" s="47"/>
      <c r="E18" s="47" t="str">
        <f>+B18</f>
        <v>(***)</v>
      </c>
      <c r="F18" s="481" t="s">
        <v>2</v>
      </c>
      <c r="G18" s="487" t="s">
        <v>2</v>
      </c>
      <c r="H18" s="474"/>
      <c r="I18" s="487"/>
      <c r="J18" s="38"/>
      <c r="K18" s="642"/>
      <c r="L18" s="38"/>
    </row>
    <row r="19" spans="1:13" ht="22.8" customHeight="1">
      <c r="A19" s="46" t="s">
        <v>7</v>
      </c>
      <c r="B19" s="47" t="s">
        <v>199</v>
      </c>
      <c r="C19" s="47"/>
      <c r="D19" s="47"/>
      <c r="E19" s="47"/>
      <c r="F19" s="482" t="s">
        <v>2</v>
      </c>
      <c r="G19" s="488" t="s">
        <v>2</v>
      </c>
      <c r="H19" s="475"/>
      <c r="I19" s="488"/>
      <c r="J19" s="526"/>
      <c r="K19" s="38"/>
    </row>
    <row r="20" spans="1:13" ht="22.8" customHeight="1">
      <c r="A20" s="46" t="s">
        <v>203</v>
      </c>
      <c r="B20" s="47" t="s">
        <v>21</v>
      </c>
      <c r="C20" s="48"/>
      <c r="D20" s="48"/>
      <c r="E20" s="47" t="str">
        <f>+B20</f>
        <v>(***)</v>
      </c>
      <c r="F20" s="481" t="s">
        <v>2</v>
      </c>
      <c r="G20" s="487" t="s">
        <v>2</v>
      </c>
      <c r="H20" s="479"/>
      <c r="I20" s="487"/>
      <c r="J20" s="527"/>
      <c r="K20" s="642"/>
      <c r="L20" s="38"/>
      <c r="M20" s="647"/>
    </row>
    <row r="21" spans="1:13" ht="22.8" customHeight="1" thickBot="1">
      <c r="A21" s="51" t="s">
        <v>9</v>
      </c>
      <c r="B21" s="52" t="s">
        <v>12</v>
      </c>
      <c r="C21" s="52" t="s">
        <v>12</v>
      </c>
      <c r="D21" s="52" t="s">
        <v>12</v>
      </c>
      <c r="E21" s="52" t="s">
        <v>12</v>
      </c>
      <c r="F21" s="477" t="s">
        <v>2</v>
      </c>
      <c r="G21" s="489" t="s">
        <v>2</v>
      </c>
      <c r="H21" s="547"/>
      <c r="I21" s="489"/>
      <c r="J21" s="523"/>
      <c r="K21" s="642"/>
      <c r="L21" s="38"/>
      <c r="M21" s="647"/>
    </row>
    <row r="22" spans="1:13" ht="21.75" customHeight="1" thickTop="1">
      <c r="A22" s="830"/>
      <c r="B22" s="831"/>
      <c r="C22" s="831"/>
      <c r="D22" s="831"/>
      <c r="E22" s="831"/>
      <c r="F22" s="831"/>
      <c r="G22" s="831"/>
      <c r="H22" s="538"/>
      <c r="J22" s="38"/>
      <c r="K22" s="642"/>
      <c r="L22" s="38"/>
    </row>
    <row r="23" spans="1:13" s="44" customFormat="1" ht="36" customHeight="1">
      <c r="A23" s="832" t="s">
        <v>673</v>
      </c>
      <c r="B23" s="832"/>
      <c r="C23" s="832"/>
      <c r="D23" s="832"/>
      <c r="E23" s="832"/>
      <c r="F23" s="832"/>
      <c r="G23" s="832"/>
      <c r="H23" s="832"/>
      <c r="I23" s="832"/>
    </row>
    <row r="24" spans="1:13" s="44" customFormat="1" ht="11.25" customHeight="1">
      <c r="A24" s="826"/>
      <c r="B24" s="826"/>
      <c r="C24" s="826"/>
      <c r="D24" s="826"/>
      <c r="E24" s="826"/>
      <c r="F24" s="826"/>
      <c r="G24" s="826"/>
      <c r="H24" s="826"/>
      <c r="I24" s="826"/>
    </row>
    <row r="25" spans="1:13" s="44" customFormat="1" ht="31.8" customHeight="1">
      <c r="A25" s="832" t="s">
        <v>194</v>
      </c>
      <c r="B25" s="832"/>
      <c r="C25" s="832"/>
      <c r="D25" s="832"/>
      <c r="E25" s="832"/>
      <c r="F25" s="832"/>
      <c r="G25" s="832"/>
      <c r="H25" s="832"/>
      <c r="I25" s="832"/>
    </row>
    <row r="26" spans="1:13" s="44" customFormat="1" ht="7.5" customHeight="1">
      <c r="A26" s="826"/>
      <c r="B26" s="826"/>
      <c r="C26" s="826"/>
      <c r="D26" s="826"/>
      <c r="E26" s="826"/>
      <c r="F26" s="826"/>
      <c r="G26" s="826"/>
      <c r="H26" s="826"/>
      <c r="I26" s="826"/>
    </row>
    <row r="27" spans="1:13" ht="43.5" customHeight="1">
      <c r="A27" s="833" t="s">
        <v>693</v>
      </c>
      <c r="B27" s="833"/>
      <c r="C27" s="833"/>
      <c r="D27" s="833"/>
      <c r="E27" s="833"/>
      <c r="F27" s="833"/>
      <c r="G27" s="833"/>
      <c r="H27" s="833"/>
      <c r="I27" s="833"/>
    </row>
    <row r="28" spans="1:13" s="7" customFormat="1" ht="8.5500000000000007" customHeight="1">
      <c r="A28" s="826"/>
      <c r="B28" s="826"/>
      <c r="C28" s="826"/>
      <c r="D28" s="826"/>
      <c r="E28" s="826"/>
      <c r="F28" s="826"/>
      <c r="G28" s="826"/>
      <c r="H28" s="826"/>
      <c r="I28" s="826"/>
    </row>
    <row r="29" spans="1:13" ht="18" customHeight="1">
      <c r="A29" s="827" t="s">
        <v>195</v>
      </c>
      <c r="B29" s="827"/>
      <c r="C29" s="827"/>
      <c r="D29" s="827"/>
      <c r="E29" s="827"/>
      <c r="F29" s="827"/>
      <c r="G29" s="827"/>
      <c r="H29" s="827"/>
      <c r="I29" s="827"/>
    </row>
    <row r="30" spans="1:13" ht="7.5" customHeight="1">
      <c r="A30" s="825"/>
      <c r="B30" s="825"/>
      <c r="C30" s="825"/>
      <c r="D30" s="825"/>
      <c r="E30" s="825"/>
      <c r="F30" s="825"/>
      <c r="G30" s="825"/>
      <c r="H30" s="825"/>
      <c r="I30" s="825"/>
    </row>
    <row r="31" spans="1:13" s="8" customFormat="1" ht="18" customHeight="1">
      <c r="A31" s="827" t="s">
        <v>255</v>
      </c>
      <c r="B31" s="827"/>
      <c r="C31" s="827"/>
      <c r="D31" s="827"/>
      <c r="E31" s="827"/>
      <c r="F31" s="827"/>
      <c r="G31" s="827"/>
      <c r="H31" s="827"/>
      <c r="I31" s="827"/>
    </row>
    <row r="32" spans="1:13" s="8" customFormat="1">
      <c r="A32" s="824" t="s">
        <v>587</v>
      </c>
      <c r="B32" s="824"/>
      <c r="C32" s="824"/>
      <c r="D32" s="824"/>
      <c r="E32" s="824"/>
      <c r="F32" s="824"/>
      <c r="G32" s="824"/>
      <c r="H32" s="824"/>
      <c r="I32" s="824"/>
    </row>
    <row r="33" spans="1:9" s="8" customFormat="1">
      <c r="A33" s="824" t="s">
        <v>586</v>
      </c>
      <c r="B33" s="824"/>
      <c r="C33" s="824"/>
      <c r="D33" s="824"/>
      <c r="E33" s="824"/>
      <c r="F33" s="824"/>
      <c r="G33" s="824"/>
      <c r="H33" s="824"/>
      <c r="I33" s="824"/>
    </row>
    <row r="34" spans="1:9" s="8" customFormat="1">
      <c r="A34" s="824" t="s">
        <v>582</v>
      </c>
      <c r="B34" s="824"/>
      <c r="C34" s="824"/>
      <c r="D34" s="824"/>
      <c r="E34" s="824"/>
      <c r="F34" s="824"/>
      <c r="G34" s="824"/>
      <c r="H34" s="824"/>
      <c r="I34" s="824"/>
    </row>
    <row r="35" spans="1:9" s="8" customFormat="1">
      <c r="A35" s="824" t="s">
        <v>583</v>
      </c>
      <c r="B35" s="824"/>
      <c r="C35" s="824"/>
      <c r="D35" s="824"/>
      <c r="E35" s="824"/>
      <c r="F35" s="824"/>
      <c r="G35" s="824"/>
      <c r="H35" s="824"/>
      <c r="I35" s="824"/>
    </row>
    <row r="36" spans="1:9" s="8" customFormat="1">
      <c r="A36" s="824"/>
      <c r="B36" s="824"/>
      <c r="C36" s="824"/>
      <c r="D36" s="824"/>
      <c r="E36" s="824"/>
      <c r="F36" s="824"/>
      <c r="G36" s="824"/>
      <c r="H36" s="824"/>
      <c r="I36" s="824"/>
    </row>
    <row r="37" spans="1:9" s="8" customFormat="1" ht="14.25" customHeight="1">
      <c r="A37" s="827" t="s">
        <v>578</v>
      </c>
      <c r="B37" s="827"/>
      <c r="C37" s="827"/>
      <c r="D37" s="827"/>
      <c r="E37" s="827"/>
      <c r="F37" s="827"/>
      <c r="G37" s="827"/>
      <c r="H37" s="827"/>
      <c r="I37" s="827"/>
    </row>
    <row r="38" spans="1:9" s="8" customFormat="1" ht="14.25" customHeight="1">
      <c r="A38" s="827"/>
      <c r="B38" s="827"/>
      <c r="C38" s="827"/>
      <c r="D38" s="827"/>
      <c r="E38" s="827"/>
      <c r="F38" s="827"/>
      <c r="G38" s="827"/>
      <c r="H38" s="827"/>
      <c r="I38" s="827"/>
    </row>
    <row r="39" spans="1:9" s="8" customFormat="1" ht="14.25" customHeight="1">
      <c r="A39" s="827"/>
      <c r="B39" s="827"/>
      <c r="C39" s="827"/>
      <c r="D39" s="827"/>
      <c r="E39" s="827"/>
      <c r="F39" s="827"/>
      <c r="G39" s="827"/>
      <c r="H39" s="827"/>
      <c r="I39" s="827"/>
    </row>
    <row r="40" spans="1:9" s="8" customFormat="1" ht="14.25" customHeight="1">
      <c r="A40" s="827"/>
      <c r="B40" s="827"/>
      <c r="C40" s="827"/>
      <c r="D40" s="827"/>
      <c r="E40" s="827"/>
      <c r="F40" s="827"/>
      <c r="G40" s="827"/>
      <c r="H40" s="827"/>
      <c r="I40" s="827"/>
    </row>
    <row r="41" spans="1:9" s="8" customFormat="1" ht="28.95" customHeight="1">
      <c r="A41" s="827" t="s">
        <v>579</v>
      </c>
      <c r="B41" s="827"/>
      <c r="C41" s="827"/>
      <c r="D41" s="827"/>
      <c r="E41" s="827"/>
      <c r="F41" s="827"/>
      <c r="G41" s="827"/>
      <c r="H41" s="827"/>
      <c r="I41" s="827"/>
    </row>
    <row r="42" spans="1:9" s="8" customFormat="1" ht="47.85" customHeight="1">
      <c r="A42" s="827" t="s">
        <v>694</v>
      </c>
      <c r="B42" s="827"/>
      <c r="C42" s="827"/>
      <c r="D42" s="827"/>
      <c r="E42" s="827"/>
      <c r="F42" s="827"/>
      <c r="G42" s="827"/>
      <c r="H42" s="827"/>
      <c r="I42" s="827"/>
    </row>
    <row r="43" spans="1:9" s="8" customFormat="1" ht="13.05" customHeight="1">
      <c r="A43" s="827"/>
      <c r="B43" s="827"/>
      <c r="C43" s="827"/>
      <c r="D43" s="827"/>
      <c r="E43" s="827"/>
      <c r="F43" s="827"/>
      <c r="G43" s="827"/>
      <c r="H43" s="735"/>
      <c r="I43" s="735"/>
    </row>
    <row r="44" spans="1:9" s="8" customFormat="1" ht="109.95" customHeight="1">
      <c r="A44" s="828" t="s">
        <v>697</v>
      </c>
      <c r="B44" s="828"/>
      <c r="C44" s="828"/>
      <c r="D44" s="828"/>
      <c r="E44" s="828"/>
      <c r="F44" s="828"/>
      <c r="G44" s="828"/>
      <c r="H44" s="828"/>
      <c r="I44" s="828"/>
    </row>
    <row r="45" spans="1:9" s="8" customFormat="1">
      <c r="A45" s="9"/>
      <c r="B45" s="9"/>
      <c r="C45" s="9"/>
      <c r="D45" s="9"/>
      <c r="E45" s="9"/>
      <c r="F45" s="9"/>
      <c r="G45" s="9"/>
      <c r="H45" s="9"/>
    </row>
    <row r="46" spans="1:9" s="8" customFormat="1">
      <c r="A46" s="9"/>
      <c r="B46" s="9"/>
      <c r="C46" s="9"/>
      <c r="D46" s="9"/>
      <c r="E46" s="9"/>
      <c r="F46" s="9"/>
      <c r="G46" s="9"/>
      <c r="H46" s="9"/>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10"/>
      <c r="B50" s="10"/>
      <c r="C50" s="10"/>
      <c r="D50" s="10"/>
      <c r="E50" s="10"/>
      <c r="F50" s="281"/>
      <c r="G50" s="10"/>
      <c r="H50" s="281"/>
    </row>
  </sheetData>
  <sheetProtection algorithmName="SHA-512" hashValue="We/3FvsPMeMDF6GAtaPPmC2LaHkZm6eWKj269lSajyCFOU9zQ+M/z9pdOHpqpndj2VK38SSgG0gAqExJWGzsCA==" saltValue="ERt7bWEozjSsg6lMPc8ogg==" spinCount="100000" sheet="1" objects="1" scenarios="1"/>
  <mergeCells count="27">
    <mergeCell ref="A2:G2"/>
    <mergeCell ref="A22:G22"/>
    <mergeCell ref="A23:I23"/>
    <mergeCell ref="A25:I25"/>
    <mergeCell ref="A27:I27"/>
    <mergeCell ref="A4:A6"/>
    <mergeCell ref="B4:B5"/>
    <mergeCell ref="E4:E5"/>
    <mergeCell ref="C4:D4"/>
    <mergeCell ref="F4:G4"/>
    <mergeCell ref="H4:I4"/>
    <mergeCell ref="A35:I35"/>
    <mergeCell ref="A37:I40"/>
    <mergeCell ref="A36:I36"/>
    <mergeCell ref="A41:I41"/>
    <mergeCell ref="A44:I44"/>
    <mergeCell ref="A42:I42"/>
    <mergeCell ref="A43:G43"/>
    <mergeCell ref="A34:I34"/>
    <mergeCell ref="A30:I30"/>
    <mergeCell ref="A28:I28"/>
    <mergeCell ref="A26:I26"/>
    <mergeCell ref="A24:I24"/>
    <mergeCell ref="A33:I33"/>
    <mergeCell ref="A31:I31"/>
    <mergeCell ref="A32:I32"/>
    <mergeCell ref="A29:I29"/>
  </mergeCells>
  <phoneticPr fontId="31"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0"/>
  <sheetViews>
    <sheetView zoomScale="70" zoomScaleNormal="70" workbookViewId="0">
      <selection activeCell="Q13" sqref="Q13"/>
    </sheetView>
  </sheetViews>
  <sheetFormatPr baseColWidth="10" defaultColWidth="9.88671875" defaultRowHeight="13.8"/>
  <cols>
    <col min="1" max="1" width="60.77734375" style="2" customWidth="1"/>
    <col min="2" max="3" width="24.21875" style="2" customWidth="1"/>
    <col min="4" max="4" width="17" style="2" hidden="1" customWidth="1"/>
    <col min="5" max="5" width="22.77734375" style="2" customWidth="1"/>
    <col min="6" max="6" width="20.21875" style="6" hidden="1" customWidth="1"/>
    <col min="7" max="10" width="0" style="6" hidden="1" customWidth="1"/>
    <col min="11" max="16384" width="9.88671875" style="6"/>
  </cols>
  <sheetData>
    <row r="1" spans="1:60" s="5" customFormat="1" ht="15" customHeight="1">
      <c r="A1" s="18"/>
      <c r="B1" s="18"/>
      <c r="C1" s="1"/>
      <c r="D1" s="19"/>
      <c r="E1" s="19"/>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9" customFormat="1" ht="39.9" customHeight="1">
      <c r="A2" s="846" t="str">
        <f>CONCATENATE("ESTRUCTURAS DE PRECIOS PARA GASOLINA MOTOR CORRIENTE OXIGENADA VIGENTES A PARTIR DE ",'COMBUSTIBLES '!$A$1)</f>
        <v>ESTRUCTURAS DE PRECIOS PARA GASOLINA MOTOR CORRIENTE OXIGENADA VIGENTES A PARTIR DE 01 DE AGOSTO 2022</v>
      </c>
      <c r="B2" s="847"/>
      <c r="C2" s="847"/>
      <c r="D2" s="847"/>
      <c r="E2" s="847"/>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row>
    <row r="3" spans="1:60" s="39" customFormat="1" ht="27.75" customHeight="1">
      <c r="A3" s="848" t="s">
        <v>0</v>
      </c>
      <c r="B3" s="849"/>
      <c r="C3" s="849"/>
      <c r="D3" s="849"/>
      <c r="E3" s="685"/>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row>
    <row r="4" spans="1:60" s="35" customFormat="1" ht="36.75" customHeight="1">
      <c r="A4" s="851" t="s">
        <v>1</v>
      </c>
      <c r="B4" s="850" t="s">
        <v>26</v>
      </c>
      <c r="C4" s="850" t="s">
        <v>532</v>
      </c>
      <c r="D4" s="377" t="s">
        <v>27</v>
      </c>
      <c r="E4" s="686" t="s">
        <v>27</v>
      </c>
      <c r="F4" s="36"/>
      <c r="G4" s="40"/>
      <c r="H4" s="40"/>
      <c r="I4" s="40"/>
      <c r="J4" s="40"/>
      <c r="K4" s="40"/>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35" customFormat="1" ht="12.6" customHeight="1">
      <c r="A5" s="834"/>
      <c r="B5" s="837"/>
      <c r="C5" s="837"/>
      <c r="D5" s="283">
        <v>0.04</v>
      </c>
      <c r="E5" s="283">
        <v>0.04</v>
      </c>
      <c r="F5" s="717" t="s">
        <v>685</v>
      </c>
      <c r="G5" s="40"/>
      <c r="H5" s="694"/>
      <c r="I5" s="40"/>
      <c r="J5" s="40"/>
      <c r="K5" s="40" t="s">
        <v>689</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35" customFormat="1" ht="25.5" customHeight="1" thickBot="1">
      <c r="A6" s="835"/>
      <c r="B6" s="163" t="str">
        <f>+'COMBUSTIBLES '!B6</f>
        <v>01 DE AGOSTO 2022</v>
      </c>
      <c r="C6" s="162" t="str">
        <f>'COMBUSTIBLES '!B6</f>
        <v>01 DE AGOSTO 2022</v>
      </c>
      <c r="D6" s="162" t="str">
        <f>+C6</f>
        <v>01 DE AGOSTO 2022</v>
      </c>
      <c r="E6" s="162" t="str">
        <f>+D6</f>
        <v>01 DE AGOSTO 2022</v>
      </c>
      <c r="F6" s="36"/>
      <c r="G6" s="40"/>
      <c r="H6" s="694" t="s">
        <v>684</v>
      </c>
      <c r="I6" s="40"/>
      <c r="J6" s="40"/>
      <c r="K6" s="40"/>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5" customFormat="1" ht="31.8" customHeight="1" thickTop="1">
      <c r="A7" s="63" t="s">
        <v>3</v>
      </c>
      <c r="B7" s="553">
        <v>13048.21</v>
      </c>
      <c r="C7" s="553">
        <f>+'COMBUSTIBLES '!B7</f>
        <v>5064.8</v>
      </c>
      <c r="D7" s="374"/>
      <c r="E7" s="374"/>
      <c r="F7" s="6"/>
      <c r="G7" s="40"/>
      <c r="H7" s="6"/>
      <c r="I7" s="40"/>
      <c r="J7" s="40"/>
      <c r="K7" s="4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8" customHeight="1">
      <c r="A8" s="57" t="s">
        <v>170</v>
      </c>
      <c r="B8" s="156"/>
      <c r="C8" s="50"/>
      <c r="D8" s="553">
        <f>ROUND($C$7*(1-D5),2)</f>
        <v>4862.21</v>
      </c>
      <c r="E8" s="556">
        <f>ROUND($C$7*(1-E5),2)</f>
        <v>4862.21</v>
      </c>
      <c r="F8" s="643">
        <f>+C7*0.94</f>
        <v>4760.9120000000003</v>
      </c>
      <c r="G8" s="6"/>
      <c r="H8" s="600" t="s">
        <v>594</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8" customHeight="1">
      <c r="A9" s="57" t="s">
        <v>169</v>
      </c>
      <c r="B9" s="156"/>
      <c r="C9" s="50"/>
      <c r="D9" s="556">
        <f>+ROUND(B7*D5,2)</f>
        <v>521.92999999999995</v>
      </c>
      <c r="E9" s="556">
        <f>+ROUND(B7*E5,2)</f>
        <v>521.92999999999995</v>
      </c>
      <c r="F9" s="643">
        <f>+B7*0.06</f>
        <v>782.8925999999999</v>
      </c>
      <c r="G9" s="6"/>
      <c r="H9" s="600" t="s">
        <v>595</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8" customHeight="1">
      <c r="A10" s="57" t="s">
        <v>42</v>
      </c>
      <c r="B10" s="156"/>
      <c r="C10" s="50"/>
      <c r="D10" s="553">
        <f>D8+D9</f>
        <v>5384.14</v>
      </c>
      <c r="E10" s="553">
        <f>E8+E9</f>
        <v>5384.14</v>
      </c>
      <c r="F10" s="643">
        <f>+F8+F9</f>
        <v>5543.8046000000004</v>
      </c>
      <c r="G10" s="6"/>
      <c r="H10" s="600" t="s">
        <v>595</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8" customHeight="1">
      <c r="A11" s="57" t="str">
        <f>+'COMBUSTIBLES '!A11</f>
        <v>Impuesto Nacional a la Gasolina y al ACPM</v>
      </c>
      <c r="B11" s="156"/>
      <c r="C11" s="103">
        <f>+Variables!C21</f>
        <v>586.25</v>
      </c>
      <c r="D11" s="556">
        <f>+C11*(1-D5)</f>
        <v>562.79999999999995</v>
      </c>
      <c r="E11" s="556">
        <f>+C11*(1-E5)</f>
        <v>562.79999999999995</v>
      </c>
      <c r="F11" s="6"/>
      <c r="G11" s="6"/>
      <c r="H11" s="653" t="s">
        <v>595</v>
      </c>
      <c r="I11" s="6"/>
      <c r="J11" s="6"/>
      <c r="K11" s="6"/>
      <c r="L11" s="6"/>
      <c r="M11" s="6"/>
      <c r="N11" s="6"/>
      <c r="O11" s="6" t="s">
        <v>553</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8" customHeight="1">
      <c r="A12" s="57" t="str">
        <f>+'COMBUSTIBLES '!A12</f>
        <v>Impuesto sobre las Ventas</v>
      </c>
      <c r="B12" s="156"/>
      <c r="C12" s="394" t="str">
        <f>+'COMBUSTIBLES '!C12</f>
        <v>(3)</v>
      </c>
      <c r="D12" s="289" t="str">
        <f>+C12</f>
        <v>(3)</v>
      </c>
      <c r="E12" s="289" t="str">
        <f>+D12</f>
        <v>(3)</v>
      </c>
      <c r="F12" s="6"/>
      <c r="G12" s="6"/>
      <c r="H12" s="653"/>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8" customHeight="1">
      <c r="A13" s="57" t="str">
        <f>+'COMBUSTIBLES '!A13</f>
        <v>Impuesto al carbono</v>
      </c>
      <c r="B13" s="156"/>
      <c r="C13" s="103">
        <f>Variables!C46</f>
        <v>169</v>
      </c>
      <c r="D13" s="553">
        <f>ROUND(C13*(1-D5),2)</f>
        <v>162.24</v>
      </c>
      <c r="E13" s="553">
        <f>ROUND(C13*(1-E5),2)</f>
        <v>162.24</v>
      </c>
      <c r="F13" s="6"/>
      <c r="G13" s="6" t="s">
        <v>147</v>
      </c>
      <c r="H13" s="653" t="s">
        <v>595</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8" customHeight="1">
      <c r="A14" s="57" t="s">
        <v>47</v>
      </c>
      <c r="B14" s="156"/>
      <c r="C14" s="103">
        <f>'COMBUSTIBLES '!B8</f>
        <v>8.6314000000000011</v>
      </c>
      <c r="D14" s="553">
        <f>+C14</f>
        <v>8.6314000000000011</v>
      </c>
      <c r="E14" s="553">
        <f>+D14</f>
        <v>8.6314000000000011</v>
      </c>
      <c r="F14" s="6"/>
      <c r="G14" s="6"/>
      <c r="H14" s="653" t="s">
        <v>595</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8" customHeight="1">
      <c r="A15" s="57" t="s">
        <v>171</v>
      </c>
      <c r="B15" s="156"/>
      <c r="C15" s="50"/>
      <c r="D15" s="375" t="s">
        <v>11</v>
      </c>
      <c r="E15" s="375" t="s">
        <v>11</v>
      </c>
      <c r="F15" s="6"/>
      <c r="G15" s="6"/>
      <c r="H15" s="653"/>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8" customHeight="1">
      <c r="A16" s="57" t="s">
        <v>172</v>
      </c>
      <c r="B16" s="156"/>
      <c r="C16" s="59"/>
      <c r="D16" s="375" t="s">
        <v>12</v>
      </c>
      <c r="E16" s="375" t="s">
        <v>12</v>
      </c>
      <c r="F16" s="6"/>
      <c r="G16" s="6"/>
      <c r="H16" s="653"/>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8" hidden="1" customHeight="1">
      <c r="A17" s="57" t="s">
        <v>196</v>
      </c>
      <c r="B17" s="156"/>
      <c r="C17" s="50">
        <f>'COMBUSTIBLES '!B10</f>
        <v>0</v>
      </c>
      <c r="D17" s="554">
        <f>+C17</f>
        <v>0</v>
      </c>
      <c r="E17" s="554">
        <f>+D17</f>
        <v>0</v>
      </c>
      <c r="F17" s="6"/>
      <c r="G17" s="6"/>
      <c r="H17" s="653" t="s">
        <v>595</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8" customHeight="1">
      <c r="A18" s="57" t="s">
        <v>43</v>
      </c>
      <c r="B18" s="156"/>
      <c r="C18" s="50" t="s">
        <v>21</v>
      </c>
      <c r="D18" s="375" t="s">
        <v>21</v>
      </c>
      <c r="E18" s="375" t="s">
        <v>21</v>
      </c>
      <c r="F18" s="6"/>
      <c r="G18" s="6"/>
      <c r="H18" s="653"/>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8" customHeight="1">
      <c r="A19" s="57" t="s">
        <v>642</v>
      </c>
      <c r="B19" s="156"/>
      <c r="C19" s="397" t="s">
        <v>644</v>
      </c>
      <c r="D19" s="397" t="s">
        <v>644</v>
      </c>
      <c r="E19" s="397" t="s">
        <v>644</v>
      </c>
      <c r="F19" s="6"/>
      <c r="G19" s="6"/>
      <c r="H19" s="653" t="s">
        <v>595</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8" customHeight="1">
      <c r="A20" s="57" t="s">
        <v>40</v>
      </c>
      <c r="B20" s="156"/>
      <c r="C20" s="103" t="s">
        <v>147</v>
      </c>
      <c r="D20" s="375" t="s">
        <v>199</v>
      </c>
      <c r="E20" s="375" t="s">
        <v>199</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8" customHeight="1">
      <c r="A21" s="57" t="s">
        <v>51</v>
      </c>
      <c r="B21" s="156"/>
      <c r="C21" s="50" t="s">
        <v>147</v>
      </c>
      <c r="D21" s="375" t="s">
        <v>21</v>
      </c>
      <c r="E21" s="375" t="s">
        <v>21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8" customHeight="1">
      <c r="A22" s="57" t="s">
        <v>41</v>
      </c>
      <c r="B22" s="156"/>
      <c r="C22" s="48" t="s">
        <v>147</v>
      </c>
      <c r="D22" s="375" t="str">
        <f>+D20</f>
        <v>(****)</v>
      </c>
      <c r="E22" s="375"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8" customHeight="1">
      <c r="A23" s="57" t="s">
        <v>49</v>
      </c>
      <c r="B23" s="156"/>
      <c r="C23" s="50" t="s">
        <v>147</v>
      </c>
      <c r="D23" s="375" t="s">
        <v>48</v>
      </c>
      <c r="E23" s="375" t="s">
        <v>48</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8" customHeight="1">
      <c r="A24" s="57" t="s">
        <v>203</v>
      </c>
      <c r="B24" s="156"/>
      <c r="C24" s="50" t="s">
        <v>147</v>
      </c>
      <c r="D24" s="375" t="str">
        <f>+D22</f>
        <v>(****)</v>
      </c>
      <c r="E24" s="375"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8" customHeight="1" thickBot="1">
      <c r="A25" s="60" t="s">
        <v>50</v>
      </c>
      <c r="B25" s="157"/>
      <c r="C25" s="61" t="s">
        <v>147</v>
      </c>
      <c r="D25" s="376" t="s">
        <v>21</v>
      </c>
      <c r="E25" s="376" t="s">
        <v>21</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2"/>
      <c r="D26" s="20"/>
      <c r="E26" s="20"/>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92" customFormat="1" ht="51" customHeight="1">
      <c r="A27" s="845" t="s">
        <v>704</v>
      </c>
      <c r="B27" s="845"/>
      <c r="C27" s="845"/>
      <c r="D27" s="845"/>
      <c r="E27" s="845"/>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row>
    <row r="28" spans="1:60" s="291" customFormat="1" ht="74.25" customHeight="1">
      <c r="A28" s="841" t="s">
        <v>703</v>
      </c>
      <c r="B28" s="841"/>
      <c r="C28" s="841"/>
      <c r="D28" s="841"/>
      <c r="E28" s="841"/>
    </row>
    <row r="29" spans="1:60" s="291" customFormat="1" ht="40.049999999999997" customHeight="1">
      <c r="A29" s="841" t="s">
        <v>200</v>
      </c>
      <c r="B29" s="841"/>
      <c r="C29" s="841"/>
      <c r="D29" s="841"/>
      <c r="E29" s="841"/>
    </row>
    <row r="30" spans="1:60" s="291" customFormat="1" ht="13.2">
      <c r="A30" s="629"/>
      <c r="B30" s="629"/>
      <c r="C30" s="630"/>
      <c r="D30" s="630"/>
      <c r="E30" s="630"/>
    </row>
    <row r="31" spans="1:60" s="326" customFormat="1" ht="51" customHeight="1">
      <c r="A31" s="842" t="s">
        <v>201</v>
      </c>
      <c r="B31" s="842"/>
      <c r="C31" s="842"/>
      <c r="D31" s="842"/>
      <c r="E31" s="842"/>
    </row>
    <row r="32" spans="1:60" s="291" customFormat="1" ht="13.2">
      <c r="A32" s="844" t="s">
        <v>202</v>
      </c>
      <c r="B32" s="844"/>
      <c r="C32" s="844"/>
      <c r="D32" s="844"/>
      <c r="E32" s="687"/>
    </row>
    <row r="33" spans="1:10" s="291" customFormat="1" ht="17.7" customHeight="1">
      <c r="A33" s="628"/>
      <c r="B33" s="628"/>
      <c r="C33" s="628"/>
      <c r="D33" s="628"/>
      <c r="E33" s="689"/>
    </row>
    <row r="34" spans="1:10" s="291" customFormat="1" ht="12.75" customHeight="1">
      <c r="A34" s="843" t="s">
        <v>546</v>
      </c>
      <c r="B34" s="843"/>
      <c r="C34" s="843"/>
      <c r="D34" s="843"/>
      <c r="E34" s="843"/>
      <c r="F34" s="631"/>
      <c r="G34" s="631"/>
    </row>
    <row r="35" spans="1:10" s="291" customFormat="1" ht="13.2">
      <c r="A35" s="843"/>
      <c r="B35" s="843"/>
      <c r="C35" s="843"/>
      <c r="D35" s="843"/>
      <c r="E35" s="843"/>
      <c r="F35" s="631"/>
      <c r="G35" s="631"/>
    </row>
    <row r="36" spans="1:10">
      <c r="A36" s="843"/>
      <c r="B36" s="843"/>
      <c r="C36" s="843"/>
      <c r="D36" s="843"/>
      <c r="E36" s="843"/>
      <c r="F36" s="631"/>
      <c r="G36" s="631"/>
    </row>
    <row r="37" spans="1:10">
      <c r="A37" s="843"/>
      <c r="B37" s="843"/>
      <c r="C37" s="843"/>
      <c r="D37" s="843"/>
      <c r="E37" s="843"/>
      <c r="F37" s="631"/>
      <c r="G37" s="631"/>
    </row>
    <row r="38" spans="1:10" ht="38.4" customHeight="1">
      <c r="A38" s="824" t="s">
        <v>645</v>
      </c>
      <c r="B38" s="824"/>
      <c r="C38" s="824"/>
      <c r="D38" s="824"/>
      <c r="E38" s="824"/>
      <c r="F38" s="291"/>
      <c r="G38" s="291"/>
      <c r="H38" s="291"/>
      <c r="I38" s="291"/>
      <c r="J38" s="291"/>
    </row>
    <row r="39" spans="1:10" ht="15.6" customHeight="1">
      <c r="A39" s="827"/>
      <c r="B39" s="827"/>
      <c r="C39" s="827"/>
      <c r="D39" s="735"/>
      <c r="F39" s="291"/>
      <c r="G39" s="291"/>
      <c r="H39" s="291"/>
      <c r="I39" s="291"/>
      <c r="J39" s="291"/>
    </row>
    <row r="40" spans="1:10" ht="120.6" customHeight="1">
      <c r="A40" s="828" t="s">
        <v>697</v>
      </c>
      <c r="B40" s="828"/>
      <c r="C40" s="828"/>
      <c r="D40" s="828"/>
      <c r="E40" s="828"/>
    </row>
  </sheetData>
  <sheetProtection algorithmName="SHA-512" hashValue="K0OnfveiWdF4bZSGz8wANojxi5Gz3XBSLCiq7tGBdVWil/jB6Qeyz2mKGar4OEuTKAX5ZbeleKzxVm/ml53IHg==" saltValue="hBPNERnUncpPCtsmWNHUNQ==" spinCount="100000" sheet="1" objects="1" scenarios="1"/>
  <mergeCells count="14">
    <mergeCell ref="A27:E27"/>
    <mergeCell ref="A28:E28"/>
    <mergeCell ref="A2:E2"/>
    <mergeCell ref="A3:D3"/>
    <mergeCell ref="B4:B5"/>
    <mergeCell ref="A4:A6"/>
    <mergeCell ref="C4:C5"/>
    <mergeCell ref="A29:E29"/>
    <mergeCell ref="A31:E31"/>
    <mergeCell ref="A34:E37"/>
    <mergeCell ref="A38:E38"/>
    <mergeCell ref="A40:E40"/>
    <mergeCell ref="A32:D32"/>
    <mergeCell ref="A39:C39"/>
  </mergeCells>
  <phoneticPr fontId="31"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zoomScale="70" zoomScaleNormal="70" workbookViewId="0">
      <selection activeCell="G17" sqref="G17"/>
    </sheetView>
  </sheetViews>
  <sheetFormatPr baseColWidth="10" defaultRowHeight="13.2"/>
  <cols>
    <col min="1" max="1" width="53.21875" customWidth="1"/>
    <col min="2" max="2" width="20.88671875" customWidth="1"/>
    <col min="3" max="3" width="23.88671875" customWidth="1"/>
    <col min="4" max="4" width="21.77734375" customWidth="1"/>
    <col min="5" max="5" width="21.21875" customWidth="1"/>
    <col min="6" max="6" width="23" customWidth="1"/>
    <col min="7" max="7" width="18" customWidth="1"/>
    <col min="8" max="8" width="0" hidden="1" customWidth="1"/>
  </cols>
  <sheetData>
    <row r="2" spans="1:11" ht="16.8">
      <c r="A2" s="852" t="str">
        <f>CONCATENATE("ESTRUCTURAS DE PRECIOS PARA GASOLINA EXTRA OXIGENADA VIGENTES A PARTIR DE ",'COMBUSTIBLES '!$A$1)</f>
        <v>ESTRUCTURAS DE PRECIOS PARA GASOLINA EXTRA OXIGENADA VIGENTES A PARTIR DE 01 DE AGOSTO 2022</v>
      </c>
      <c r="B2" s="853"/>
      <c r="C2" s="853"/>
      <c r="D2" s="853"/>
      <c r="E2" s="853"/>
      <c r="F2" s="853"/>
    </row>
    <row r="3" spans="1:11" ht="16.8">
      <c r="A3" s="854" t="s">
        <v>0</v>
      </c>
      <c r="B3" s="855"/>
      <c r="C3" s="855"/>
      <c r="D3" s="855"/>
      <c r="E3" s="855"/>
      <c r="F3" s="855"/>
    </row>
    <row r="4" spans="1:11" ht="27.6">
      <c r="A4" s="851" t="s">
        <v>1</v>
      </c>
      <c r="B4" s="850" t="s">
        <v>26</v>
      </c>
      <c r="C4" s="850" t="s">
        <v>555</v>
      </c>
      <c r="D4" s="494" t="s">
        <v>28</v>
      </c>
      <c r="E4" s="856" t="s">
        <v>556</v>
      </c>
      <c r="F4" s="500" t="s">
        <v>28</v>
      </c>
      <c r="H4" s="369"/>
    </row>
    <row r="5" spans="1:11" ht="17.100000000000001" customHeight="1">
      <c r="A5" s="834"/>
      <c r="B5" s="837"/>
      <c r="C5" s="837"/>
      <c r="D5" s="495">
        <v>0.04</v>
      </c>
      <c r="E5" s="857"/>
      <c r="F5" s="501">
        <f>+D5</f>
        <v>0.04</v>
      </c>
      <c r="G5" s="690"/>
    </row>
    <row r="6" spans="1:11" ht="30.3" customHeight="1" thickBot="1">
      <c r="A6" s="835"/>
      <c r="B6" s="55" t="str">
        <f>+'GASOLINA CORRIENTE OXIGENADA'!B6</f>
        <v>01 DE AGOSTO 2022</v>
      </c>
      <c r="C6" s="55" t="str">
        <f>+B6</f>
        <v>01 DE AGOSTO 2022</v>
      </c>
      <c r="D6" s="55" t="str">
        <f>+C6</f>
        <v>01 DE AGOSTO 2022</v>
      </c>
      <c r="E6" s="55" t="str">
        <f>+B6</f>
        <v>01 DE AGOSTO 2022</v>
      </c>
      <c r="F6" s="56" t="str">
        <f>+B6</f>
        <v>01 DE AGOSTO 2022</v>
      </c>
      <c r="H6" s="694"/>
    </row>
    <row r="7" spans="1:11" ht="23.4" customHeight="1" thickTop="1">
      <c r="A7" s="54" t="s">
        <v>3</v>
      </c>
      <c r="B7" s="707">
        <f>+'GASOLINA CORRIENTE OXIGENADA'!B7</f>
        <v>13048.21</v>
      </c>
      <c r="C7" s="707">
        <f>+'COMBUSTIBLES '!C7</f>
        <v>13016</v>
      </c>
      <c r="D7" s="638">
        <f>+ROUND((C7*(1-D5))+($B$7*D5),2)</f>
        <v>13017.29</v>
      </c>
      <c r="E7" s="640">
        <f>+'COMBUSTIBLES '!D7</f>
        <v>13016</v>
      </c>
      <c r="F7" s="508">
        <f>+ROUND((E7*(1-F5))+($B$7*F5),2)</f>
        <v>13017.29</v>
      </c>
      <c r="G7" s="635"/>
      <c r="H7" s="694" t="str">
        <f>+'GASOLINA CORRIENTE OXIGENADA'!H6</f>
        <v>A PARTIR DE ENERO 6%</v>
      </c>
      <c r="K7" s="369"/>
    </row>
    <row r="8" spans="1:11" ht="23.4" customHeight="1">
      <c r="A8" s="46" t="s">
        <v>25</v>
      </c>
      <c r="B8" s="48"/>
      <c r="C8" s="48">
        <f>+'COMBUSTIBLES '!C8</f>
        <v>8.6314000000000011</v>
      </c>
      <c r="D8" s="476">
        <f>+C8</f>
        <v>8.6314000000000011</v>
      </c>
      <c r="E8" s="476">
        <f>+'COMBUSTIBLES '!E8</f>
        <v>8.6314000000000011</v>
      </c>
      <c r="F8" s="53">
        <f>+E8</f>
        <v>8.6314000000000011</v>
      </c>
      <c r="H8" s="369"/>
    </row>
    <row r="9" spans="1:11" ht="23.4" customHeight="1">
      <c r="A9" s="46" t="s">
        <v>206</v>
      </c>
      <c r="B9" s="50"/>
      <c r="C9" s="50" t="s">
        <v>11</v>
      </c>
      <c r="D9" s="496" t="s">
        <v>11</v>
      </c>
      <c r="E9" s="496" t="s">
        <v>11</v>
      </c>
      <c r="F9" s="58" t="s">
        <v>11</v>
      </c>
      <c r="G9" s="635"/>
    </row>
    <row r="10" spans="1:11" ht="23.85" hidden="1" customHeight="1">
      <c r="A10" s="46" t="s">
        <v>204</v>
      </c>
      <c r="B10" s="50"/>
      <c r="C10" s="50">
        <f>+'COMBUSTIBLES '!C10</f>
        <v>0</v>
      </c>
      <c r="D10" s="496">
        <f>+C10</f>
        <v>0</v>
      </c>
      <c r="E10" s="496">
        <f>+'COMBUSTIBLES '!D10</f>
        <v>0</v>
      </c>
      <c r="F10" s="58">
        <f>+E10</f>
        <v>0</v>
      </c>
    </row>
    <row r="11" spans="1:11" ht="23.4" customHeight="1">
      <c r="A11" s="46" t="s">
        <v>688</v>
      </c>
      <c r="B11" s="48"/>
      <c r="C11" s="48">
        <f>+'COMBUSTIBLES '!C11</f>
        <v>1112.67</v>
      </c>
      <c r="D11" s="476">
        <f>+ROUND(+C11*(1-D5),2)</f>
        <v>1068.1600000000001</v>
      </c>
      <c r="E11" s="48">
        <f>+'COMBUSTIBLES '!D11</f>
        <v>1112.67</v>
      </c>
      <c r="F11" s="503">
        <f>+ROUND(+E11*(1-F5),2)</f>
        <v>1068.1600000000001</v>
      </c>
      <c r="G11" s="369"/>
      <c r="H11" s="609"/>
      <c r="I11" s="609"/>
    </row>
    <row r="12" spans="1:11" ht="23.4" customHeight="1">
      <c r="A12" s="46" t="s">
        <v>236</v>
      </c>
      <c r="B12" s="48"/>
      <c r="C12" s="384" t="s">
        <v>296</v>
      </c>
      <c r="D12" s="474" t="s">
        <v>296</v>
      </c>
      <c r="E12" s="384" t="s">
        <v>296</v>
      </c>
      <c r="F12" s="504" t="s">
        <v>296</v>
      </c>
    </row>
    <row r="13" spans="1:11" ht="23.4" customHeight="1">
      <c r="A13" s="46" t="s">
        <v>277</v>
      </c>
      <c r="B13" s="48"/>
      <c r="C13" s="48">
        <f>+'COMBUSTIBLES '!C13</f>
        <v>169</v>
      </c>
      <c r="D13" s="476">
        <f>+ROUND(+C13*(1-D5),2)</f>
        <v>162.24</v>
      </c>
      <c r="E13" s="48">
        <f>+'COMBUSTIBLES '!D13</f>
        <v>169</v>
      </c>
      <c r="F13" s="503">
        <f>+ROUND(+E13*(1-F5),2)</f>
        <v>162.24</v>
      </c>
    </row>
    <row r="14" spans="1:11" ht="23.4" customHeight="1">
      <c r="A14" s="46" t="s">
        <v>228</v>
      </c>
      <c r="B14" s="50"/>
      <c r="C14" s="50" t="s">
        <v>12</v>
      </c>
      <c r="D14" s="496" t="s">
        <v>12</v>
      </c>
      <c r="E14" s="50" t="s">
        <v>12</v>
      </c>
      <c r="F14" s="505" t="s">
        <v>12</v>
      </c>
    </row>
    <row r="15" spans="1:11" ht="23.4" customHeight="1">
      <c r="A15" s="46" t="s">
        <v>4</v>
      </c>
      <c r="B15" s="48"/>
      <c r="C15" s="76"/>
      <c r="D15" s="497"/>
      <c r="E15" s="76"/>
      <c r="F15" s="506"/>
    </row>
    <row r="16" spans="1:11" ht="23.4" customHeight="1">
      <c r="A16" s="46" t="s">
        <v>642</v>
      </c>
      <c r="B16" s="48"/>
      <c r="C16" s="384" t="str">
        <f>+'COMBUSTIBLES '!C16</f>
        <v>(5)</v>
      </c>
      <c r="D16" s="384" t="str">
        <f>+'COMBUSTIBLES '!D16</f>
        <v>(5)</v>
      </c>
      <c r="E16" s="384" t="str">
        <f>+'COMBUSTIBLES '!D16</f>
        <v>(5)</v>
      </c>
      <c r="F16" s="384" t="str">
        <f>+'COMBUSTIBLES '!D16</f>
        <v>(5)</v>
      </c>
    </row>
    <row r="17" spans="1:9" ht="23.4" customHeight="1">
      <c r="A17" s="46" t="s">
        <v>5</v>
      </c>
      <c r="B17" s="49"/>
      <c r="C17" s="49"/>
      <c r="D17" s="498"/>
      <c r="E17" s="49"/>
      <c r="F17" s="507"/>
    </row>
    <row r="18" spans="1:9" ht="23.4" customHeight="1">
      <c r="A18" s="46" t="s">
        <v>6</v>
      </c>
      <c r="B18" s="48"/>
      <c r="C18" s="76"/>
      <c r="D18" s="497"/>
      <c r="E18" s="76"/>
      <c r="F18" s="290"/>
    </row>
    <row r="19" spans="1:9" ht="23.4" customHeight="1">
      <c r="A19" s="46" t="s">
        <v>7</v>
      </c>
      <c r="B19" s="48"/>
      <c r="C19" s="48"/>
      <c r="D19" s="476"/>
      <c r="E19" s="48"/>
      <c r="F19" s="53"/>
    </row>
    <row r="20" spans="1:9" ht="23.4" customHeight="1">
      <c r="A20" s="46" t="s">
        <v>203</v>
      </c>
      <c r="B20" s="48"/>
      <c r="C20" s="48"/>
      <c r="D20" s="476"/>
      <c r="E20" s="48"/>
      <c r="F20" s="53"/>
    </row>
    <row r="21" spans="1:9" ht="23.4" customHeight="1" thickBot="1">
      <c r="A21" s="51" t="s">
        <v>9</v>
      </c>
      <c r="B21" s="61"/>
      <c r="C21" s="61" t="s">
        <v>12</v>
      </c>
      <c r="D21" s="499" t="s">
        <v>12</v>
      </c>
      <c r="E21" s="61" t="s">
        <v>12</v>
      </c>
      <c r="F21" s="62" t="s">
        <v>12</v>
      </c>
    </row>
    <row r="22" spans="1:9" ht="14.4" thickTop="1">
      <c r="A22" s="11"/>
      <c r="B22" s="12"/>
      <c r="C22" s="12"/>
      <c r="D22" s="12"/>
      <c r="E22" s="12"/>
      <c r="F22" s="12"/>
    </row>
    <row r="23" spans="1:9" ht="21.15" customHeight="1">
      <c r="A23" s="843" t="s">
        <v>674</v>
      </c>
      <c r="B23" s="843"/>
      <c r="C23" s="843"/>
      <c r="D23" s="843"/>
      <c r="E23" s="843"/>
      <c r="F23" s="843"/>
    </row>
    <row r="24" spans="1:9">
      <c r="A24" s="620"/>
      <c r="B24" s="620"/>
      <c r="C24" s="620"/>
      <c r="D24" s="620"/>
      <c r="E24" s="620"/>
      <c r="F24" s="502"/>
    </row>
    <row r="25" spans="1:9" ht="26.55" customHeight="1">
      <c r="A25" s="843" t="s">
        <v>205</v>
      </c>
      <c r="B25" s="843"/>
      <c r="C25" s="843"/>
      <c r="D25" s="843"/>
      <c r="E25" s="843"/>
      <c r="F25" s="843"/>
    </row>
    <row r="26" spans="1:9">
      <c r="A26" s="620"/>
      <c r="B26" s="620"/>
      <c r="C26" s="620"/>
      <c r="D26" s="620"/>
      <c r="E26" s="620"/>
      <c r="F26" s="502"/>
    </row>
    <row r="27" spans="1:9" ht="14.25" hidden="1" customHeight="1">
      <c r="A27" s="859" t="s">
        <v>248</v>
      </c>
      <c r="B27" s="859"/>
      <c r="C27" s="859"/>
      <c r="D27" s="859"/>
      <c r="E27" s="859"/>
      <c r="F27" s="6"/>
    </row>
    <row r="28" spans="1:9" ht="14.25" customHeight="1">
      <c r="A28" s="843" t="s">
        <v>698</v>
      </c>
      <c r="B28" s="843"/>
      <c r="C28" s="843"/>
      <c r="D28" s="843"/>
      <c r="E28" s="843"/>
      <c r="F28" s="843"/>
    </row>
    <row r="29" spans="1:9" ht="14.25" customHeight="1">
      <c r="A29" s="843"/>
      <c r="B29" s="843"/>
      <c r="C29" s="843"/>
      <c r="D29" s="843"/>
      <c r="E29" s="843"/>
      <c r="F29" s="843"/>
    </row>
    <row r="30" spans="1:9" ht="14.25" customHeight="1">
      <c r="A30" s="843"/>
      <c r="B30" s="843"/>
      <c r="C30" s="843"/>
      <c r="D30" s="843"/>
      <c r="E30" s="843"/>
      <c r="F30" s="843"/>
    </row>
    <row r="31" spans="1:9" ht="14.25" customHeight="1">
      <c r="A31" s="843"/>
      <c r="B31" s="843"/>
      <c r="C31" s="843"/>
      <c r="D31" s="843"/>
      <c r="E31" s="843"/>
      <c r="F31" s="843"/>
    </row>
    <row r="32" spans="1:9" ht="19.649999999999999" customHeight="1">
      <c r="A32" s="860" t="s">
        <v>643</v>
      </c>
      <c r="B32" s="860"/>
      <c r="C32" s="860"/>
      <c r="D32" s="860"/>
      <c r="E32" s="860"/>
      <c r="F32" s="860"/>
      <c r="G32" s="860"/>
      <c r="H32" s="860"/>
      <c r="I32" s="860"/>
    </row>
    <row r="33" spans="1:9" ht="15" customHeight="1">
      <c r="A33" s="861" t="s">
        <v>699</v>
      </c>
      <c r="B33" s="827"/>
      <c r="C33" s="827"/>
      <c r="D33" s="827"/>
      <c r="E33" s="827"/>
      <c r="F33" s="736"/>
      <c r="G33" s="736"/>
      <c r="H33" s="736"/>
      <c r="I33" s="736"/>
    </row>
    <row r="34" spans="1:9" ht="138.30000000000001" customHeight="1">
      <c r="A34" s="858" t="s">
        <v>696</v>
      </c>
      <c r="B34" s="858"/>
      <c r="C34" s="858"/>
      <c r="D34" s="858"/>
      <c r="E34" s="858"/>
      <c r="F34" s="858"/>
    </row>
  </sheetData>
  <sheetProtection algorithmName="SHA-512" hashValue="axWVO6eNVOLX1iT+xuI1AGWa1FRpDHkbow+/aD5Vwj2g7iKX2sFo5+I2E63/XHuu+5og5+HjsQp+S7xsc50Jaw==" saltValue="RwmfFBnTj29Ivsr90K0rDw==" spinCount="100000" sheet="1" objects="1" scenarios="1"/>
  <mergeCells count="13">
    <mergeCell ref="A34:F34"/>
    <mergeCell ref="A25:F25"/>
    <mergeCell ref="A23:F23"/>
    <mergeCell ref="A27:E27"/>
    <mergeCell ref="A28:F31"/>
    <mergeCell ref="A32:I32"/>
    <mergeCell ref="A33:E33"/>
    <mergeCell ref="A2:F2"/>
    <mergeCell ref="A3:F3"/>
    <mergeCell ref="A4:A6"/>
    <mergeCell ref="B4:B5"/>
    <mergeCell ref="C4:C5"/>
    <mergeCell ref="E4:E5"/>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0"/>
  <sheetViews>
    <sheetView showGridLines="0" zoomScale="60" zoomScaleNormal="60" workbookViewId="0">
      <selection activeCell="R14" sqref="R14"/>
    </sheetView>
  </sheetViews>
  <sheetFormatPr baseColWidth="10" defaultColWidth="9.88671875" defaultRowHeight="13.8"/>
  <cols>
    <col min="1" max="1" width="58.77734375" style="13" customWidth="1"/>
    <col min="2" max="2" width="21.21875" style="6" customWidth="1"/>
    <col min="3" max="3" width="19.77734375" style="6" customWidth="1"/>
    <col min="4" max="4" width="23.77734375" style="6" customWidth="1"/>
    <col min="5" max="5" width="23.21875" style="6" customWidth="1"/>
    <col min="6" max="7" width="11.21875" style="6" hidden="1" customWidth="1"/>
    <col min="8" max="8" width="23.109375" style="6" customWidth="1"/>
    <col min="9" max="9" width="14.6640625" style="6" hidden="1" customWidth="1"/>
    <col min="10" max="10" width="11" style="6" hidden="1" customWidth="1"/>
    <col min="11" max="11" width="8.77734375" style="6" hidden="1" customWidth="1"/>
    <col min="12" max="12" width="14.33203125" style="6" hidden="1" customWidth="1"/>
    <col min="13" max="13" width="8.77734375" style="6" customWidth="1"/>
    <col min="14" max="14" width="7.21875" style="6" customWidth="1"/>
    <col min="15" max="15" width="11.88671875" style="6" hidden="1" customWidth="1"/>
    <col min="16" max="16" width="10.109375" style="6" hidden="1" customWidth="1"/>
    <col min="17" max="17" width="17.21875" style="6" hidden="1" customWidth="1"/>
    <col min="18" max="77" width="9.88671875" style="6" customWidth="1"/>
    <col min="78" max="16384" width="9.88671875" style="6"/>
  </cols>
  <sheetData>
    <row r="1" spans="1:77" s="38" customFormat="1" ht="14.4" thickBot="1">
      <c r="A1" s="37"/>
      <c r="F1" s="714"/>
    </row>
    <row r="2" spans="1:77" s="35" customFormat="1" ht="42.75" customHeight="1" thickTop="1">
      <c r="A2" s="862" t="str">
        <f>CONCATENATE("ESTRUCTURAS DE PRECIOS PARA LA MEZCLA DE BIOCOMBUSTIBLE PARA USO EN MOTORES DIESEL CON EL ACPM VIGENTES A PARTIR DE ",'COMBUSTIBLES '!$A$1)</f>
        <v>ESTRUCTURAS DE PRECIOS PARA LA MEZCLA DE BIOCOMBUSTIBLE PARA USO EN MOTORES DIESEL CON EL ACPM VIGENTES A PARTIR DE 01 DE AGOSTO 2022</v>
      </c>
      <c r="B2" s="863"/>
      <c r="C2" s="863"/>
      <c r="D2" s="863"/>
      <c r="E2" s="863"/>
      <c r="F2" s="863"/>
      <c r="G2" s="863"/>
      <c r="H2" s="863"/>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row>
    <row r="3" spans="1:77" s="35" customFormat="1" ht="19.649999999999999" customHeight="1">
      <c r="A3" s="864" t="s">
        <v>0</v>
      </c>
      <c r="B3" s="865"/>
      <c r="C3" s="865"/>
      <c r="D3" s="865"/>
      <c r="E3" s="865"/>
      <c r="F3" s="865"/>
      <c r="G3" s="865"/>
      <c r="H3" s="865"/>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5" customFormat="1" ht="45.75" customHeight="1">
      <c r="A4" s="866" t="s">
        <v>1</v>
      </c>
      <c r="B4" s="66" t="s">
        <v>151</v>
      </c>
      <c r="C4" s="869" t="s">
        <v>641</v>
      </c>
      <c r="D4" s="869" t="s">
        <v>680</v>
      </c>
      <c r="E4" s="67" t="s">
        <v>547</v>
      </c>
      <c r="F4" s="67" t="s">
        <v>681</v>
      </c>
      <c r="G4" s="67" t="s">
        <v>634</v>
      </c>
      <c r="H4" s="67" t="s">
        <v>690</v>
      </c>
      <c r="I4" s="643"/>
      <c r="J4" s="6"/>
      <c r="K4" s="6"/>
      <c r="L4" s="6"/>
      <c r="M4" s="6"/>
      <c r="N4" s="6"/>
      <c r="O4" s="643"/>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18.75" customHeight="1">
      <c r="A5" s="867"/>
      <c r="B5" s="68">
        <v>1</v>
      </c>
      <c r="C5" s="870"/>
      <c r="D5" s="870"/>
      <c r="E5" s="69">
        <v>0.02</v>
      </c>
      <c r="F5" s="69">
        <v>0.03</v>
      </c>
      <c r="G5" s="69">
        <v>0.12</v>
      </c>
      <c r="H5" s="69">
        <v>0.1</v>
      </c>
      <c r="I5" s="643"/>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24" customHeight="1" thickBot="1">
      <c r="A6" s="868"/>
      <c r="B6" s="158" t="str">
        <f>+'COMBUSTIBLES '!A1</f>
        <v>01 DE AGOSTO 2022</v>
      </c>
      <c r="C6" s="158" t="str">
        <f>+B6</f>
        <v>01 DE AGOSTO 2022</v>
      </c>
      <c r="D6" s="158" t="str">
        <f>+C6</f>
        <v>01 DE AGOSTO 2022</v>
      </c>
      <c r="E6" s="159" t="str">
        <f>+B6</f>
        <v>01 DE AGOSTO 2022</v>
      </c>
      <c r="F6" s="159" t="str">
        <f>+B6</f>
        <v>01 DE AGOSTO 2022</v>
      </c>
      <c r="G6" s="159" t="str">
        <f>+B6</f>
        <v>01 DE AGOSTO 2022</v>
      </c>
      <c r="H6" s="159" t="str">
        <f>+C6</f>
        <v>01 DE AGOSTO 2022</v>
      </c>
      <c r="I6" s="639"/>
      <c r="J6" s="639"/>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08" customFormat="1" ht="31.8" customHeight="1" thickTop="1">
      <c r="A7" s="105" t="s">
        <v>3</v>
      </c>
      <c r="B7" s="557">
        <v>23098.69</v>
      </c>
      <c r="C7" s="557">
        <f>+'COMBUSTIBLES '!E7</f>
        <v>4330.45</v>
      </c>
      <c r="D7" s="557">
        <f>+C7</f>
        <v>4330.45</v>
      </c>
      <c r="E7" s="106"/>
      <c r="F7" s="106"/>
      <c r="G7" s="106"/>
      <c r="H7" s="701"/>
      <c r="I7" s="107"/>
      <c r="J7" s="114"/>
      <c r="K7" s="6"/>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row>
    <row r="8" spans="1:77" s="108" customFormat="1" ht="31.8" customHeight="1">
      <c r="A8" s="109" t="s">
        <v>52</v>
      </c>
      <c r="B8" s="112"/>
      <c r="C8" s="71"/>
      <c r="D8" s="71"/>
      <c r="E8" s="70">
        <f>+ROUND(C7*(1-E5), 2)</f>
        <v>4243.84</v>
      </c>
      <c r="F8" s="70">
        <f>+ROUND(C7*(1-F5), 3)</f>
        <v>4200.5370000000003</v>
      </c>
      <c r="G8" s="70">
        <f>+ROUND(+C7*(1-G5),3)</f>
        <v>3810.7959999999998</v>
      </c>
      <c r="H8" s="70">
        <f>+ROUND(+D7*(1-H5),3)</f>
        <v>3897.4050000000002</v>
      </c>
      <c r="I8" s="114">
        <f>+C7*0.98</f>
        <v>4243.8409999999994</v>
      </c>
      <c r="J8" s="604" t="s">
        <v>596</v>
      </c>
      <c r="K8" s="107"/>
      <c r="L8" s="107"/>
      <c r="M8" s="107"/>
      <c r="N8" s="107"/>
      <c r="O8" s="698" t="s">
        <v>597</v>
      </c>
      <c r="P8" s="107"/>
      <c r="Q8" s="699" t="s">
        <v>679</v>
      </c>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row>
    <row r="9" spans="1:77" s="108" customFormat="1" ht="31.8" customHeight="1">
      <c r="A9" s="109" t="s">
        <v>175</v>
      </c>
      <c r="B9" s="72"/>
      <c r="C9" s="72"/>
      <c r="D9" s="72"/>
      <c r="E9" s="70">
        <f>+ROUND($B$7*E5,2)</f>
        <v>461.97</v>
      </c>
      <c r="F9" s="70">
        <f>+ROUND($B$7*F5,3)</f>
        <v>692.96100000000001</v>
      </c>
      <c r="G9" s="70">
        <f>+ROUND($B$7*G5,3)</f>
        <v>2771.8429999999998</v>
      </c>
      <c r="H9" s="70">
        <f>+ROUND($B$7*H5,3)</f>
        <v>2309.8690000000001</v>
      </c>
      <c r="I9" s="114">
        <f>+B7*0.02</f>
        <v>461.97379999999998</v>
      </c>
      <c r="J9" s="604" t="s">
        <v>595</v>
      </c>
      <c r="K9" s="542"/>
      <c r="L9" s="107"/>
      <c r="M9" s="107"/>
      <c r="N9" s="107"/>
      <c r="O9" s="107" t="s">
        <v>593</v>
      </c>
      <c r="P9" s="107"/>
      <c r="Q9" s="107" t="s">
        <v>593</v>
      </c>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row>
    <row r="10" spans="1:77" s="108" customFormat="1" ht="31.8" customHeight="1">
      <c r="A10" s="109" t="s">
        <v>557</v>
      </c>
      <c r="B10" s="72"/>
      <c r="C10" s="72"/>
      <c r="D10" s="72"/>
      <c r="E10" s="70">
        <f>+E9+E8</f>
        <v>4705.8100000000004</v>
      </c>
      <c r="F10" s="70">
        <f>+F9+F8</f>
        <v>4893.4980000000005</v>
      </c>
      <c r="G10" s="70">
        <f>+G9+G8</f>
        <v>6582.6389999999992</v>
      </c>
      <c r="H10" s="70">
        <f>+H9+H8</f>
        <v>6207.2740000000003</v>
      </c>
      <c r="I10" s="107"/>
      <c r="J10" s="604" t="s">
        <v>595</v>
      </c>
      <c r="K10" s="548"/>
      <c r="L10" s="107">
        <f>+B7*0.02</f>
        <v>461.97379999999998</v>
      </c>
      <c r="M10" s="107"/>
      <c r="N10" s="107"/>
      <c r="O10" s="692">
        <f>+B7*0.02+ROUND(C7*0.98,2)</f>
        <v>4705.8137999999999</v>
      </c>
      <c r="P10" s="107"/>
      <c r="Q10" s="549">
        <f>+B7*0.1+C7*0.9</f>
        <v>6207.2739999999994</v>
      </c>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row>
    <row r="11" spans="1:77" s="108" customFormat="1" ht="31.8" customHeight="1">
      <c r="A11" s="109" t="str">
        <f>+'COMBUSTIBLES '!A11</f>
        <v>Impuesto Nacional a la Gasolina y al ACPM</v>
      </c>
      <c r="B11" s="72"/>
      <c r="C11" s="72">
        <f>+Variables!C31</f>
        <v>561.12</v>
      </c>
      <c r="D11" s="72">
        <f>+Variables!C30</f>
        <v>561.12</v>
      </c>
      <c r="E11" s="70">
        <f>+ROUND($C$11*(1-E5),2)</f>
        <v>549.9</v>
      </c>
      <c r="F11" s="70">
        <f>+ROUND($C$11*(1-F5),2)</f>
        <v>544.29</v>
      </c>
      <c r="G11" s="70">
        <f>+ROUND($D$11*(1-G5),2)</f>
        <v>493.79</v>
      </c>
      <c r="H11" s="70">
        <f>+ROUND($D$11*(1-H5),2)</f>
        <v>505.01</v>
      </c>
      <c r="I11" s="107"/>
      <c r="J11" s="604" t="s">
        <v>595</v>
      </c>
      <c r="K11" s="107"/>
      <c r="L11" s="107"/>
      <c r="M11" s="107"/>
      <c r="N11" s="107"/>
      <c r="O11" s="107">
        <f>+B7*0.02</f>
        <v>461.97379999999998</v>
      </c>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s="108" customFormat="1" ht="31.8" customHeight="1">
      <c r="A12" s="109" t="str">
        <f>+'COMBUSTIBLES '!A12</f>
        <v>Impuesto sobre las Ventas</v>
      </c>
      <c r="B12" s="72"/>
      <c r="C12" s="72" t="str">
        <f>+'COMBUSTIBLES '!C12</f>
        <v>(3)</v>
      </c>
      <c r="D12" s="72" t="str">
        <f>+C12</f>
        <v>(3)</v>
      </c>
      <c r="E12" s="70" t="str">
        <f>+D12</f>
        <v>(3)</v>
      </c>
      <c r="F12" s="70" t="str">
        <f>+E12</f>
        <v>(3)</v>
      </c>
      <c r="G12" s="70" t="str">
        <f>+E12</f>
        <v>(3)</v>
      </c>
      <c r="H12" s="70" t="str">
        <f>+F12</f>
        <v>(3)</v>
      </c>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s="108" customFormat="1" ht="31.8" customHeight="1">
      <c r="A13" s="109" t="str">
        <f>+'COMBUSTIBLES '!A13</f>
        <v>Impuesto al carbono</v>
      </c>
      <c r="B13" s="72"/>
      <c r="C13" s="72">
        <f>Variables!C47</f>
        <v>191</v>
      </c>
      <c r="D13" s="72">
        <f>C13</f>
        <v>191</v>
      </c>
      <c r="E13" s="70">
        <f>ROUND(D13*(1-E5),2)</f>
        <v>187.18</v>
      </c>
      <c r="F13" s="70">
        <f>ROUND(D13*(1-F5),2)</f>
        <v>185.27</v>
      </c>
      <c r="G13" s="70">
        <f>ROUND(D13*(1-G5),2)</f>
        <v>168.08</v>
      </c>
      <c r="H13" s="70">
        <f>ROUND(D13*(1-H5),2)</f>
        <v>171.9</v>
      </c>
      <c r="I13" s="107"/>
      <c r="J13" s="604" t="s">
        <v>595</v>
      </c>
      <c r="K13" s="451"/>
      <c r="L13" s="107"/>
      <c r="M13" s="107"/>
      <c r="N13" s="107"/>
      <c r="O13" s="621">
        <f>+C13*0.98</f>
        <v>187.18</v>
      </c>
      <c r="P13" s="107"/>
      <c r="Q13" s="549">
        <f>+C13*0.9</f>
        <v>171.9</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s="108" customFormat="1" ht="31.8" customHeight="1">
      <c r="A14" s="109" t="s">
        <v>47</v>
      </c>
      <c r="B14" s="72"/>
      <c r="C14" s="373">
        <f>+'COMBUSTIBLES '!E8</f>
        <v>8.6314000000000011</v>
      </c>
      <c r="D14" s="373">
        <f t="shared" ref="D14:F15" si="0">+C14</f>
        <v>8.6314000000000011</v>
      </c>
      <c r="E14" s="70">
        <f t="shared" si="0"/>
        <v>8.6314000000000011</v>
      </c>
      <c r="F14" s="70">
        <f t="shared" si="0"/>
        <v>8.6314000000000011</v>
      </c>
      <c r="G14" s="70">
        <f>+C14</f>
        <v>8.6314000000000011</v>
      </c>
      <c r="H14" s="70">
        <f>+D14</f>
        <v>8.6314000000000011</v>
      </c>
      <c r="I14" s="107"/>
      <c r="J14" s="604" t="s">
        <v>595</v>
      </c>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s="108" customFormat="1" ht="31.8" customHeight="1">
      <c r="A15" s="109" t="s">
        <v>207</v>
      </c>
      <c r="B15" s="72"/>
      <c r="C15" s="72" t="s">
        <v>11</v>
      </c>
      <c r="D15" s="72" t="str">
        <f t="shared" si="0"/>
        <v>(*)</v>
      </c>
      <c r="E15" s="70" t="str">
        <f t="shared" si="0"/>
        <v>(*)</v>
      </c>
      <c r="F15" s="70" t="str">
        <f t="shared" si="0"/>
        <v>(*)</v>
      </c>
      <c r="G15" s="70" t="str">
        <f>+D15</f>
        <v>(*)</v>
      </c>
      <c r="H15" s="70" t="str">
        <f>+E15</f>
        <v>(*)</v>
      </c>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s="108" customFormat="1" ht="31.8" customHeight="1">
      <c r="A16" s="109" t="s">
        <v>208</v>
      </c>
      <c r="B16" s="72" t="s">
        <v>147</v>
      </c>
      <c r="C16" s="72"/>
      <c r="D16" s="72"/>
      <c r="E16" s="70" t="s">
        <v>12</v>
      </c>
      <c r="F16" s="70" t="str">
        <f>+E16</f>
        <v>(**)</v>
      </c>
      <c r="G16" s="70" t="str">
        <f>+E16</f>
        <v>(**)</v>
      </c>
      <c r="H16" s="70" t="str">
        <f>+F16</f>
        <v>(**)</v>
      </c>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s="108" customFormat="1" ht="31.8" hidden="1" customHeight="1">
      <c r="A17" s="57" t="s">
        <v>196</v>
      </c>
      <c r="B17" s="72"/>
      <c r="C17" s="72">
        <f>'COMBUSTIBLES '!E10</f>
        <v>0</v>
      </c>
      <c r="D17" s="72">
        <f>+C17</f>
        <v>0</v>
      </c>
      <c r="E17" s="70">
        <f>+C17</f>
        <v>0</v>
      </c>
      <c r="F17" s="70">
        <f>+D17</f>
        <v>0</v>
      </c>
      <c r="G17" s="70">
        <f>+E17</f>
        <v>0</v>
      </c>
      <c r="H17" s="70">
        <f>+F17</f>
        <v>0</v>
      </c>
      <c r="I17" s="107"/>
      <c r="J17" s="604" t="s">
        <v>595</v>
      </c>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s="108" customFormat="1" ht="31.8" customHeight="1">
      <c r="A18" s="109" t="s">
        <v>43</v>
      </c>
      <c r="B18" s="72"/>
      <c r="C18" s="72"/>
      <c r="D18" s="72"/>
      <c r="E18" s="70"/>
      <c r="F18" s="70"/>
      <c r="G18" s="70"/>
      <c r="H18" s="70"/>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s="108" customFormat="1" ht="31.8" customHeight="1">
      <c r="A19" s="109" t="s">
        <v>40</v>
      </c>
      <c r="B19" s="110"/>
      <c r="C19" s="111"/>
      <c r="D19" s="111"/>
      <c r="E19" s="104" t="s">
        <v>147</v>
      </c>
      <c r="F19" s="104"/>
      <c r="G19" s="368" t="s">
        <v>199</v>
      </c>
      <c r="H19" s="368" t="s">
        <v>199</v>
      </c>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s="108" customFormat="1" ht="31.8" customHeight="1">
      <c r="A20" s="109" t="s">
        <v>51</v>
      </c>
      <c r="B20" s="110"/>
      <c r="C20" s="110"/>
      <c r="D20" s="110"/>
      <c r="E20" s="104" t="s">
        <v>147</v>
      </c>
      <c r="F20" s="104"/>
      <c r="G20" s="104" t="s">
        <v>21</v>
      </c>
      <c r="H20" s="104" t="s">
        <v>21</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s="108" customFormat="1" ht="31.8" customHeight="1">
      <c r="A21" s="109" t="s">
        <v>41</v>
      </c>
      <c r="B21" s="110"/>
      <c r="C21" s="110"/>
      <c r="D21" s="110"/>
      <c r="E21" s="104" t="s">
        <v>147</v>
      </c>
      <c r="F21" s="104"/>
      <c r="G21" s="70" t="s">
        <v>199</v>
      </c>
      <c r="H21" s="70" t="s">
        <v>199</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s="108" customFormat="1" ht="31.8" customHeight="1">
      <c r="A22" s="109" t="s">
        <v>210</v>
      </c>
      <c r="B22" s="110"/>
      <c r="C22" s="110"/>
      <c r="D22" s="110"/>
      <c r="E22" s="104" t="s">
        <v>147</v>
      </c>
      <c r="F22" s="104"/>
      <c r="G22" s="70" t="s">
        <v>199</v>
      </c>
      <c r="H22" s="70" t="s">
        <v>199</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s="115" customFormat="1" ht="31.8" customHeight="1">
      <c r="A23" s="113" t="s">
        <v>8</v>
      </c>
      <c r="B23" s="72"/>
      <c r="C23" s="738">
        <v>301</v>
      </c>
      <c r="D23" s="738">
        <v>301</v>
      </c>
      <c r="E23" s="650">
        <f>+D23</f>
        <v>301</v>
      </c>
      <c r="F23" s="70"/>
      <c r="G23" s="650">
        <f>'COMBUSTIBLES '!E16</f>
        <v>301</v>
      </c>
      <c r="H23" s="650">
        <f>+G23</f>
        <v>301</v>
      </c>
      <c r="I23" s="107"/>
      <c r="J23" s="107"/>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row>
    <row r="24" spans="1:77" s="42" customFormat="1" ht="31.8" customHeight="1" thickBot="1">
      <c r="A24" s="73" t="s">
        <v>50</v>
      </c>
      <c r="B24" s="74"/>
      <c r="C24" s="74"/>
      <c r="D24" s="74"/>
      <c r="E24" s="75" t="s">
        <v>147</v>
      </c>
      <c r="F24" s="75"/>
      <c r="G24" s="75" t="s">
        <v>21</v>
      </c>
      <c r="H24" s="75" t="s">
        <v>21</v>
      </c>
      <c r="I24" s="107"/>
      <c r="J24" s="107"/>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row>
    <row r="25" spans="1:77" s="5" customFormat="1" ht="9.75" customHeight="1" thickTop="1">
      <c r="A25" s="11"/>
      <c r="B25" s="12"/>
      <c r="C25" s="12"/>
      <c r="D25" s="12"/>
      <c r="E25" s="12"/>
      <c r="F25" s="12"/>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42" customFormat="1" ht="15" customHeight="1">
      <c r="A26" s="693" t="s">
        <v>675</v>
      </c>
      <c r="B26" s="464"/>
      <c r="C26" s="464"/>
      <c r="D26" s="464"/>
      <c r="E26" s="465"/>
      <c r="F26" s="465"/>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row>
    <row r="27" spans="1:77" s="42" customFormat="1">
      <c r="A27" s="872" t="s">
        <v>672</v>
      </c>
      <c r="B27" s="872"/>
      <c r="C27" s="872"/>
      <c r="D27" s="872"/>
      <c r="E27" s="872"/>
      <c r="F27" s="872"/>
      <c r="G27" s="872"/>
      <c r="H27" s="697"/>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row>
    <row r="28" spans="1:77" s="42" customFormat="1" ht="6.75" customHeight="1">
      <c r="A28" s="466"/>
      <c r="B28" s="466"/>
      <c r="C28" s="466"/>
      <c r="D28" s="466"/>
      <c r="E28" s="467"/>
      <c r="F28" s="467"/>
      <c r="G28" s="467"/>
      <c r="H28" s="688"/>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row>
    <row r="29" spans="1:77" s="469" customFormat="1">
      <c r="A29" s="872" t="s">
        <v>671</v>
      </c>
      <c r="B29" s="872"/>
      <c r="C29" s="872"/>
      <c r="D29" s="872"/>
      <c r="E29" s="872"/>
      <c r="F29" s="872"/>
      <c r="G29" s="872"/>
      <c r="H29" s="697"/>
    </row>
    <row r="30" spans="1:77" s="469" customFormat="1" ht="11.25" customHeight="1">
      <c r="A30" s="470" t="s">
        <v>147</v>
      </c>
      <c r="B30" s="471"/>
      <c r="C30" s="471"/>
      <c r="D30" s="471"/>
      <c r="E30" s="468"/>
      <c r="F30" s="468"/>
      <c r="G30" s="468"/>
      <c r="H30" s="468"/>
    </row>
    <row r="31" spans="1:77" s="469" customFormat="1">
      <c r="A31" s="872" t="s">
        <v>209</v>
      </c>
      <c r="B31" s="872"/>
      <c r="C31" s="872"/>
      <c r="D31" s="872"/>
      <c r="E31" s="872"/>
      <c r="F31" s="872"/>
      <c r="G31" s="872"/>
      <c r="H31" s="697"/>
    </row>
    <row r="32" spans="1:77" s="469" customFormat="1" ht="10.5" customHeight="1">
      <c r="A32" s="466"/>
      <c r="B32" s="466"/>
      <c r="C32" s="466"/>
      <c r="D32" s="466"/>
      <c r="E32" s="468"/>
      <c r="F32" s="468"/>
      <c r="G32" s="468"/>
      <c r="H32" s="468"/>
    </row>
    <row r="33" spans="1:8" s="469" customFormat="1" ht="42.75" customHeight="1">
      <c r="A33" s="872" t="s">
        <v>201</v>
      </c>
      <c r="B33" s="872"/>
      <c r="C33" s="872"/>
      <c r="D33" s="872"/>
      <c r="E33" s="872"/>
      <c r="F33" s="872"/>
      <c r="G33" s="872"/>
      <c r="H33" s="697"/>
    </row>
    <row r="34" spans="1:8" s="469" customFormat="1" ht="17.7" customHeight="1">
      <c r="A34" s="470"/>
      <c r="B34" s="471"/>
      <c r="C34" s="471"/>
      <c r="D34" s="471"/>
      <c r="E34" s="468"/>
      <c r="F34" s="468"/>
      <c r="G34" s="468"/>
      <c r="H34" s="468"/>
    </row>
    <row r="35" spans="1:8" s="38" customFormat="1" ht="14.25" customHeight="1">
      <c r="A35" s="871" t="s">
        <v>546</v>
      </c>
      <c r="B35" s="871"/>
      <c r="C35" s="871"/>
      <c r="D35" s="871"/>
      <c r="E35" s="871"/>
      <c r="F35" s="871"/>
      <c r="G35" s="871"/>
      <c r="H35" s="696"/>
    </row>
    <row r="36" spans="1:8" s="38" customFormat="1">
      <c r="A36" s="871"/>
      <c r="B36" s="871"/>
      <c r="C36" s="871"/>
      <c r="D36" s="871"/>
      <c r="E36" s="871"/>
      <c r="F36" s="871"/>
      <c r="G36" s="871"/>
      <c r="H36" s="696"/>
    </row>
    <row r="37" spans="1:8" s="38" customFormat="1">
      <c r="A37" s="871"/>
      <c r="B37" s="871"/>
      <c r="C37" s="871"/>
      <c r="D37" s="871"/>
      <c r="E37" s="871"/>
      <c r="F37" s="871"/>
      <c r="G37" s="871"/>
      <c r="H37" s="696"/>
    </row>
    <row r="38" spans="1:8" s="38" customFormat="1">
      <c r="A38" s="871"/>
      <c r="B38" s="871"/>
      <c r="C38" s="871"/>
      <c r="D38" s="871"/>
      <c r="E38" s="871"/>
      <c r="F38" s="871"/>
      <c r="G38" s="871"/>
      <c r="H38" s="696"/>
    </row>
    <row r="39" spans="1:8" s="38" customFormat="1">
      <c r="A39" s="871"/>
      <c r="B39" s="871"/>
      <c r="C39" s="871"/>
      <c r="D39" s="871"/>
      <c r="E39" s="871"/>
      <c r="F39" s="871"/>
      <c r="G39" s="65"/>
      <c r="H39" s="65"/>
    </row>
    <row r="40" spans="1:8" s="38" customFormat="1" ht="125.55" customHeight="1">
      <c r="A40" s="858" t="s">
        <v>696</v>
      </c>
      <c r="B40" s="858"/>
      <c r="C40" s="858"/>
      <c r="D40" s="858"/>
      <c r="E40" s="858"/>
      <c r="F40" s="858"/>
      <c r="G40" s="858"/>
      <c r="H40" s="695"/>
    </row>
  </sheetData>
  <sheetProtection algorithmName="SHA-512" hashValue="fhi3DdtZD7rK91k14jv5SjkmvPd1nzgAvqmViyfrH8Yj8wsfDRp6VF2VEw9LoGk+JVLk874IWg2QUNRJ9UuOvQ==" saltValue="NDZkl/67o3LHYZJfPR1ang==" spinCount="100000" sheet="1" objects="1" scenarios="1"/>
  <mergeCells count="12">
    <mergeCell ref="A2:H2"/>
    <mergeCell ref="A3:H3"/>
    <mergeCell ref="A40:G40"/>
    <mergeCell ref="A4:A6"/>
    <mergeCell ref="C4:C5"/>
    <mergeCell ref="D4:D5"/>
    <mergeCell ref="A39:F39"/>
    <mergeCell ref="A27:G27"/>
    <mergeCell ref="A29:G29"/>
    <mergeCell ref="A31:G31"/>
    <mergeCell ref="A33:G33"/>
    <mergeCell ref="A35:G38"/>
  </mergeCells>
  <phoneticPr fontId="31" type="noConversion"/>
  <printOptions horizontalCentered="1" verticalCentered="1"/>
  <pageMargins left="0.59055118110236227" right="0.39370078740157483" top="0.19685039370078741" bottom="0.19685039370078741" header="0" footer="0"/>
  <pageSetup scale="8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T39"/>
  <sheetViews>
    <sheetView showGridLines="0" zoomScale="70" zoomScaleNormal="70" workbookViewId="0">
      <selection activeCell="I12" sqref="I12"/>
    </sheetView>
  </sheetViews>
  <sheetFormatPr baseColWidth="10" defaultColWidth="9.88671875" defaultRowHeight="13.8"/>
  <cols>
    <col min="1" max="1" width="9.88671875" style="10"/>
    <col min="2" max="2" width="47.88671875" style="10" customWidth="1"/>
    <col min="3" max="5" width="23.88671875" style="10" customWidth="1"/>
    <col min="6" max="6" width="24.77734375" style="10" customWidth="1"/>
    <col min="7" max="7" width="25.109375" style="281" hidden="1" customWidth="1"/>
    <col min="8" max="8" width="23.109375" style="10" customWidth="1"/>
    <col min="9" max="9" width="22.21875" style="281" customWidth="1"/>
    <col min="10" max="10" width="15.21875" style="10" bestFit="1" customWidth="1"/>
    <col min="11" max="16384" width="9.88671875" style="10"/>
  </cols>
  <sheetData>
    <row r="1" spans="2:17" s="41" customFormat="1" ht="20.100000000000001" customHeight="1">
      <c r="B1" s="873" t="s">
        <v>13</v>
      </c>
      <c r="C1" s="873"/>
      <c r="D1" s="873"/>
      <c r="E1" s="873"/>
      <c r="F1" s="873"/>
      <c r="G1" s="873"/>
      <c r="H1" s="873"/>
      <c r="J1" s="874" t="s">
        <v>573</v>
      </c>
      <c r="K1" s="874"/>
      <c r="L1" s="874"/>
      <c r="M1" s="874"/>
      <c r="N1" s="874"/>
      <c r="O1" s="528"/>
    </row>
    <row r="2" spans="2:17" s="41" customFormat="1" ht="20.100000000000001" customHeight="1">
      <c r="B2" s="873" t="s">
        <v>630</v>
      </c>
      <c r="C2" s="873"/>
      <c r="D2" s="873"/>
      <c r="E2" s="873"/>
      <c r="F2" s="873"/>
      <c r="G2" s="873"/>
      <c r="H2" s="873"/>
      <c r="J2" s="874"/>
      <c r="K2" s="874"/>
      <c r="L2" s="874"/>
      <c r="M2" s="874"/>
      <c r="N2" s="874"/>
      <c r="O2" s="528"/>
    </row>
    <row r="3" spans="2:17" s="41" customFormat="1" ht="20.399999999999999">
      <c r="B3" s="873" t="s">
        <v>14</v>
      </c>
      <c r="C3" s="873"/>
      <c r="D3" s="873"/>
      <c r="E3" s="873"/>
      <c r="F3" s="873"/>
      <c r="G3" s="873"/>
      <c r="H3" s="873"/>
      <c r="J3" s="528"/>
      <c r="K3" s="528"/>
      <c r="L3" s="528"/>
      <c r="M3" s="528"/>
      <c r="N3" s="528"/>
      <c r="O3" s="528"/>
    </row>
    <row r="4" spans="2:17">
      <c r="B4" s="24"/>
      <c r="C4" s="24"/>
      <c r="D4" s="24"/>
      <c r="E4" s="24"/>
      <c r="J4" s="737">
        <v>0</v>
      </c>
      <c r="K4" s="529" t="s">
        <v>571</v>
      </c>
      <c r="L4" s="529"/>
      <c r="M4" s="529"/>
      <c r="N4" s="529"/>
    </row>
    <row r="5" spans="2:17" ht="14.4" thickBot="1">
      <c r="B5" s="33"/>
      <c r="J5" s="737">
        <v>0</v>
      </c>
      <c r="K5" s="529" t="s">
        <v>572</v>
      </c>
      <c r="L5" s="529"/>
      <c r="M5" s="529"/>
      <c r="N5" s="529"/>
    </row>
    <row r="6" spans="2:17" ht="45.15" customHeight="1" thickTop="1">
      <c r="B6" s="78" t="s">
        <v>15</v>
      </c>
      <c r="C6" s="79" t="s">
        <v>16</v>
      </c>
      <c r="D6" s="79" t="s">
        <v>17</v>
      </c>
      <c r="E6" s="79" t="s">
        <v>18</v>
      </c>
      <c r="F6" s="80" t="s">
        <v>301</v>
      </c>
      <c r="G6" s="80" t="s">
        <v>682</v>
      </c>
      <c r="H6" s="80" t="s">
        <v>161</v>
      </c>
      <c r="Q6" s="641"/>
    </row>
    <row r="7" spans="2:17" ht="30.3" customHeight="1" thickBot="1">
      <c r="B7" s="98"/>
      <c r="C7" s="55" t="str">
        <f>+'COMBUSTIBLES '!B6</f>
        <v>01 DE AGOSTO 2022</v>
      </c>
      <c r="D7" s="55" t="str">
        <f>+C7</f>
        <v>01 DE AGOSTO 2022</v>
      </c>
      <c r="E7" s="55" t="str">
        <f>+D7</f>
        <v>01 DE AGOSTO 2022</v>
      </c>
      <c r="F7" s="56" t="str">
        <f>+E7</f>
        <v>01 DE AGOSTO 2022</v>
      </c>
      <c r="G7" s="56" t="str">
        <f>+E7</f>
        <v>01 DE AGOSTO 2022</v>
      </c>
      <c r="H7" s="56" t="str">
        <f>+F7</f>
        <v>01 DE AGOSTO 2022</v>
      </c>
      <c r="I7" s="77"/>
    </row>
    <row r="8" spans="2:17" ht="27.15" customHeight="1" thickTop="1">
      <c r="B8" s="95" t="s">
        <v>19</v>
      </c>
      <c r="C8" s="96">
        <f>'COMBUSTIBLES '!B7-J4</f>
        <v>5064.8</v>
      </c>
      <c r="D8" s="96">
        <f>'COMBUSTIBLES '!D7</f>
        <v>13016</v>
      </c>
      <c r="E8" s="96">
        <f>'COMBUSTIBLES '!E7-J5</f>
        <v>4330.45</v>
      </c>
      <c r="F8" s="97">
        <f>+(E8*98%)+BIODIESEL!E9</f>
        <v>4705.8109999999997</v>
      </c>
      <c r="G8" s="715">
        <f>+(E8*97%)+BIODIESEL!F9</f>
        <v>4893.4975000000004</v>
      </c>
      <c r="H8" s="702">
        <f>+(E8*90%)+BIODIESEL!B7*0.1</f>
        <v>6207.2739999999994</v>
      </c>
      <c r="I8" s="77"/>
    </row>
    <row r="9" spans="2:17" ht="27.15" customHeight="1">
      <c r="B9" s="327" t="s">
        <v>212</v>
      </c>
      <c r="C9" s="82" t="s">
        <v>48</v>
      </c>
      <c r="D9" s="82" t="str">
        <f>+C9</f>
        <v>(*****)</v>
      </c>
      <c r="E9" s="82" t="str">
        <f>+C9</f>
        <v>(*****)</v>
      </c>
      <c r="F9" s="83" t="str">
        <f>+D9</f>
        <v>(*****)</v>
      </c>
      <c r="G9" s="716" t="str">
        <f>+F9</f>
        <v>(*****)</v>
      </c>
      <c r="H9" s="86" t="s">
        <v>48</v>
      </c>
      <c r="I9" s="77"/>
      <c r="K9" s="281"/>
      <c r="L9" s="281"/>
    </row>
    <row r="10" spans="2:17" ht="27.15" customHeight="1">
      <c r="B10" s="81" t="s">
        <v>246</v>
      </c>
      <c r="C10" s="82">
        <f>+'COMBUSTIBLES '!B8</f>
        <v>8.6314000000000011</v>
      </c>
      <c r="D10" s="82">
        <f>+C10</f>
        <v>8.6314000000000011</v>
      </c>
      <c r="E10" s="82">
        <f>+'COMBUSTIBLES '!E8</f>
        <v>8.6314000000000011</v>
      </c>
      <c r="F10" s="83">
        <f>+BIODIESEL!F14</f>
        <v>8.6314000000000011</v>
      </c>
      <c r="G10" s="716">
        <f>+F10</f>
        <v>8.6314000000000011</v>
      </c>
      <c r="H10" s="86">
        <f>+F10</f>
        <v>8.6314000000000011</v>
      </c>
      <c r="I10" s="77"/>
    </row>
    <row r="11" spans="2:17" ht="27.15" hidden="1" customHeight="1">
      <c r="B11" s="84" t="s">
        <v>213</v>
      </c>
      <c r="C11" s="82">
        <f>'COMBUSTIBLES '!B10</f>
        <v>0</v>
      </c>
      <c r="D11" s="82">
        <f>'COMBUSTIBLES '!B10</f>
        <v>0</v>
      </c>
      <c r="E11" s="82">
        <f>'COMBUSTIBLES '!E10</f>
        <v>0</v>
      </c>
      <c r="F11" s="83">
        <f>+E11</f>
        <v>0</v>
      </c>
      <c r="G11" s="716"/>
      <c r="H11" s="86">
        <v>0</v>
      </c>
      <c r="I11" s="77"/>
      <c r="J11" s="328">
        <f>+E8*0.98</f>
        <v>4243.8409999999994</v>
      </c>
    </row>
    <row r="12" spans="2:17" ht="27.15" customHeight="1">
      <c r="B12" s="81" t="s">
        <v>290</v>
      </c>
      <c r="C12" s="82">
        <f>Variables!C24</f>
        <v>1154.83</v>
      </c>
      <c r="D12" s="82">
        <f>Variables!C25</f>
        <v>1221.92</v>
      </c>
      <c r="E12" s="82">
        <f>Variables!C34</f>
        <v>765.13</v>
      </c>
      <c r="F12" s="83">
        <f>E12*98%</f>
        <v>749.82740000000001</v>
      </c>
      <c r="G12" s="716">
        <f>E12*97%</f>
        <v>742.17610000000002</v>
      </c>
      <c r="H12" s="86">
        <f>+E12*0.9</f>
        <v>688.61699999999996</v>
      </c>
      <c r="I12" s="77"/>
      <c r="J12" s="518">
        <f>+BIODIESEL!E9</f>
        <v>461.97</v>
      </c>
    </row>
    <row r="13" spans="2:17" s="281" customFormat="1" ht="27.15" customHeight="1">
      <c r="B13" s="81" t="s">
        <v>236</v>
      </c>
      <c r="C13" s="85"/>
      <c r="D13" s="85"/>
      <c r="E13" s="85"/>
      <c r="F13" s="86"/>
      <c r="G13" s="716"/>
      <c r="H13" s="86"/>
      <c r="I13" s="77"/>
      <c r="J13" s="518">
        <f>+J11+J12</f>
        <v>4705.8109999999997</v>
      </c>
    </row>
    <row r="14" spans="2:17" s="281" customFormat="1" ht="27.15" customHeight="1">
      <c r="B14" s="81" t="s">
        <v>277</v>
      </c>
      <c r="C14" s="85">
        <f>'COMBUSTIBLES '!B13</f>
        <v>169</v>
      </c>
      <c r="D14" s="85">
        <f>'COMBUSTIBLES '!C13</f>
        <v>169</v>
      </c>
      <c r="E14" s="85">
        <f>'COMBUSTIBLES '!E13</f>
        <v>191</v>
      </c>
      <c r="F14" s="86">
        <f>+BIODIESEL!E13</f>
        <v>187.18</v>
      </c>
      <c r="G14" s="716">
        <f>+BIODIESEL!F13</f>
        <v>185.27</v>
      </c>
      <c r="H14" s="86">
        <f>+BIODIESEL!D13*0.9</f>
        <v>171.9</v>
      </c>
      <c r="I14" s="77"/>
    </row>
    <row r="15" spans="2:17" ht="44.55" customHeight="1">
      <c r="B15" s="87" t="s">
        <v>22</v>
      </c>
      <c r="C15" s="88">
        <f t="shared" ref="C15:H15" si="0">SUM(C8:C14)</f>
        <v>6397.2614000000003</v>
      </c>
      <c r="D15" s="88">
        <f t="shared" si="0"/>
        <v>14415.5514</v>
      </c>
      <c r="E15" s="88">
        <f t="shared" si="0"/>
        <v>5295.2114000000001</v>
      </c>
      <c r="F15" s="89">
        <f t="shared" si="0"/>
        <v>5651.4498000000003</v>
      </c>
      <c r="G15" s="89">
        <f t="shared" si="0"/>
        <v>5829.5750000000007</v>
      </c>
      <c r="H15" s="89">
        <f t="shared" si="0"/>
        <v>7076.4223999999995</v>
      </c>
      <c r="I15" s="77"/>
      <c r="J15"/>
      <c r="K15"/>
    </row>
    <row r="16" spans="2:17" ht="32.25" customHeight="1">
      <c r="B16" s="81" t="s">
        <v>4</v>
      </c>
      <c r="C16" s="90" t="s">
        <v>12</v>
      </c>
      <c r="D16" s="82"/>
      <c r="E16" s="90" t="str">
        <f>+C16</f>
        <v>(**)</v>
      </c>
      <c r="F16" s="91" t="str">
        <f t="shared" ref="F16:G18" si="1">+E16</f>
        <v>(**)</v>
      </c>
      <c r="G16" s="91" t="str">
        <f t="shared" si="1"/>
        <v>(**)</v>
      </c>
      <c r="H16" s="703" t="s">
        <v>12</v>
      </c>
      <c r="I16" s="77"/>
      <c r="J16"/>
    </row>
    <row r="17" spans="2:20" s="34" customFormat="1" ht="29.25" customHeight="1">
      <c r="B17" s="116" t="s">
        <v>217</v>
      </c>
      <c r="C17" s="90" t="s">
        <v>21</v>
      </c>
      <c r="D17" s="90" t="str">
        <f>+C17</f>
        <v>(***)</v>
      </c>
      <c r="E17" s="90" t="str">
        <f>+D17</f>
        <v>(***)</v>
      </c>
      <c r="F17" s="91" t="str">
        <f t="shared" si="1"/>
        <v>(***)</v>
      </c>
      <c r="G17" s="91" t="str">
        <f t="shared" si="1"/>
        <v>(***)</v>
      </c>
      <c r="H17" s="703" t="s">
        <v>21</v>
      </c>
      <c r="I17" s="77"/>
      <c r="T17" s="13"/>
    </row>
    <row r="18" spans="2:20" s="281" customFormat="1" ht="30.3" customHeight="1" thickBot="1">
      <c r="B18" s="92" t="s">
        <v>192</v>
      </c>
      <c r="C18" s="93" t="s">
        <v>199</v>
      </c>
      <c r="D18" s="93" t="str">
        <f>+C18</f>
        <v>(****)</v>
      </c>
      <c r="E18" s="93" t="str">
        <f>+D18</f>
        <v>(****)</v>
      </c>
      <c r="F18" s="94" t="str">
        <f t="shared" si="1"/>
        <v>(****)</v>
      </c>
      <c r="G18" s="94" t="str">
        <f t="shared" si="1"/>
        <v>(****)</v>
      </c>
      <c r="H18" s="704" t="s">
        <v>199</v>
      </c>
      <c r="I18" s="77"/>
    </row>
    <row r="19" spans="2:20" ht="14.4" thickTop="1">
      <c r="F19" s="13"/>
      <c r="G19" s="713"/>
    </row>
    <row r="20" spans="2:20" s="77" customFormat="1" ht="40.799999999999997" customHeight="1">
      <c r="B20" s="875" t="s">
        <v>211</v>
      </c>
      <c r="C20" s="875"/>
      <c r="D20" s="875"/>
      <c r="E20" s="875"/>
    </row>
    <row r="21" spans="2:20" s="77" customFormat="1" ht="24" customHeight="1">
      <c r="B21" s="876" t="s">
        <v>245</v>
      </c>
      <c r="C21" s="876"/>
      <c r="D21" s="876"/>
      <c r="E21" s="876"/>
    </row>
    <row r="22" spans="2:20" s="77" customFormat="1" ht="5.4" customHeight="1">
      <c r="B22" s="293"/>
      <c r="C22" s="293"/>
      <c r="D22" s="293"/>
      <c r="E22" s="293"/>
    </row>
    <row r="23" spans="2:20" s="77" customFormat="1" ht="17.55" customHeight="1">
      <c r="B23" s="875" t="s">
        <v>214</v>
      </c>
      <c r="C23" s="875"/>
      <c r="D23" s="875"/>
      <c r="E23" s="875"/>
    </row>
    <row r="24" spans="2:20" s="77" customFormat="1" ht="3.75" customHeight="1">
      <c r="B24" s="282"/>
      <c r="C24" s="282"/>
      <c r="D24" s="282"/>
      <c r="E24" s="282"/>
    </row>
    <row r="25" spans="2:20" s="77" customFormat="1" ht="17.55" customHeight="1">
      <c r="B25" s="875" t="s">
        <v>229</v>
      </c>
      <c r="C25" s="875"/>
      <c r="D25" s="875"/>
      <c r="E25" s="875"/>
    </row>
    <row r="26" spans="2:20" s="77" customFormat="1" ht="8.5500000000000007" customHeight="1">
      <c r="B26" s="282"/>
      <c r="C26" s="282"/>
      <c r="D26" s="282"/>
      <c r="E26" s="282"/>
    </row>
    <row r="27" spans="2:20" s="77" customFormat="1" ht="25.5" customHeight="1">
      <c r="B27" s="875" t="s">
        <v>215</v>
      </c>
      <c r="C27" s="875"/>
      <c r="D27" s="875"/>
      <c r="E27" s="875"/>
      <c r="F27" s="875"/>
    </row>
    <row r="28" spans="2:20" ht="7.5" customHeight="1">
      <c r="B28" s="284"/>
      <c r="C28" s="284"/>
      <c r="D28" s="284"/>
      <c r="E28" s="284"/>
    </row>
    <row r="29" spans="2:20" s="281" customFormat="1" ht="45.75" customHeight="1">
      <c r="B29" s="827" t="s">
        <v>259</v>
      </c>
      <c r="C29" s="827"/>
      <c r="D29" s="827"/>
      <c r="E29" s="827"/>
      <c r="F29" s="827"/>
    </row>
    <row r="30" spans="2:20" ht="11.25" customHeight="1"/>
    <row r="31" spans="2:20">
      <c r="B31" s="876" t="s">
        <v>247</v>
      </c>
      <c r="C31" s="876"/>
      <c r="D31" s="876"/>
      <c r="E31" s="876"/>
    </row>
    <row r="33" spans="2:8" s="281" customFormat="1">
      <c r="B33" s="396"/>
      <c r="C33" s="396"/>
      <c r="D33" s="396"/>
      <c r="E33" s="396"/>
    </row>
    <row r="34" spans="2:8" ht="94.05" customHeight="1">
      <c r="B34" s="877" t="s">
        <v>695</v>
      </c>
      <c r="C34" s="877"/>
      <c r="D34" s="877"/>
      <c r="E34" s="877"/>
      <c r="F34" s="877"/>
      <c r="G34" s="877"/>
      <c r="H34" s="877"/>
    </row>
    <row r="39" spans="2:8">
      <c r="B39" s="871"/>
      <c r="C39" s="871"/>
      <c r="D39" s="871"/>
      <c r="E39" s="871"/>
    </row>
  </sheetData>
  <sheetProtection algorithmName="SHA-512" hashValue="seGpp4or332REH/6WOhW4qj8uCpGciXlJVi+brCJCU1Im6NvauNT2wcgt9eAwIeRsKmFfBdBah7h41K+vXpE3w==" saltValue="9NeHP2F+51+umew6QtAl3Q==" spinCount="100000" sheet="1" objects="1" scenarios="1"/>
  <mergeCells count="13">
    <mergeCell ref="B29:F29"/>
    <mergeCell ref="B3:H3"/>
    <mergeCell ref="J1:N2"/>
    <mergeCell ref="B39:E39"/>
    <mergeCell ref="B20:E20"/>
    <mergeCell ref="B21:E21"/>
    <mergeCell ref="B31:E31"/>
    <mergeCell ref="B23:E23"/>
    <mergeCell ref="B25:E25"/>
    <mergeCell ref="B1:H1"/>
    <mergeCell ref="B2:H2"/>
    <mergeCell ref="B34:H34"/>
    <mergeCell ref="B27:F27"/>
  </mergeCells>
  <phoneticPr fontId="31"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SP</vt:lpstr>
      <vt:lpstr>Variables</vt:lpstr>
      <vt:lpstr>TARIFAS DE TRANSPORTE</vt:lpstr>
      <vt:lpstr>Resoluciones, leyes</vt:lpstr>
      <vt:lpstr>COMBUSTIBLES </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2022-08-04T19:13:13Z</dcterms:modified>
</cp:coreProperties>
</file>