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527"/>
  <workbookPr codeName="ThisWorkbook"/>
  <mc:AlternateContent xmlns:mc="http://schemas.openxmlformats.org/markup-compatibility/2006">
    <mc:Choice Requires="x15">
      <x15ac:absPath xmlns:x15ac="http://schemas.microsoft.com/office/spreadsheetml/2010/11/ac" url="https://ecopetrol-my.sharepoint.com/personal/fabian_cardona_ecopetrol_com_co/Documents/Documentos/3- Precios CRUDOS - PRODUCTOS/0- REGULADOS Y NO REGULADOS/0- 2022/Publicacion/Publicacion 01 Enero 2022/"/>
    </mc:Choice>
  </mc:AlternateContent>
  <xr:revisionPtr revIDLastSave="2693" documentId="8_{965459BF-C611-4183-B5E8-4156ED93EA57}" xr6:coauthVersionLast="47" xr6:coauthVersionMax="47" xr10:uidLastSave="{4E3C81C8-9FB3-4FB9-B91C-594046A154DA}"/>
  <bookViews>
    <workbookView xWindow="-110" yWindow="-110" windowWidth="19420" windowHeight="10420" tabRatio="965" firstSheet="8" activeTab="15" xr2:uid="{00000000-000D-0000-FFFF-FFFF00000000}"/>
  </bookViews>
  <sheets>
    <sheet name="RUBROS" sheetId="2" state="hidden" r:id="rId1"/>
    <sheet name="Tma" sheetId="38" state="hidden" r:id="rId2"/>
    <sheet name="SP" sheetId="1" state="hidden" r:id="rId3"/>
    <sheet name="Calculo IP ZDF" sheetId="3" state="hidden" r:id="rId4"/>
    <sheet name="COMBUSTIBLES" sheetId="4" state="hidden" r:id="rId5"/>
    <sheet name="GAS CTE" sheetId="5" state="hidden" r:id="rId6"/>
    <sheet name="GAS EXTRA" sheetId="6" state="hidden" r:id="rId7"/>
    <sheet name="BIODIESEL" sheetId="7" state="hidden" r:id="rId8"/>
    <sheet name="AMAZONAS" sheetId="9" r:id="rId9"/>
    <sheet name="ARAUCA" sheetId="10" r:id="rId10"/>
    <sheet name="BOYACA" sheetId="11" r:id="rId11"/>
    <sheet name="CESAR" sheetId="12" r:id="rId12"/>
    <sheet name="CHOCO" sheetId="15" r:id="rId13"/>
    <sheet name="GUAINIA" sheetId="17" r:id="rId14"/>
    <sheet name="LA GUAJIRA" sheetId="19" r:id="rId15"/>
    <sheet name="NARIÑO" sheetId="20" r:id="rId16"/>
    <sheet name="NORTE SANTANDER" sheetId="21" r:id="rId17"/>
    <sheet name="PUTUMAYO" sheetId="34" r:id="rId18"/>
    <sheet name="VAUPES" sheetId="23" r:id="rId19"/>
    <sheet name="VICHADA" sheetId="28" r:id="rId20"/>
    <sheet name="ELECTROCOMBUSTIBLE" sheetId="24" r:id="rId21"/>
    <sheet name="BI ECP " sheetId="30" state="hidden" r:id="rId22"/>
    <sheet name="BI REFICAR" sheetId="29" state="hidden" r:id="rId23"/>
  </sheets>
  <externalReferences>
    <externalReference r:id="rId24"/>
    <externalReference r:id="rId25"/>
    <externalReference r:id="rId26"/>
    <externalReference r:id="rId27"/>
    <externalReference r:id="rId28"/>
    <externalReference r:id="rId29"/>
  </externalReferences>
  <definedNames>
    <definedName name="\A" localSheetId="2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8">#REF!</definedName>
    <definedName name="\A" localSheetId="19">#REF!</definedName>
    <definedName name="\A">#REF!</definedName>
    <definedName name="\L" localSheetId="21">#REF!</definedName>
    <definedName name="\L" localSheetId="12">#REF!</definedName>
    <definedName name="\L" localSheetId="13">#REF!</definedName>
    <definedName name="\L" localSheetId="14">#REF!</definedName>
    <definedName name="\L" localSheetId="15">#REF!</definedName>
    <definedName name="\L" localSheetId="16">#REF!</definedName>
    <definedName name="\L" localSheetId="17">#REF!</definedName>
    <definedName name="\L" localSheetId="18">#REF!</definedName>
    <definedName name="\L" localSheetId="19">#REF!</definedName>
    <definedName name="\L">#REF!</definedName>
    <definedName name="\P" localSheetId="21">#REF!</definedName>
    <definedName name="\P" localSheetId="12">#REF!</definedName>
    <definedName name="\P" localSheetId="13">#REF!</definedName>
    <definedName name="\P" localSheetId="14">#REF!</definedName>
    <definedName name="\P" localSheetId="15">#REF!</definedName>
    <definedName name="\P" localSheetId="16">#REF!</definedName>
    <definedName name="\P" localSheetId="17">#REF!</definedName>
    <definedName name="\P" localSheetId="18">#REF!</definedName>
    <definedName name="\P" localSheetId="19">#REF!</definedName>
    <definedName name="\P">#REF!</definedName>
    <definedName name="_xlnm._FilterDatabase" localSheetId="21" hidden="1">'BI ECP '!$A$1:$V$46</definedName>
    <definedName name="_xlnm._FilterDatabase" localSheetId="22" hidden="1">'BI REFICAR'!$A$1:$Y$22</definedName>
    <definedName name="a" localSheetId="21">[1]TARIF2002!#REF!</definedName>
    <definedName name="a" localSheetId="12">[1]TARIF2002!#REF!</definedName>
    <definedName name="a" localSheetId="13">[1]TARIF2002!#REF!</definedName>
    <definedName name="a" localSheetId="14">[1]TARIF2002!#REF!</definedName>
    <definedName name="a" localSheetId="15">[1]TARIF2002!#REF!</definedName>
    <definedName name="a" localSheetId="16">[1]TARIF2002!#REF!</definedName>
    <definedName name="a" localSheetId="17">[1]TARIF2002!#REF!</definedName>
    <definedName name="a" localSheetId="18">[1]TARIF2002!#REF!</definedName>
    <definedName name="a" localSheetId="19">[1]TARIF2002!#REF!</definedName>
    <definedName name="a">[1]TARIF2002!#REF!</definedName>
    <definedName name="A_IMPRESIÓN_IM" localSheetId="21">#REF!</definedName>
    <definedName name="A_IMPRESIÓN_IM" localSheetId="12">#REF!</definedName>
    <definedName name="A_IMPRESIÓN_IM" localSheetId="13">#REF!</definedName>
    <definedName name="A_IMPRESIÓN_IM" localSheetId="14">#REF!</definedName>
    <definedName name="A_IMPRESIÓN_IM" localSheetId="15">#REF!</definedName>
    <definedName name="A_IMPRESIÓN_IM" localSheetId="16">#REF!</definedName>
    <definedName name="A_IMPRESIÓN_IM" localSheetId="17">#REF!</definedName>
    <definedName name="A_IMPRESIÓN_IM" localSheetId="18">#REF!</definedName>
    <definedName name="A_IMPRESIÓN_IM" localSheetId="19">#REF!</definedName>
    <definedName name="A_IMPRESIÓN_IM">#REF!</definedName>
    <definedName name="aa" localSheetId="21">#REF!</definedName>
    <definedName name="aa" localSheetId="17">#REF!</definedName>
    <definedName name="aa" localSheetId="18">#REF!</definedName>
    <definedName name="aa" localSheetId="19">#REF!</definedName>
    <definedName name="aa">#REF!</definedName>
    <definedName name="ADI" localSheetId="21">#REF!</definedName>
    <definedName name="ADI" localSheetId="12">#REF!</definedName>
    <definedName name="ADI" localSheetId="13">#REF!</definedName>
    <definedName name="ADI" localSheetId="14">#REF!</definedName>
    <definedName name="ADI" localSheetId="15">#REF!</definedName>
    <definedName name="ADI" localSheetId="16">#REF!</definedName>
    <definedName name="ADI" localSheetId="17">#REF!</definedName>
    <definedName name="ADI" localSheetId="18">#REF!</definedName>
    <definedName name="ADI" localSheetId="19">#REF!</definedName>
    <definedName name="ADI">#REF!</definedName>
    <definedName name="B102T5">RUBROS!$B$102</definedName>
    <definedName name="base" localSheetId="21">#REF!</definedName>
    <definedName name="base" localSheetId="12">#REF!</definedName>
    <definedName name="base" localSheetId="13">#REF!</definedName>
    <definedName name="base" localSheetId="14">#REF!</definedName>
    <definedName name="base" localSheetId="15">#REF!</definedName>
    <definedName name="base" localSheetId="16">#REF!</definedName>
    <definedName name="base" localSheetId="17">#REF!</definedName>
    <definedName name="base" localSheetId="18">#REF!</definedName>
    <definedName name="base" localSheetId="19">#REF!</definedName>
    <definedName name="base">#REF!</definedName>
    <definedName name="base_VaR" localSheetId="21">#REF!</definedName>
    <definedName name="base_VaR" localSheetId="12">#REF!</definedName>
    <definedName name="base_VaR" localSheetId="13">#REF!</definedName>
    <definedName name="base_VaR" localSheetId="14">#REF!</definedName>
    <definedName name="base_VaR" localSheetId="15">#REF!</definedName>
    <definedName name="base_VaR" localSheetId="16">#REF!</definedName>
    <definedName name="base_VaR" localSheetId="17">#REF!</definedName>
    <definedName name="base_VaR" localSheetId="18">#REF!</definedName>
    <definedName name="base_VaR" localSheetId="19">#REF!</definedName>
    <definedName name="base_VaR">#REF!</definedName>
    <definedName name="cc" localSheetId="21">#REF!</definedName>
    <definedName name="cc" localSheetId="17">#REF!</definedName>
    <definedName name="cc" localSheetId="18">#REF!</definedName>
    <definedName name="cc" localSheetId="19">#REF!</definedName>
    <definedName name="cc">#REF!</definedName>
    <definedName name="CONTADO" localSheetId="21">#REF!</definedName>
    <definedName name="CONTADO" localSheetId="12">#REF!</definedName>
    <definedName name="CONTADO" localSheetId="13">#REF!</definedName>
    <definedName name="CONTADO" localSheetId="14">#REF!</definedName>
    <definedName name="CONTADO" localSheetId="15">#REF!</definedName>
    <definedName name="CONTADO" localSheetId="16">#REF!</definedName>
    <definedName name="CONTADO" localSheetId="17">#REF!</definedName>
    <definedName name="CONTADO" localSheetId="18">#REF!</definedName>
    <definedName name="CONTADO" localSheetId="19">#REF!</definedName>
    <definedName name="CONTADO">#REF!</definedName>
    <definedName name="CREDITO" localSheetId="21">#REF!</definedName>
    <definedName name="CREDITO" localSheetId="12">#REF!</definedName>
    <definedName name="CREDITO" localSheetId="13">#REF!</definedName>
    <definedName name="CREDITO" localSheetId="14">#REF!</definedName>
    <definedName name="CREDITO" localSheetId="15">#REF!</definedName>
    <definedName name="CREDITO" localSheetId="16">#REF!</definedName>
    <definedName name="CREDITO" localSheetId="17">#REF!</definedName>
    <definedName name="CREDITO" localSheetId="18">#REF!</definedName>
    <definedName name="CREDITO" localSheetId="19">#REF!</definedName>
    <definedName name="CREDITO">#REF!</definedName>
    <definedName name="DAT" localSheetId="21">#REF!</definedName>
    <definedName name="DAT" localSheetId="12">#REF!</definedName>
    <definedName name="DAT" localSheetId="13">#REF!</definedName>
    <definedName name="DAT" localSheetId="14">#REF!</definedName>
    <definedName name="DAT" localSheetId="15">#REF!</definedName>
    <definedName name="DAT" localSheetId="16">#REF!</definedName>
    <definedName name="DAT" localSheetId="17">#REF!</definedName>
    <definedName name="DAT" localSheetId="18">#REF!</definedName>
    <definedName name="DAT" localSheetId="19">#REF!</definedName>
    <definedName name="DAT">#REF!</definedName>
    <definedName name="dd" localSheetId="21">#REF!</definedName>
    <definedName name="dd" localSheetId="17">#REF!</definedName>
    <definedName name="dd" localSheetId="18">#REF!</definedName>
    <definedName name="dd" localSheetId="19">#REF!</definedName>
    <definedName name="dd">#REF!</definedName>
    <definedName name="E_03" localSheetId="21">#REF!</definedName>
    <definedName name="E_03" localSheetId="12">#REF!</definedName>
    <definedName name="E_03" localSheetId="13">#REF!</definedName>
    <definedName name="E_03" localSheetId="14">#REF!</definedName>
    <definedName name="E_03" localSheetId="15">#REF!</definedName>
    <definedName name="E_03" localSheetId="16">#REF!</definedName>
    <definedName name="E_03" localSheetId="17">#REF!</definedName>
    <definedName name="E_03" localSheetId="18">#REF!</definedName>
    <definedName name="E_03" localSheetId="19">#REF!</definedName>
    <definedName name="E_03">#REF!</definedName>
    <definedName name="ee" localSheetId="21">#REF!</definedName>
    <definedName name="ee" localSheetId="17">#REF!</definedName>
    <definedName name="ee" localSheetId="18">#REF!</definedName>
    <definedName name="ee" localSheetId="19">#REF!</definedName>
    <definedName name="ee">#REF!</definedName>
    <definedName name="ERR" localSheetId="21">[2]TARIF2002!#REF!</definedName>
    <definedName name="ERR" localSheetId="12">[2]TARIF2002!#REF!</definedName>
    <definedName name="ERR" localSheetId="13">[2]TARIF2002!#REF!</definedName>
    <definedName name="ERR" localSheetId="14">[2]TARIF2002!#REF!</definedName>
    <definedName name="ERR" localSheetId="15">[2]TARIF2002!#REF!</definedName>
    <definedName name="ERR" localSheetId="16">[2]TARIF2002!#REF!</definedName>
    <definedName name="ERR" localSheetId="17">[2]TARIF2002!#REF!</definedName>
    <definedName name="ERR" localSheetId="18">[2]TARIF2002!#REF!</definedName>
    <definedName name="ERR" localSheetId="19">[2]TARIF2002!#REF!</definedName>
    <definedName name="ERR">[2]TARIF2002!#REF!</definedName>
    <definedName name="ERROR" localSheetId="21">#REF!</definedName>
    <definedName name="ERROR" localSheetId="12">#REF!</definedName>
    <definedName name="ERROR" localSheetId="13">#REF!</definedName>
    <definedName name="ERROR" localSheetId="14">#REF!</definedName>
    <definedName name="ERROR" localSheetId="15">#REF!</definedName>
    <definedName name="ERROR" localSheetId="16">#REF!</definedName>
    <definedName name="ERROR" localSheetId="17">#REF!</definedName>
    <definedName name="ERROR" localSheetId="18">#REF!</definedName>
    <definedName name="ERROR" localSheetId="19">#REF!</definedName>
    <definedName name="ERROR">#REF!</definedName>
    <definedName name="ERROR1" localSheetId="21">#REF!</definedName>
    <definedName name="ERROR1" localSheetId="12">#REF!</definedName>
    <definedName name="ERROR1" localSheetId="13">#REF!</definedName>
    <definedName name="ERROR1" localSheetId="14">#REF!</definedName>
    <definedName name="ERROR1" localSheetId="15">#REF!</definedName>
    <definedName name="ERROR1" localSheetId="16">#REF!</definedName>
    <definedName name="ERROR1" localSheetId="17">#REF!</definedName>
    <definedName name="ERROR1" localSheetId="18">#REF!</definedName>
    <definedName name="ERROR1" localSheetId="19">#REF!</definedName>
    <definedName name="ERROR1">#REF!</definedName>
    <definedName name="ERROR2" localSheetId="21">#REF!</definedName>
    <definedName name="ERROR2" localSheetId="12">#REF!</definedName>
    <definedName name="ERROR2" localSheetId="13">#REF!</definedName>
    <definedName name="ERROR2" localSheetId="14">#REF!</definedName>
    <definedName name="ERROR2" localSheetId="15">#REF!</definedName>
    <definedName name="ERROR2" localSheetId="16">#REF!</definedName>
    <definedName name="ERROR2" localSheetId="17">#REF!</definedName>
    <definedName name="ERROR2" localSheetId="18">#REF!</definedName>
    <definedName name="ERROR2" localSheetId="19">#REF!</definedName>
    <definedName name="ERROR2">#REF!</definedName>
    <definedName name="ERROR3" localSheetId="21">[2]TARIF2002!#REF!</definedName>
    <definedName name="ERROR3" localSheetId="12">[2]TARIF2002!#REF!</definedName>
    <definedName name="ERROR3" localSheetId="13">[2]TARIF2002!#REF!</definedName>
    <definedName name="ERROR3" localSheetId="14">[2]TARIF2002!#REF!</definedName>
    <definedName name="ERROR3" localSheetId="15">[2]TARIF2002!#REF!</definedName>
    <definedName name="ERROR3" localSheetId="16">[2]TARIF2002!#REF!</definedName>
    <definedName name="ERROR3" localSheetId="17">[2]TARIF2002!#REF!</definedName>
    <definedName name="ERROR3" localSheetId="18">[2]TARIF2002!#REF!</definedName>
    <definedName name="ERROR3" localSheetId="19">[2]TARIF2002!#REF!</definedName>
    <definedName name="ERROR3">[2]TARIF2002!#REF!</definedName>
    <definedName name="ERROR5" localSheetId="21">[2]TARIF2002!#REF!</definedName>
    <definedName name="ERROR5" localSheetId="12">[2]TARIF2002!#REF!</definedName>
    <definedName name="ERROR5" localSheetId="13">[2]TARIF2002!#REF!</definedName>
    <definedName name="ERROR5" localSheetId="14">[2]TARIF2002!#REF!</definedName>
    <definedName name="ERROR5" localSheetId="15">[2]TARIF2002!#REF!</definedName>
    <definedName name="ERROR5" localSheetId="16">[2]TARIF2002!#REF!</definedName>
    <definedName name="ERROR5" localSheetId="17">[2]TARIF2002!#REF!</definedName>
    <definedName name="ERROR5" localSheetId="18">[2]TARIF2002!#REF!</definedName>
    <definedName name="ERROR5" localSheetId="19">[2]TARIF2002!#REF!</definedName>
    <definedName name="ERROR5">[2]TARIF2002!#REF!</definedName>
    <definedName name="fdffda" localSheetId="21">#REF!</definedName>
    <definedName name="fdffda" localSheetId="17">#REF!</definedName>
    <definedName name="fdffda" localSheetId="18">#REF!</definedName>
    <definedName name="fdffda" localSheetId="19">#REF!</definedName>
    <definedName name="fdffda">#REF!</definedName>
    <definedName name="ff" localSheetId="21">#REF!</definedName>
    <definedName name="ff" localSheetId="17">#REF!</definedName>
    <definedName name="ff" localSheetId="18">#REF!</definedName>
    <definedName name="ff" localSheetId="19">#REF!</definedName>
    <definedName name="ff">#REF!</definedName>
    <definedName name="fff" localSheetId="21">#REF!</definedName>
    <definedName name="fff" localSheetId="17">#REF!</definedName>
    <definedName name="fff" localSheetId="18">#REF!</definedName>
    <definedName name="fff" localSheetId="19">#REF!</definedName>
    <definedName name="fff">#REF!</definedName>
    <definedName name="ffg" localSheetId="21">#REF!</definedName>
    <definedName name="ffg" localSheetId="17">#REF!</definedName>
    <definedName name="ffg" localSheetId="18">#REF!</definedName>
    <definedName name="ffg" localSheetId="19">#REF!</definedName>
    <definedName name="ffg">#REF!</definedName>
    <definedName name="gggg" localSheetId="21">#REF!</definedName>
    <definedName name="gggg" localSheetId="17">#REF!</definedName>
    <definedName name="gggg" localSheetId="18">#REF!</definedName>
    <definedName name="gggg" localSheetId="19">#REF!</definedName>
    <definedName name="gggg">#REF!</definedName>
    <definedName name="ggggg" localSheetId="21">[2]TARIF2002!#REF!</definedName>
    <definedName name="ggggg" localSheetId="17">[2]TARIF2002!#REF!</definedName>
    <definedName name="ggggg" localSheetId="18">[2]TARIF2002!#REF!</definedName>
    <definedName name="ggggg" localSheetId="19">[2]TARIF2002!#REF!</definedName>
    <definedName name="ggggg">[2]TARIF2002!#REF!</definedName>
    <definedName name="GHGDHDH" localSheetId="21">[2]TARIF2002!#REF!</definedName>
    <definedName name="GHGDHDH" localSheetId="17">[2]TARIF2002!#REF!</definedName>
    <definedName name="GHGDHDH" localSheetId="19">[2]TARIF2002!#REF!</definedName>
    <definedName name="GHGDHDH">[2]TARIF2002!#REF!</definedName>
    <definedName name="GHGHDH" localSheetId="21">[2]TARIF2002!#REF!</definedName>
    <definedName name="GHGHDH" localSheetId="17">[2]TARIF2002!#REF!</definedName>
    <definedName name="GHGHDH" localSheetId="19">[2]TARIF2002!#REF!</definedName>
    <definedName name="GHGHDH">[2]TARIF2002!#REF!</definedName>
    <definedName name="GHGHH" localSheetId="21">[2]TARIF2002!#REF!</definedName>
    <definedName name="GHGHH" localSheetId="17">[2]TARIF2002!#REF!</definedName>
    <definedName name="GHGHH" localSheetId="19">[2]TARIF2002!#REF!</definedName>
    <definedName name="GHGHH">[2]TARIF2002!#REF!</definedName>
    <definedName name="GHHDHDFH" localSheetId="21">#REF!</definedName>
    <definedName name="GHHDHDFH" localSheetId="17">#REF!</definedName>
    <definedName name="GHHDHDFH" localSheetId="19">#REF!</definedName>
    <definedName name="GHHDHDFH">#REF!</definedName>
    <definedName name="HDGHH" localSheetId="21">[2]TARIF2002!#REF!</definedName>
    <definedName name="HDGHH" localSheetId="17">[2]TARIF2002!#REF!</definedName>
    <definedName name="HDGHH" localSheetId="19">[2]TARIF2002!#REF!</definedName>
    <definedName name="HDGHH">[2]TARIF2002!#REF!</definedName>
    <definedName name="HFDGHH" localSheetId="21">[2]TARIF2002!#REF!</definedName>
    <definedName name="HFDGHH" localSheetId="17">[2]TARIF2002!#REF!</definedName>
    <definedName name="HFDGHH" localSheetId="19">[2]TARIF2002!#REF!</definedName>
    <definedName name="HFDGHH">[2]TARIF2002!#REF!</definedName>
    <definedName name="HGFHFH" localSheetId="21">#REF!</definedName>
    <definedName name="HGFHFH" localSheetId="17">#REF!</definedName>
    <definedName name="HGFHFH" localSheetId="19">#REF!</definedName>
    <definedName name="HGFHFH">#REF!</definedName>
    <definedName name="HGFHGFHGFH" localSheetId="21">#REF!</definedName>
    <definedName name="HGFHGFHGFH" localSheetId="17">#REF!</definedName>
    <definedName name="HGFHGFHGFH" localSheetId="19">#REF!</definedName>
    <definedName name="HGFHGFHGFH">#REF!</definedName>
    <definedName name="HGFHGH" localSheetId="21">[2]TARIF2002!#REF!</definedName>
    <definedName name="HGFHGH" localSheetId="17">[2]TARIF2002!#REF!</definedName>
    <definedName name="HGFHGH" localSheetId="19">[2]TARIF2002!#REF!</definedName>
    <definedName name="HGFHGH">[2]TARIF2002!#REF!</definedName>
    <definedName name="HGFHH" localSheetId="21">#REF!</definedName>
    <definedName name="HGFHH" localSheetId="17">#REF!</definedName>
    <definedName name="HGFHH" localSheetId="19">#REF!</definedName>
    <definedName name="HGFHH">#REF!</definedName>
    <definedName name="HGFHSHFH" localSheetId="21">#REF!</definedName>
    <definedName name="HGFHSHFH" localSheetId="17">#REF!</definedName>
    <definedName name="HGFHSHFH" localSheetId="19">#REF!</definedName>
    <definedName name="HGFHSHFH">#REF!</definedName>
    <definedName name="HGHDGHDH" localSheetId="21">[2]TARIF2002!#REF!</definedName>
    <definedName name="HGHDGHDH" localSheetId="17">[2]TARIF2002!#REF!</definedName>
    <definedName name="HGHDGHDH" localSheetId="19">[2]TARIF2002!#REF!</definedName>
    <definedName name="HGHDGHDH">[2]TARIF2002!#REF!</definedName>
    <definedName name="HGHGDFH" localSheetId="21">#REF!</definedName>
    <definedName name="HGHGDFH" localSheetId="17">#REF!</definedName>
    <definedName name="HGHGDFH" localSheetId="19">#REF!</definedName>
    <definedName name="HGHGDFH">#REF!</definedName>
    <definedName name="HGHGH" localSheetId="21">[2]TARIF2002!#REF!</definedName>
    <definedName name="HGHGH" localSheetId="17">[2]TARIF2002!#REF!</definedName>
    <definedName name="HGHGH" localSheetId="19">[2]TARIF2002!#REF!</definedName>
    <definedName name="HGHGH">[2]TARIF2002!#REF!</definedName>
    <definedName name="HGHGHH" localSheetId="21">[3]TARIF2002!#REF!</definedName>
    <definedName name="HGHGHH" localSheetId="17">[3]TARIF2002!#REF!</definedName>
    <definedName name="HGHGHH" localSheetId="19">[3]TARIF2002!#REF!</definedName>
    <definedName name="HGHGHH">[3]TARIF2002!#REF!</definedName>
    <definedName name="hhhh" localSheetId="21">[2]TARIF2002!#REF!</definedName>
    <definedName name="hhhh" localSheetId="17">[2]TARIF2002!#REF!</definedName>
    <definedName name="hhhh" localSheetId="18">[2]TARIF2002!#REF!</definedName>
    <definedName name="hhhh" localSheetId="19">[2]TARIF2002!#REF!</definedName>
    <definedName name="hhhh">[2]TARIF2002!#REF!</definedName>
    <definedName name="hkkkk" localSheetId="21">[2]TARIF2002!#REF!</definedName>
    <definedName name="hkkkk" localSheetId="17">[2]TARIF2002!#REF!</definedName>
    <definedName name="hkkkk" localSheetId="18">[2]TARIF2002!#REF!</definedName>
    <definedName name="hkkkk" localSheetId="19">[2]TARIF2002!#REF!</definedName>
    <definedName name="hkkkk">[2]TARIF2002!#REF!</definedName>
    <definedName name="j" localSheetId="21">#REF!</definedName>
    <definedName name="j" localSheetId="12">#REF!</definedName>
    <definedName name="j" localSheetId="13">#REF!</definedName>
    <definedName name="j" localSheetId="14">#REF!</definedName>
    <definedName name="j" localSheetId="15">#REF!</definedName>
    <definedName name="j" localSheetId="16">#REF!</definedName>
    <definedName name="j" localSheetId="17">#REF!</definedName>
    <definedName name="j" localSheetId="18">#REF!</definedName>
    <definedName name="j" localSheetId="19">#REF!</definedName>
    <definedName name="j">#REF!</definedName>
    <definedName name="JA" localSheetId="21">#REF!</definedName>
    <definedName name="JA" localSheetId="12">#REF!</definedName>
    <definedName name="JA" localSheetId="13">#REF!</definedName>
    <definedName name="JA" localSheetId="14">#REF!</definedName>
    <definedName name="JA" localSheetId="15">#REF!</definedName>
    <definedName name="JA" localSheetId="16">#REF!</definedName>
    <definedName name="JA" localSheetId="17">#REF!</definedName>
    <definedName name="JA" localSheetId="18">#REF!</definedName>
    <definedName name="JA" localSheetId="19">#REF!</definedName>
    <definedName name="JA">#REF!</definedName>
    <definedName name="jjj" localSheetId="21">[3]TARIF2002!#REF!</definedName>
    <definedName name="jjj" localSheetId="17">[3]TARIF2002!#REF!</definedName>
    <definedName name="jjj" localSheetId="18">[3]TARIF2002!#REF!</definedName>
    <definedName name="jjj" localSheetId="19">[3]TARIF2002!#REF!</definedName>
    <definedName name="jjj">[3]TARIF2002!#REF!</definedName>
    <definedName name="kkhkhk" localSheetId="21">[2]TARIF2002!#REF!</definedName>
    <definedName name="kkhkhk" localSheetId="17">[2]TARIF2002!#REF!</definedName>
    <definedName name="kkhkhk" localSheetId="18">[2]TARIF2002!#REF!</definedName>
    <definedName name="kkhkhk" localSheetId="19">[2]TARIF2002!#REF!</definedName>
    <definedName name="kkhkhk">[2]TARIF2002!#REF!</definedName>
    <definedName name="MATRIZRICS">'[4]RICS NUEVA HOJA DIARIA'!$A$1:$AB$42</definedName>
    <definedName name="MES" localSheetId="21">#REF!</definedName>
    <definedName name="MES" localSheetId="12">#REF!</definedName>
    <definedName name="MES" localSheetId="13">#REF!</definedName>
    <definedName name="MES" localSheetId="14">#REF!</definedName>
    <definedName name="MES" localSheetId="15">#REF!</definedName>
    <definedName name="MES" localSheetId="16">#REF!</definedName>
    <definedName name="MES" localSheetId="17">#REF!</definedName>
    <definedName name="MES" localSheetId="18">#REF!</definedName>
    <definedName name="MES" localSheetId="19">#REF!</definedName>
    <definedName name="MES">#REF!</definedName>
    <definedName name="NTE" localSheetId="21">#REF!</definedName>
    <definedName name="NTE" localSheetId="12">#REF!</definedName>
    <definedName name="NTE" localSheetId="13">#REF!</definedName>
    <definedName name="NTE" localSheetId="14">#REF!</definedName>
    <definedName name="NTE" localSheetId="15">#REF!</definedName>
    <definedName name="NTE" localSheetId="16">#REF!</definedName>
    <definedName name="NTE" localSheetId="17">#REF!</definedName>
    <definedName name="NTE" localSheetId="18">#REF!</definedName>
    <definedName name="NTE" localSheetId="19">#REF!</definedName>
    <definedName name="NTE">#REF!</definedName>
    <definedName name="Q" localSheetId="21">[3]TARIF2002!#REF!</definedName>
    <definedName name="Q" localSheetId="12">[3]TARIF2002!#REF!</definedName>
    <definedName name="Q" localSheetId="13">[3]TARIF2002!#REF!</definedName>
    <definedName name="Q" localSheetId="14">[3]TARIF2002!#REF!</definedName>
    <definedName name="Q" localSheetId="15">[3]TARIF2002!#REF!</definedName>
    <definedName name="Q" localSheetId="16">[3]TARIF2002!#REF!</definedName>
    <definedName name="Q" localSheetId="17">[3]TARIF2002!#REF!</definedName>
    <definedName name="Q" localSheetId="18">[3]TARIF2002!#REF!</definedName>
    <definedName name="Q" localSheetId="19">[3]TARIF2002!#REF!</definedName>
    <definedName name="Q">[3]TARIF2002!#REF!</definedName>
    <definedName name="QE" localSheetId="21">[2]TARIF2002!#REF!</definedName>
    <definedName name="QE" localSheetId="12">[2]TARIF2002!#REF!</definedName>
    <definedName name="QE" localSheetId="13">[2]TARIF2002!#REF!</definedName>
    <definedName name="QE" localSheetId="14">[2]TARIF2002!#REF!</definedName>
    <definedName name="QE" localSheetId="15">[2]TARIF2002!#REF!</definedName>
    <definedName name="QE" localSheetId="16">[2]TARIF2002!#REF!</definedName>
    <definedName name="QE" localSheetId="17">[2]TARIF2002!#REF!</definedName>
    <definedName name="QE" localSheetId="18">[2]TARIF2002!#REF!</definedName>
    <definedName name="QE" localSheetId="19">[2]TARIF2002!#REF!</definedName>
    <definedName name="QE">[2]TARIF2002!#REF!</definedName>
    <definedName name="QE_TE" localSheetId="21">[2]TARIF2002!#REF!</definedName>
    <definedName name="QE_TE" localSheetId="12">[2]TARIF2002!#REF!</definedName>
    <definedName name="QE_TE" localSheetId="13">[2]TARIF2002!#REF!</definedName>
    <definedName name="QE_TE" localSheetId="14">[2]TARIF2002!#REF!</definedName>
    <definedName name="QE_TE" localSheetId="15">[2]TARIF2002!#REF!</definedName>
    <definedName name="QE_TE" localSheetId="16">[2]TARIF2002!#REF!</definedName>
    <definedName name="QE_TE" localSheetId="17">[2]TARIF2002!#REF!</definedName>
    <definedName name="QE_TE" localSheetId="18">[2]TARIF2002!#REF!</definedName>
    <definedName name="QE_TE" localSheetId="19">[2]TARIF2002!#REF!</definedName>
    <definedName name="QE_TE">[2]TARIF2002!#REF!</definedName>
    <definedName name="QI" localSheetId="21">[2]TARIF2002!#REF!</definedName>
    <definedName name="QI" localSheetId="12">[2]TARIF2002!#REF!</definedName>
    <definedName name="QI" localSheetId="13">[2]TARIF2002!#REF!</definedName>
    <definedName name="QI" localSheetId="14">[2]TARIF2002!#REF!</definedName>
    <definedName name="QI" localSheetId="15">[2]TARIF2002!#REF!</definedName>
    <definedName name="QI" localSheetId="16">[2]TARIF2002!#REF!</definedName>
    <definedName name="QI" localSheetId="17">[2]TARIF2002!#REF!</definedName>
    <definedName name="QI" localSheetId="18">[2]TARIF2002!#REF!</definedName>
    <definedName name="QI" localSheetId="19">[2]TARIF2002!#REF!</definedName>
    <definedName name="QI">[2]TARIF2002!#REF!</definedName>
    <definedName name="QI_TI" localSheetId="21">[2]TARIF2002!#REF!</definedName>
    <definedName name="QI_TI" localSheetId="12">[2]TARIF2002!#REF!</definedName>
    <definedName name="QI_TI" localSheetId="13">[2]TARIF2002!#REF!</definedName>
    <definedName name="QI_TI" localSheetId="14">[2]TARIF2002!#REF!</definedName>
    <definedName name="QI_TI" localSheetId="15">[2]TARIF2002!#REF!</definedName>
    <definedName name="QI_TI" localSheetId="16">[2]TARIF2002!#REF!</definedName>
    <definedName name="QI_TI" localSheetId="17">[2]TARIF2002!#REF!</definedName>
    <definedName name="QI_TI" localSheetId="18">[2]TARIF2002!#REF!</definedName>
    <definedName name="QI_TI" localSheetId="19">[2]TARIF2002!#REF!</definedName>
    <definedName name="QI_TI">[2]TARIF2002!#REF!</definedName>
    <definedName name="QN" localSheetId="21">[2]TARIF2002!#REF!</definedName>
    <definedName name="QN" localSheetId="12">[2]TARIF2002!#REF!</definedName>
    <definedName name="QN" localSheetId="13">[2]TARIF2002!#REF!</definedName>
    <definedName name="QN" localSheetId="14">[2]TARIF2002!#REF!</definedName>
    <definedName name="QN" localSheetId="15">[2]TARIF2002!#REF!</definedName>
    <definedName name="QN" localSheetId="16">[2]TARIF2002!#REF!</definedName>
    <definedName name="QN" localSheetId="17">[2]TARIF2002!#REF!</definedName>
    <definedName name="QN" localSheetId="18">[2]TARIF2002!#REF!</definedName>
    <definedName name="QN" localSheetId="19">[2]TARIF2002!#REF!</definedName>
    <definedName name="QN">[2]TARIF2002!#REF!</definedName>
    <definedName name="QN_QI" localSheetId="21">[2]TARIF2002!#REF!</definedName>
    <definedName name="QN_QI" localSheetId="12">[2]TARIF2002!#REF!</definedName>
    <definedName name="QN_QI" localSheetId="13">[2]TARIF2002!#REF!</definedName>
    <definedName name="QN_QI" localSheetId="14">[2]TARIF2002!#REF!</definedName>
    <definedName name="QN_QI" localSheetId="15">[2]TARIF2002!#REF!</definedName>
    <definedName name="QN_QI" localSheetId="16">[2]TARIF2002!#REF!</definedName>
    <definedName name="QN_QI" localSheetId="17">[2]TARIF2002!#REF!</definedName>
    <definedName name="QN_QI" localSheetId="18">[2]TARIF2002!#REF!</definedName>
    <definedName name="QN_QI" localSheetId="19">[2]TARIF2002!#REF!</definedName>
    <definedName name="QN_QI">[2]TARIF2002!#REF!</definedName>
    <definedName name="QNS" localSheetId="21">[3]TARIF2002!#REF!</definedName>
    <definedName name="QNS" localSheetId="12">[3]TARIF2002!#REF!</definedName>
    <definedName name="QNS" localSheetId="13">[3]TARIF2002!#REF!</definedName>
    <definedName name="QNS" localSheetId="14">[3]TARIF2002!#REF!</definedName>
    <definedName name="QNS" localSheetId="15">[3]TARIF2002!#REF!</definedName>
    <definedName name="QNS" localSheetId="16">[3]TARIF2002!#REF!</definedName>
    <definedName name="QNS" localSheetId="17">[3]TARIF2002!#REF!</definedName>
    <definedName name="QNS" localSheetId="18">[3]TARIF2002!#REF!</definedName>
    <definedName name="QNS" localSheetId="19">[3]TARIF2002!#REF!</definedName>
    <definedName name="QNS">[3]TARIF2002!#REF!</definedName>
    <definedName name="REG" localSheetId="21">#REF!</definedName>
    <definedName name="REG" localSheetId="12">#REF!</definedName>
    <definedName name="REG" localSheetId="13">#REF!</definedName>
    <definedName name="REG" localSheetId="14">#REF!</definedName>
    <definedName name="REG" localSheetId="15">#REF!</definedName>
    <definedName name="REG" localSheetId="16">#REF!</definedName>
    <definedName name="REG" localSheetId="17">#REF!</definedName>
    <definedName name="REG" localSheetId="18">#REF!</definedName>
    <definedName name="REG" localSheetId="19">#REF!</definedName>
    <definedName name="REG">#REF!</definedName>
    <definedName name="REGULAR" localSheetId="21">#REF!</definedName>
    <definedName name="REGULAR" localSheetId="12">#REF!</definedName>
    <definedName name="REGULAR" localSheetId="13">#REF!</definedName>
    <definedName name="REGULAR" localSheetId="14">#REF!</definedName>
    <definedName name="REGULAR" localSheetId="15">#REF!</definedName>
    <definedName name="REGULAR" localSheetId="16">#REF!</definedName>
    <definedName name="REGULAR" localSheetId="17">#REF!</definedName>
    <definedName name="REGULAR" localSheetId="18">#REF!</definedName>
    <definedName name="REGULAR" localSheetId="19">#REF!</definedName>
    <definedName name="REGULAR">#REF!</definedName>
    <definedName name="SOL" localSheetId="21">#REF!</definedName>
    <definedName name="SOL" localSheetId="12">#REF!</definedName>
    <definedName name="SOL" localSheetId="13">#REF!</definedName>
    <definedName name="SOL" localSheetId="14">#REF!</definedName>
    <definedName name="SOL" localSheetId="15">#REF!</definedName>
    <definedName name="SOL" localSheetId="16">#REF!</definedName>
    <definedName name="SOL" localSheetId="17">#REF!</definedName>
    <definedName name="SOL" localSheetId="18">#REF!</definedName>
    <definedName name="SOL" localSheetId="19">#REF!</definedName>
    <definedName name="SOL">#REF!</definedName>
    <definedName name="TE" localSheetId="21">[2]TARIF2002!#REF!</definedName>
    <definedName name="TE" localSheetId="12">[2]TARIF2002!#REF!</definedName>
    <definedName name="TE" localSheetId="13">[2]TARIF2002!#REF!</definedName>
    <definedName name="TE" localSheetId="14">[2]TARIF2002!#REF!</definedName>
    <definedName name="TE" localSheetId="15">[2]TARIF2002!#REF!</definedName>
    <definedName name="TE" localSheetId="16">[2]TARIF2002!#REF!</definedName>
    <definedName name="TE" localSheetId="17">[2]TARIF2002!#REF!</definedName>
    <definedName name="TE" localSheetId="18">[2]TARIF2002!#REF!</definedName>
    <definedName name="TE" localSheetId="19">[2]TARIF2002!#REF!</definedName>
    <definedName name="TE">[2]TARIF2002!#REF!</definedName>
    <definedName name="TI" localSheetId="21">[2]TARIF2002!#REF!</definedName>
    <definedName name="TI" localSheetId="12">[2]TARIF2002!#REF!</definedName>
    <definedName name="TI" localSheetId="13">[2]TARIF2002!#REF!</definedName>
    <definedName name="TI" localSheetId="14">[2]TARIF2002!#REF!</definedName>
    <definedName name="TI" localSheetId="15">[2]TARIF2002!#REF!</definedName>
    <definedName name="TI" localSheetId="16">[2]TARIF2002!#REF!</definedName>
    <definedName name="TI" localSheetId="17">[2]TARIF2002!#REF!</definedName>
    <definedName name="TI" localSheetId="18">[2]TARIF2002!#REF!</definedName>
    <definedName name="TI" localSheetId="19">[2]TARIF2002!#REF!</definedName>
    <definedName name="TI">[2]TARIF2002!#REF!</definedName>
    <definedName name="TITU" localSheetId="21">#REF!</definedName>
    <definedName name="TITU" localSheetId="12">#REF!</definedName>
    <definedName name="TITU" localSheetId="13">#REF!</definedName>
    <definedName name="TITU" localSheetId="14">#REF!</definedName>
    <definedName name="TITU" localSheetId="15">#REF!</definedName>
    <definedName name="TITU" localSheetId="16">#REF!</definedName>
    <definedName name="TITU" localSheetId="17">#REF!</definedName>
    <definedName name="TITU" localSheetId="18">#REF!</definedName>
    <definedName name="TITU" localSheetId="19">#REF!</definedName>
    <definedName name="TITU">#REF!</definedName>
    <definedName name="TOT" localSheetId="21">#REF!</definedName>
    <definedName name="TOT" localSheetId="12">#REF!</definedName>
    <definedName name="TOT" localSheetId="13">#REF!</definedName>
    <definedName name="TOT" localSheetId="14">#REF!</definedName>
    <definedName name="TOT" localSheetId="15">#REF!</definedName>
    <definedName name="TOT" localSheetId="16">#REF!</definedName>
    <definedName name="TOT" localSheetId="17">#REF!</definedName>
    <definedName name="TOT" localSheetId="18">#REF!</definedName>
    <definedName name="TOT" localSheetId="19">#REF!</definedName>
    <definedName name="TOT">#REF!</definedName>
    <definedName name="VAPUES" localSheetId="21">#REF!</definedName>
    <definedName name="VAPUES" localSheetId="17">#REF!</definedName>
    <definedName name="VAPUES" localSheetId="19">#REF!</definedName>
    <definedName name="VAPUES">#REF!</definedName>
    <definedName name="VAUPES2" localSheetId="21">#REF!</definedName>
    <definedName name="VAUPES2" localSheetId="12">#REF!</definedName>
    <definedName name="VAUPES2" localSheetId="13">#REF!</definedName>
    <definedName name="VAUPES2" localSheetId="14">#REF!</definedName>
    <definedName name="VAUPES2" localSheetId="15">#REF!</definedName>
    <definedName name="VAUPES2" localSheetId="16">#REF!</definedName>
    <definedName name="VAUPES2" localSheetId="17">#REF!</definedName>
    <definedName name="VAUPES2" localSheetId="18">#REF!</definedName>
    <definedName name="VAUPES2" localSheetId="19">#REF!</definedName>
    <definedName name="VAUPES2">#REF!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2" i="5" l="1"/>
  <c r="J11" i="20"/>
  <c r="E11" i="20"/>
  <c r="G60" i="19"/>
  <c r="G57" i="19"/>
  <c r="G7" i="7"/>
  <c r="O7" i="7"/>
  <c r="H10" i="7"/>
  <c r="H9" i="7"/>
  <c r="H8" i="7"/>
  <c r="H7" i="7"/>
  <c r="E7" i="7"/>
  <c r="H11" i="12"/>
  <c r="H9" i="12"/>
  <c r="H8" i="12"/>
  <c r="D11" i="12"/>
  <c r="D8" i="12"/>
  <c r="F11" i="12"/>
  <c r="I9" i="12"/>
  <c r="I8" i="12"/>
  <c r="J9" i="34"/>
  <c r="J8" i="34"/>
  <c r="G11" i="20"/>
  <c r="K9" i="20"/>
  <c r="K8" i="20"/>
  <c r="K9" i="15"/>
  <c r="K8" i="15"/>
  <c r="J38" i="3"/>
  <c r="J36" i="3"/>
  <c r="J32" i="3"/>
  <c r="J31" i="3"/>
  <c r="J33" i="3"/>
  <c r="K12" i="7"/>
  <c r="J9" i="11"/>
  <c r="J8" i="11"/>
  <c r="G11" i="11"/>
  <c r="J30" i="3"/>
  <c r="J9" i="9"/>
  <c r="J8" i="9"/>
  <c r="J28" i="3"/>
  <c r="I5" i="7"/>
  <c r="E8" i="7"/>
  <c r="D9" i="5"/>
  <c r="D8" i="5"/>
  <c r="D7" i="5"/>
  <c r="I24" i="34"/>
  <c r="I23" i="34"/>
  <c r="I22" i="34"/>
  <c r="I20" i="34"/>
  <c r="I19" i="34"/>
  <c r="I18" i="34"/>
  <c r="I15" i="34"/>
  <c r="I14" i="34"/>
  <c r="I10" i="34"/>
  <c r="I12" i="34"/>
  <c r="I11" i="34"/>
  <c r="I9" i="34"/>
  <c r="I6" i="34"/>
  <c r="J24" i="20" l="1"/>
  <c r="J23" i="20"/>
  <c r="J22" i="20"/>
  <c r="J20" i="20"/>
  <c r="J19" i="20"/>
  <c r="J18" i="20"/>
  <c r="J12" i="20"/>
  <c r="J15" i="20"/>
  <c r="J14" i="20"/>
  <c r="J13" i="20"/>
  <c r="J9" i="20"/>
  <c r="J6" i="20"/>
  <c r="J23" i="15"/>
  <c r="J22" i="15"/>
  <c r="J21" i="15"/>
  <c r="J19" i="15"/>
  <c r="J18" i="15"/>
  <c r="J17" i="15"/>
  <c r="J14" i="15"/>
  <c r="J13" i="15"/>
  <c r="J12" i="15"/>
  <c r="J9" i="15"/>
  <c r="J6" i="15"/>
  <c r="I19" i="11"/>
  <c r="I18" i="11"/>
  <c r="I24" i="11"/>
  <c r="I23" i="11"/>
  <c r="I22" i="11"/>
  <c r="I20" i="11"/>
  <c r="I15" i="11"/>
  <c r="I14" i="11"/>
  <c r="I12" i="11"/>
  <c r="I11" i="11"/>
  <c r="I10" i="11"/>
  <c r="I9" i="11"/>
  <c r="I6" i="11"/>
  <c r="E11" i="11"/>
  <c r="I24" i="9"/>
  <c r="I23" i="9"/>
  <c r="I20" i="9"/>
  <c r="I19" i="9"/>
  <c r="I18" i="9"/>
  <c r="I22" i="9" s="1"/>
  <c r="I17" i="9"/>
  <c r="I13" i="9"/>
  <c r="I14" i="9"/>
  <c r="I12" i="9"/>
  <c r="I11" i="9"/>
  <c r="I9" i="9"/>
  <c r="I6" i="9"/>
  <c r="AX41" i="2"/>
  <c r="AX40" i="2"/>
  <c r="AW41" i="2"/>
  <c r="AW40" i="2"/>
  <c r="AV41" i="2"/>
  <c r="AV40" i="2"/>
  <c r="C13" i="7"/>
  <c r="D13" i="7" s="1"/>
  <c r="E13" i="7" s="1"/>
  <c r="F13" i="7" s="1"/>
  <c r="H13" i="7" s="1"/>
  <c r="J13" i="7" s="1"/>
  <c r="D13" i="5"/>
  <c r="E8" i="4"/>
  <c r="C14" i="28"/>
  <c r="C14" i="23"/>
  <c r="C15" i="34"/>
  <c r="C15" i="21"/>
  <c r="C15" i="20"/>
  <c r="C15" i="19"/>
  <c r="C16" i="17"/>
  <c r="C14" i="15"/>
  <c r="C14" i="12"/>
  <c r="C15" i="11"/>
  <c r="C15" i="10"/>
  <c r="C14" i="9"/>
  <c r="AP28" i="2"/>
  <c r="AY42" i="2"/>
  <c r="AC40" i="2"/>
  <c r="AC41" i="2"/>
  <c r="AD40" i="2"/>
  <c r="AD41" i="2"/>
  <c r="AL40" i="2"/>
  <c r="F12" i="7"/>
  <c r="D10" i="24" s="1"/>
  <c r="F10" i="7"/>
  <c r="F8" i="7"/>
  <c r="F7" i="7"/>
  <c r="H25" i="3"/>
  <c r="H24" i="3"/>
  <c r="B36" i="3"/>
  <c r="H36" i="3" s="1"/>
  <c r="L3" i="7"/>
  <c r="H9" i="34"/>
  <c r="H26" i="3" l="1"/>
  <c r="I36" i="3"/>
  <c r="E8" i="20" s="1"/>
  <c r="F9" i="7"/>
  <c r="D8" i="24" s="1"/>
  <c r="I9" i="20"/>
  <c r="D11" i="20"/>
  <c r="I9" i="15"/>
  <c r="H9" i="11" l="1"/>
  <c r="H11" i="11" l="1"/>
  <c r="D11" i="11"/>
  <c r="H9" i="9"/>
  <c r="I47" i="28"/>
  <c r="I46" i="28"/>
  <c r="I45" i="28"/>
  <c r="H47" i="28"/>
  <c r="H45" i="28"/>
  <c r="I38" i="28"/>
  <c r="I37" i="28"/>
  <c r="I36" i="28"/>
  <c r="I34" i="28"/>
  <c r="I33" i="28"/>
  <c r="I23" i="28"/>
  <c r="I22" i="28"/>
  <c r="I21" i="28"/>
  <c r="H21" i="28"/>
  <c r="I14" i="28"/>
  <c r="H14" i="28"/>
  <c r="I13" i="28"/>
  <c r="I12" i="28"/>
  <c r="I9" i="28"/>
  <c r="D39" i="28"/>
  <c r="D37" i="28"/>
  <c r="D36" i="28"/>
  <c r="D34" i="28"/>
  <c r="D33" i="28"/>
  <c r="D14" i="28"/>
  <c r="D38" i="28" s="1"/>
  <c r="D13" i="28"/>
  <c r="D12" i="28"/>
  <c r="I23" i="23"/>
  <c r="I22" i="23"/>
  <c r="I21" i="23"/>
  <c r="H22" i="23"/>
  <c r="H21" i="23"/>
  <c r="H19" i="23"/>
  <c r="I19" i="23"/>
  <c r="I18" i="23"/>
  <c r="I17" i="23"/>
  <c r="I14" i="23"/>
  <c r="I13" i="23"/>
  <c r="I12" i="23"/>
  <c r="H12" i="23"/>
  <c r="I9" i="23"/>
  <c r="D21" i="23"/>
  <c r="D17" i="23"/>
  <c r="I73" i="19"/>
  <c r="I72" i="19"/>
  <c r="I71" i="19"/>
  <c r="I69" i="19"/>
  <c r="I68" i="19"/>
  <c r="I67" i="19"/>
  <c r="H67" i="19"/>
  <c r="I63" i="19"/>
  <c r="I62" i="19"/>
  <c r="I61" i="19"/>
  <c r="I60" i="19"/>
  <c r="I58" i="19"/>
  <c r="E73" i="19"/>
  <c r="E72" i="19"/>
  <c r="E71" i="19"/>
  <c r="E69" i="19"/>
  <c r="E68" i="19"/>
  <c r="E67" i="19"/>
  <c r="E63" i="19"/>
  <c r="E62" i="19"/>
  <c r="E61" i="19"/>
  <c r="E60" i="19"/>
  <c r="I24" i="19"/>
  <c r="I23" i="19"/>
  <c r="I20" i="19"/>
  <c r="I19" i="19"/>
  <c r="I18" i="19"/>
  <c r="I22" i="19" s="1"/>
  <c r="H18" i="19"/>
  <c r="I12" i="19"/>
  <c r="I9" i="19"/>
  <c r="E24" i="19"/>
  <c r="E23" i="19"/>
  <c r="E20" i="19"/>
  <c r="E19" i="19"/>
  <c r="E18" i="19"/>
  <c r="E22" i="19" s="1"/>
  <c r="E11" i="19"/>
  <c r="I11" i="19" s="1"/>
  <c r="I23" i="17"/>
  <c r="I24" i="17"/>
  <c r="I20" i="17"/>
  <c r="I16" i="17"/>
  <c r="I15" i="17"/>
  <c r="I14" i="17"/>
  <c r="I9" i="17"/>
  <c r="I25" i="17"/>
  <c r="I12" i="17"/>
  <c r="I11" i="17"/>
  <c r="I10" i="17"/>
  <c r="D23" i="17"/>
  <c r="D19" i="17"/>
  <c r="D11" i="17" l="1"/>
  <c r="G9" i="10"/>
  <c r="D11" i="10"/>
  <c r="AE57" i="2" l="1"/>
  <c r="AE56" i="2"/>
  <c r="AE55" i="2"/>
  <c r="AE54" i="2"/>
  <c r="AE53" i="2"/>
  <c r="AE52" i="2"/>
  <c r="AE51" i="2"/>
  <c r="AE50" i="2"/>
  <c r="AE49" i="2"/>
  <c r="AD57" i="2"/>
  <c r="AD56" i="2"/>
  <c r="AD55" i="2"/>
  <c r="AD54" i="2"/>
  <c r="AD53" i="2"/>
  <c r="AD52" i="2"/>
  <c r="AD51" i="2"/>
  <c r="AD50" i="2"/>
  <c r="AD49" i="2"/>
  <c r="AC57" i="2"/>
  <c r="AC56" i="2"/>
  <c r="AC55" i="2"/>
  <c r="AC54" i="2"/>
  <c r="AC53" i="2"/>
  <c r="AC52" i="2"/>
  <c r="AC51" i="2"/>
  <c r="AC50" i="2"/>
  <c r="AC49" i="2"/>
  <c r="AY43" i="2"/>
  <c r="AY41" i="2"/>
  <c r="AY40" i="2"/>
  <c r="AY39" i="2"/>
  <c r="AX43" i="2"/>
  <c r="AX42" i="2"/>
  <c r="AX46" i="2"/>
  <c r="AX39" i="2"/>
  <c r="AW43" i="2"/>
  <c r="AW42" i="2"/>
  <c r="AW39" i="2"/>
  <c r="AV43" i="2"/>
  <c r="AV42" i="2"/>
  <c r="AV39" i="2"/>
  <c r="AU43" i="2"/>
  <c r="AU42" i="2"/>
  <c r="AU41" i="2"/>
  <c r="AU40" i="2"/>
  <c r="AU39" i="2"/>
  <c r="AU32" i="2"/>
  <c r="AU31" i="2"/>
  <c r="AU30" i="2"/>
  <c r="AU29" i="2"/>
  <c r="AU28" i="2"/>
  <c r="AD21" i="2"/>
  <c r="AD20" i="2"/>
  <c r="AD19" i="2"/>
  <c r="AD18" i="2"/>
  <c r="AD17" i="2"/>
  <c r="AD16" i="2"/>
  <c r="AD15" i="2"/>
  <c r="AC21" i="2"/>
  <c r="AC20" i="2"/>
  <c r="AC19" i="2"/>
  <c r="AC18" i="2"/>
  <c r="AC17" i="2"/>
  <c r="AC16" i="2"/>
  <c r="AC15" i="2"/>
  <c r="AC14" i="2"/>
  <c r="AD14" i="2"/>
  <c r="AD13" i="2"/>
  <c r="AC13" i="2"/>
  <c r="J9" i="28"/>
  <c r="J9" i="23"/>
  <c r="F60" i="19"/>
  <c r="G8" i="7"/>
  <c r="G12" i="7"/>
  <c r="J11" i="19" s="1"/>
  <c r="G10" i="7"/>
  <c r="H9" i="10" s="1"/>
  <c r="E11" i="10"/>
  <c r="H9" i="23"/>
  <c r="H6" i="23"/>
  <c r="D11" i="19"/>
  <c r="H11" i="19" s="1"/>
  <c r="H9" i="19"/>
  <c r="H6" i="19"/>
  <c r="H9" i="17"/>
  <c r="H6" i="17"/>
  <c r="G11" i="10"/>
  <c r="G6" i="10"/>
  <c r="H33" i="28"/>
  <c r="E10" i="5"/>
  <c r="H9" i="28" s="1"/>
  <c r="E12" i="5"/>
  <c r="E8" i="5"/>
  <c r="H30" i="28"/>
  <c r="H6" i="28"/>
  <c r="F10" i="5"/>
  <c r="F12" i="5"/>
  <c r="C36" i="3"/>
  <c r="C29" i="3"/>
  <c r="H11" i="10" l="1"/>
  <c r="J9" i="17"/>
  <c r="J9" i="19"/>
  <c r="H6" i="9"/>
  <c r="H6" i="34"/>
  <c r="I6" i="20"/>
  <c r="I6" i="15"/>
  <c r="H6" i="12"/>
  <c r="H6" i="11"/>
  <c r="AA52" i="2" l="1"/>
  <c r="AA50" i="2"/>
  <c r="AB57" i="2"/>
  <c r="Y57" i="2"/>
  <c r="AA57" i="2"/>
  <c r="X57" i="2"/>
  <c r="AA56" i="2"/>
  <c r="Z57" i="2" l="1"/>
  <c r="W57" i="2"/>
  <c r="Z56" i="2"/>
  <c r="Z54" i="2"/>
  <c r="Z52" i="2"/>
  <c r="Z50" i="2"/>
  <c r="AA21" i="2"/>
  <c r="AA20" i="2"/>
  <c r="AA19" i="2"/>
  <c r="AA18" i="2"/>
  <c r="AA17" i="2"/>
  <c r="AA16" i="2"/>
  <c r="AA15" i="2"/>
  <c r="AA14" i="2"/>
  <c r="AA13" i="2"/>
  <c r="Z21" i="2"/>
  <c r="Z19" i="2"/>
  <c r="Z20" i="2"/>
  <c r="Z16" i="2"/>
  <c r="Z14" i="2"/>
  <c r="Z17" i="2"/>
  <c r="Z15" i="2"/>
  <c r="Z13" i="2"/>
  <c r="O12" i="7" l="1"/>
  <c r="P12" i="7" s="1"/>
  <c r="O10" i="7"/>
  <c r="P10" i="7" s="1"/>
  <c r="R10" i="7"/>
  <c r="O8" i="7"/>
  <c r="P8" i="7" s="1"/>
  <c r="O9" i="7" l="1"/>
  <c r="B28" i="3"/>
  <c r="H28" i="3" l="1"/>
  <c r="I28" i="3"/>
  <c r="E8" i="9" s="1"/>
  <c r="G28" i="3"/>
  <c r="J30" i="28"/>
  <c r="J29" i="28"/>
  <c r="W50" i="2" l="1"/>
  <c r="J6" i="28"/>
  <c r="J5" i="28"/>
  <c r="J6" i="23"/>
  <c r="J5" i="23"/>
  <c r="J6" i="19"/>
  <c r="J5" i="19"/>
  <c r="J6" i="17"/>
  <c r="J5" i="17"/>
  <c r="H6" i="10" l="1"/>
  <c r="H5" i="10"/>
  <c r="J5" i="11"/>
  <c r="H33" i="12"/>
  <c r="D35" i="12"/>
  <c r="G9" i="21"/>
  <c r="G11" i="21"/>
  <c r="D11" i="21"/>
  <c r="L10" i="7"/>
  <c r="M10" i="7" s="1"/>
  <c r="D6" i="7"/>
  <c r="E9" i="7" s="1"/>
  <c r="R12" i="7"/>
  <c r="S12" i="7" s="1"/>
  <c r="L12" i="7"/>
  <c r="M12" i="7" s="1"/>
  <c r="R8" i="7"/>
  <c r="S8" i="7" s="1"/>
  <c r="R7" i="7"/>
  <c r="S7" i="7" s="1"/>
  <c r="L8" i="7"/>
  <c r="M8" i="7" s="1"/>
  <c r="K12" i="5"/>
  <c r="L12" i="5" s="1"/>
  <c r="K10" i="5"/>
  <c r="L10" i="5" s="1"/>
  <c r="K8" i="5"/>
  <c r="L8" i="5" s="1"/>
  <c r="I10" i="5"/>
  <c r="J10" i="5" s="1"/>
  <c r="I12" i="5"/>
  <c r="J12" i="5" s="1"/>
  <c r="H14" i="5"/>
  <c r="L7" i="7" l="1"/>
  <c r="M7" i="7" s="1"/>
  <c r="R9" i="7"/>
  <c r="S9" i="7" s="1"/>
  <c r="G9" i="7" l="1"/>
  <c r="P7" i="7"/>
  <c r="H8" i="5"/>
  <c r="H48" i="19"/>
  <c r="G48" i="19"/>
  <c r="F48" i="19"/>
  <c r="E48" i="19"/>
  <c r="D48" i="19"/>
  <c r="D47" i="19"/>
  <c r="G47" i="19" s="1"/>
  <c r="C46" i="19"/>
  <c r="H44" i="19"/>
  <c r="G44" i="19"/>
  <c r="F44" i="19"/>
  <c r="E44" i="19"/>
  <c r="D44" i="19"/>
  <c r="H43" i="19"/>
  <c r="G43" i="19"/>
  <c r="F43" i="19"/>
  <c r="E43" i="19"/>
  <c r="D43" i="19"/>
  <c r="H42" i="19"/>
  <c r="H46" i="19" s="1"/>
  <c r="D42" i="19"/>
  <c r="D46" i="19" s="1"/>
  <c r="C39" i="19"/>
  <c r="G39" i="19" s="1"/>
  <c r="H39" i="19" s="1"/>
  <c r="C38" i="19"/>
  <c r="F38" i="19" s="1"/>
  <c r="C37" i="19"/>
  <c r="D37" i="19" s="1"/>
  <c r="G36" i="19"/>
  <c r="F36" i="19"/>
  <c r="E36" i="19"/>
  <c r="D36" i="19"/>
  <c r="H35" i="19"/>
  <c r="F35" i="19"/>
  <c r="E35" i="19"/>
  <c r="D35" i="19"/>
  <c r="C35" i="19"/>
  <c r="G35" i="19" s="1"/>
  <c r="H34" i="19"/>
  <c r="H33" i="19"/>
  <c r="G33" i="19"/>
  <c r="H32" i="19"/>
  <c r="G32" i="19"/>
  <c r="F32" i="19"/>
  <c r="F30" i="19"/>
  <c r="H30" i="19" s="1"/>
  <c r="F29" i="19"/>
  <c r="H29" i="19" s="1"/>
  <c r="C14" i="19"/>
  <c r="C13" i="19"/>
  <c r="F11" i="19"/>
  <c r="C11" i="19"/>
  <c r="K94" i="12"/>
  <c r="J94" i="12"/>
  <c r="I94" i="12"/>
  <c r="H94" i="12"/>
  <c r="G94" i="12"/>
  <c r="E94" i="12"/>
  <c r="D94" i="12"/>
  <c r="G93" i="12"/>
  <c r="D93" i="12"/>
  <c r="H90" i="12"/>
  <c r="E90" i="12"/>
  <c r="G90" i="12" s="1"/>
  <c r="I89" i="12"/>
  <c r="J89" i="12" s="1"/>
  <c r="K89" i="12" s="1"/>
  <c r="H89" i="12"/>
  <c r="G89" i="12"/>
  <c r="E89" i="12"/>
  <c r="D89" i="12"/>
  <c r="E88" i="12"/>
  <c r="E92" i="12" s="1"/>
  <c r="D88" i="12"/>
  <c r="K86" i="12"/>
  <c r="C85" i="12"/>
  <c r="C84" i="12"/>
  <c r="H83" i="12"/>
  <c r="G83" i="12"/>
  <c r="E83" i="12"/>
  <c r="K83" i="12" s="1"/>
  <c r="I83" i="12" s="1"/>
  <c r="D83" i="12"/>
  <c r="J83" i="12" s="1"/>
  <c r="I82" i="12"/>
  <c r="K82" i="12"/>
  <c r="H82" i="12"/>
  <c r="G82" i="12"/>
  <c r="J82" i="12" s="1"/>
  <c r="E82" i="12"/>
  <c r="D82" i="12"/>
  <c r="C82" i="12"/>
  <c r="K81" i="12"/>
  <c r="J81" i="12"/>
  <c r="I81" i="12"/>
  <c r="C81" i="12"/>
  <c r="K80" i="12"/>
  <c r="J80" i="12"/>
  <c r="I80" i="12"/>
  <c r="C80" i="12"/>
  <c r="J79" i="12"/>
  <c r="I79" i="12"/>
  <c r="K79" i="12"/>
  <c r="G77" i="12"/>
  <c r="J77" i="12" s="1"/>
  <c r="J76" i="12"/>
  <c r="I58" i="12"/>
  <c r="H58" i="12"/>
  <c r="G58" i="12"/>
  <c r="J58" i="12" s="1"/>
  <c r="E58" i="12"/>
  <c r="D58" i="12"/>
  <c r="C58" i="12"/>
  <c r="J56" i="12"/>
  <c r="I56" i="12"/>
  <c r="C61" i="12"/>
  <c r="C60" i="12"/>
  <c r="J55" i="12"/>
  <c r="I55" i="12"/>
  <c r="C44" i="3"/>
  <c r="D44" i="3" s="1"/>
  <c r="E44" i="3"/>
  <c r="B44" i="3"/>
  <c r="C32" i="19" s="1"/>
  <c r="E43" i="3"/>
  <c r="C43" i="3"/>
  <c r="J43" i="3" s="1"/>
  <c r="C42" i="3"/>
  <c r="J42" i="3" s="1"/>
  <c r="E42" i="3"/>
  <c r="B43" i="3"/>
  <c r="G43" i="3" s="1"/>
  <c r="D79" i="12" s="1"/>
  <c r="B42" i="3"/>
  <c r="C55" i="12" s="1"/>
  <c r="K70" i="12"/>
  <c r="J70" i="12"/>
  <c r="I70" i="12"/>
  <c r="H70" i="12"/>
  <c r="G70" i="12"/>
  <c r="E70" i="12"/>
  <c r="D70" i="12"/>
  <c r="G69" i="12"/>
  <c r="D69" i="12"/>
  <c r="H66" i="12"/>
  <c r="E66" i="12"/>
  <c r="G66" i="12" s="1"/>
  <c r="I65" i="12"/>
  <c r="J65" i="12" s="1"/>
  <c r="K65" i="12" s="1"/>
  <c r="H65" i="12"/>
  <c r="G65" i="12"/>
  <c r="E65" i="12"/>
  <c r="D65" i="12"/>
  <c r="E64" i="12"/>
  <c r="H64" i="12" s="1"/>
  <c r="D64" i="12"/>
  <c r="K62" i="12"/>
  <c r="H59" i="12"/>
  <c r="G59" i="12"/>
  <c r="E59" i="12"/>
  <c r="K59" i="12" s="1"/>
  <c r="I59" i="12" s="1"/>
  <c r="D59" i="12"/>
  <c r="J59" i="12" s="1"/>
  <c r="K58" i="12"/>
  <c r="K57" i="12"/>
  <c r="C57" i="12"/>
  <c r="K56" i="12"/>
  <c r="C56" i="12"/>
  <c r="K55" i="12"/>
  <c r="G53" i="12"/>
  <c r="J53" i="12" s="1"/>
  <c r="J52" i="12"/>
  <c r="F57" i="19" l="1"/>
  <c r="H8" i="10"/>
  <c r="J8" i="19"/>
  <c r="J8" i="17"/>
  <c r="J8" i="28"/>
  <c r="J8" i="23"/>
  <c r="P9" i="7"/>
  <c r="I13" i="19"/>
  <c r="E13" i="19"/>
  <c r="E14" i="19"/>
  <c r="I14" i="19"/>
  <c r="I15" i="19"/>
  <c r="E15" i="19"/>
  <c r="F37" i="19"/>
  <c r="G37" i="19"/>
  <c r="K69" i="12"/>
  <c r="K93" i="12"/>
  <c r="G61" i="12"/>
  <c r="G85" i="12"/>
  <c r="C41" i="19"/>
  <c r="C45" i="19" s="1"/>
  <c r="H38" i="19"/>
  <c r="F44" i="3"/>
  <c r="E32" i="19" s="1"/>
  <c r="H88" i="12"/>
  <c r="E84" i="12"/>
  <c r="K84" i="12"/>
  <c r="H85" i="12"/>
  <c r="G88" i="12"/>
  <c r="L43" i="3"/>
  <c r="G79" i="12" s="1"/>
  <c r="E42" i="19"/>
  <c r="E46" i="19" s="1"/>
  <c r="C79" i="12"/>
  <c r="C87" i="12" s="1"/>
  <c r="C91" i="12" s="1"/>
  <c r="G42" i="3"/>
  <c r="D55" i="12" s="1"/>
  <c r="D43" i="3"/>
  <c r="F43" i="3" s="1"/>
  <c r="E79" i="12" s="1"/>
  <c r="H55" i="12"/>
  <c r="H79" i="12"/>
  <c r="L42" i="3"/>
  <c r="G55" i="12" s="1"/>
  <c r="G44" i="3"/>
  <c r="D32" i="19" s="1"/>
  <c r="E37" i="19"/>
  <c r="G38" i="19"/>
  <c r="H37" i="19"/>
  <c r="D39" i="19"/>
  <c r="E39" i="19"/>
  <c r="H36" i="19"/>
  <c r="H41" i="19" s="1"/>
  <c r="H45" i="19" s="1"/>
  <c r="D38" i="19"/>
  <c r="F39" i="19"/>
  <c r="E38" i="19"/>
  <c r="C92" i="12"/>
  <c r="D92" i="12"/>
  <c r="G92" i="12"/>
  <c r="I84" i="12"/>
  <c r="K88" i="12"/>
  <c r="D84" i="12"/>
  <c r="I85" i="12"/>
  <c r="C90" i="12"/>
  <c r="I90" i="12" s="1"/>
  <c r="K90" i="12" s="1"/>
  <c r="J90" i="12" s="1"/>
  <c r="D90" i="12"/>
  <c r="G84" i="12"/>
  <c r="D85" i="12"/>
  <c r="H84" i="12"/>
  <c r="E85" i="12"/>
  <c r="G64" i="12"/>
  <c r="K64" i="12"/>
  <c r="I64" i="12" s="1"/>
  <c r="E68" i="12"/>
  <c r="C68" i="12" s="1"/>
  <c r="E60" i="12"/>
  <c r="C63" i="12"/>
  <c r="C67" i="12" s="1"/>
  <c r="J44" i="3"/>
  <c r="D42" i="3"/>
  <c r="F42" i="3" s="1"/>
  <c r="E55" i="12" s="1"/>
  <c r="H68" i="12"/>
  <c r="I69" i="12"/>
  <c r="H61" i="12"/>
  <c r="D60" i="12"/>
  <c r="I61" i="12"/>
  <c r="C66" i="12"/>
  <c r="I66" i="12" s="1"/>
  <c r="K66" i="12" s="1"/>
  <c r="J66" i="12" s="1"/>
  <c r="D66" i="12"/>
  <c r="G60" i="12"/>
  <c r="D61" i="12"/>
  <c r="H60" i="12"/>
  <c r="E61" i="12"/>
  <c r="F41" i="19" l="1"/>
  <c r="F45" i="19" s="1"/>
  <c r="I93" i="12"/>
  <c r="J84" i="12"/>
  <c r="H92" i="12"/>
  <c r="G87" i="12"/>
  <c r="G91" i="12" s="1"/>
  <c r="D87" i="12"/>
  <c r="D91" i="12" s="1"/>
  <c r="G68" i="12"/>
  <c r="I87" i="12"/>
  <c r="I91" i="12" s="1"/>
  <c r="D68" i="12"/>
  <c r="H87" i="12"/>
  <c r="H91" i="12" s="1"/>
  <c r="D41" i="19"/>
  <c r="D45" i="19" s="1"/>
  <c r="F42" i="19"/>
  <c r="F46" i="19" s="1"/>
  <c r="E41" i="19"/>
  <c r="E45" i="19" s="1"/>
  <c r="E87" i="12"/>
  <c r="E91" i="12" s="1"/>
  <c r="I88" i="12"/>
  <c r="J88" i="12"/>
  <c r="K92" i="12"/>
  <c r="K85" i="12"/>
  <c r="K87" i="12" s="1"/>
  <c r="K91" i="12" s="1"/>
  <c r="J85" i="12"/>
  <c r="J64" i="12"/>
  <c r="E63" i="12"/>
  <c r="E67" i="12" s="1"/>
  <c r="K68" i="12"/>
  <c r="J68" i="12" s="1"/>
  <c r="H63" i="12"/>
  <c r="H67" i="12" s="1"/>
  <c r="K61" i="12"/>
  <c r="J61" i="12"/>
  <c r="K60" i="12"/>
  <c r="J60" i="12"/>
  <c r="I60" i="12"/>
  <c r="I11" i="20"/>
  <c r="G42" i="19" l="1"/>
  <c r="G46" i="19" s="1"/>
  <c r="K63" i="12"/>
  <c r="K67" i="12" s="1"/>
  <c r="J87" i="12"/>
  <c r="J91" i="12" s="1"/>
  <c r="I68" i="12"/>
  <c r="J92" i="12"/>
  <c r="I92" i="12"/>
  <c r="I8" i="5" l="1"/>
  <c r="J8" i="5" s="1"/>
  <c r="C6" i="5" l="1"/>
  <c r="W9" i="2"/>
  <c r="I8" i="23" l="1"/>
  <c r="I16" i="23" s="1"/>
  <c r="I20" i="23" s="1"/>
  <c r="I32" i="28"/>
  <c r="I8" i="28"/>
  <c r="I8" i="19"/>
  <c r="I17" i="19" s="1"/>
  <c r="I21" i="19" s="1"/>
  <c r="E57" i="19"/>
  <c r="I8" i="17"/>
  <c r="I18" i="17" s="1"/>
  <c r="I22" i="17" s="1"/>
  <c r="G8" i="10"/>
  <c r="K7" i="5"/>
  <c r="E7" i="5"/>
  <c r="E9" i="5" s="1"/>
  <c r="H32" i="12"/>
  <c r="G8" i="21"/>
  <c r="I7" i="5"/>
  <c r="J7" i="5" s="1"/>
  <c r="E9" i="38"/>
  <c r="E11" i="38" s="1"/>
  <c r="E13" i="38" s="1"/>
  <c r="O12" i="38"/>
  <c r="J11" i="38"/>
  <c r="K11" i="38" s="1"/>
  <c r="L11" i="38" s="1"/>
  <c r="M11" i="38" s="1"/>
  <c r="N11" i="38" s="1"/>
  <c r="O11" i="38" s="1"/>
  <c r="P11" i="38" s="1"/>
  <c r="J10" i="38"/>
  <c r="K10" i="38" s="1"/>
  <c r="L10" i="38" s="1"/>
  <c r="M10" i="38" s="1"/>
  <c r="N10" i="38" s="1"/>
  <c r="O10" i="38" s="1"/>
  <c r="P10" i="38" s="1"/>
  <c r="I11" i="38"/>
  <c r="I10" i="38"/>
  <c r="I9" i="38"/>
  <c r="J9" i="38" s="1"/>
  <c r="K9" i="38" s="1"/>
  <c r="L9" i="38" s="1"/>
  <c r="M9" i="38" s="1"/>
  <c r="N9" i="38" s="1"/>
  <c r="O9" i="38" s="1"/>
  <c r="P9" i="38" s="1"/>
  <c r="I8" i="34" l="1"/>
  <c r="I17" i="34" s="1"/>
  <c r="I21" i="34" s="1"/>
  <c r="J8" i="20"/>
  <c r="J17" i="20" s="1"/>
  <c r="J21" i="20" s="1"/>
  <c r="I8" i="9"/>
  <c r="I16" i="9" s="1"/>
  <c r="I21" i="9" s="1"/>
  <c r="J8" i="15"/>
  <c r="I8" i="11"/>
  <c r="I17" i="11" s="1"/>
  <c r="I21" i="11" s="1"/>
  <c r="I57" i="19"/>
  <c r="H8" i="34"/>
  <c r="I8" i="20"/>
  <c r="I8" i="15"/>
  <c r="H8" i="11"/>
  <c r="H8" i="9"/>
  <c r="H8" i="19"/>
  <c r="H8" i="28"/>
  <c r="H8" i="17"/>
  <c r="H8" i="23"/>
  <c r="H32" i="28"/>
  <c r="L7" i="5"/>
  <c r="K9" i="5"/>
  <c r="L9" i="5" s="1"/>
  <c r="I9" i="5" l="1"/>
  <c r="J9" i="5" s="1"/>
  <c r="L9" i="7" l="1"/>
  <c r="M9" i="7" s="1"/>
  <c r="D8" i="9" l="1"/>
  <c r="B1" i="34"/>
  <c r="V12" i="30" l="1"/>
  <c r="V15" i="30" s="1"/>
  <c r="V25" i="30" s="1"/>
  <c r="V28" i="30" s="1"/>
  <c r="V37" i="30" s="1"/>
  <c r="V2" i="30"/>
  <c r="F24" i="34" l="1"/>
  <c r="G24" i="34" s="1"/>
  <c r="H24" i="34" s="1"/>
  <c r="J24" i="34" s="1"/>
  <c r="C24" i="34"/>
  <c r="H23" i="34"/>
  <c r="C23" i="34"/>
  <c r="H22" i="34"/>
  <c r="D22" i="34"/>
  <c r="F20" i="34"/>
  <c r="G20" i="34" s="1"/>
  <c r="J20" i="34" s="1"/>
  <c r="C20" i="34"/>
  <c r="H19" i="34"/>
  <c r="C19" i="34"/>
  <c r="H18" i="34"/>
  <c r="G18" i="34"/>
  <c r="F18" i="34"/>
  <c r="D18" i="34"/>
  <c r="E18" i="34" s="1"/>
  <c r="G13" i="34"/>
  <c r="J13" i="34" s="1"/>
  <c r="C13" i="34"/>
  <c r="H12" i="34"/>
  <c r="C12" i="34"/>
  <c r="C11" i="34"/>
  <c r="J10" i="34"/>
  <c r="H10" i="34"/>
  <c r="C10" i="34"/>
  <c r="C9" i="34"/>
  <c r="F22" i="34" l="1"/>
  <c r="G22" i="34" s="1"/>
  <c r="E22" i="34"/>
  <c r="G11" i="34"/>
  <c r="J11" i="34" s="1"/>
  <c r="C11" i="23"/>
  <c r="D11" i="23" s="1"/>
  <c r="D11" i="34"/>
  <c r="F11" i="34"/>
  <c r="H20" i="34"/>
  <c r="B1" i="10"/>
  <c r="H11" i="34" l="1"/>
  <c r="E11" i="34"/>
  <c r="U2" i="30"/>
  <c r="Y41" i="30" l="1"/>
  <c r="L29" i="2" l="1"/>
  <c r="B29" i="10"/>
  <c r="B29" i="11" s="1"/>
  <c r="B103" i="12" s="1"/>
  <c r="B29" i="15" s="1"/>
  <c r="B30" i="17" s="1"/>
  <c r="B78" i="19" s="1"/>
  <c r="B29" i="20" l="1"/>
  <c r="B29" i="21" s="1"/>
  <c r="B53" i="28"/>
  <c r="M5" i="30"/>
  <c r="O46" i="30"/>
  <c r="M44" i="30"/>
  <c r="M45" i="30" s="1"/>
  <c r="M46" i="30" s="1"/>
  <c r="B29" i="34" l="1"/>
  <c r="E11" i="23"/>
  <c r="C12" i="17"/>
  <c r="G11" i="17"/>
  <c r="F11" i="17"/>
  <c r="E11" i="17"/>
  <c r="C10" i="17"/>
  <c r="G11" i="9"/>
  <c r="F11" i="9"/>
  <c r="D11" i="9"/>
  <c r="E11" i="9" s="1"/>
  <c r="C11" i="20"/>
  <c r="H11" i="23" l="1"/>
  <c r="F11" i="23"/>
  <c r="J11" i="23"/>
  <c r="C11" i="28"/>
  <c r="C11" i="15"/>
  <c r="J11" i="28" l="1"/>
  <c r="D11" i="28"/>
  <c r="D35" i="28" s="1"/>
  <c r="I11" i="28"/>
  <c r="G11" i="28"/>
  <c r="F11" i="15"/>
  <c r="D11" i="15"/>
  <c r="H11" i="15"/>
  <c r="G11" i="15"/>
  <c r="E11" i="28"/>
  <c r="F11" i="28"/>
  <c r="H11" i="28"/>
  <c r="J8" i="12"/>
  <c r="J11" i="12"/>
  <c r="K32" i="12"/>
  <c r="K35" i="12"/>
  <c r="J9" i="12"/>
  <c r="J10" i="12"/>
  <c r="J23" i="12"/>
  <c r="K47" i="12" s="1"/>
  <c r="K33" i="12"/>
  <c r="E11" i="15" l="1"/>
  <c r="J11" i="15"/>
  <c r="J16" i="15" s="1"/>
  <c r="J20" i="15" s="1"/>
  <c r="I35" i="28"/>
  <c r="I40" i="28" s="1"/>
  <c r="I44" i="28" s="1"/>
  <c r="I16" i="28"/>
  <c r="I20" i="28" s="1"/>
  <c r="J6" i="9"/>
  <c r="J5" i="9"/>
  <c r="P43" i="30" l="1"/>
  <c r="Y43" i="30" s="1"/>
  <c r="F55" i="19" l="1"/>
  <c r="F54" i="19"/>
  <c r="G11" i="19"/>
  <c r="J6" i="11"/>
  <c r="F6" i="10"/>
  <c r="F5" i="10"/>
  <c r="L30" i="12" l="1"/>
  <c r="J60" i="19"/>
  <c r="J58" i="19"/>
  <c r="J57" i="19"/>
  <c r="I6" i="12" l="1"/>
  <c r="O30" i="12" s="1"/>
  <c r="G6" i="17"/>
  <c r="K6" i="15"/>
  <c r="I5" i="12"/>
  <c r="O29" i="12" s="1"/>
  <c r="L29" i="12"/>
  <c r="G6" i="19" l="1"/>
  <c r="K5" i="15"/>
  <c r="G5" i="17"/>
  <c r="J55" i="19" l="1"/>
  <c r="G6" i="20"/>
  <c r="G56" i="19"/>
  <c r="G5" i="19"/>
  <c r="M13" i="29"/>
  <c r="M12" i="29"/>
  <c r="F6" i="21" l="1"/>
  <c r="K6" i="20"/>
  <c r="G5" i="20"/>
  <c r="G54" i="19"/>
  <c r="J54" i="19" s="1"/>
  <c r="G6" i="34" l="1"/>
  <c r="J6" i="34" s="1"/>
  <c r="H6" i="21"/>
  <c r="F5" i="21"/>
  <c r="K5" i="20"/>
  <c r="O10" i="30"/>
  <c r="O23" i="30" s="1"/>
  <c r="M19" i="30"/>
  <c r="M32" i="30" s="1"/>
  <c r="M18" i="30"/>
  <c r="M31" i="30" s="1"/>
  <c r="M7" i="29"/>
  <c r="M17" i="29" s="1"/>
  <c r="M6" i="29"/>
  <c r="M16" i="29" s="1"/>
  <c r="M5" i="29"/>
  <c r="M4" i="29"/>
  <c r="M8" i="29"/>
  <c r="M18" i="29" s="1"/>
  <c r="M39" i="30"/>
  <c r="M38" i="30"/>
  <c r="M37" i="30"/>
  <c r="M36" i="30"/>
  <c r="M35" i="30"/>
  <c r="M34" i="30"/>
  <c r="M33" i="30"/>
  <c r="M30" i="30"/>
  <c r="M29" i="30"/>
  <c r="O28" i="30"/>
  <c r="O29" i="30" s="1"/>
  <c r="O30" i="30" s="1"/>
  <c r="O31" i="30" s="1"/>
  <c r="O32" i="30" s="1"/>
  <c r="O33" i="30" s="1"/>
  <c r="O34" i="30" s="1"/>
  <c r="O35" i="30" s="1"/>
  <c r="O36" i="30" s="1"/>
  <c r="O37" i="30" s="1"/>
  <c r="O38" i="30" s="1"/>
  <c r="O39" i="30" s="1"/>
  <c r="M28" i="30"/>
  <c r="M27" i="30"/>
  <c r="M26" i="30"/>
  <c r="M25" i="30"/>
  <c r="M24" i="30"/>
  <c r="M22" i="30"/>
  <c r="M23" i="30" s="1"/>
  <c r="M21" i="30"/>
  <c r="M20" i="30"/>
  <c r="M17" i="30"/>
  <c r="M16" i="30"/>
  <c r="M15" i="30"/>
  <c r="M14" i="30"/>
  <c r="M13" i="30"/>
  <c r="M12" i="30"/>
  <c r="M11" i="30"/>
  <c r="M9" i="30"/>
  <c r="M10" i="30" s="1"/>
  <c r="M8" i="30"/>
  <c r="M7" i="30"/>
  <c r="M4" i="30"/>
  <c r="M3" i="30"/>
  <c r="V3" i="30"/>
  <c r="V4" i="30" s="1"/>
  <c r="V5" i="30" s="1"/>
  <c r="V6" i="30" s="1"/>
  <c r="V7" i="30" s="1"/>
  <c r="V8" i="30" s="1"/>
  <c r="V9" i="30" s="1"/>
  <c r="V11" i="30" s="1"/>
  <c r="V13" i="30" s="1"/>
  <c r="V14" i="30" s="1"/>
  <c r="V16" i="30" s="1"/>
  <c r="V17" i="30" s="1"/>
  <c r="V18" i="30" s="1"/>
  <c r="V19" i="30" s="1"/>
  <c r="V20" i="30" s="1"/>
  <c r="V21" i="30" s="1"/>
  <c r="V22" i="30" s="1"/>
  <c r="V24" i="30" s="1"/>
  <c r="V26" i="30" s="1"/>
  <c r="V27" i="30" s="1"/>
  <c r="V29" i="30" s="1"/>
  <c r="V30" i="30" s="1"/>
  <c r="V31" i="30" s="1"/>
  <c r="V32" i="30" s="1"/>
  <c r="V33" i="30" s="1"/>
  <c r="V34" i="30" s="1"/>
  <c r="V35" i="30" s="1"/>
  <c r="V36" i="30" s="1"/>
  <c r="V38" i="30" s="1"/>
  <c r="V39" i="30" s="1"/>
  <c r="V40" i="30" s="1"/>
  <c r="V41" i="30" s="1"/>
  <c r="V42" i="30" s="1"/>
  <c r="V43" i="30" s="1"/>
  <c r="V44" i="30" s="1"/>
  <c r="V45" i="30" s="1"/>
  <c r="V46" i="30" s="1"/>
  <c r="U3" i="30"/>
  <c r="U4" i="30" s="1"/>
  <c r="U5" i="30" s="1"/>
  <c r="U6" i="30" s="1"/>
  <c r="U7" i="30" s="1"/>
  <c r="U8" i="30" s="1"/>
  <c r="U9" i="30" s="1"/>
  <c r="U11" i="30" s="1"/>
  <c r="O2" i="30"/>
  <c r="O3" i="30" s="1"/>
  <c r="O4" i="30" s="1"/>
  <c r="O5" i="30" s="1"/>
  <c r="O6" i="30" s="1"/>
  <c r="O7" i="30" s="1"/>
  <c r="O8" i="30" s="1"/>
  <c r="O9" i="30" s="1"/>
  <c r="M2" i="30"/>
  <c r="G5" i="34" l="1"/>
  <c r="J5" i="34" s="1"/>
  <c r="M11" i="29"/>
  <c r="M21" i="29" s="1"/>
  <c r="M22" i="29" s="1"/>
  <c r="U12" i="30"/>
  <c r="U13" i="30" s="1"/>
  <c r="U14" i="30" s="1"/>
  <c r="M9" i="29"/>
  <c r="M19" i="29" s="1"/>
  <c r="M14" i="29"/>
  <c r="M10" i="29"/>
  <c r="M20" i="29" s="1"/>
  <c r="M15" i="29"/>
  <c r="H5" i="21"/>
  <c r="V23" i="30"/>
  <c r="O11" i="30"/>
  <c r="O12" i="30" s="1"/>
  <c r="O13" i="30" s="1"/>
  <c r="O14" i="30" s="1"/>
  <c r="O15" i="30" s="1"/>
  <c r="O16" i="30" s="1"/>
  <c r="O17" i="30" s="1"/>
  <c r="O18" i="30" s="1"/>
  <c r="O19" i="30" s="1"/>
  <c r="O20" i="30" s="1"/>
  <c r="O21" i="30" s="1"/>
  <c r="O22" i="30" s="1"/>
  <c r="O24" i="30" s="1"/>
  <c r="O25" i="30" s="1"/>
  <c r="O26" i="30" s="1"/>
  <c r="O27" i="30" s="1"/>
  <c r="U10" i="30"/>
  <c r="V10" i="30"/>
  <c r="V2" i="29"/>
  <c r="U2" i="29"/>
  <c r="U15" i="30" l="1"/>
  <c r="U16" i="30" s="1"/>
  <c r="U17" i="30" s="1"/>
  <c r="U18" i="30" s="1"/>
  <c r="U19" i="30" s="1"/>
  <c r="U20" i="30" s="1"/>
  <c r="U21" i="30" s="1"/>
  <c r="U22" i="30" s="1"/>
  <c r="U3" i="29"/>
  <c r="U4" i="29" s="1"/>
  <c r="U5" i="29" s="1"/>
  <c r="U6" i="29" s="1"/>
  <c r="U7" i="29" s="1"/>
  <c r="U8" i="29" s="1"/>
  <c r="U9" i="29" s="1"/>
  <c r="U10" i="29" s="1"/>
  <c r="U11" i="29" s="1"/>
  <c r="U12" i="29" s="1"/>
  <c r="U13" i="29" s="1"/>
  <c r="U14" i="29" s="1"/>
  <c r="U15" i="29" s="1"/>
  <c r="U16" i="29" s="1"/>
  <c r="U17" i="29" s="1"/>
  <c r="U18" i="29" s="1"/>
  <c r="U19" i="29" s="1"/>
  <c r="U20" i="29" s="1"/>
  <c r="U21" i="29" s="1"/>
  <c r="U22" i="29" s="1"/>
  <c r="V3" i="29"/>
  <c r="V4" i="29" s="1"/>
  <c r="V5" i="29" s="1"/>
  <c r="V6" i="29" s="1"/>
  <c r="V7" i="29" s="1"/>
  <c r="V8" i="29" s="1"/>
  <c r="V9" i="29" s="1"/>
  <c r="V10" i="29" s="1"/>
  <c r="V11" i="29" s="1"/>
  <c r="V12" i="29" s="1"/>
  <c r="V13" i="29" s="1"/>
  <c r="V14" i="29" s="1"/>
  <c r="V15" i="29" s="1"/>
  <c r="V16" i="29" s="1"/>
  <c r="V17" i="29" s="1"/>
  <c r="V18" i="29" s="1"/>
  <c r="V19" i="29" s="1"/>
  <c r="V20" i="29" s="1"/>
  <c r="V21" i="29" s="1"/>
  <c r="V22" i="29" s="1"/>
  <c r="U24" i="30" l="1"/>
  <c r="U23" i="30"/>
  <c r="J36" i="28"/>
  <c r="G36" i="28"/>
  <c r="G34" i="28"/>
  <c r="G33" i="28"/>
  <c r="F36" i="28"/>
  <c r="F34" i="28"/>
  <c r="F33" i="28"/>
  <c r="E36" i="28"/>
  <c r="E34" i="28"/>
  <c r="E33" i="28"/>
  <c r="F47" i="28"/>
  <c r="G47" i="28" s="1"/>
  <c r="J47" i="28" s="1"/>
  <c r="C47" i="28"/>
  <c r="H46" i="28"/>
  <c r="C46" i="28"/>
  <c r="E45" i="28"/>
  <c r="F45" i="28" s="1"/>
  <c r="G45" i="28" s="1"/>
  <c r="F43" i="28"/>
  <c r="G43" i="28" s="1"/>
  <c r="J43" i="28" s="1"/>
  <c r="C43" i="28"/>
  <c r="H42" i="28"/>
  <c r="C42" i="28"/>
  <c r="H41" i="28"/>
  <c r="G41" i="28"/>
  <c r="F41" i="28"/>
  <c r="E41" i="28"/>
  <c r="J32" i="28"/>
  <c r="F23" i="28"/>
  <c r="G23" i="28" s="1"/>
  <c r="H23" i="28" s="1"/>
  <c r="J23" i="28" s="1"/>
  <c r="C23" i="28"/>
  <c r="H22" i="28"/>
  <c r="C22" i="28"/>
  <c r="E21" i="28"/>
  <c r="F21" i="28" s="1"/>
  <c r="G21" i="28" s="1"/>
  <c r="F19" i="28"/>
  <c r="G19" i="28" s="1"/>
  <c r="J19" i="28" s="1"/>
  <c r="C19" i="28"/>
  <c r="H18" i="28"/>
  <c r="C18" i="28"/>
  <c r="H17" i="28"/>
  <c r="G17" i="28"/>
  <c r="F17" i="28"/>
  <c r="E17" i="28"/>
  <c r="G39" i="28"/>
  <c r="H12" i="28"/>
  <c r="H36" i="28" s="1"/>
  <c r="C12" i="28"/>
  <c r="C36" i="28" s="1"/>
  <c r="J35" i="28"/>
  <c r="H35" i="28"/>
  <c r="G35" i="28"/>
  <c r="F35" i="28"/>
  <c r="E35" i="28"/>
  <c r="C35" i="28"/>
  <c r="J10" i="28"/>
  <c r="J34" i="28" s="1"/>
  <c r="H10" i="28"/>
  <c r="H34" i="28" s="1"/>
  <c r="C10" i="28"/>
  <c r="C34" i="28" s="1"/>
  <c r="J33" i="28"/>
  <c r="C9" i="28"/>
  <c r="C33" i="28" s="1"/>
  <c r="B1" i="28"/>
  <c r="U25" i="30" l="1"/>
  <c r="U26" i="30" s="1"/>
  <c r="U27" i="30" s="1"/>
  <c r="C39" i="28"/>
  <c r="H43" i="28"/>
  <c r="H39" i="28"/>
  <c r="E39" i="28"/>
  <c r="H19" i="28"/>
  <c r="F39" i="28"/>
  <c r="U28" i="30" l="1"/>
  <c r="U29" i="30" s="1"/>
  <c r="U30" i="30" s="1"/>
  <c r="U31" i="30" s="1"/>
  <c r="U32" i="30" s="1"/>
  <c r="U33" i="30" s="1"/>
  <c r="U34" i="30" s="1"/>
  <c r="U35" i="30" s="1"/>
  <c r="U36" i="30" s="1"/>
  <c r="J39" i="28"/>
  <c r="U37" i="30" l="1"/>
  <c r="U38" i="30" s="1"/>
  <c r="U39" i="30" s="1"/>
  <c r="U40" i="30" s="1"/>
  <c r="U41" i="30" s="1"/>
  <c r="U42" i="30" s="1"/>
  <c r="U43" i="30" s="1"/>
  <c r="U44" i="30" s="1"/>
  <c r="U45" i="30" s="1"/>
  <c r="U46" i="30" s="1"/>
  <c r="F57" i="20"/>
  <c r="D57" i="20"/>
  <c r="G57" i="20" s="1"/>
  <c r="G56" i="20"/>
  <c r="D56" i="20"/>
  <c r="F56" i="20" s="1"/>
  <c r="C35" i="12" l="1"/>
  <c r="G50" i="20" l="1"/>
  <c r="F50" i="20"/>
  <c r="J10" i="9"/>
  <c r="J12" i="9"/>
  <c r="H12" i="9"/>
  <c r="G12" i="9"/>
  <c r="F12" i="9"/>
  <c r="D12" i="9"/>
  <c r="E12" i="9" s="1"/>
  <c r="B10" i="24"/>
  <c r="B11" i="24"/>
  <c r="B8" i="24"/>
  <c r="C8" i="24"/>
  <c r="C10" i="24"/>
  <c r="C11" i="24"/>
  <c r="D11" i="24" s="1"/>
  <c r="A5" i="24"/>
  <c r="F23" i="23"/>
  <c r="H23" i="23" s="1"/>
  <c r="J23" i="23" s="1"/>
  <c r="C23" i="23"/>
  <c r="D23" i="23" s="1"/>
  <c r="C22" i="23"/>
  <c r="D22" i="23" s="1"/>
  <c r="E21" i="23"/>
  <c r="F21" i="23" s="1"/>
  <c r="F19" i="23"/>
  <c r="C19" i="23"/>
  <c r="D19" i="23" s="1"/>
  <c r="H18" i="23"/>
  <c r="C18" i="23"/>
  <c r="D18" i="23" s="1"/>
  <c r="H17" i="23"/>
  <c r="F17" i="23"/>
  <c r="E17" i="23"/>
  <c r="C12" i="23"/>
  <c r="D12" i="23" s="1"/>
  <c r="J10" i="23"/>
  <c r="H10" i="23"/>
  <c r="C10" i="23"/>
  <c r="C9" i="23"/>
  <c r="B1" i="23"/>
  <c r="H11" i="21"/>
  <c r="E24" i="21"/>
  <c r="F24" i="21" s="1"/>
  <c r="G24" i="21" s="1"/>
  <c r="H24" i="21" s="1"/>
  <c r="C24" i="21"/>
  <c r="G23" i="21"/>
  <c r="C23" i="21"/>
  <c r="G22" i="21"/>
  <c r="D22" i="21"/>
  <c r="E22" i="21" s="1"/>
  <c r="F22" i="21" s="1"/>
  <c r="E20" i="21"/>
  <c r="F20" i="21" s="1"/>
  <c r="H20" i="21" s="1"/>
  <c r="C20" i="21"/>
  <c r="G19" i="21"/>
  <c r="C19" i="21"/>
  <c r="G18" i="21"/>
  <c r="F18" i="21"/>
  <c r="E18" i="21"/>
  <c r="D18" i="21"/>
  <c r="G12" i="21"/>
  <c r="C12" i="21"/>
  <c r="F11" i="21"/>
  <c r="E11" i="21"/>
  <c r="C11" i="21"/>
  <c r="H10" i="21"/>
  <c r="G10" i="21"/>
  <c r="C10" i="21"/>
  <c r="H9" i="21"/>
  <c r="C9" i="21"/>
  <c r="H8" i="21"/>
  <c r="B1" i="21"/>
  <c r="G20" i="21" l="1"/>
  <c r="D50" i="20"/>
  <c r="C50" i="20"/>
  <c r="B43" i="20"/>
  <c r="C58" i="20" l="1"/>
  <c r="D58" i="20"/>
  <c r="K24" i="20" l="1"/>
  <c r="I24" i="20"/>
  <c r="H24" i="20"/>
  <c r="G24" i="20"/>
  <c r="F24" i="20"/>
  <c r="D24" i="20"/>
  <c r="E24" i="20" s="1"/>
  <c r="G23" i="20"/>
  <c r="D23" i="20"/>
  <c r="H20" i="20"/>
  <c r="F20" i="20"/>
  <c r="H19" i="20"/>
  <c r="I19" i="20" s="1"/>
  <c r="K19" i="20" s="1"/>
  <c r="G19" i="20"/>
  <c r="F19" i="20"/>
  <c r="D19" i="20"/>
  <c r="E19" i="20" s="1"/>
  <c r="F18" i="20"/>
  <c r="F22" i="20" s="1"/>
  <c r="D18" i="20"/>
  <c r="E18" i="20" s="1"/>
  <c r="H12" i="20"/>
  <c r="I12" i="20" s="1"/>
  <c r="G12" i="20"/>
  <c r="F12" i="20"/>
  <c r="D12" i="20"/>
  <c r="H11" i="20"/>
  <c r="K11" i="20"/>
  <c r="F11" i="20"/>
  <c r="C10" i="20"/>
  <c r="C9" i="20"/>
  <c r="B1" i="20"/>
  <c r="H68" i="19"/>
  <c r="J68" i="19" s="1"/>
  <c r="C60" i="19"/>
  <c r="H58" i="19"/>
  <c r="D57" i="19"/>
  <c r="H57" i="19" s="1"/>
  <c r="C57" i="19"/>
  <c r="C22" i="19"/>
  <c r="J20" i="19"/>
  <c r="G20" i="19"/>
  <c r="F20" i="19"/>
  <c r="D20" i="19"/>
  <c r="J19" i="19"/>
  <c r="H19" i="19"/>
  <c r="J18" i="19"/>
  <c r="J22" i="19" s="1"/>
  <c r="H12" i="19"/>
  <c r="C73" i="19"/>
  <c r="J72" i="19"/>
  <c r="G72" i="19"/>
  <c r="C72" i="19"/>
  <c r="C71" i="19"/>
  <c r="J71" i="19" s="1"/>
  <c r="G68" i="19"/>
  <c r="F68" i="19"/>
  <c r="D68" i="19"/>
  <c r="D67" i="19"/>
  <c r="F67" i="19" s="1"/>
  <c r="C61" i="19"/>
  <c r="G61" i="19" s="1"/>
  <c r="D60" i="19"/>
  <c r="H60" i="19" s="1"/>
  <c r="J24" i="19"/>
  <c r="J73" i="19" s="1"/>
  <c r="H24" i="19"/>
  <c r="H73" i="19" s="1"/>
  <c r="G24" i="19"/>
  <c r="G73" i="19" s="1"/>
  <c r="F24" i="19"/>
  <c r="F73" i="19" s="1"/>
  <c r="D24" i="19"/>
  <c r="D73" i="19" s="1"/>
  <c r="F72" i="19"/>
  <c r="D23" i="19"/>
  <c r="H23" i="19" s="1"/>
  <c r="G19" i="19"/>
  <c r="F19" i="19"/>
  <c r="D19" i="19"/>
  <c r="D18" i="19"/>
  <c r="D22" i="19" s="1"/>
  <c r="G12" i="19"/>
  <c r="F12" i="19"/>
  <c r="D12" i="19"/>
  <c r="B1" i="19"/>
  <c r="F25" i="17"/>
  <c r="G25" i="17" s="1"/>
  <c r="H25" i="17" s="1"/>
  <c r="J25" i="17" s="1"/>
  <c r="C25" i="17"/>
  <c r="H24" i="17"/>
  <c r="C24" i="17"/>
  <c r="H23" i="17"/>
  <c r="E23" i="17"/>
  <c r="F23" i="17" s="1"/>
  <c r="G23" i="17" s="1"/>
  <c r="F21" i="17"/>
  <c r="G21" i="17" s="1"/>
  <c r="J21" i="17" s="1"/>
  <c r="C21" i="17"/>
  <c r="H20" i="17"/>
  <c r="C20" i="17"/>
  <c r="H19" i="17"/>
  <c r="G19" i="17"/>
  <c r="F19" i="17"/>
  <c r="E19" i="17"/>
  <c r="G13" i="17"/>
  <c r="J13" i="17" s="1"/>
  <c r="C13" i="17"/>
  <c r="H12" i="17"/>
  <c r="J11" i="17"/>
  <c r="H11" i="17"/>
  <c r="J10" i="17"/>
  <c r="H10" i="17"/>
  <c r="C9" i="17"/>
  <c r="B1" i="17"/>
  <c r="I18" i="15"/>
  <c r="K12" i="20" l="1"/>
  <c r="E12" i="20"/>
  <c r="I23" i="20"/>
  <c r="E23" i="20"/>
  <c r="J12" i="19"/>
  <c r="E12" i="19"/>
  <c r="H59" i="19"/>
  <c r="J59" i="19" s="1"/>
  <c r="G34" i="19"/>
  <c r="G41" i="19" s="1"/>
  <c r="G45" i="19" s="1"/>
  <c r="F18" i="19"/>
  <c r="G18" i="19" s="1"/>
  <c r="D71" i="19"/>
  <c r="D22" i="20"/>
  <c r="C22" i="20"/>
  <c r="D20" i="20"/>
  <c r="C20" i="20"/>
  <c r="G22" i="20"/>
  <c r="E22" i="20" s="1"/>
  <c r="H18" i="20"/>
  <c r="I18" i="20" s="1"/>
  <c r="K18" i="20" s="1"/>
  <c r="G18" i="20"/>
  <c r="G20" i="20"/>
  <c r="E20" i="20" s="1"/>
  <c r="J67" i="19"/>
  <c r="G67" i="19"/>
  <c r="G71" i="19" s="1"/>
  <c r="G22" i="19"/>
  <c r="H22" i="19"/>
  <c r="H61" i="19"/>
  <c r="F71" i="19"/>
  <c r="H71" i="19"/>
  <c r="F22" i="19"/>
  <c r="D61" i="19"/>
  <c r="J61" i="19" s="1"/>
  <c r="F61" i="19"/>
  <c r="H72" i="19"/>
  <c r="D72" i="19"/>
  <c r="H21" i="17"/>
  <c r="I12" i="15"/>
  <c r="K23" i="15"/>
  <c r="I23" i="15"/>
  <c r="H23" i="15"/>
  <c r="G23" i="15"/>
  <c r="F23" i="15"/>
  <c r="D23" i="15"/>
  <c r="E23" i="15" s="1"/>
  <c r="G22" i="15"/>
  <c r="D22" i="15"/>
  <c r="H19" i="15"/>
  <c r="F19" i="15"/>
  <c r="D19" i="15" s="1"/>
  <c r="E19" i="15" s="1"/>
  <c r="H18" i="15"/>
  <c r="K18" i="15" s="1"/>
  <c r="G18" i="15"/>
  <c r="F18" i="15"/>
  <c r="D18" i="15"/>
  <c r="E18" i="15" s="1"/>
  <c r="F17" i="15"/>
  <c r="H17" i="15" s="1"/>
  <c r="K17" i="15" s="1"/>
  <c r="D17" i="15"/>
  <c r="E17" i="15" s="1"/>
  <c r="H12" i="15"/>
  <c r="G12" i="15"/>
  <c r="F12" i="15"/>
  <c r="D12" i="15"/>
  <c r="K11" i="15"/>
  <c r="I11" i="15"/>
  <c r="C10" i="15"/>
  <c r="C9" i="15"/>
  <c r="B1" i="15"/>
  <c r="C47" i="12"/>
  <c r="I23" i="12"/>
  <c r="O47" i="12" s="1"/>
  <c r="H23" i="12"/>
  <c r="H47" i="12" s="1"/>
  <c r="G23" i="12"/>
  <c r="G47" i="12" s="1"/>
  <c r="F23" i="12"/>
  <c r="L47" i="12" s="1"/>
  <c r="E23" i="12"/>
  <c r="F47" i="12" s="1"/>
  <c r="D23" i="12"/>
  <c r="D47" i="12" s="1"/>
  <c r="O46" i="12"/>
  <c r="G46" i="12"/>
  <c r="F46" i="12"/>
  <c r="C46" i="12"/>
  <c r="D22" i="12"/>
  <c r="E17" i="12"/>
  <c r="J17" i="12" s="1"/>
  <c r="J21" i="12" s="1"/>
  <c r="D17" i="12"/>
  <c r="F41" i="12"/>
  <c r="K41" i="12" s="1"/>
  <c r="K45" i="12" s="1"/>
  <c r="D41" i="12"/>
  <c r="C45" i="12"/>
  <c r="G42" i="12"/>
  <c r="L42" i="12"/>
  <c r="F42" i="12"/>
  <c r="D42" i="12"/>
  <c r="H42" i="12" s="1"/>
  <c r="G18" i="12"/>
  <c r="F18" i="12"/>
  <c r="H18" i="12" s="1"/>
  <c r="E18" i="12"/>
  <c r="D18" i="12"/>
  <c r="C36" i="12"/>
  <c r="G36" i="12" s="1"/>
  <c r="G12" i="12"/>
  <c r="F12" i="12"/>
  <c r="E12" i="12"/>
  <c r="J12" i="12" s="1"/>
  <c r="D12" i="12"/>
  <c r="G35" i="12"/>
  <c r="L35" i="12"/>
  <c r="O35" i="12" s="1"/>
  <c r="F35" i="12"/>
  <c r="H35" i="12"/>
  <c r="O33" i="12"/>
  <c r="O32" i="12"/>
  <c r="C34" i="12"/>
  <c r="C33" i="12"/>
  <c r="B1" i="12"/>
  <c r="G11" i="12"/>
  <c r="I11" i="12"/>
  <c r="E11" i="12"/>
  <c r="C11" i="12"/>
  <c r="B1" i="11"/>
  <c r="F22" i="12"/>
  <c r="L46" i="12" s="1"/>
  <c r="G19" i="12"/>
  <c r="E19" i="12"/>
  <c r="D19" i="12" s="1"/>
  <c r="J57" i="12"/>
  <c r="J63" i="12" s="1"/>
  <c r="J67" i="12" s="1"/>
  <c r="I57" i="12"/>
  <c r="I63" i="12" s="1"/>
  <c r="I67" i="12" s="1"/>
  <c r="C10" i="12"/>
  <c r="C9" i="12"/>
  <c r="J11" i="11"/>
  <c r="F11" i="11"/>
  <c r="C11" i="11"/>
  <c r="F24" i="11"/>
  <c r="G24" i="11" s="1"/>
  <c r="H24" i="11" s="1"/>
  <c r="J24" i="11" s="1"/>
  <c r="C24" i="11"/>
  <c r="H23" i="11"/>
  <c r="C23" i="11"/>
  <c r="H22" i="11"/>
  <c r="D22" i="11"/>
  <c r="F20" i="11"/>
  <c r="G20" i="11" s="1"/>
  <c r="J20" i="11" s="1"/>
  <c r="C20" i="11"/>
  <c r="H19" i="11"/>
  <c r="C19" i="11"/>
  <c r="H18" i="11"/>
  <c r="G18" i="11"/>
  <c r="F18" i="11"/>
  <c r="D18" i="11"/>
  <c r="E18" i="11" s="1"/>
  <c r="G13" i="11"/>
  <c r="J13" i="11" s="1"/>
  <c r="C13" i="11"/>
  <c r="H12" i="11"/>
  <c r="C12" i="11"/>
  <c r="J10" i="11"/>
  <c r="H10" i="11"/>
  <c r="C10" i="11"/>
  <c r="C9" i="11"/>
  <c r="F11" i="10"/>
  <c r="C11" i="10"/>
  <c r="K12" i="15" l="1"/>
  <c r="E12" i="15"/>
  <c r="I22" i="15"/>
  <c r="E22" i="15"/>
  <c r="F22" i="11"/>
  <c r="G22" i="11" s="1"/>
  <c r="E22" i="11"/>
  <c r="H22" i="12"/>
  <c r="D46" i="12"/>
  <c r="H12" i="12"/>
  <c r="I18" i="12"/>
  <c r="J18" i="12" s="1"/>
  <c r="J15" i="12"/>
  <c r="O42" i="12"/>
  <c r="K42" i="12" s="1"/>
  <c r="G58" i="20"/>
  <c r="F58" i="20"/>
  <c r="H22" i="20"/>
  <c r="I22" i="20" s="1"/>
  <c r="K22" i="20" s="1"/>
  <c r="I20" i="20"/>
  <c r="K20" i="20" s="1"/>
  <c r="C69" i="19"/>
  <c r="H20" i="19"/>
  <c r="I17" i="15"/>
  <c r="G17" i="15"/>
  <c r="F21" i="15"/>
  <c r="D21" i="15" s="1"/>
  <c r="H21" i="15"/>
  <c r="I21" i="15" s="1"/>
  <c r="G19" i="15"/>
  <c r="C19" i="15"/>
  <c r="D36" i="12"/>
  <c r="F36" i="12"/>
  <c r="L36" i="12"/>
  <c r="L41" i="12"/>
  <c r="G41" i="12"/>
  <c r="F45" i="12"/>
  <c r="C19" i="12"/>
  <c r="H34" i="12"/>
  <c r="K34" i="12" s="1"/>
  <c r="O41" i="12"/>
  <c r="H41" i="12"/>
  <c r="H17" i="12"/>
  <c r="F19" i="12"/>
  <c r="F17" i="12"/>
  <c r="E21" i="12"/>
  <c r="G17" i="12"/>
  <c r="H20" i="11"/>
  <c r="G45" i="12" l="1"/>
  <c r="C21" i="15"/>
  <c r="K21" i="15" s="1"/>
  <c r="J22" i="12"/>
  <c r="K46" i="12" s="1"/>
  <c r="K36" i="12"/>
  <c r="H36" i="12" s="1"/>
  <c r="J69" i="19"/>
  <c r="F69" i="19"/>
  <c r="D69" i="19"/>
  <c r="G69" i="19"/>
  <c r="H69" i="19"/>
  <c r="G21" i="15"/>
  <c r="E21" i="15" s="1"/>
  <c r="I19" i="15"/>
  <c r="K19" i="15" s="1"/>
  <c r="H46" i="12"/>
  <c r="H19" i="12"/>
  <c r="C43" i="12"/>
  <c r="I21" i="12"/>
  <c r="I17" i="12"/>
  <c r="D45" i="12"/>
  <c r="L45" i="12"/>
  <c r="O34" i="12"/>
  <c r="O45" i="12"/>
  <c r="H45" i="12"/>
  <c r="G21" i="12"/>
  <c r="F21" i="12"/>
  <c r="D21" i="12"/>
  <c r="C21" i="12"/>
  <c r="J19" i="12" l="1"/>
  <c r="I19" i="12" s="1"/>
  <c r="H21" i="12"/>
  <c r="G43" i="12"/>
  <c r="F43" i="12"/>
  <c r="L43" i="12" s="1"/>
  <c r="H43" i="12"/>
  <c r="D43" i="12"/>
  <c r="O36" i="12"/>
  <c r="I12" i="12"/>
  <c r="K43" i="12" l="1"/>
  <c r="O43" i="12" s="1"/>
  <c r="J11" i="9"/>
  <c r="H11" i="9"/>
  <c r="E24" i="10" l="1"/>
  <c r="F24" i="10" s="1"/>
  <c r="G24" i="10" s="1"/>
  <c r="H24" i="10" s="1"/>
  <c r="E20" i="10"/>
  <c r="F20" i="10" s="1"/>
  <c r="G23" i="10"/>
  <c r="D23" i="9"/>
  <c r="E23" i="9" s="1"/>
  <c r="D22" i="10"/>
  <c r="E22" i="10" s="1"/>
  <c r="F22" i="10" s="1"/>
  <c r="F18" i="10"/>
  <c r="E18" i="10"/>
  <c r="D18" i="10"/>
  <c r="G12" i="10"/>
  <c r="H10" i="10"/>
  <c r="G10" i="10"/>
  <c r="C24" i="10"/>
  <c r="C23" i="10"/>
  <c r="G22" i="10"/>
  <c r="C20" i="10"/>
  <c r="G19" i="10"/>
  <c r="C19" i="10"/>
  <c r="G18" i="10"/>
  <c r="C12" i="10"/>
  <c r="C10" i="10"/>
  <c r="C9" i="10"/>
  <c r="C41" i="3" l="1"/>
  <c r="O41" i="3" s="1"/>
  <c r="F32" i="28" s="1"/>
  <c r="E30" i="3"/>
  <c r="E34" i="3"/>
  <c r="E38" i="3"/>
  <c r="E28" i="3"/>
  <c r="E29" i="3"/>
  <c r="E41" i="3"/>
  <c r="E31" i="3"/>
  <c r="E35" i="3"/>
  <c r="P20" i="29" s="1"/>
  <c r="E39" i="3"/>
  <c r="E37" i="3"/>
  <c r="E32" i="3"/>
  <c r="E36" i="3"/>
  <c r="E40" i="3"/>
  <c r="E33" i="3"/>
  <c r="B41" i="3"/>
  <c r="B29" i="3"/>
  <c r="B38" i="3"/>
  <c r="C38" i="3"/>
  <c r="C32" i="3"/>
  <c r="C30" i="3"/>
  <c r="C39" i="3"/>
  <c r="O39" i="3" s="1"/>
  <c r="F8" i="23" s="1"/>
  <c r="C34" i="3"/>
  <c r="O34" i="3" s="1"/>
  <c r="F8" i="17" s="1"/>
  <c r="H20" i="10"/>
  <c r="G20" i="10"/>
  <c r="C28" i="3"/>
  <c r="D28" i="3" s="1"/>
  <c r="B39" i="3"/>
  <c r="B34" i="3"/>
  <c r="B32" i="3"/>
  <c r="D32" i="12" s="1"/>
  <c r="B30" i="3"/>
  <c r="C40" i="3"/>
  <c r="C37" i="3"/>
  <c r="C35" i="3"/>
  <c r="O35" i="3" s="1"/>
  <c r="F8" i="19" s="1"/>
  <c r="C33" i="3"/>
  <c r="C31" i="3"/>
  <c r="B40" i="3"/>
  <c r="I40" i="3" s="1"/>
  <c r="B37" i="3"/>
  <c r="B35" i="3"/>
  <c r="E8" i="19" s="1"/>
  <c r="E17" i="19" s="1"/>
  <c r="E21" i="19" s="1"/>
  <c r="B33" i="3"/>
  <c r="B31" i="3"/>
  <c r="H38" i="3" l="1"/>
  <c r="I38" i="3"/>
  <c r="E8" i="34" s="1"/>
  <c r="H31" i="3"/>
  <c r="I31" i="3"/>
  <c r="H30" i="3"/>
  <c r="D8" i="11" s="1"/>
  <c r="I30" i="3"/>
  <c r="E8" i="11" s="1"/>
  <c r="H33" i="3"/>
  <c r="I33" i="3"/>
  <c r="E8" i="15" s="1"/>
  <c r="N29" i="3"/>
  <c r="D8" i="10"/>
  <c r="N34" i="3"/>
  <c r="E8" i="17" s="1"/>
  <c r="D8" i="17"/>
  <c r="D8" i="23"/>
  <c r="N39" i="3"/>
  <c r="E8" i="23" s="1"/>
  <c r="N41" i="3"/>
  <c r="E32" i="28" s="1"/>
  <c r="D32" i="28"/>
  <c r="D40" i="28" s="1"/>
  <c r="D44" i="28" s="1"/>
  <c r="H40" i="3"/>
  <c r="D8" i="28"/>
  <c r="D16" i="28" s="1"/>
  <c r="D20" i="28" s="1"/>
  <c r="J40" i="3"/>
  <c r="G8" i="28" s="1"/>
  <c r="O40" i="3"/>
  <c r="F8" i="28" s="1"/>
  <c r="J29" i="3"/>
  <c r="F8" i="10" s="1"/>
  <c r="O29" i="3"/>
  <c r="E8" i="10" s="1"/>
  <c r="N35" i="3"/>
  <c r="D8" i="19" s="1"/>
  <c r="N40" i="3"/>
  <c r="E8" i="28" s="1"/>
  <c r="G37" i="3"/>
  <c r="D8" i="21"/>
  <c r="G34" i="3"/>
  <c r="G39" i="3"/>
  <c r="G29" i="3"/>
  <c r="G41" i="3"/>
  <c r="D8" i="20"/>
  <c r="D8" i="15"/>
  <c r="G40" i="3"/>
  <c r="G38" i="3"/>
  <c r="D8" i="34"/>
  <c r="G30" i="3"/>
  <c r="G35" i="3"/>
  <c r="C8" i="19"/>
  <c r="F28" i="3"/>
  <c r="J37" i="3"/>
  <c r="F8" i="21" s="1"/>
  <c r="D37" i="3"/>
  <c r="D38" i="3"/>
  <c r="P12" i="30" s="1"/>
  <c r="Y12" i="30" s="1"/>
  <c r="J34" i="3"/>
  <c r="D34" i="3"/>
  <c r="G36" i="3"/>
  <c r="J39" i="3"/>
  <c r="D39" i="3"/>
  <c r="D36" i="3"/>
  <c r="G8" i="15"/>
  <c r="D33" i="3"/>
  <c r="L32" i="12"/>
  <c r="D32" i="3"/>
  <c r="J35" i="3"/>
  <c r="G8" i="19" s="1"/>
  <c r="D35" i="3"/>
  <c r="P15" i="29" s="1"/>
  <c r="F8" i="12"/>
  <c r="L31" i="3"/>
  <c r="D31" i="3"/>
  <c r="G8" i="11"/>
  <c r="L30" i="3"/>
  <c r="J41" i="3"/>
  <c r="G32" i="28" s="1"/>
  <c r="D41" i="3"/>
  <c r="G31" i="3"/>
  <c r="G33" i="3"/>
  <c r="G32" i="3"/>
  <c r="P16" i="30"/>
  <c r="Y16" i="30" s="1"/>
  <c r="P15" i="30"/>
  <c r="Y15" i="30" s="1"/>
  <c r="P45" i="30"/>
  <c r="Y45" i="30" s="1"/>
  <c r="P27" i="30"/>
  <c r="Y27" i="30" s="1"/>
  <c r="P25" i="30"/>
  <c r="Y25" i="30" s="1"/>
  <c r="P21" i="30"/>
  <c r="Y21" i="30" s="1"/>
  <c r="P26" i="30"/>
  <c r="Y26" i="30" s="1"/>
  <c r="P17" i="30"/>
  <c r="Y17" i="30" s="1"/>
  <c r="P38" i="30"/>
  <c r="Y38" i="30" s="1"/>
  <c r="P36" i="30"/>
  <c r="Y36" i="30" s="1"/>
  <c r="P40" i="30"/>
  <c r="Y40" i="30" s="1"/>
  <c r="P30" i="30"/>
  <c r="Y30" i="30" s="1"/>
  <c r="P29" i="30"/>
  <c r="Y29" i="30" s="1"/>
  <c r="P46" i="30"/>
  <c r="Y46" i="30" s="1"/>
  <c r="P39" i="30"/>
  <c r="Y39" i="30" s="1"/>
  <c r="P34" i="30"/>
  <c r="Y34" i="30" s="1"/>
  <c r="P37" i="30"/>
  <c r="Y37" i="30" s="1"/>
  <c r="C8" i="34"/>
  <c r="P42" i="30"/>
  <c r="Y42" i="30" s="1"/>
  <c r="P22" i="29"/>
  <c r="P28" i="30"/>
  <c r="Y28" i="30" s="1"/>
  <c r="P20" i="30"/>
  <c r="Y20" i="30" s="1"/>
  <c r="P19" i="29"/>
  <c r="P22" i="30"/>
  <c r="Y22" i="30" s="1"/>
  <c r="P21" i="29"/>
  <c r="P19" i="30"/>
  <c r="Y19" i="30" s="1"/>
  <c r="P18" i="29"/>
  <c r="P18" i="30"/>
  <c r="Y18" i="30" s="1"/>
  <c r="P17" i="29"/>
  <c r="D30" i="3"/>
  <c r="F30" i="3" s="1"/>
  <c r="D40" i="3"/>
  <c r="P24" i="30"/>
  <c r="Y24" i="30" s="1"/>
  <c r="P23" i="30"/>
  <c r="Y23" i="30" s="1"/>
  <c r="C8" i="10"/>
  <c r="P10" i="29"/>
  <c r="P4" i="29"/>
  <c r="P11" i="29"/>
  <c r="P35" i="30"/>
  <c r="Y35" i="30" s="1"/>
  <c r="P5" i="29"/>
  <c r="P8" i="29"/>
  <c r="P32" i="30"/>
  <c r="Y32" i="30" s="1"/>
  <c r="P7" i="29"/>
  <c r="P31" i="30"/>
  <c r="Y31" i="30" s="1"/>
  <c r="P6" i="29"/>
  <c r="P9" i="29"/>
  <c r="P33" i="30"/>
  <c r="Y33" i="30" s="1"/>
  <c r="P2" i="29"/>
  <c r="P3" i="29"/>
  <c r="K49" i="1"/>
  <c r="K47" i="1"/>
  <c r="D29" i="3"/>
  <c r="F29" i="3" s="1"/>
  <c r="C8" i="28"/>
  <c r="C32" i="28"/>
  <c r="G32" i="12"/>
  <c r="K48" i="1"/>
  <c r="C8" i="15"/>
  <c r="G8" i="12"/>
  <c r="C8" i="17"/>
  <c r="H8" i="15"/>
  <c r="C8" i="9"/>
  <c r="C8" i="20"/>
  <c r="C8" i="21"/>
  <c r="C8" i="11"/>
  <c r="C8" i="23"/>
  <c r="H8" i="20"/>
  <c r="C8" i="12"/>
  <c r="C32" i="12"/>
  <c r="D63" i="12" l="1"/>
  <c r="D67" i="12" s="1"/>
  <c r="G63" i="12"/>
  <c r="G67" i="12" s="1"/>
  <c r="G8" i="34"/>
  <c r="G8" i="9"/>
  <c r="G8" i="20"/>
  <c r="P2" i="30"/>
  <c r="Y2" i="30" s="1"/>
  <c r="P11" i="30"/>
  <c r="Y11" i="30" s="1"/>
  <c r="P13" i="30"/>
  <c r="Y13" i="30" s="1"/>
  <c r="P4" i="30"/>
  <c r="Y4" i="30" s="1"/>
  <c r="F33" i="3"/>
  <c r="F8" i="15" s="1"/>
  <c r="P3" i="30"/>
  <c r="Y3" i="30" s="1"/>
  <c r="P14" i="30"/>
  <c r="Y14" i="30" s="1"/>
  <c r="F41" i="3"/>
  <c r="P44" i="30"/>
  <c r="Y44" i="30" s="1"/>
  <c r="F39" i="3"/>
  <c r="F37" i="3"/>
  <c r="E8" i="21" s="1"/>
  <c r="F8" i="11"/>
  <c r="F38" i="3"/>
  <c r="P5" i="30"/>
  <c r="Y5" i="30" s="1"/>
  <c r="P12" i="29"/>
  <c r="P7" i="30"/>
  <c r="Y7" i="30" s="1"/>
  <c r="P14" i="29"/>
  <c r="P8" i="30"/>
  <c r="Y8" i="30" s="1"/>
  <c r="F34" i="3"/>
  <c r="F40" i="3"/>
  <c r="P6" i="30"/>
  <c r="Y6" i="30" s="1"/>
  <c r="P13" i="29"/>
  <c r="P9" i="30"/>
  <c r="P16" i="29"/>
  <c r="F31" i="3"/>
  <c r="E8" i="12" s="1"/>
  <c r="F36" i="3"/>
  <c r="F32" i="3"/>
  <c r="F35" i="3"/>
  <c r="G8" i="17"/>
  <c r="F24" i="9"/>
  <c r="G24" i="9" s="1"/>
  <c r="G23" i="9"/>
  <c r="F20" i="9"/>
  <c r="G20" i="9" s="1"/>
  <c r="F19" i="9"/>
  <c r="G19" i="9" s="1"/>
  <c r="F18" i="9"/>
  <c r="C18" i="9" s="1"/>
  <c r="F17" i="9"/>
  <c r="C20" i="9" l="1"/>
  <c r="F8" i="34"/>
  <c r="F8" i="9"/>
  <c r="P10" i="30"/>
  <c r="Y10" i="30" s="1"/>
  <c r="Y9" i="30"/>
  <c r="F8" i="20"/>
  <c r="F32" i="12"/>
  <c r="D20" i="9"/>
  <c r="H20" i="9"/>
  <c r="E20" i="9" s="1"/>
  <c r="J20" i="9"/>
  <c r="J19" i="9"/>
  <c r="H19" i="9"/>
  <c r="E19" i="9" s="1"/>
  <c r="D19" i="9"/>
  <c r="H24" i="9"/>
  <c r="E24" i="9" s="1"/>
  <c r="D24" i="9"/>
  <c r="J24" i="9"/>
  <c r="G17" i="9"/>
  <c r="C17" i="9"/>
  <c r="F22" i="9"/>
  <c r="H23" i="9"/>
  <c r="C24" i="9"/>
  <c r="G18" i="9"/>
  <c r="B5" i="7"/>
  <c r="H5" i="7" s="1"/>
  <c r="A1" i="6"/>
  <c r="E5" i="7" l="1"/>
  <c r="J18" i="9"/>
  <c r="J22" i="9" s="1"/>
  <c r="H18" i="9"/>
  <c r="J17" i="9"/>
  <c r="H17" i="9"/>
  <c r="E17" i="9" s="1"/>
  <c r="D18" i="9"/>
  <c r="D17" i="9"/>
  <c r="G22" i="9"/>
  <c r="D22" i="9" s="1"/>
  <c r="C22" i="9"/>
  <c r="F5" i="7"/>
  <c r="C5" i="7"/>
  <c r="H22" i="9" l="1"/>
  <c r="E22" i="9" s="1"/>
  <c r="E18" i="9"/>
  <c r="D5" i="7"/>
  <c r="J5" i="7"/>
  <c r="A2" i="4"/>
  <c r="P88" i="2" l="1"/>
  <c r="S88" i="2" s="1"/>
  <c r="N88" i="2"/>
  <c r="Q88" i="2" s="1"/>
  <c r="G87" i="2"/>
  <c r="J87" i="2" s="1"/>
  <c r="M87" i="2" s="1"/>
  <c r="P87" i="2" s="1"/>
  <c r="S87" i="2" s="1"/>
  <c r="E87" i="2"/>
  <c r="H87" i="2" s="1"/>
  <c r="K87" i="2" s="1"/>
  <c r="N87" i="2" s="1"/>
  <c r="Q87" i="2" s="1"/>
  <c r="P86" i="2"/>
  <c r="S86" i="2" s="1"/>
  <c r="G86" i="2"/>
  <c r="J86" i="2" s="1"/>
  <c r="M86" i="2" s="1"/>
  <c r="G85" i="2"/>
  <c r="J85" i="2" s="1"/>
  <c r="M85" i="2" s="1"/>
  <c r="P85" i="2" s="1"/>
  <c r="S85" i="2" s="1"/>
  <c r="G84" i="2"/>
  <c r="J84" i="2" s="1"/>
  <c r="M84" i="2" s="1"/>
  <c r="P84" i="2" s="1"/>
  <c r="S84" i="2" s="1"/>
  <c r="E84" i="2"/>
  <c r="H84" i="2" s="1"/>
  <c r="K84" i="2" s="1"/>
  <c r="N84" i="2" s="1"/>
  <c r="Q84" i="2" s="1"/>
  <c r="G83" i="2"/>
  <c r="J83" i="2" s="1"/>
  <c r="M83" i="2" s="1"/>
  <c r="P83" i="2" s="1"/>
  <c r="S83" i="2" s="1"/>
  <c r="E83" i="2"/>
  <c r="H83" i="2" s="1"/>
  <c r="K83" i="2" s="1"/>
  <c r="N83" i="2" s="1"/>
  <c r="Q83" i="2" s="1"/>
  <c r="J82" i="2"/>
  <c r="M82" i="2" s="1"/>
  <c r="P82" i="2" s="1"/>
  <c r="S82" i="2" s="1"/>
  <c r="G82" i="2"/>
  <c r="G81" i="2"/>
  <c r="J81" i="2" s="1"/>
  <c r="M81" i="2" s="1"/>
  <c r="P81" i="2" s="1"/>
  <c r="S81" i="2" s="1"/>
  <c r="E81" i="2"/>
  <c r="H81" i="2" s="1"/>
  <c r="K81" i="2" s="1"/>
  <c r="N81" i="2" s="1"/>
  <c r="Q81" i="2" s="1"/>
  <c r="G80" i="2"/>
  <c r="J80" i="2" s="1"/>
  <c r="M80" i="2" s="1"/>
  <c r="P80" i="2" s="1"/>
  <c r="S80" i="2" s="1"/>
  <c r="P71" i="2"/>
  <c r="S71" i="2" s="1"/>
  <c r="N71" i="2"/>
  <c r="Q71" i="2" s="1"/>
  <c r="K71" i="2"/>
  <c r="G70" i="2"/>
  <c r="J70" i="2" s="1"/>
  <c r="M70" i="2" s="1"/>
  <c r="P70" i="2" s="1"/>
  <c r="S70" i="2" s="1"/>
  <c r="E70" i="2"/>
  <c r="H70" i="2" s="1"/>
  <c r="K70" i="2" s="1"/>
  <c r="N70" i="2" s="1"/>
  <c r="Q70" i="2" s="1"/>
  <c r="G69" i="2"/>
  <c r="J69" i="2" s="1"/>
  <c r="M69" i="2" s="1"/>
  <c r="P69" i="2" s="1"/>
  <c r="S69" i="2" s="1"/>
  <c r="J68" i="2"/>
  <c r="M68" i="2" s="1"/>
  <c r="P68" i="2" s="1"/>
  <c r="S68" i="2" s="1"/>
  <c r="G68" i="2"/>
  <c r="J67" i="2"/>
  <c r="M67" i="2" s="1"/>
  <c r="P67" i="2" s="1"/>
  <c r="S67" i="2" s="1"/>
  <c r="H67" i="2"/>
  <c r="K67" i="2" s="1"/>
  <c r="N67" i="2" s="1"/>
  <c r="Q67" i="2" s="1"/>
  <c r="J66" i="2"/>
  <c r="M66" i="2" s="1"/>
  <c r="P66" i="2" s="1"/>
  <c r="S66" i="2" s="1"/>
  <c r="G66" i="2"/>
  <c r="E66" i="2"/>
  <c r="H66" i="2" s="1"/>
  <c r="K66" i="2" s="1"/>
  <c r="N66" i="2" s="1"/>
  <c r="Q66" i="2" s="1"/>
  <c r="G65" i="2"/>
  <c r="J65" i="2" s="1"/>
  <c r="M65" i="2" s="1"/>
  <c r="P65" i="2" s="1"/>
  <c r="S65" i="2" s="1"/>
  <c r="G64" i="2"/>
  <c r="J64" i="2" s="1"/>
  <c r="M64" i="2" s="1"/>
  <c r="P64" i="2" s="1"/>
  <c r="S64" i="2" s="1"/>
  <c r="E64" i="2"/>
  <c r="H64" i="2" s="1"/>
  <c r="K64" i="2" s="1"/>
  <c r="N64" i="2" s="1"/>
  <c r="Q64" i="2" s="1"/>
  <c r="G63" i="2"/>
  <c r="J63" i="2" s="1"/>
  <c r="M63" i="2" s="1"/>
  <c r="P63" i="2" s="1"/>
  <c r="S63" i="2" s="1"/>
  <c r="P57" i="2"/>
  <c r="S57" i="2" s="1"/>
  <c r="V57" i="2" s="1"/>
  <c r="O57" i="2"/>
  <c r="R57" i="2" s="1"/>
  <c r="U57" i="2" s="1"/>
  <c r="N57" i="2"/>
  <c r="Q57" i="2" s="1"/>
  <c r="T57" i="2" s="1"/>
  <c r="C14" i="21" s="1"/>
  <c r="G56" i="2"/>
  <c r="J56" i="2" s="1"/>
  <c r="M56" i="2" s="1"/>
  <c r="P56" i="2" s="1"/>
  <c r="S56" i="2" s="1"/>
  <c r="V56" i="2" s="1"/>
  <c r="Y56" i="2" s="1"/>
  <c r="AB56" i="2" s="1"/>
  <c r="F56" i="2"/>
  <c r="I56" i="2" s="1"/>
  <c r="L56" i="2" s="1"/>
  <c r="O56" i="2" s="1"/>
  <c r="R56" i="2" s="1"/>
  <c r="U56" i="2" s="1"/>
  <c r="X56" i="2" s="1"/>
  <c r="E56" i="2"/>
  <c r="H56" i="2" s="1"/>
  <c r="K56" i="2" s="1"/>
  <c r="N56" i="2" s="1"/>
  <c r="Q56" i="2" s="1"/>
  <c r="T56" i="2" s="1"/>
  <c r="W56" i="2" s="1"/>
  <c r="M55" i="2"/>
  <c r="P55" i="2" s="1"/>
  <c r="S55" i="2" s="1"/>
  <c r="V55" i="2" s="1"/>
  <c r="Y55" i="2" s="1"/>
  <c r="AB55" i="2" s="1"/>
  <c r="G55" i="2"/>
  <c r="J55" i="2" s="1"/>
  <c r="F55" i="2"/>
  <c r="I55" i="2" s="1"/>
  <c r="L55" i="2" s="1"/>
  <c r="O55" i="2" s="1"/>
  <c r="R55" i="2" s="1"/>
  <c r="U55" i="2" s="1"/>
  <c r="X55" i="2" s="1"/>
  <c r="AA55" i="2" s="1"/>
  <c r="E55" i="2"/>
  <c r="H55" i="2" s="1"/>
  <c r="K55" i="2" s="1"/>
  <c r="N55" i="2" s="1"/>
  <c r="Q55" i="2" s="1"/>
  <c r="T55" i="2" s="1"/>
  <c r="W55" i="2" s="1"/>
  <c r="Z55" i="2" s="1"/>
  <c r="I54" i="2"/>
  <c r="L54" i="2" s="1"/>
  <c r="O54" i="2" s="1"/>
  <c r="R54" i="2" s="1"/>
  <c r="U54" i="2" s="1"/>
  <c r="X54" i="2" s="1"/>
  <c r="AA54" i="2" s="1"/>
  <c r="G54" i="2"/>
  <c r="J54" i="2" s="1"/>
  <c r="M54" i="2" s="1"/>
  <c r="P54" i="2" s="1"/>
  <c r="S54" i="2" s="1"/>
  <c r="V54" i="2" s="1"/>
  <c r="Y54" i="2" s="1"/>
  <c r="AB54" i="2" s="1"/>
  <c r="F54" i="2"/>
  <c r="E54" i="2"/>
  <c r="H54" i="2" s="1"/>
  <c r="K54" i="2" s="1"/>
  <c r="N54" i="2" s="1"/>
  <c r="Q54" i="2" s="1"/>
  <c r="T54" i="2" s="1"/>
  <c r="W54" i="2" s="1"/>
  <c r="G53" i="2"/>
  <c r="J53" i="2" s="1"/>
  <c r="M53" i="2" s="1"/>
  <c r="P53" i="2" s="1"/>
  <c r="S53" i="2" s="1"/>
  <c r="V53" i="2" s="1"/>
  <c r="Y53" i="2" s="1"/>
  <c r="AB53" i="2" s="1"/>
  <c r="F53" i="2"/>
  <c r="I53" i="2" s="1"/>
  <c r="L53" i="2" s="1"/>
  <c r="O53" i="2" s="1"/>
  <c r="R53" i="2" s="1"/>
  <c r="U53" i="2" s="1"/>
  <c r="X53" i="2" s="1"/>
  <c r="AA53" i="2" s="1"/>
  <c r="E53" i="2"/>
  <c r="H53" i="2" s="1"/>
  <c r="K53" i="2" s="1"/>
  <c r="N53" i="2" s="1"/>
  <c r="Q53" i="2" s="1"/>
  <c r="T53" i="2" s="1"/>
  <c r="W53" i="2" s="1"/>
  <c r="Z53" i="2" s="1"/>
  <c r="I52" i="2"/>
  <c r="L52" i="2" s="1"/>
  <c r="O52" i="2" s="1"/>
  <c r="R52" i="2" s="1"/>
  <c r="U52" i="2" s="1"/>
  <c r="X52" i="2" s="1"/>
  <c r="G52" i="2"/>
  <c r="J52" i="2" s="1"/>
  <c r="M52" i="2" s="1"/>
  <c r="P52" i="2" s="1"/>
  <c r="S52" i="2" s="1"/>
  <c r="V52" i="2" s="1"/>
  <c r="Y52" i="2" s="1"/>
  <c r="AB52" i="2" s="1"/>
  <c r="F52" i="2"/>
  <c r="E52" i="2"/>
  <c r="H52" i="2" s="1"/>
  <c r="K52" i="2" s="1"/>
  <c r="N52" i="2" s="1"/>
  <c r="Q52" i="2" s="1"/>
  <c r="T52" i="2" s="1"/>
  <c r="W52" i="2" s="1"/>
  <c r="C15" i="17" s="1"/>
  <c r="D15" i="17" s="1"/>
  <c r="I51" i="2"/>
  <c r="L51" i="2" s="1"/>
  <c r="O51" i="2" s="1"/>
  <c r="R51" i="2" s="1"/>
  <c r="U51" i="2" s="1"/>
  <c r="X51" i="2" s="1"/>
  <c r="AA51" i="2" s="1"/>
  <c r="G51" i="2"/>
  <c r="J51" i="2" s="1"/>
  <c r="M51" i="2" s="1"/>
  <c r="P51" i="2" s="1"/>
  <c r="S51" i="2" s="1"/>
  <c r="V51" i="2" s="1"/>
  <c r="Y51" i="2" s="1"/>
  <c r="AB51" i="2" s="1"/>
  <c r="F51" i="2"/>
  <c r="E51" i="2"/>
  <c r="H51" i="2" s="1"/>
  <c r="K51" i="2" s="1"/>
  <c r="N51" i="2" s="1"/>
  <c r="Q51" i="2" s="1"/>
  <c r="T51" i="2" s="1"/>
  <c r="W51" i="2" s="1"/>
  <c r="Z51" i="2" s="1"/>
  <c r="G50" i="2"/>
  <c r="J50" i="2" s="1"/>
  <c r="M50" i="2" s="1"/>
  <c r="P50" i="2" s="1"/>
  <c r="S50" i="2" s="1"/>
  <c r="V50" i="2" s="1"/>
  <c r="Y50" i="2" s="1"/>
  <c r="AB50" i="2" s="1"/>
  <c r="F50" i="2"/>
  <c r="I50" i="2" s="1"/>
  <c r="L50" i="2" s="1"/>
  <c r="O50" i="2" s="1"/>
  <c r="R50" i="2" s="1"/>
  <c r="U50" i="2" s="1"/>
  <c r="X50" i="2" s="1"/>
  <c r="G14" i="10" s="1"/>
  <c r="H14" i="10" s="1"/>
  <c r="E50" i="2"/>
  <c r="H50" i="2" s="1"/>
  <c r="K50" i="2" s="1"/>
  <c r="N50" i="2" s="1"/>
  <c r="Q50" i="2" s="1"/>
  <c r="T50" i="2" s="1"/>
  <c r="Q49" i="2"/>
  <c r="T49" i="2" s="1"/>
  <c r="W49" i="2" s="1"/>
  <c r="Z49" i="2" s="1"/>
  <c r="G49" i="2"/>
  <c r="J49" i="2" s="1"/>
  <c r="M49" i="2" s="1"/>
  <c r="P49" i="2" s="1"/>
  <c r="S49" i="2" s="1"/>
  <c r="V49" i="2" s="1"/>
  <c r="Y49" i="2" s="1"/>
  <c r="AB49" i="2" s="1"/>
  <c r="F49" i="2"/>
  <c r="I49" i="2" s="1"/>
  <c r="L49" i="2" s="1"/>
  <c r="O49" i="2" s="1"/>
  <c r="R49" i="2" s="1"/>
  <c r="U49" i="2" s="1"/>
  <c r="X49" i="2" s="1"/>
  <c r="AA49" i="2" s="1"/>
  <c r="E49" i="2"/>
  <c r="H49" i="2" s="1"/>
  <c r="K49" i="2" s="1"/>
  <c r="N49" i="2" s="1"/>
  <c r="U42" i="2"/>
  <c r="Z42" i="2" s="1"/>
  <c r="AE42" i="2" s="1"/>
  <c r="AJ42" i="2" s="1"/>
  <c r="AO42" i="2" s="1"/>
  <c r="AT42" i="2" s="1"/>
  <c r="S42" i="2"/>
  <c r="X42" i="2" s="1"/>
  <c r="AC42" i="2" s="1"/>
  <c r="AH42" i="2" s="1"/>
  <c r="AM42" i="2" s="1"/>
  <c r="AR42" i="2" s="1"/>
  <c r="P42" i="2"/>
  <c r="O42" i="2"/>
  <c r="T42" i="2" s="1"/>
  <c r="Y42" i="2" s="1"/>
  <c r="AD42" i="2" s="1"/>
  <c r="AI42" i="2" s="1"/>
  <c r="AN42" i="2" s="1"/>
  <c r="AS42" i="2" s="1"/>
  <c r="N42" i="2"/>
  <c r="M42" i="2"/>
  <c r="R42" i="2" s="1"/>
  <c r="W42" i="2" s="1"/>
  <c r="AB42" i="2" s="1"/>
  <c r="AG42" i="2" s="1"/>
  <c r="AL42" i="2" s="1"/>
  <c r="AQ42" i="2" s="1"/>
  <c r="L42" i="2"/>
  <c r="Q42" i="2" s="1"/>
  <c r="V42" i="2" s="1"/>
  <c r="AA42" i="2" s="1"/>
  <c r="AF42" i="2" s="1"/>
  <c r="AK42" i="2" s="1"/>
  <c r="AP42" i="2" s="1"/>
  <c r="T41" i="2"/>
  <c r="Y41" i="2" s="1"/>
  <c r="AI41" i="2" s="1"/>
  <c r="AN41" i="2" s="1"/>
  <c r="R41" i="2"/>
  <c r="W41" i="2" s="1"/>
  <c r="AB41" i="2" s="1"/>
  <c r="AG41" i="2" s="1"/>
  <c r="AL41" i="2" s="1"/>
  <c r="O41" i="2"/>
  <c r="N41" i="2"/>
  <c r="S41" i="2" s="1"/>
  <c r="X41" i="2" s="1"/>
  <c r="AH41" i="2" s="1"/>
  <c r="AM41" i="2" s="1"/>
  <c r="M41" i="2"/>
  <c r="L41" i="2"/>
  <c r="Q41" i="2" s="1"/>
  <c r="V41" i="2" s="1"/>
  <c r="K41" i="2"/>
  <c r="P41" i="2" s="1"/>
  <c r="U41" i="2" s="1"/>
  <c r="Z41" i="2" s="1"/>
  <c r="AE41" i="2" s="1"/>
  <c r="AJ41" i="2" s="1"/>
  <c r="AO41" i="2" s="1"/>
  <c r="AT41" i="2" s="1"/>
  <c r="T40" i="2"/>
  <c r="Y40" i="2" s="1"/>
  <c r="AI40" i="2" s="1"/>
  <c r="AN40" i="2" s="1"/>
  <c r="O40" i="2"/>
  <c r="N40" i="2"/>
  <c r="S40" i="2" s="1"/>
  <c r="X40" i="2" s="1"/>
  <c r="M40" i="2"/>
  <c r="R40" i="2" s="1"/>
  <c r="W40" i="2" s="1"/>
  <c r="AB40" i="2" s="1"/>
  <c r="AG40" i="2" s="1"/>
  <c r="L40" i="2"/>
  <c r="Q40" i="2" s="1"/>
  <c r="V40" i="2" s="1"/>
  <c r="K40" i="2"/>
  <c r="P40" i="2" s="1"/>
  <c r="U40" i="2" s="1"/>
  <c r="Z40" i="2" s="1"/>
  <c r="AE40" i="2" s="1"/>
  <c r="AJ40" i="2" s="1"/>
  <c r="AO40" i="2" s="1"/>
  <c r="AT40" i="2" s="1"/>
  <c r="R39" i="2"/>
  <c r="R43" i="2" s="1"/>
  <c r="W43" i="2" s="1"/>
  <c r="AB43" i="2" s="1"/>
  <c r="AG43" i="2" s="1"/>
  <c r="AL43" i="2" s="1"/>
  <c r="AQ43" i="2" s="1"/>
  <c r="O39" i="2"/>
  <c r="T39" i="2" s="1"/>
  <c r="N39" i="2"/>
  <c r="S39" i="2" s="1"/>
  <c r="M39" i="2"/>
  <c r="L39" i="2"/>
  <c r="Q39" i="2" s="1"/>
  <c r="V39" i="2" s="1"/>
  <c r="AA39" i="2" s="1"/>
  <c r="AF39" i="2" s="1"/>
  <c r="AK39" i="2" s="1"/>
  <c r="AP39" i="2" s="1"/>
  <c r="K39" i="2"/>
  <c r="P39" i="2" s="1"/>
  <c r="U39" i="2" s="1"/>
  <c r="U43" i="2" s="1"/>
  <c r="Z43" i="2" s="1"/>
  <c r="AE43" i="2" s="1"/>
  <c r="AJ43" i="2" s="1"/>
  <c r="AO43" i="2" s="1"/>
  <c r="AT43" i="2" s="1"/>
  <c r="Q31" i="2"/>
  <c r="V31" i="2" s="1"/>
  <c r="AA31" i="2" s="1"/>
  <c r="AF31" i="2" s="1"/>
  <c r="AK31" i="2" s="1"/>
  <c r="AP31" i="2" s="1"/>
  <c r="O31" i="2"/>
  <c r="T31" i="2" s="1"/>
  <c r="Y31" i="2" s="1"/>
  <c r="AD31" i="2" s="1"/>
  <c r="AI31" i="2" s="1"/>
  <c r="AN31" i="2" s="1"/>
  <c r="N31" i="2"/>
  <c r="S31" i="2" s="1"/>
  <c r="X31" i="2" s="1"/>
  <c r="AC31" i="2" s="1"/>
  <c r="AH31" i="2" s="1"/>
  <c r="AM31" i="2" s="1"/>
  <c r="M31" i="2"/>
  <c r="R31" i="2" s="1"/>
  <c r="W31" i="2" s="1"/>
  <c r="AB31" i="2" s="1"/>
  <c r="AG31" i="2" s="1"/>
  <c r="AL31" i="2" s="1"/>
  <c r="L31" i="2"/>
  <c r="K31" i="2"/>
  <c r="P31" i="2" s="1"/>
  <c r="U31" i="2" s="1"/>
  <c r="Z31" i="2" s="1"/>
  <c r="AE31" i="2" s="1"/>
  <c r="O30" i="2"/>
  <c r="T30" i="2" s="1"/>
  <c r="Y30" i="2" s="1"/>
  <c r="AD30" i="2" s="1"/>
  <c r="AI30" i="2" s="1"/>
  <c r="AN30" i="2" s="1"/>
  <c r="N30" i="2"/>
  <c r="S30" i="2" s="1"/>
  <c r="X30" i="2" s="1"/>
  <c r="AC30" i="2" s="1"/>
  <c r="AH30" i="2" s="1"/>
  <c r="AM30" i="2" s="1"/>
  <c r="M30" i="2"/>
  <c r="R30" i="2" s="1"/>
  <c r="W30" i="2" s="1"/>
  <c r="AB30" i="2" s="1"/>
  <c r="AG30" i="2" s="1"/>
  <c r="AL30" i="2" s="1"/>
  <c r="L30" i="2"/>
  <c r="Q30" i="2" s="1"/>
  <c r="V30" i="2" s="1"/>
  <c r="AA30" i="2" s="1"/>
  <c r="AF30" i="2" s="1"/>
  <c r="AK30" i="2" s="1"/>
  <c r="AP30" i="2" s="1"/>
  <c r="D16" i="17" s="1"/>
  <c r="K30" i="2"/>
  <c r="P30" i="2" s="1"/>
  <c r="U30" i="2" s="1"/>
  <c r="Z30" i="2" s="1"/>
  <c r="AE30" i="2" s="1"/>
  <c r="Q29" i="2"/>
  <c r="V29" i="2" s="1"/>
  <c r="O29" i="2"/>
  <c r="T29" i="2" s="1"/>
  <c r="Y29" i="2" s="1"/>
  <c r="AD29" i="2" s="1"/>
  <c r="AI29" i="2" s="1"/>
  <c r="AN29" i="2" s="1"/>
  <c r="N29" i="2"/>
  <c r="S29" i="2" s="1"/>
  <c r="X29" i="2" s="1"/>
  <c r="AC29" i="2" s="1"/>
  <c r="AH29" i="2" s="1"/>
  <c r="AM29" i="2" s="1"/>
  <c r="M29" i="2"/>
  <c r="R29" i="2" s="1"/>
  <c r="W29" i="2" s="1"/>
  <c r="AB29" i="2" s="1"/>
  <c r="AG29" i="2" s="1"/>
  <c r="AL29" i="2" s="1"/>
  <c r="K29" i="2"/>
  <c r="P29" i="2" s="1"/>
  <c r="U29" i="2" s="1"/>
  <c r="Z29" i="2" s="1"/>
  <c r="AE29" i="2" s="1"/>
  <c r="S28" i="2"/>
  <c r="O28" i="2"/>
  <c r="T28" i="2" s="1"/>
  <c r="N28" i="2"/>
  <c r="M28" i="2"/>
  <c r="R28" i="2" s="1"/>
  <c r="L28" i="2"/>
  <c r="Q28" i="2" s="1"/>
  <c r="K28" i="2"/>
  <c r="P28" i="2" s="1"/>
  <c r="U28" i="2" s="1"/>
  <c r="H20" i="2"/>
  <c r="K20" i="2" s="1"/>
  <c r="N20" i="2" s="1"/>
  <c r="Q20" i="2" s="1"/>
  <c r="T20" i="2" s="1"/>
  <c r="W20" i="2" s="1"/>
  <c r="C13" i="28" s="1"/>
  <c r="G20" i="2"/>
  <c r="J20" i="2" s="1"/>
  <c r="M20" i="2" s="1"/>
  <c r="P20" i="2" s="1"/>
  <c r="S20" i="2" s="1"/>
  <c r="V20" i="2" s="1"/>
  <c r="Y20" i="2" s="1"/>
  <c r="F20" i="2"/>
  <c r="I20" i="2" s="1"/>
  <c r="L20" i="2" s="1"/>
  <c r="O20" i="2" s="1"/>
  <c r="R20" i="2" s="1"/>
  <c r="U20" i="2" s="1"/>
  <c r="X20" i="2" s="1"/>
  <c r="H13" i="28" s="1"/>
  <c r="E20" i="2"/>
  <c r="G19" i="2"/>
  <c r="J19" i="2" s="1"/>
  <c r="M19" i="2" s="1"/>
  <c r="P19" i="2" s="1"/>
  <c r="S19" i="2" s="1"/>
  <c r="V19" i="2" s="1"/>
  <c r="Y19" i="2" s="1"/>
  <c r="F19" i="2"/>
  <c r="I19" i="2" s="1"/>
  <c r="L19" i="2" s="1"/>
  <c r="O19" i="2" s="1"/>
  <c r="R19" i="2" s="1"/>
  <c r="U19" i="2" s="1"/>
  <c r="X19" i="2" s="1"/>
  <c r="E19" i="2"/>
  <c r="H19" i="2" s="1"/>
  <c r="K19" i="2" s="1"/>
  <c r="N19" i="2" s="1"/>
  <c r="Q19" i="2" s="1"/>
  <c r="T19" i="2" s="1"/>
  <c r="W19" i="2" s="1"/>
  <c r="H18" i="2"/>
  <c r="K18" i="2" s="1"/>
  <c r="N18" i="2" s="1"/>
  <c r="Q18" i="2" s="1"/>
  <c r="T18" i="2" s="1"/>
  <c r="W18" i="2" s="1"/>
  <c r="Z18" i="2" s="1"/>
  <c r="G18" i="2"/>
  <c r="J18" i="2" s="1"/>
  <c r="M18" i="2" s="1"/>
  <c r="P18" i="2" s="1"/>
  <c r="S18" i="2" s="1"/>
  <c r="V18" i="2" s="1"/>
  <c r="Y18" i="2" s="1"/>
  <c r="F18" i="2"/>
  <c r="I18" i="2" s="1"/>
  <c r="L18" i="2" s="1"/>
  <c r="O18" i="2" s="1"/>
  <c r="R18" i="2" s="1"/>
  <c r="U18" i="2" s="1"/>
  <c r="X18" i="2" s="1"/>
  <c r="E18" i="2"/>
  <c r="G17" i="2"/>
  <c r="J17" i="2" s="1"/>
  <c r="M17" i="2" s="1"/>
  <c r="P17" i="2" s="1"/>
  <c r="S17" i="2" s="1"/>
  <c r="V17" i="2" s="1"/>
  <c r="Y17" i="2" s="1"/>
  <c r="F17" i="2"/>
  <c r="I17" i="2" s="1"/>
  <c r="L17" i="2" s="1"/>
  <c r="O17" i="2" s="1"/>
  <c r="R17" i="2" s="1"/>
  <c r="U17" i="2" s="1"/>
  <c r="X17" i="2" s="1"/>
  <c r="E17" i="2"/>
  <c r="H17" i="2" s="1"/>
  <c r="K17" i="2" s="1"/>
  <c r="N17" i="2" s="1"/>
  <c r="Q17" i="2" s="1"/>
  <c r="T17" i="2" s="1"/>
  <c r="W17" i="2" s="1"/>
  <c r="I16" i="2"/>
  <c r="L16" i="2" s="1"/>
  <c r="O16" i="2" s="1"/>
  <c r="R16" i="2" s="1"/>
  <c r="U16" i="2" s="1"/>
  <c r="X16" i="2" s="1"/>
  <c r="H14" i="17" s="1"/>
  <c r="G16" i="2"/>
  <c r="J16" i="2" s="1"/>
  <c r="M16" i="2" s="1"/>
  <c r="P16" i="2" s="1"/>
  <c r="S16" i="2" s="1"/>
  <c r="V16" i="2" s="1"/>
  <c r="Y16" i="2" s="1"/>
  <c r="F16" i="2"/>
  <c r="E16" i="2"/>
  <c r="H16" i="2" s="1"/>
  <c r="K16" i="2" s="1"/>
  <c r="N16" i="2" s="1"/>
  <c r="Q16" i="2" s="1"/>
  <c r="T16" i="2" s="1"/>
  <c r="W16" i="2" s="1"/>
  <c r="C14" i="17" s="1"/>
  <c r="D14" i="17" s="1"/>
  <c r="D18" i="17" s="1"/>
  <c r="D22" i="17" s="1"/>
  <c r="G15" i="2"/>
  <c r="J15" i="2" s="1"/>
  <c r="M15" i="2" s="1"/>
  <c r="P15" i="2" s="1"/>
  <c r="S15" i="2" s="1"/>
  <c r="V15" i="2" s="1"/>
  <c r="Y15" i="2" s="1"/>
  <c r="F15" i="2"/>
  <c r="I15" i="2" s="1"/>
  <c r="L15" i="2" s="1"/>
  <c r="O15" i="2" s="1"/>
  <c r="R15" i="2" s="1"/>
  <c r="U15" i="2" s="1"/>
  <c r="X15" i="2" s="1"/>
  <c r="E15" i="2"/>
  <c r="H15" i="2" s="1"/>
  <c r="K15" i="2" s="1"/>
  <c r="N15" i="2" s="1"/>
  <c r="Q15" i="2" s="1"/>
  <c r="T15" i="2" s="1"/>
  <c r="W15" i="2" s="1"/>
  <c r="C14" i="11" s="1"/>
  <c r="D14" i="11" s="1"/>
  <c r="G14" i="2"/>
  <c r="J14" i="2" s="1"/>
  <c r="M14" i="2" s="1"/>
  <c r="P14" i="2" s="1"/>
  <c r="S14" i="2" s="1"/>
  <c r="V14" i="2" s="1"/>
  <c r="Y14" i="2" s="1"/>
  <c r="F14" i="2"/>
  <c r="I14" i="2" s="1"/>
  <c r="L14" i="2" s="1"/>
  <c r="O14" i="2" s="1"/>
  <c r="R14" i="2" s="1"/>
  <c r="U14" i="2" s="1"/>
  <c r="X14" i="2" s="1"/>
  <c r="E14" i="2"/>
  <c r="H14" i="2" s="1"/>
  <c r="K14" i="2" s="1"/>
  <c r="N14" i="2" s="1"/>
  <c r="Q14" i="2" s="1"/>
  <c r="T14" i="2" s="1"/>
  <c r="W14" i="2" s="1"/>
  <c r="C13" i="10" s="1"/>
  <c r="Q13" i="2"/>
  <c r="T13" i="2" s="1"/>
  <c r="W13" i="2" s="1"/>
  <c r="G13" i="2"/>
  <c r="J13" i="2" s="1"/>
  <c r="M13" i="2" s="1"/>
  <c r="F13" i="2"/>
  <c r="I13" i="2" s="1"/>
  <c r="L13" i="2" s="1"/>
  <c r="E13" i="2"/>
  <c r="H13" i="2" s="1"/>
  <c r="K13" i="2" s="1"/>
  <c r="N13" i="2" s="1"/>
  <c r="F14" i="11" l="1"/>
  <c r="G14" i="11" s="1"/>
  <c r="E14" i="11"/>
  <c r="AT45" i="2"/>
  <c r="C13" i="23"/>
  <c r="D13" i="23" s="1"/>
  <c r="C14" i="34"/>
  <c r="J14" i="17"/>
  <c r="C39" i="12"/>
  <c r="F14" i="12"/>
  <c r="G14" i="12"/>
  <c r="D14" i="12"/>
  <c r="H14" i="12"/>
  <c r="E14" i="12"/>
  <c r="E14" i="17"/>
  <c r="G14" i="17"/>
  <c r="F14" i="17"/>
  <c r="C18" i="17"/>
  <c r="C22" i="17" s="1"/>
  <c r="I13" i="20"/>
  <c r="H14" i="11"/>
  <c r="J14" i="11" s="1"/>
  <c r="G13" i="10"/>
  <c r="C37" i="28"/>
  <c r="E13" i="28"/>
  <c r="C16" i="28"/>
  <c r="C20" i="28" s="1"/>
  <c r="J13" i="19"/>
  <c r="C62" i="19"/>
  <c r="G13" i="19"/>
  <c r="F13" i="19"/>
  <c r="H13" i="19"/>
  <c r="D13" i="19"/>
  <c r="C17" i="19"/>
  <c r="C21" i="19" s="1"/>
  <c r="D13" i="10"/>
  <c r="C13" i="20"/>
  <c r="AF40" i="2"/>
  <c r="AK40" i="2" s="1"/>
  <c r="AP40" i="2" s="1"/>
  <c r="AA40" i="2"/>
  <c r="C37" i="12"/>
  <c r="H37" i="12" s="1"/>
  <c r="C14" i="10"/>
  <c r="J14" i="9"/>
  <c r="G14" i="9"/>
  <c r="H14" i="9"/>
  <c r="F14" i="9"/>
  <c r="D14" i="9"/>
  <c r="E14" i="9" s="1"/>
  <c r="AH40" i="2"/>
  <c r="AM40" i="2" s="1"/>
  <c r="C64" i="19"/>
  <c r="F15" i="19"/>
  <c r="D15" i="19"/>
  <c r="H15" i="19"/>
  <c r="J15" i="19" s="1"/>
  <c r="G15" i="19"/>
  <c r="F14" i="21"/>
  <c r="E14" i="21"/>
  <c r="G14" i="21"/>
  <c r="H14" i="21" s="1"/>
  <c r="D14" i="21"/>
  <c r="F14" i="28"/>
  <c r="F38" i="28" s="1"/>
  <c r="C38" i="28"/>
  <c r="H38" i="28"/>
  <c r="G14" i="28"/>
  <c r="G38" i="28" s="1"/>
  <c r="E14" i="28"/>
  <c r="E38" i="28" s="1"/>
  <c r="J14" i="28"/>
  <c r="J38" i="28" s="1"/>
  <c r="AF29" i="2"/>
  <c r="AK29" i="2" s="1"/>
  <c r="AP29" i="2" s="1"/>
  <c r="D15" i="11" s="1"/>
  <c r="AA29" i="2"/>
  <c r="G15" i="17"/>
  <c r="F15" i="17"/>
  <c r="E15" i="17"/>
  <c r="H15" i="17"/>
  <c r="J15" i="17"/>
  <c r="C14" i="20"/>
  <c r="AA41" i="2"/>
  <c r="AF41" i="2" s="1"/>
  <c r="AK41" i="2" s="1"/>
  <c r="AP41" i="2" s="1"/>
  <c r="H37" i="28"/>
  <c r="H40" i="28" s="1"/>
  <c r="H44" i="28" s="1"/>
  <c r="J13" i="28"/>
  <c r="J16" i="17"/>
  <c r="H16" i="17"/>
  <c r="F16" i="17"/>
  <c r="G16" i="17"/>
  <c r="E16" i="17"/>
  <c r="C13" i="15"/>
  <c r="C13" i="12"/>
  <c r="C13" i="9"/>
  <c r="D14" i="19"/>
  <c r="G14" i="19"/>
  <c r="F14" i="19"/>
  <c r="J14" i="19"/>
  <c r="H14" i="19"/>
  <c r="C63" i="19"/>
  <c r="C17" i="11"/>
  <c r="C21" i="11" s="1"/>
  <c r="T32" i="2"/>
  <c r="Y32" i="2" s="1"/>
  <c r="AD32" i="2" s="1"/>
  <c r="AI32" i="2" s="1"/>
  <c r="AN32" i="2" s="1"/>
  <c r="Y28" i="2"/>
  <c r="AD28" i="2" s="1"/>
  <c r="AI28" i="2" s="1"/>
  <c r="AN28" i="2" s="1"/>
  <c r="K21" i="2"/>
  <c r="N21" i="2" s="1"/>
  <c r="Q21" i="2" s="1"/>
  <c r="T21" i="2" s="1"/>
  <c r="W21" i="2" s="1"/>
  <c r="V28" i="2"/>
  <c r="AA28" i="2" s="1"/>
  <c r="AF28" i="2" s="1"/>
  <c r="AK28" i="2" s="1"/>
  <c r="Q32" i="2"/>
  <c r="V32" i="2" s="1"/>
  <c r="AA32" i="2" s="1"/>
  <c r="AF32" i="2" s="1"/>
  <c r="AK32" i="2" s="1"/>
  <c r="AP32" i="2" s="1"/>
  <c r="S32" i="2"/>
  <c r="X32" i="2" s="1"/>
  <c r="AC32" i="2" s="1"/>
  <c r="AH32" i="2" s="1"/>
  <c r="AM32" i="2" s="1"/>
  <c r="X28" i="2"/>
  <c r="AC28" i="2" s="1"/>
  <c r="AH28" i="2" s="1"/>
  <c r="AM28" i="2" s="1"/>
  <c r="P13" i="2"/>
  <c r="S13" i="2" s="1"/>
  <c r="V13" i="2" s="1"/>
  <c r="Y13" i="2" s="1"/>
  <c r="M21" i="2"/>
  <c r="P21" i="2" s="1"/>
  <c r="S21" i="2" s="1"/>
  <c r="V21" i="2" s="1"/>
  <c r="Y21" i="2" s="1"/>
  <c r="T43" i="2"/>
  <c r="Y43" i="2" s="1"/>
  <c r="AD43" i="2" s="1"/>
  <c r="AI43" i="2" s="1"/>
  <c r="AN43" i="2" s="1"/>
  <c r="AS43" i="2" s="1"/>
  <c r="Y39" i="2"/>
  <c r="AD39" i="2" s="1"/>
  <c r="AI39" i="2" s="1"/>
  <c r="AN39" i="2" s="1"/>
  <c r="AS39" i="2" s="1"/>
  <c r="W28" i="2"/>
  <c r="AB28" i="2" s="1"/>
  <c r="AG28" i="2" s="1"/>
  <c r="AL28" i="2" s="1"/>
  <c r="R32" i="2"/>
  <c r="W32" i="2" s="1"/>
  <c r="AB32" i="2" s="1"/>
  <c r="AG32" i="2" s="1"/>
  <c r="AL32" i="2" s="1"/>
  <c r="Z28" i="2"/>
  <c r="AE28" i="2" s="1"/>
  <c r="U32" i="2"/>
  <c r="Z32" i="2" s="1"/>
  <c r="AE32" i="2" s="1"/>
  <c r="O13" i="2"/>
  <c r="R13" i="2" s="1"/>
  <c r="U13" i="2" s="1"/>
  <c r="X13" i="2" s="1"/>
  <c r="H13" i="9" s="1"/>
  <c r="L21" i="2"/>
  <c r="O21" i="2" s="1"/>
  <c r="R21" i="2" s="1"/>
  <c r="U21" i="2" s="1"/>
  <c r="X21" i="2" s="1"/>
  <c r="S43" i="2"/>
  <c r="X43" i="2" s="1"/>
  <c r="AC43" i="2" s="1"/>
  <c r="AH43" i="2" s="1"/>
  <c r="AM43" i="2" s="1"/>
  <c r="AR43" i="2" s="1"/>
  <c r="X39" i="2"/>
  <c r="AC39" i="2" s="1"/>
  <c r="AH39" i="2" s="1"/>
  <c r="AM39" i="2" s="1"/>
  <c r="AR39" i="2" s="1"/>
  <c r="W39" i="2"/>
  <c r="AB39" i="2" s="1"/>
  <c r="AG39" i="2" s="1"/>
  <c r="AL39" i="2" s="1"/>
  <c r="AQ39" i="2" s="1"/>
  <c r="Q43" i="2"/>
  <c r="V43" i="2" s="1"/>
  <c r="AA43" i="2" s="1"/>
  <c r="AF43" i="2" s="1"/>
  <c r="AK43" i="2" s="1"/>
  <c r="AP43" i="2" s="1"/>
  <c r="Z39" i="2"/>
  <c r="AE39" i="2" s="1"/>
  <c r="AJ39" i="2" s="1"/>
  <c r="AO39" i="2" s="1"/>
  <c r="AT39" i="2" s="1"/>
  <c r="D17" i="11" l="1"/>
  <c r="D21" i="11" s="1"/>
  <c r="E15" i="11"/>
  <c r="E17" i="11"/>
  <c r="E21" i="11" s="1"/>
  <c r="I64" i="19"/>
  <c r="I66" i="19" s="1"/>
  <c r="I70" i="19" s="1"/>
  <c r="E64" i="19"/>
  <c r="E66" i="19" s="1"/>
  <c r="E70" i="19" s="1"/>
  <c r="C40" i="28"/>
  <c r="C44" i="28" s="1"/>
  <c r="H18" i="17"/>
  <c r="H22" i="17" s="1"/>
  <c r="D17" i="19"/>
  <c r="D21" i="19" s="1"/>
  <c r="D14" i="23"/>
  <c r="D16" i="23" s="1"/>
  <c r="D20" i="23" s="1"/>
  <c r="E13" i="10"/>
  <c r="H64" i="19"/>
  <c r="J64" i="19" s="1"/>
  <c r="G64" i="19"/>
  <c r="D64" i="19"/>
  <c r="F64" i="19"/>
  <c r="D14" i="10"/>
  <c r="D17" i="10" s="1"/>
  <c r="D21" i="10" s="1"/>
  <c r="E14" i="10"/>
  <c r="F14" i="10"/>
  <c r="F13" i="28"/>
  <c r="E37" i="28"/>
  <c r="E40" i="28" s="1"/>
  <c r="E44" i="28" s="1"/>
  <c r="E16" i="28"/>
  <c r="E20" i="28" s="1"/>
  <c r="F18" i="17"/>
  <c r="F22" i="17" s="1"/>
  <c r="J13" i="9"/>
  <c r="J16" i="9" s="1"/>
  <c r="J21" i="9" s="1"/>
  <c r="H16" i="9"/>
  <c r="H21" i="9" s="1"/>
  <c r="G15" i="11"/>
  <c r="G17" i="11" s="1"/>
  <c r="G21" i="11" s="1"/>
  <c r="K14" i="20"/>
  <c r="D14" i="20"/>
  <c r="I14" i="20"/>
  <c r="H17" i="19"/>
  <c r="H21" i="19" s="1"/>
  <c r="H13" i="10"/>
  <c r="E18" i="17"/>
  <c r="E22" i="17" s="1"/>
  <c r="D39" i="12"/>
  <c r="G39" i="12"/>
  <c r="F39" i="12"/>
  <c r="L39" i="12"/>
  <c r="H39" i="12"/>
  <c r="F37" i="12"/>
  <c r="L37" i="12"/>
  <c r="D37" i="12"/>
  <c r="G37" i="12"/>
  <c r="G18" i="17"/>
  <c r="G22" i="17" s="1"/>
  <c r="F17" i="19"/>
  <c r="F21" i="19" s="1"/>
  <c r="F15" i="11"/>
  <c r="F17" i="11" s="1"/>
  <c r="F21" i="11" s="1"/>
  <c r="F14" i="15"/>
  <c r="G14" i="15"/>
  <c r="I14" i="15"/>
  <c r="K14" i="15" s="1"/>
  <c r="H14" i="15"/>
  <c r="D14" i="15"/>
  <c r="E14" i="15" s="1"/>
  <c r="E15" i="21"/>
  <c r="H15" i="21"/>
  <c r="F15" i="21"/>
  <c r="G15" i="21"/>
  <c r="D15" i="21"/>
  <c r="H15" i="11"/>
  <c r="G13" i="9"/>
  <c r="G16" i="9" s="1"/>
  <c r="G21" i="9" s="1"/>
  <c r="F13" i="9"/>
  <c r="F16" i="9" s="1"/>
  <c r="F21" i="9" s="1"/>
  <c r="D13" i="9"/>
  <c r="C16" i="9"/>
  <c r="C21" i="9" s="1"/>
  <c r="H16" i="28"/>
  <c r="H20" i="28" s="1"/>
  <c r="G17" i="19"/>
  <c r="G21" i="19" s="1"/>
  <c r="J18" i="17"/>
  <c r="J22" i="17" s="1"/>
  <c r="F15" i="10"/>
  <c r="E15" i="10"/>
  <c r="G15" i="10"/>
  <c r="H15" i="10" s="1"/>
  <c r="H17" i="10" s="1"/>
  <c r="H21" i="10" s="1"/>
  <c r="D15" i="10"/>
  <c r="G13" i="12"/>
  <c r="G16" i="12" s="1"/>
  <c r="G20" i="12" s="1"/>
  <c r="F13" i="12"/>
  <c r="D13" i="12"/>
  <c r="E13" i="12"/>
  <c r="E16" i="12" s="1"/>
  <c r="E20" i="12" s="1"/>
  <c r="C16" i="12"/>
  <c r="C20" i="12" s="1"/>
  <c r="J37" i="28"/>
  <c r="J40" i="28" s="1"/>
  <c r="J44" i="28" s="1"/>
  <c r="J16" i="28"/>
  <c r="J20" i="28" s="1"/>
  <c r="J17" i="19"/>
  <c r="J21" i="19" s="1"/>
  <c r="D13" i="20"/>
  <c r="E13" i="20" s="1"/>
  <c r="H13" i="20"/>
  <c r="F13" i="20"/>
  <c r="G13" i="20"/>
  <c r="C17" i="20"/>
  <c r="C21" i="20" s="1"/>
  <c r="F62" i="19"/>
  <c r="D62" i="19"/>
  <c r="G62" i="19"/>
  <c r="H62" i="19"/>
  <c r="J62" i="19" s="1"/>
  <c r="C66" i="19"/>
  <c r="C70" i="19" s="1"/>
  <c r="H14" i="34"/>
  <c r="G14" i="34"/>
  <c r="F14" i="34"/>
  <c r="D14" i="34"/>
  <c r="E14" i="34" s="1"/>
  <c r="C17" i="34"/>
  <c r="C21" i="34" s="1"/>
  <c r="C13" i="21"/>
  <c r="C38" i="12"/>
  <c r="H38" i="12" s="1"/>
  <c r="H63" i="19"/>
  <c r="J63" i="19"/>
  <c r="F63" i="19"/>
  <c r="G63" i="19"/>
  <c r="D63" i="19"/>
  <c r="I13" i="15"/>
  <c r="D13" i="15"/>
  <c r="K13" i="15"/>
  <c r="H13" i="15"/>
  <c r="G13" i="15"/>
  <c r="F13" i="15"/>
  <c r="C16" i="15"/>
  <c r="C20" i="15" s="1"/>
  <c r="C17" i="10"/>
  <c r="C21" i="10" s="1"/>
  <c r="K13" i="20"/>
  <c r="J14" i="12"/>
  <c r="I14" i="12"/>
  <c r="E13" i="23"/>
  <c r="H13" i="23"/>
  <c r="J15" i="11"/>
  <c r="J17" i="11" s="1"/>
  <c r="J21" i="11" s="1"/>
  <c r="H17" i="11"/>
  <c r="H21" i="11" s="1"/>
  <c r="F14" i="20" l="1"/>
  <c r="G14" i="20" s="1"/>
  <c r="H14" i="20" s="1"/>
  <c r="E14" i="20"/>
  <c r="D16" i="15"/>
  <c r="D20" i="15" s="1"/>
  <c r="E13" i="15"/>
  <c r="E16" i="15" s="1"/>
  <c r="E20" i="15" s="1"/>
  <c r="G16" i="15"/>
  <c r="G20" i="15" s="1"/>
  <c r="D16" i="9"/>
  <c r="D21" i="9" s="1"/>
  <c r="E13" i="9"/>
  <c r="E16" i="9" s="1"/>
  <c r="E21" i="9" s="1"/>
  <c r="I16" i="15"/>
  <c r="I20" i="15" s="1"/>
  <c r="D16" i="12"/>
  <c r="D20" i="12" s="1"/>
  <c r="I13" i="12"/>
  <c r="I16" i="12" s="1"/>
  <c r="I20" i="12" s="1"/>
  <c r="H13" i="12"/>
  <c r="H16" i="12" s="1"/>
  <c r="H20" i="12" s="1"/>
  <c r="K16" i="15"/>
  <c r="K20" i="15" s="1"/>
  <c r="F16" i="12"/>
  <c r="F20" i="12" s="1"/>
  <c r="C40" i="12"/>
  <c r="C44" i="12" s="1"/>
  <c r="D66" i="19"/>
  <c r="D70" i="19" s="1"/>
  <c r="G17" i="10"/>
  <c r="G21" i="10" s="1"/>
  <c r="F14" i="23"/>
  <c r="J14" i="23"/>
  <c r="H14" i="23"/>
  <c r="H16" i="23" s="1"/>
  <c r="H20" i="23" s="1"/>
  <c r="E14" i="23"/>
  <c r="E16" i="23" s="1"/>
  <c r="E20" i="23" s="1"/>
  <c r="C16" i="23"/>
  <c r="C20" i="23" s="1"/>
  <c r="G66" i="19"/>
  <c r="G70" i="19" s="1"/>
  <c r="J13" i="12"/>
  <c r="J16" i="12" s="1"/>
  <c r="J20" i="12" s="1"/>
  <c r="D13" i="21"/>
  <c r="G13" i="21"/>
  <c r="C17" i="21"/>
  <c r="C21" i="21" s="1"/>
  <c r="J13" i="23"/>
  <c r="F16" i="15"/>
  <c r="F20" i="15" s="1"/>
  <c r="F66" i="19"/>
  <c r="F70" i="19" s="1"/>
  <c r="F13" i="23"/>
  <c r="J66" i="19"/>
  <c r="J70" i="19" s="1"/>
  <c r="G13" i="28"/>
  <c r="F37" i="28"/>
  <c r="F40" i="28" s="1"/>
  <c r="F44" i="28" s="1"/>
  <c r="F16" i="28"/>
  <c r="F20" i="28" s="1"/>
  <c r="H66" i="19"/>
  <c r="H70" i="19" s="1"/>
  <c r="D15" i="20"/>
  <c r="I15" i="20"/>
  <c r="H15" i="20"/>
  <c r="H17" i="20" s="1"/>
  <c r="H21" i="20" s="1"/>
  <c r="G15" i="20"/>
  <c r="G17" i="20" s="1"/>
  <c r="G21" i="20" s="1"/>
  <c r="F15" i="20"/>
  <c r="F17" i="20" s="1"/>
  <c r="F21" i="20" s="1"/>
  <c r="F13" i="10"/>
  <c r="F17" i="10" s="1"/>
  <c r="F21" i="10" s="1"/>
  <c r="E17" i="10"/>
  <c r="E21" i="10" s="1"/>
  <c r="K39" i="12"/>
  <c r="O39" i="12"/>
  <c r="J14" i="34"/>
  <c r="H16" i="15"/>
  <c r="H20" i="15" s="1"/>
  <c r="G38" i="12"/>
  <c r="G40" i="12" s="1"/>
  <c r="G44" i="12" s="1"/>
  <c r="L38" i="12"/>
  <c r="L40" i="12" s="1"/>
  <c r="L44" i="12" s="1"/>
  <c r="D38" i="12"/>
  <c r="D40" i="12" s="1"/>
  <c r="D44" i="12" s="1"/>
  <c r="F38" i="12"/>
  <c r="F40" i="12" s="1"/>
  <c r="F44" i="12" s="1"/>
  <c r="F15" i="34"/>
  <c r="F17" i="34" s="1"/>
  <c r="F21" i="34" s="1"/>
  <c r="D15" i="34"/>
  <c r="J15" i="34"/>
  <c r="H15" i="34"/>
  <c r="H17" i="34" s="1"/>
  <c r="H21" i="34" s="1"/>
  <c r="G15" i="34"/>
  <c r="G17" i="34" s="1"/>
  <c r="G21" i="34" s="1"/>
  <c r="D17" i="34" l="1"/>
  <c r="D21" i="34" s="1"/>
  <c r="E15" i="34"/>
  <c r="E17" i="34" s="1"/>
  <c r="E21" i="34" s="1"/>
  <c r="D17" i="20"/>
  <c r="D21" i="20" s="1"/>
  <c r="E15" i="20"/>
  <c r="E17" i="20" s="1"/>
  <c r="E21" i="20" s="1"/>
  <c r="J16" i="23"/>
  <c r="J20" i="23" s="1"/>
  <c r="O37" i="12"/>
  <c r="K38" i="12"/>
  <c r="H40" i="12"/>
  <c r="H44" i="12" s="1"/>
  <c r="O38" i="12"/>
  <c r="H13" i="21"/>
  <c r="H17" i="21" s="1"/>
  <c r="H21" i="21" s="1"/>
  <c r="G17" i="21"/>
  <c r="G21" i="21" s="1"/>
  <c r="F16" i="23"/>
  <c r="F20" i="23" s="1"/>
  <c r="G37" i="28"/>
  <c r="G40" i="28" s="1"/>
  <c r="G44" i="28" s="1"/>
  <c r="G16" i="28"/>
  <c r="G20" i="28" s="1"/>
  <c r="E13" i="21"/>
  <c r="D17" i="21"/>
  <c r="D21" i="21" s="1"/>
  <c r="J17" i="34"/>
  <c r="J21" i="34" s="1"/>
  <c r="K15" i="20"/>
  <c r="K17" i="20" s="1"/>
  <c r="K21" i="20" s="1"/>
  <c r="I17" i="20"/>
  <c r="I21" i="20" s="1"/>
  <c r="F13" i="21" l="1"/>
  <c r="F17" i="21" s="1"/>
  <c r="F21" i="21" s="1"/>
  <c r="E17" i="21"/>
  <c r="E21" i="21" s="1"/>
  <c r="K37" i="12"/>
  <c r="K40" i="12" s="1"/>
  <c r="K44" i="12" s="1"/>
  <c r="O40" i="12"/>
  <c r="O44" i="1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Jose Antonio Zuluaga Guerrero</author>
    <author>Daniel Hernando Devis Chaparro</author>
  </authors>
  <commentList>
    <comment ref="F5" authorId="0" shapeId="0" xr:uid="{00000000-0006-0000-0000-000001000000}">
      <text>
        <r>
          <rPr>
            <sz val="9"/>
            <color indexed="81"/>
            <rFont val="Tahoma"/>
            <family val="2"/>
          </rPr>
          <t>Inflación Año 2017</t>
        </r>
      </text>
    </comment>
    <comment ref="G25" authorId="1" shapeId="0" xr:uid="{00000000-0006-0000-0000-000002000000}">
      <text>
        <r>
          <rPr>
            <b/>
            <sz val="9"/>
            <color indexed="81"/>
            <rFont val="Tahoma"/>
            <family val="2"/>
          </rPr>
          <t>Modificado por la Resolución 9 1349del 28 de noviembre de 2014</t>
        </r>
      </text>
    </comment>
    <comment ref="L25" authorId="1" shapeId="0" xr:uid="{00000000-0006-0000-0000-000003000000}">
      <text>
        <r>
          <rPr>
            <b/>
            <sz val="9"/>
            <color indexed="81"/>
            <rFont val="Tahoma"/>
            <family val="2"/>
          </rPr>
          <t>Modificado por la Resolución 9 1349del 28 de noviembre de 2014</t>
        </r>
      </text>
    </comment>
    <comment ref="Q25" authorId="1" shapeId="0" xr:uid="{00000000-0006-0000-0000-000004000000}">
      <text>
        <r>
          <rPr>
            <b/>
            <sz val="9"/>
            <color indexed="81"/>
            <rFont val="Tahoma"/>
            <family val="2"/>
          </rPr>
          <t>Modificado por la Resolución 9 1349del 28 de noviembre de 2014</t>
        </r>
      </text>
    </comment>
    <comment ref="V25" authorId="1" shapeId="0" xr:uid="{00000000-0006-0000-0000-000005000000}">
      <text>
        <r>
          <rPr>
            <b/>
            <sz val="9"/>
            <color indexed="81"/>
            <rFont val="Tahoma"/>
            <family val="2"/>
          </rPr>
          <t>Modificado por la Resolución 9 1349del 28 de noviembre de 2014</t>
        </r>
      </text>
    </comment>
    <comment ref="AA25" authorId="1" shapeId="0" xr:uid="{00000000-0006-0000-0000-000006000000}">
      <text>
        <r>
          <rPr>
            <b/>
            <sz val="9"/>
            <color indexed="81"/>
            <rFont val="Tahoma"/>
            <family val="2"/>
          </rPr>
          <t>Modificado por la Resolución 9 1349del 28 de noviembre de 2014</t>
        </r>
      </text>
    </comment>
    <comment ref="AF25" authorId="1" shapeId="0" xr:uid="{00000000-0006-0000-0000-000007000000}">
      <text>
        <r>
          <rPr>
            <b/>
            <sz val="9"/>
            <color indexed="81"/>
            <rFont val="Tahoma"/>
            <family val="2"/>
          </rPr>
          <t>Modificado por la Resolución 9 1349del 28 de noviembre de 2014</t>
        </r>
      </text>
    </comment>
    <comment ref="AK25" authorId="1" shapeId="0" xr:uid="{00000000-0006-0000-0000-000008000000}">
      <text>
        <r>
          <rPr>
            <b/>
            <sz val="9"/>
            <color indexed="81"/>
            <rFont val="Tahoma"/>
            <family val="2"/>
          </rPr>
          <t>Modificado por la Resolución 9 1349del 28 de noviembre de 2014</t>
        </r>
      </text>
    </comment>
    <comment ref="AP25" authorId="1" shapeId="0" xr:uid="{00000000-0006-0000-0000-000009000000}">
      <text>
        <r>
          <rPr>
            <b/>
            <sz val="9"/>
            <color indexed="81"/>
            <rFont val="Tahoma"/>
            <family val="2"/>
          </rPr>
          <t>Modificado por la Resolución 9 1349del 28 de noviembre de 2014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Fabian Cardona Flor (Ecopetrol S.A)</author>
  </authors>
  <commentList>
    <comment ref="N27" authorId="0" shapeId="0" xr:uid="{4F7B621E-63D5-48B5-8621-A5A267EFC692}">
      <text>
        <r>
          <rPr>
            <b/>
            <sz val="8"/>
            <color indexed="81"/>
            <rFont val="Tahoma"/>
            <family val="2"/>
          </rPr>
          <t>De acuerdo con la Resolución 40261 Tabla 2</t>
        </r>
      </text>
    </comment>
    <comment ref="O27" authorId="0" shapeId="0" xr:uid="{A08F9DF2-239E-4FC7-AD30-80B357183B0E}">
      <text>
        <r>
          <rPr>
            <b/>
            <sz val="9"/>
            <color indexed="81"/>
            <rFont val="Tahoma"/>
            <family val="2"/>
          </rPr>
          <t>De acuerdo con la Resolución 40261 Tabla 4</t>
        </r>
      </text>
    </comment>
  </commentList>
</comments>
</file>

<file path=xl/sharedStrings.xml><?xml version="1.0" encoding="utf-8"?>
<sst xmlns="http://schemas.openxmlformats.org/spreadsheetml/2006/main" count="3273" uniqueCount="526">
  <si>
    <t>Nombre del parámetro en el sistema de precios</t>
  </si>
  <si>
    <t>CELDA</t>
  </si>
  <si>
    <t>Hoja donde se encuentra la celda con el valor</t>
  </si>
  <si>
    <t>e7</t>
  </si>
  <si>
    <t>b7</t>
  </si>
  <si>
    <t>2) Se ponen fechas:</t>
  </si>
  <si>
    <t xml:space="preserve">                                    Fecha Referencia: Cualquiera del mes que calculamos</t>
  </si>
  <si>
    <t xml:space="preserve">                                    Fecha Vigencia: del 1 del mes al 31 del mes</t>
  </si>
  <si>
    <t>3) Se comparan resultados con el archivo de Daniel Devis de acuerdo al cuadro siguiente:</t>
  </si>
  <si>
    <t>Nombre del precio en el sistema de precios</t>
  </si>
  <si>
    <t>e8</t>
  </si>
  <si>
    <t>e9</t>
  </si>
  <si>
    <t>f8</t>
  </si>
  <si>
    <r>
      <t>ETIQUETA DE ACTUALIZACIÓN MASIVA :</t>
    </r>
    <r>
      <rPr>
        <b/>
        <sz val="14"/>
        <color theme="1"/>
        <rFont val="Calibri"/>
        <family val="2"/>
      </rPr>
      <t xml:space="preserve"> </t>
    </r>
    <r>
      <rPr>
        <b/>
        <sz val="16"/>
        <color theme="1"/>
        <rFont val="Calibri"/>
        <family val="2"/>
      </rPr>
      <t>NORTE DE SANTANDER (zonas de frontera)</t>
    </r>
  </si>
  <si>
    <t>Archivo: ZONAS DE FRONTERA (Daniel Devis)</t>
  </si>
  <si>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</si>
  <si>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</si>
  <si>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</si>
  <si>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</si>
  <si>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</si>
  <si>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</si>
  <si>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</si>
  <si>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</si>
  <si>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</si>
  <si>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</si>
  <si>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</si>
  <si>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</si>
  <si>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</si>
  <si>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</si>
  <si>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</si>
  <si>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</si>
  <si>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</si>
  <si>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</si>
  <si>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</si>
  <si>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</si>
  <si>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</si>
  <si>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</si>
  <si>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</si>
  <si>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</si>
  <si>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</si>
  <si>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</si>
  <si>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</si>
  <si>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</si>
  <si>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</si>
  <si>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</si>
  <si>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</si>
  <si>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</si>
  <si>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</si>
  <si>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</si>
  <si>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</si>
  <si>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</si>
  <si>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</si>
  <si>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</si>
  <si>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</si>
  <si>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</si>
  <si>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</si>
  <si>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</si>
  <si>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</si>
  <si>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</si>
  <si>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</si>
  <si>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</si>
  <si>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</si>
  <si>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</si>
  <si>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</si>
  <si>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</si>
  <si>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</si>
  <si>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</si>
  <si>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</si>
  <si>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</si>
  <si>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</si>
  <si>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</si>
  <si>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</si>
  <si>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</si>
  <si>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</si>
  <si>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Estructuras algunos rubros Zonas de Frontera - Resolución 90302 del 30 de abril de 2013</t>
  </si>
  <si>
    <t>Reajuste cada 1° de Febrero con base en el IPC del año anterior</t>
  </si>
  <si>
    <t>IPC</t>
  </si>
  <si>
    <t>IPC Ultimos 12 meses (Ajuste Margen Mayorista Junio)</t>
  </si>
  <si>
    <t>Fuente: Dane</t>
  </si>
  <si>
    <t>Recuperación de costos de la Gasolina Corriente, Corriente Oxigenada, ACPM y ACPM con Biocombustibles</t>
  </si>
  <si>
    <t>Zona</t>
  </si>
  <si>
    <t>Combustible exento</t>
  </si>
  <si>
    <t>Combustible sin exención</t>
  </si>
  <si>
    <t>Producto importado</t>
  </si>
  <si>
    <t>Amazonas</t>
  </si>
  <si>
    <t>Arauca</t>
  </si>
  <si>
    <t>Cubará (Boyacá)</t>
  </si>
  <si>
    <t>Guainía</t>
  </si>
  <si>
    <t>La Guajira</t>
  </si>
  <si>
    <t>Nariño</t>
  </si>
  <si>
    <t>Putumayo</t>
  </si>
  <si>
    <t>Puerto Carreño (Vichada)</t>
  </si>
  <si>
    <t>Norte de Santander</t>
  </si>
  <si>
    <t>Marcación de la Gasolina Motor Corriente, Corriente Oxigenada, ACPM y ACPM con Biocombustibles</t>
  </si>
  <si>
    <t>Punto medio meta inflación Banrep 2015</t>
  </si>
  <si>
    <t>Punto medio meta inflación Banrep 2016</t>
  </si>
  <si>
    <t>Gasolina Corriente</t>
  </si>
  <si>
    <t>ACPM B2</t>
  </si>
  <si>
    <t>Marcación de las actividades de distribución de la Gasolina Motor Corriente, Corriente Oxigenada, ACPM y ACPM con Biocombustibles</t>
  </si>
  <si>
    <t>Gasolina Corriente Oxigenada 8%</t>
  </si>
  <si>
    <t>ACPM B10</t>
  </si>
  <si>
    <t>Márgen mayorista de las actividades de distribución de la Gasolina Motor Corriente, Corriente Oxigenada, ACPM y ACPM con Biocombustibles</t>
  </si>
  <si>
    <t>*</t>
  </si>
  <si>
    <t>* Será el señalado en el Artículo 1° de la Resolución 91657 del 30 de octubre de 2012, o en la forma que la modifique o sustituya</t>
  </si>
  <si>
    <t>Márgen minorista de las actividades de distribución de la Gasolina Motor Corriente, Corriente Oxigenada, ACPM y ACPM con Biocombustibles</t>
  </si>
  <si>
    <t>* Será el señalado en el Artículo 1° de la Resolución 182336 del 28 de diciembre de 2011, o en la forma que la modifique o sustituya</t>
  </si>
  <si>
    <t>ACEM</t>
  </si>
  <si>
    <t>AMAZONAS</t>
  </si>
  <si>
    <t>CESAR</t>
  </si>
  <si>
    <t>NORTE DE SANTANDER</t>
  </si>
  <si>
    <t>NARIÑO</t>
  </si>
  <si>
    <t>LA GUAJIRA</t>
  </si>
  <si>
    <t>BOYACÁ (Cubará)</t>
  </si>
  <si>
    <t>CESAR (Río de Oro)</t>
  </si>
  <si>
    <t>VICHADA (Puerto Carreño)</t>
  </si>
  <si>
    <t>ARAUCA</t>
  </si>
  <si>
    <t>GUAINÍA</t>
  </si>
  <si>
    <t>VAUPES</t>
  </si>
  <si>
    <t>GASOLINA</t>
  </si>
  <si>
    <t xml:space="preserve">% ZDF </t>
  </si>
  <si>
    <t>DEPARTAMENTO</t>
  </si>
  <si>
    <t>CHOCÓ</t>
  </si>
  <si>
    <t>($/Galón)</t>
  </si>
  <si>
    <t>ITEM</t>
  </si>
  <si>
    <t>Gasolina Extra</t>
  </si>
  <si>
    <t>Diesel (ACPM-ACEM)</t>
  </si>
  <si>
    <t>Ingreso al productor</t>
  </si>
  <si>
    <t>Tarifa de marcación</t>
  </si>
  <si>
    <t>Tarifa de transporte por poliductos y/o manejo</t>
  </si>
  <si>
    <t>(*)</t>
  </si>
  <si>
    <r>
      <t xml:space="preserve">Margen plan de continuidad </t>
    </r>
    <r>
      <rPr>
        <b/>
        <vertAlign val="superscript"/>
        <sz val="11"/>
        <rFont val="Arial"/>
        <family val="2"/>
      </rPr>
      <t>(a)</t>
    </r>
  </si>
  <si>
    <t>Impuesto Nacional a la Gasolina y al ACPM</t>
  </si>
  <si>
    <t>Impuesto sobre las Ventas</t>
  </si>
  <si>
    <t>(3)</t>
  </si>
  <si>
    <t>Impuesto al carbono</t>
  </si>
  <si>
    <t>Precio máximo de venta al Distribuidor Mayorista</t>
  </si>
  <si>
    <t>(**)</t>
  </si>
  <si>
    <t xml:space="preserve">Margen mayorista </t>
  </si>
  <si>
    <t>(***)</t>
  </si>
  <si>
    <t>Sobretasa</t>
  </si>
  <si>
    <t> </t>
  </si>
  <si>
    <t>Precio de venta en planta de abasto mayorista</t>
  </si>
  <si>
    <t xml:space="preserve">Margen minorista </t>
  </si>
  <si>
    <t>Pérdida evaporación</t>
  </si>
  <si>
    <t>(****)</t>
  </si>
  <si>
    <t>Transporte planta de abasto a estación de servicio</t>
  </si>
  <si>
    <t>Precio de venta al público</t>
  </si>
  <si>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</si>
  <si>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Alcohol Carburante</t>
  </si>
  <si>
    <t xml:space="preserve">Gasolina Corriente Base para Oxigenar </t>
  </si>
  <si>
    <t>Gasolina Corriente Oxigenada</t>
  </si>
  <si>
    <t xml:space="preserve">Proporción Ingreso al productor de la Gasolina Motor Corriente </t>
  </si>
  <si>
    <t xml:space="preserve">Proporción Ingreso al productor del Alcohol Carburante </t>
  </si>
  <si>
    <t>Ingreso al productor de la Gasolina Motor Corriente Oxigenada</t>
  </si>
  <si>
    <t xml:space="preserve">Proporción Tarifa de transporte por poliductos de Gasolina Motor Corriente </t>
  </si>
  <si>
    <t xml:space="preserve">Proporción tarifa de transporte del Alcohol Carburante </t>
  </si>
  <si>
    <t>Precio máximo de venta al distribuidor mayorista</t>
  </si>
  <si>
    <t>Margen al distribuidor mayorista</t>
  </si>
  <si>
    <t xml:space="preserve"> </t>
  </si>
  <si>
    <t>Precio máximo en planta de abastecimiento mayorista</t>
  </si>
  <si>
    <t>Margen del distribuidor minorista</t>
  </si>
  <si>
    <t>Perdida por evaporación</t>
  </si>
  <si>
    <t>(*****)</t>
  </si>
  <si>
    <t>Precio máximo de venta por galón incluida la sobretasa</t>
  </si>
  <si>
    <t>Gasolina Extra Oxigenada</t>
  </si>
  <si>
    <t>Tarifa de Marcación</t>
  </si>
  <si>
    <t>Precio de venta al distribuidor Mayorista</t>
  </si>
  <si>
    <t>Margen mayorista</t>
  </si>
  <si>
    <t>Margen minorista</t>
  </si>
  <si>
    <t>BIOCOMBUSTIBLE B100</t>
  </si>
  <si>
    <t>ACPM Base para Mezcla al 10% (1)</t>
  </si>
  <si>
    <t>ACPM Base para Mezcla al 8% (2)</t>
  </si>
  <si>
    <t xml:space="preserve">Biodiesel B2 con destino a mezcla </t>
  </si>
  <si>
    <t xml:space="preserve">Proporción Ingreso al productor del ACPM </t>
  </si>
  <si>
    <t xml:space="preserve">Proporción Ingreso al productor del Biocombustible </t>
  </si>
  <si>
    <t>Ingreso al productor de la mezcla de ACPM- Biocombustible (B2, B4, B8, B10)</t>
  </si>
  <si>
    <t>Proporción Tarifa de transporte por poliductos (*)</t>
  </si>
  <si>
    <t>Tarifa de transporte del biocombustible (**)</t>
  </si>
  <si>
    <t>Transporte de la planta de abastecimiento mayorista a estación</t>
  </si>
  <si>
    <t>ESTRUCTURA DE PRECIOS DE COMBUSTIBLES LÍQUIDOS PARA ZONAS DE FRONTERA</t>
  </si>
  <si>
    <t>Con cupo ZDF</t>
  </si>
  <si>
    <t>ID</t>
  </si>
  <si>
    <t>Ítem</t>
  </si>
  <si>
    <t>$/Galón</t>
  </si>
  <si>
    <t>IP</t>
  </si>
  <si>
    <t>Ingreso al Productor</t>
  </si>
  <si>
    <t>PN</t>
  </si>
  <si>
    <t>Impuesto Nacional a la gasolina y al ACPM</t>
  </si>
  <si>
    <t>------------------</t>
  </si>
  <si>
    <t>Tt</t>
  </si>
  <si>
    <t>(1)</t>
  </si>
  <si>
    <t>Cc</t>
  </si>
  <si>
    <t xml:space="preserve">Recuperación costos </t>
  </si>
  <si>
    <t>Ce</t>
  </si>
  <si>
    <t>Costo de cesión</t>
  </si>
  <si>
    <t>Tma</t>
  </si>
  <si>
    <t>Tarifa de marcación (1)</t>
  </si>
  <si>
    <t>Margen plan de continuidad</t>
  </si>
  <si>
    <t>PMI</t>
  </si>
  <si>
    <t>Precio Máx. de Venta al Distribuidor Mayorista</t>
  </si>
  <si>
    <t>MD</t>
  </si>
  <si>
    <t xml:space="preserve">Margen del distribuidor mayorista </t>
  </si>
  <si>
    <t>Ti</t>
  </si>
  <si>
    <t>Transporte plantas no interconectadas</t>
  </si>
  <si>
    <t>PS</t>
  </si>
  <si>
    <t>Sobretasa***</t>
  </si>
  <si>
    <t>PMIL</t>
  </si>
  <si>
    <t>Precio Máximo en Planta de Abasto Mayorista</t>
  </si>
  <si>
    <t>MDM</t>
  </si>
  <si>
    <t>E</t>
  </si>
  <si>
    <t>Pérdida por evaporación</t>
  </si>
  <si>
    <t>N.A</t>
  </si>
  <si>
    <t>FI</t>
  </si>
  <si>
    <t>Transporte planta abasto mayorista a estación</t>
  </si>
  <si>
    <t>PMV</t>
  </si>
  <si>
    <t xml:space="preserve">Precio de Venta al público por galón </t>
  </si>
  <si>
    <t>Según punto de entrega</t>
  </si>
  <si>
    <t>(2)</t>
  </si>
  <si>
    <t>(4)</t>
  </si>
  <si>
    <t>DEPARTAMENTO DE AMAZONAS</t>
  </si>
  <si>
    <t>Por encima del cupo*</t>
  </si>
  <si>
    <t>Planta de Abasto: Leticia</t>
  </si>
  <si>
    <t>MPN</t>
  </si>
  <si>
    <t>Costo de la utilización de la planta de abastecimiento de Neiva</t>
  </si>
  <si>
    <t>Margen del distribuidor mayorista planta Leticia</t>
  </si>
  <si>
    <t>TPL</t>
  </si>
  <si>
    <t>Tarifa de transporte vía fluvial entre Puerto Asis y Leticia</t>
  </si>
  <si>
    <t>Precio Máximo en Planta en la cuidad de Leticia</t>
  </si>
  <si>
    <t>Ver Nota Informativa</t>
  </si>
  <si>
    <t>Para ventas sobre el cupo a estaciones de servicio, previa autorización del Ministerio de Minas y Energía, aplica la estructura nacional</t>
  </si>
  <si>
    <t>**</t>
  </si>
  <si>
    <t>El rubro será fijado de común acuerdo entre el Cesionario y el distribuidor mayorista al cual cedan las actividades de distribución, para lo cual presentarán al Ministerio de Minas y Energía - Dirección de Hidrocarburos la información respectiva</t>
  </si>
  <si>
    <t>***</t>
  </si>
  <si>
    <t>Será el señalado en la Resolución 182336 del 28 de 2011 y 91657 de 2012, o en la norma que la modifique o sustituya</t>
  </si>
  <si>
    <t>****</t>
  </si>
  <si>
    <t>Este rubro corresponde al valor de la tarifa de transporte vía fluvial entre la Ciudad de Puerto Asís y Leticia en el caso en que se utilice esta ruta para el abastecimiento del departamento. El cesionario y el distribuidor mayorista al cual cedan las actividades de distribución, deberán fijar la misma, para lo cual presentarán para aprobación del Ministerio de Minas y Energía - Dirección de Hidrocarburos el estudio de costos respectivo</t>
  </si>
  <si>
    <t>*****</t>
  </si>
  <si>
    <t>******</t>
  </si>
  <si>
    <t>Corresponde a la pérdida por evaporación de que trata la Ley 26 de 1989, definida como el 0.4% del Precio Máximo de Venta en Planta de Abastecimiento Mayorista.</t>
  </si>
  <si>
    <t>*******</t>
  </si>
  <si>
    <t>Será el valor correspondiente al Flete desde la Planta de Abastecimiento de Leticia hasta las estaciones de servicio de los diferentes municipios. Este valor será definido por el Comité Local de Precios del respectivo municipio</t>
  </si>
  <si>
    <t>Gasolina Corriente Base para Oxigenar</t>
  </si>
  <si>
    <t>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</si>
  <si>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IP ZDF</t>
  </si>
  <si>
    <t>DIESEL</t>
  </si>
  <si>
    <t>IP NACIONAL</t>
  </si>
  <si>
    <t>BIODIESEL</t>
  </si>
  <si>
    <t>ETANOL</t>
  </si>
  <si>
    <t>Margen plan de continuidad (a)</t>
  </si>
  <si>
    <t>DEPARTAMENTO DE ARAUCA</t>
  </si>
  <si>
    <t>Por encima del cupo *</t>
  </si>
  <si>
    <t>Tarifa de transporte por poliductos</t>
  </si>
  <si>
    <t>Fb</t>
  </si>
  <si>
    <t>Tarifa de Ttransporte terrestre</t>
  </si>
  <si>
    <t>N.A.</t>
  </si>
  <si>
    <t>N,A</t>
  </si>
  <si>
    <t>Valor correspondiente al flete desde la planta de abastecimiento mayorista hasta las estaciones de servicio de los diferentes municipios. El valor lo define el Comité Local de Precios de cada municipio</t>
  </si>
  <si>
    <t>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</si>
  <si>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Valor del transporte desde la plantas de abastecimiento (Chimitá, Mansilla, Tocancipá, Apiay) hasta la Planta de Arauca (Arauca)</t>
  </si>
  <si>
    <t>DEPARTAMENTO DE BOYACÁ (Municipio de Cubará)</t>
  </si>
  <si>
    <t>PLANTA DE ABASTO: Chimitá</t>
  </si>
  <si>
    <t>En los departamentos y en las plantas de abastacimiento donde se aplique doble marcación se deberá cobrar una tarifa adicional de $3.5 por galón.</t>
  </si>
  <si>
    <t>En el evento que el Departamento se abaste de una planta no interconectada, corresponde al valor del transporte desde la planta de abastecimiento no interconectada</t>
  </si>
  <si>
    <t>DEPARTAMENTO DE CESAR</t>
  </si>
  <si>
    <t>Oxigenada 10%</t>
  </si>
  <si>
    <t>Margen del distribuidor mayorista</t>
  </si>
  <si>
    <t>Mediante Resolución 124012 del 26 de febrero de 2012, se incluyó al distribuidor mayorista Discowacoop Ltda, dentro del plan de abastecimiento de distribución de los  GC y GCINI ubicados en el municipio de Valledupar (Cesar).</t>
  </si>
  <si>
    <t xml:space="preserve">Valor de referencia de sobretasa según Resolución Minminas. </t>
  </si>
  <si>
    <t>Valor del transporte de las plantas de abasto a las estaciones de servicio</t>
  </si>
  <si>
    <t>Acpm mezcla al  10%</t>
  </si>
  <si>
    <r>
      <t>Tarifa de transporte</t>
    </r>
    <r>
      <rPr>
        <b/>
        <i/>
        <sz val="10"/>
        <rFont val="Calibri"/>
        <family val="2"/>
        <scheme val="minor"/>
      </rPr>
      <t xml:space="preserve"> (a. poliductos y b. biocombustibles)</t>
    </r>
  </si>
  <si>
    <t>a) Según punto de entrega  b) 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</si>
  <si>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Será el señalado en la Resolución 182336 del 28 de 2011 y 91657 de 2012, o en la norma que la modifique o sustituya, Para la gasolina extra definido libremente por el distribuidor mayorista/minorista</t>
  </si>
  <si>
    <r>
      <t xml:space="preserve">ORIGEN: Refinería de Cartagena y Barrancabermeja            PLANTA DE ABASTO: Galapa - Baranoa, Lizama,  Ayacucho, Cartagena ,  Baranquilla Discowacoop (Maicao - La Guajira) </t>
    </r>
    <r>
      <rPr>
        <b/>
        <vertAlign val="superscript"/>
        <sz val="10"/>
        <color theme="0"/>
        <rFont val="Calibri"/>
        <family val="2"/>
      </rPr>
      <t xml:space="preserve">2 </t>
    </r>
  </si>
  <si>
    <t xml:space="preserve">ORIGEN: Refinería de Cartagena y Barrancabermeja            PLANTA DE ABASTO: Galapa - Baranoa, Lizama,  Ayacucho, Cartagena ,  Baranquilla </t>
  </si>
  <si>
    <t>DEPARTAMENTO DE CHOCÓ</t>
  </si>
  <si>
    <t>DEPARTAMENTO DE GUAINIA</t>
  </si>
  <si>
    <t>PLANTA DE ABASTO: Puerto Inírida</t>
  </si>
  <si>
    <t>Valor del transporte de la planta de Inirida a las estaciones de servicio</t>
  </si>
  <si>
    <t>DEPARTAMENTO DE LA GUAJIRA</t>
  </si>
  <si>
    <t>ORIGEN: Refinería de Cartagena                                                PLANTA DE ABASTO:Ayatawocoop  y Discowacoop- ubicadas en el municipio de Maicao; abastecidas desde Galapa  y Baranoa</t>
  </si>
  <si>
    <t>DEPARTAMENTO DE LA GUAJIRA - GRANDES CONSUMIDORES</t>
  </si>
  <si>
    <t>Corresponde al valor del transporte desde la planta de abastecimiento (punto de entrega del poliducto) hasta las plantas de Maicao</t>
  </si>
  <si>
    <t>ORIGEN: Refinería de Cartagena y Barrancabermeja            PLANTA DE ABASTO: : Yumbo, Mulalo, Petrodecol</t>
  </si>
  <si>
    <t>DEPARTAMENTO DE NARIÑO</t>
  </si>
  <si>
    <r>
      <t xml:space="preserve">Tarifa de marcación </t>
    </r>
    <r>
      <rPr>
        <u/>
        <sz val="10"/>
        <color rgb="FFFF0000"/>
        <rFont val="Calibri"/>
        <family val="2"/>
        <scheme val="minor"/>
      </rPr>
      <t>(1)</t>
    </r>
  </si>
  <si>
    <t>ACPM</t>
  </si>
  <si>
    <t>Origen Importado</t>
  </si>
  <si>
    <r>
      <t xml:space="preserve">Tarifa de marcación  </t>
    </r>
    <r>
      <rPr>
        <b/>
        <sz val="10"/>
        <color rgb="FFFF0000"/>
        <rFont val="Calibri"/>
        <family val="2"/>
        <scheme val="minor"/>
      </rPr>
      <t>(1)</t>
    </r>
  </si>
  <si>
    <t>Transporte de las plantas de abasto  a las EDS</t>
  </si>
  <si>
    <t>DEPARTAMENTO NORTE DE SANTANDER</t>
  </si>
  <si>
    <t>PLANTA DE ABASTO: Chimitá y Agualinda</t>
  </si>
  <si>
    <t>Tarifa de transporte (a. poliductos y b. biocombustibles)</t>
  </si>
  <si>
    <t>Valor correspondiente al flete desde la planta de abastecimiento mayorista hasta las estaciones de servicio de los diferentes municipios.</t>
  </si>
  <si>
    <t>DEPARTAMENTO VAUPES</t>
  </si>
  <si>
    <t>PLANTA DE ABASTO: San José del Guaviare</t>
  </si>
  <si>
    <t>Valor del transporte desde la Planta de Mansilla a la Planta de San Jose del Guaviare</t>
  </si>
  <si>
    <t>Transporte desde San Jose del Guaviare a las EDS</t>
  </si>
  <si>
    <t>Valor del transporte aéreo de la planta de San José del Guaviare a las estaciones de servicio</t>
  </si>
  <si>
    <t>ESTRUCTURA DE PRECIOS DEL ELECTROCOMBUSTIBLE</t>
  </si>
  <si>
    <t>PARA GENERACIÓN ELECTRICA  EN LAS ZONAS NO INTERCONECTADAS</t>
  </si>
  <si>
    <t xml:space="preserve"> $/Galón</t>
  </si>
  <si>
    <t>COMPONENTES DEL PRECIO</t>
  </si>
  <si>
    <t>1. Ingreso al Productor</t>
  </si>
  <si>
    <t>2. Impuesto sobre las ventas</t>
  </si>
  <si>
    <t>3. Impuesto al carbono</t>
  </si>
  <si>
    <t>4. Tarifa de marcación</t>
  </si>
  <si>
    <t xml:space="preserve">5. Tarifa de Transporte de Combustibles </t>
  </si>
  <si>
    <t>6. Margen plan de continuidad</t>
  </si>
  <si>
    <t>7. Precio Máx. de Venta al Distribuidor Mayorista</t>
  </si>
  <si>
    <t>8. Margen del distribuidor mayorista</t>
  </si>
  <si>
    <t>9. Precio Máximo en Planta de Abasto Mayorista</t>
  </si>
  <si>
    <t xml:space="preserve">10. Transporte planta abasto mayorista  a usuario </t>
  </si>
  <si>
    <t>Resoluciones 18 1191 de 2002 y 18 0088 de 2003 Por la cual se fija el precio de unos derivados del petróleo utilizados en generación de energía eléctrica</t>
  </si>
  <si>
    <t>(*): Se calculará en cada sitio de entrega habilitado dependiendo de la tarifa por poliductos, de transporte terrestre, maritimo o fluvial que le corresponda.</t>
  </si>
  <si>
    <t>(**): Definido libremente por el distribuidor mayorista.</t>
  </si>
  <si>
    <t>(****): Según lo establecido por la Ley 1607 de 2012 y la resolucion de valores de referencia de Minminas</t>
  </si>
  <si>
    <t>(1)  Se calculará en cada sitio de entrega habilitado dependiendo de las tarifas de transporte poliductos, de transporte terrestre, maritimo o fluvial a plantas , según sea el caso.</t>
  </si>
  <si>
    <t>(2)  Se calculará en cada sitio de entrega habilitado dependiendo de las tarifas de transporte que se defina , según sea el caso.</t>
  </si>
  <si>
    <r>
      <t>Tarifa de transporte</t>
    </r>
    <r>
      <rPr>
        <b/>
        <i/>
        <sz val="10"/>
        <rFont val="Calibri"/>
        <family val="2"/>
        <scheme val="minor"/>
      </rPr>
      <t xml:space="preserve"> (poliductos y biocombustibles)</t>
    </r>
  </si>
  <si>
    <t>PLANTA DE ABASTO: Arauca</t>
  </si>
  <si>
    <t>Valor del transporte desde la plantas de abastecimiento (Chimitá, Mansilla, Tocancipá) hasta la Planta de Guainía (Puerto Inírida)</t>
  </si>
  <si>
    <t>PUTUMAYO</t>
  </si>
  <si>
    <t>DEPARTAMENTO DE PUTUMAYO</t>
  </si>
  <si>
    <t>PLANTA DE ABASTO: Puerto Neiva</t>
  </si>
  <si>
    <t>Valor del transporte de la planta de Neiva a la Planta de Puerto Asis</t>
  </si>
  <si>
    <t>ok</t>
  </si>
  <si>
    <t>REVISAR</t>
  </si>
  <si>
    <t>OK</t>
  </si>
  <si>
    <t>ACPM BAJO AZUFRE ZONAS DE FRONTERA 1ZPRE-ZO_NARIÑO - LIS_GRE_ZONAS DE FRONTERA</t>
  </si>
  <si>
    <t>Nariño Reficar</t>
  </si>
  <si>
    <t>PRE-GRE-REAL-ACPM BAJO AZUFRE ZONAS DE FRONTERA 1ZPRE-ZO_CESAR - LIS_GRE_ZONAS DE FRONTERA</t>
  </si>
  <si>
    <t xml:space="preserve">Cesar Reficar </t>
  </si>
  <si>
    <t>PRE-GRE-REAL-ACPM BAJO AZUFRE ZONAS DE FRONTERA 1ZPRE-ZO_GUAJIRA - LIS_GRE_ZONAS DE FRONTERA</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</si>
  <si>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</si>
  <si>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</si>
  <si>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PLANTA DE ABASTO: Puerto Carreño</t>
  </si>
  <si>
    <t>DEPARTAMENTO VJCHADA (Puerto Carreño)</t>
  </si>
  <si>
    <t>Fuente: Resoluciones MME</t>
  </si>
  <si>
    <t>Proporción Ingreso al productor del ACPM 98%</t>
  </si>
  <si>
    <t>Proporción Ingreso al productor del Biocombustible 2%</t>
  </si>
  <si>
    <t>Z61</t>
  </si>
  <si>
    <t>Z68</t>
  </si>
  <si>
    <t>Z67</t>
  </si>
  <si>
    <t>Z65</t>
  </si>
  <si>
    <t>Z69</t>
  </si>
  <si>
    <t>Z62</t>
  </si>
  <si>
    <t>Z60</t>
  </si>
  <si>
    <t>Z63</t>
  </si>
  <si>
    <t>Z66</t>
  </si>
  <si>
    <t>Z70</t>
  </si>
  <si>
    <t>Clase de condición</t>
  </si>
  <si>
    <t>tabla de condición</t>
  </si>
  <si>
    <t>organización de Ventas</t>
  </si>
  <si>
    <t>Canal de distribución</t>
  </si>
  <si>
    <t>sector</t>
  </si>
  <si>
    <t>centro</t>
  </si>
  <si>
    <t>ruta</t>
  </si>
  <si>
    <t>condición de Pago</t>
  </si>
  <si>
    <t>Destinatario</t>
  </si>
  <si>
    <t>Oficina de Venta</t>
  </si>
  <si>
    <t>rappels en ventas</t>
  </si>
  <si>
    <t>cliente</t>
  </si>
  <si>
    <t>Utilización</t>
  </si>
  <si>
    <t>pagado-numero de cliente</t>
  </si>
  <si>
    <t>Material SAP</t>
  </si>
  <si>
    <t>Importe</t>
  </si>
  <si>
    <t>Unidad de condición</t>
  </si>
  <si>
    <t>Cantidad Base</t>
  </si>
  <si>
    <t>unidad de Medida</t>
  </si>
  <si>
    <t>Regla de Cálculo</t>
  </si>
  <si>
    <t>Valido de</t>
  </si>
  <si>
    <t>Vali hasta</t>
  </si>
  <si>
    <t>ZPRA</t>
  </si>
  <si>
    <t>CO01</t>
  </si>
  <si>
    <t>CO2</t>
  </si>
  <si>
    <t>UG6</t>
  </si>
  <si>
    <t>C</t>
  </si>
  <si>
    <t>ZPRB</t>
  </si>
  <si>
    <t>ZPRE</t>
  </si>
  <si>
    <t>ECOPETROL</t>
  </si>
  <si>
    <t>REFICAR</t>
  </si>
  <si>
    <t>DESCRIPCIÓN</t>
  </si>
  <si>
    <t>BIODISEL B2 EXTRA</t>
  </si>
  <si>
    <t>GASOLINA MOTOR CTE</t>
  </si>
  <si>
    <t>VIGENCIA CARGUE PRECIO</t>
  </si>
  <si>
    <t>GASOLINA CTE BASE PARA OXIGENAR ZDF</t>
  </si>
  <si>
    <t>ACPM BASE PARA MEZCLA ZDF</t>
  </si>
  <si>
    <t>B2 ZDF (Acpm 98% + 2%)</t>
  </si>
  <si>
    <t>Z73</t>
  </si>
  <si>
    <t xml:space="preserve">UTILIZACIÓN SAP </t>
  </si>
  <si>
    <t>SAP ECOPETROL</t>
  </si>
  <si>
    <t>SAP REFICAR</t>
  </si>
  <si>
    <t>MNAL</t>
  </si>
  <si>
    <t>GLS</t>
  </si>
  <si>
    <t>Z51</t>
  </si>
  <si>
    <t xml:space="preserve">Z64  </t>
  </si>
  <si>
    <t>BIODIESEL B2B</t>
  </si>
  <si>
    <r>
      <t xml:space="preserve">VICHADA </t>
    </r>
    <r>
      <rPr>
        <sz val="8"/>
        <color theme="1"/>
        <rFont val="Calibri"/>
        <family val="2"/>
        <scheme val="minor"/>
      </rPr>
      <t>(Cumaribo/Primavera)</t>
    </r>
  </si>
  <si>
    <r>
      <t xml:space="preserve">VICHADA </t>
    </r>
    <r>
      <rPr>
        <sz val="8"/>
        <color theme="1"/>
        <rFont val="Calibri"/>
        <family val="2"/>
        <scheme val="minor"/>
      </rPr>
      <t>(Puerto Carreño)</t>
    </r>
  </si>
  <si>
    <t>ZMCA</t>
  </si>
  <si>
    <t>Gasolina Extra  Base para Oxigenar  Ecopetrol</t>
  </si>
  <si>
    <t>Gasolina Extra  Base para Oxigenar  Reficar</t>
  </si>
  <si>
    <t>1 DE SEPTIEMBRE 2019</t>
  </si>
  <si>
    <t>Biodiesel B2</t>
  </si>
  <si>
    <t>Biodiesel B2 con destino a mezcla</t>
  </si>
  <si>
    <t>Acpm mezcla</t>
  </si>
  <si>
    <t xml:space="preserve">Acpm mezcla </t>
  </si>
  <si>
    <t>CARGAR HASTA EL 30 DE JUNIO DE 2020</t>
  </si>
  <si>
    <t>Biodiesel B10</t>
  </si>
  <si>
    <t>Ley 2010  de 2019, ARTÍCULO 148. Modifíquese el parágrafo 4 del artículo 222 de la Ley 1819 de 2016, el cual quedará así:  PARÁGRAFO 4. La tarifa del impuesto al carbono por unidad de combustible de la que trata este artículo, en Amazonas, Caquetá, Guainía, Guaviare, Putumayo, Vaupés, Vichada y los municipios de Sipi, Río Sucio, Alto Baudó, Bajo Baudó, Acandí , Unguía, Litoral de San Juan, Bojayá, Medio Atrato, Irá, Bahía Solano, Juradó y Carmen del Darién del Departamento del Chocó, para los combustibles enlistados en el inciso 1 del presente artículo será de cero pesos ($0).</t>
  </si>
  <si>
    <t>Z75</t>
  </si>
  <si>
    <t>Z74</t>
  </si>
  <si>
    <t>Remarcacion</t>
  </si>
  <si>
    <t>De acuerdo con lo establecido en la Resolución MME 91349 de 2014</t>
  </si>
  <si>
    <t>OJO!!!!</t>
  </si>
  <si>
    <t>ACTUALIZAR</t>
  </si>
  <si>
    <t>NO SE PUBLICA</t>
  </si>
  <si>
    <t>CAMBIA CON EL IP FOSÍL</t>
  </si>
  <si>
    <t>IP GASOLINA</t>
  </si>
  <si>
    <t>BIODIESEL B2B EXTRA</t>
  </si>
  <si>
    <t>GASOLINA MOTOR REGULAR IAD81</t>
  </si>
  <si>
    <t>GASOLINA MOTOR REGULAR</t>
  </si>
  <si>
    <t>ESTRUCTURAS DE PRECIOS PARA GASOLINA MOTOR CORRIENTE OXIGENADA VIGENTES A PARTIR DE 10 DE NOVIEMBRE 2020</t>
  </si>
  <si>
    <t>OJO</t>
  </si>
  <si>
    <t>16 DE DICIEMBRE 2020</t>
  </si>
  <si>
    <t>Punto medio meta inflación Banrep 2021</t>
  </si>
  <si>
    <t>OK actualizada</t>
  </si>
  <si>
    <t>Se ajusta el 1 Feb 21</t>
  </si>
  <si>
    <t>Pdte</t>
  </si>
  <si>
    <t>Se actualiza el 1 feb 20</t>
  </si>
  <si>
    <t>Punto medio meta inflación Banrep 2020</t>
  </si>
  <si>
    <t>Tarifa de transporte terrestre</t>
  </si>
  <si>
    <t>REVISAR SI CONTINUA</t>
  </si>
  <si>
    <t>B12 ZDF</t>
  </si>
  <si>
    <t>OCTUBRE</t>
  </si>
  <si>
    <t>B10 A B12</t>
  </si>
  <si>
    <t>B2- ABRIL</t>
  </si>
  <si>
    <t>Biodiesel B12</t>
  </si>
  <si>
    <t>PETRODECOL CARTAGENA 9000014799</t>
  </si>
  <si>
    <t>PRODUCTO</t>
  </si>
  <si>
    <t>Para ser distribuida en territorio Nacional</t>
  </si>
  <si>
    <t>Para ser distribuida en Zonas de Frontera</t>
  </si>
  <si>
    <t>Art 1</t>
  </si>
  <si>
    <t>GMC</t>
  </si>
  <si>
    <r>
      <t>12,94</t>
    </r>
    <r>
      <rPr>
        <sz val="11"/>
        <color rgb="FFFF0000"/>
        <rFont val="Calibri"/>
        <family val="2"/>
        <scheme val="minor"/>
      </rPr>
      <t>**</t>
    </r>
  </si>
  <si>
    <t>Art 2</t>
  </si>
  <si>
    <t>Art 3</t>
  </si>
  <si>
    <t>Art 4</t>
  </si>
  <si>
    <t>** Remarcación: marcación nacional mas marcación para zona de frontera</t>
  </si>
  <si>
    <r>
      <t xml:space="preserve">GMC </t>
    </r>
    <r>
      <rPr>
        <sz val="9"/>
        <color theme="1"/>
        <rFont val="Calibri"/>
        <family val="2"/>
        <scheme val="minor"/>
      </rPr>
      <t>oxigenada</t>
    </r>
  </si>
  <si>
    <r>
      <t xml:space="preserve">ACPM </t>
    </r>
    <r>
      <rPr>
        <sz val="9"/>
        <color theme="1"/>
        <rFont val="Calibri"/>
        <family val="2"/>
        <scheme val="minor"/>
      </rPr>
      <t>mezclado con biocombustible</t>
    </r>
  </si>
  <si>
    <t>Z62: IP NARIÑO</t>
  </si>
  <si>
    <t>Z01: Nacional</t>
  </si>
  <si>
    <t>Z05: Dev Imp Carbono</t>
  </si>
  <si>
    <r>
      <t xml:space="preserve">GMC </t>
    </r>
    <r>
      <rPr>
        <i/>
        <sz val="9"/>
        <color theme="1"/>
        <rFont val="Calibri"/>
        <family val="2"/>
        <scheme val="minor"/>
      </rPr>
      <t>Importada</t>
    </r>
  </si>
  <si>
    <r>
      <t xml:space="preserve">GMC </t>
    </r>
    <r>
      <rPr>
        <i/>
        <sz val="9"/>
        <color theme="1"/>
        <rFont val="Calibri"/>
        <family val="2"/>
        <scheme val="minor"/>
      </rPr>
      <t>oxig importada</t>
    </r>
  </si>
  <si>
    <r>
      <t xml:space="preserve">ACPM </t>
    </r>
    <r>
      <rPr>
        <i/>
        <sz val="9"/>
        <color theme="1"/>
        <rFont val="Calibri"/>
        <family val="2"/>
        <scheme val="minor"/>
      </rPr>
      <t>Importada</t>
    </r>
  </si>
  <si>
    <t>4,55.</t>
  </si>
  <si>
    <t>Resolucion 90302 del 30 Abril de 2013</t>
  </si>
  <si>
    <t>2013 Resolucion 90302 Abril de 2013</t>
  </si>
  <si>
    <t>Costos de conversión de las actividades de reconversión socio-laboral -Resolución 90302 del 30 de abril de 2013</t>
  </si>
  <si>
    <t>De acuerdo con lo establecido en la Resolución 40111 de MME se establecerá un incremento escalonado según Paragrafo 3 Tabla 2</t>
  </si>
  <si>
    <t>De acuerdo con lo establecido en la Resolución 40111 de MME Articulo 4</t>
  </si>
  <si>
    <t>En los departamentos y en las circunstancias donde se aplique doble marcación se deberá cobrar la tarifa adicional correspondiente</t>
  </si>
  <si>
    <t>LA GUAJIRA (Rioacha)</t>
  </si>
  <si>
    <t>Incluida</t>
  </si>
  <si>
    <t>CESAR( Valledupar)</t>
  </si>
  <si>
    <t>CESAR (La Jagua, La Paz)</t>
  </si>
  <si>
    <t>DEPARTAMENTO DE CESAR (Valledupar)</t>
  </si>
  <si>
    <t>DEPARTAMENTO DE CESAR (La Jagua, La Paz)</t>
  </si>
  <si>
    <t>DEPARTAMENTO DE LA GUAJIRA (Rioacha)</t>
  </si>
  <si>
    <t>CHEQUEO B4</t>
  </si>
  <si>
    <t>Valor de referencia de sobretasa según  la Ley 2093 del 29 Junio 2021 por medio de la cual se modifican las Leyes 488 de 1998 y 788 de 2002</t>
  </si>
  <si>
    <t>N/A</t>
  </si>
  <si>
    <r>
      <t>GAS CORRIENTE OXIGENADA</t>
    </r>
    <r>
      <rPr>
        <b/>
        <sz val="11"/>
        <color theme="1"/>
        <rFont val="Calibri"/>
        <family val="2"/>
        <scheme val="minor"/>
      </rPr>
      <t xml:space="preserve"> E4</t>
    </r>
  </si>
  <si>
    <t>(5)</t>
  </si>
  <si>
    <t>De acuerdo con lo establecido en la Resolución 40111 de MME se establecerá un incremento escalonado según Paragrafo 1 Tabla 1 para la Gasolina Motor corriente y paragrafo 3 Tabla 2 para la mezcla Bio</t>
  </si>
  <si>
    <t>De acuerdo con lo establecido en la Resolución 40111 de MME se establecerá un incremento escalonado según Paragrafo 1 Tabla 1 para la Gasolina Motor corriente en Cesar municipio de Rio de Oro y paragrafo 3 Tabla 2 para la mezcla Bio</t>
  </si>
  <si>
    <r>
      <t xml:space="preserve">ORIGEN: Refinería de Cartagena y Barrancabermeja
 PLANTA DE ABASTO: Plantas autorizadas por el plan de abastecimiento ubicadas en Cartagena y Barranquilla </t>
    </r>
    <r>
      <rPr>
        <b/>
        <vertAlign val="superscript"/>
        <sz val="10"/>
        <color theme="0"/>
        <rFont val="Calibri"/>
        <family val="2"/>
      </rPr>
      <t xml:space="preserve"> (municipios de Acandí, Unguía y Riosucio)                         
Planta de Abasto Buenaventura ( muricipio de Jurado)</t>
    </r>
  </si>
  <si>
    <t xml:space="preserve">De acuerdo con lo establecido en la Resolución 40111 de MME </t>
  </si>
  <si>
    <t>ORIGEN: Refinería de Cartagena
PLANTA DE ABASTO:Ayatawocoop  y Discowacoop- ubicadas en el municipio de Maicao; abastecidas desde Galapa  y Baranoa</t>
  </si>
  <si>
    <t>CHOCO</t>
  </si>
  <si>
    <t>GUAJIRA</t>
  </si>
  <si>
    <t>CDF CESAR RIO DE ORO</t>
  </si>
  <si>
    <t>ELECTROCOMBUSTIBLE (EC0)</t>
  </si>
  <si>
    <t>ELECTROCOMBUSTIBLE (EC2)</t>
  </si>
  <si>
    <t>CHEQUEO B10</t>
  </si>
  <si>
    <t>CHEQUEO B12</t>
  </si>
  <si>
    <t>B10 A B12 resolución 40111</t>
  </si>
  <si>
    <t>RES 40261</t>
  </si>
  <si>
    <t>DE ACUERDO CON LA RESOLUCIÓN 40261 EN AGOSTO DEBE SER EL 8%, SEPTIEMBRE ES 6%, OCTUBRRE 6%</t>
  </si>
  <si>
    <r>
      <t xml:space="preserve">B5 ZDF
</t>
    </r>
    <r>
      <rPr>
        <sz val="9"/>
        <color theme="1"/>
        <rFont val="Calibri"/>
        <family val="2"/>
        <scheme val="minor"/>
      </rPr>
      <t>(a partir Oct 2021)</t>
    </r>
  </si>
  <si>
    <t xml:space="preserve">ESTRUCTURAS DE PRECIOS PARA LA MEZCLA DE BIOCOMBUSTIBLE PARA USO EN MOTORES DIESEL CON EL ACPM VIGENTES A PARTIR </t>
  </si>
  <si>
    <t>Z75 (ECP) / Z51 (MNAL)</t>
  </si>
  <si>
    <t xml:space="preserve">ORIGEN: Refinería de Cartagena       PLANTA DE ABASTO: Galapa - Baranoa, Lizama,  Ayacucho, Cartagena ,  Baranquilla </t>
  </si>
  <si>
    <t>GASOLINA M CORRIENTE OXIGENADA E5 
(a partir Oct 2021)</t>
  </si>
  <si>
    <r>
      <t xml:space="preserve">VICHADA </t>
    </r>
    <r>
      <rPr>
        <sz val="8"/>
        <rFont val="Calibri"/>
        <family val="2"/>
        <scheme val="minor"/>
      </rPr>
      <t>(Puerto Carreño)</t>
    </r>
  </si>
  <si>
    <r>
      <t xml:space="preserve">VICHADA </t>
    </r>
    <r>
      <rPr>
        <sz val="8"/>
        <rFont val="Calibri"/>
        <family val="2"/>
        <scheme val="minor"/>
      </rPr>
      <t>(Cumaribo/Primavera)</t>
    </r>
  </si>
  <si>
    <t>Biodiesel B5</t>
  </si>
  <si>
    <t>CHEQUEO B5</t>
  </si>
  <si>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</si>
  <si>
    <t>DEPARTAMENTO DE CESAR (casco urbano Rió de Oro)</t>
  </si>
  <si>
    <t>Oxigenada 5%</t>
  </si>
  <si>
    <t xml:space="preserve">Biodiesel B5 con destino a mezcla </t>
  </si>
  <si>
    <t>Punto medio meta inflación Banrep 2019</t>
  </si>
  <si>
    <t>Punto medio meta inflación Banrep 2018</t>
  </si>
  <si>
    <t>Punto medio meta inflación Banrep 2022</t>
  </si>
  <si>
    <t>Oxigenada 0%</t>
  </si>
  <si>
    <t>DEPARTAMENTO VICHADA (Cumaribo, La Primavera)</t>
  </si>
  <si>
    <t>VICHADA (Cumaribo, La Primavera)</t>
  </si>
  <si>
    <r>
      <t>GAS CORRIENTE OXIGENADA</t>
    </r>
    <r>
      <rPr>
        <b/>
        <sz val="12"/>
        <color theme="1"/>
        <rFont val="Calibri"/>
        <family val="2"/>
        <scheme val="minor"/>
      </rPr>
      <t xml:space="preserve"> </t>
    </r>
    <r>
      <rPr>
        <b/>
        <sz val="16"/>
        <color rgb="FFFF0000"/>
        <rFont val="Calibri"/>
        <family val="2"/>
        <scheme val="minor"/>
      </rPr>
      <t>E5</t>
    </r>
  </si>
  <si>
    <t>Oxigena 5%</t>
  </si>
  <si>
    <t>EC3</t>
  </si>
  <si>
    <t>ELECTROCOMBUSTIBLE (EC3)</t>
  </si>
  <si>
    <t>Biodiesel B3</t>
  </si>
  <si>
    <t>Vigencia: 1 de enero de 2022; 00:00 horas</t>
  </si>
  <si>
    <t>Vigencia: 01 de enero de 2022; 00:00 horas</t>
  </si>
  <si>
    <t>01.01.2022</t>
  </si>
  <si>
    <t>21.02.2022</t>
  </si>
  <si>
    <t>Oxigenada 6%</t>
  </si>
  <si>
    <r>
      <t>GAS CORRIENTE OXIGENADA</t>
    </r>
    <r>
      <rPr>
        <b/>
        <sz val="12"/>
        <rFont val="Calibri"/>
        <family val="2"/>
        <scheme val="minor"/>
      </rPr>
      <t xml:space="preserve"> </t>
    </r>
    <r>
      <rPr>
        <b/>
        <sz val="16"/>
        <rFont val="Calibri"/>
        <family val="2"/>
        <scheme val="minor"/>
      </rPr>
      <t>E6</t>
    </r>
  </si>
  <si>
    <t>Oxigena 6%</t>
  </si>
  <si>
    <t>RESOLUCION VIGENTE 40424 VIGENTE A PARTIR DEL 01 ENERO 2022</t>
  </si>
  <si>
    <t>Biodiesel B11</t>
  </si>
  <si>
    <t>B11 ZDF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</si>
</sst>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1" formatCode="_-* #,##0_-;\-* #,##0_-;_-* &quot;-&quot;_-;_-@_-"/>
    <numFmt numFmtId="43" formatCode="_-* #,##0.00_-;\-* #,##0.00_-;_-* &quot;-&quot;??_-;_-@_-"/>
    <numFmt numFmtId="164" formatCode="_-* #,##0.00_-;\-* #,##0.00_-;_-* &quot;-&quot;_-;_-@_-"/>
    <numFmt numFmtId="165" formatCode="_(* #,##0.00_);_(* \(#,##0.00\);_(* &quot;-&quot;??_);_(@_)"/>
    <numFmt numFmtId="166" formatCode="#,##0.00\ &quot;(*****)&quot;"/>
    <numFmt numFmtId="167" formatCode="_-* #,##0.0000_-;\-* #,##0.0000_-;_-* &quot;-&quot;??_-;_-@_-"/>
    <numFmt numFmtId="168" formatCode="&quot;Oxigenada&quot;\ \10\%"/>
    <numFmt numFmtId="169" formatCode="&quot;Oxigenada&quot;\ \8\%"/>
    <numFmt numFmtId="170" formatCode="_-* #,##0.00000_-;\-* #,##0.00000_-;_-* &quot;-&quot;??_-;_-@_-"/>
    <numFmt numFmtId="171" formatCode="dd\.mm\.yyyy"/>
    <numFmt numFmtId="172" formatCode="0.0"/>
    <numFmt numFmtId="173" formatCode="&quot;Oxigenada&quot;\ \4\%"/>
    <numFmt numFmtId="174" formatCode="0.000"/>
    <numFmt numFmtId="175" formatCode="0.0000"/>
    <numFmt numFmtId="176" formatCode="0.000000"/>
    <numFmt numFmtId="177" formatCode="0.00000"/>
    <numFmt numFmtId="178" formatCode="_-* #,##0.000_-;\-* #,##0.000_-;_-* &quot;-&quot;_-;_-@_-"/>
    <numFmt numFmtId="179" formatCode="&quot;Oxigenada&quot;\ 0\%"/>
    <numFmt numFmtId="180" formatCode="_-* #,##0.0000000_-;\-* #,##0.0000000_-;_-* &quot;-&quot;_-;_-@_-"/>
  </numFmts>
  <fonts count="96" x14ac:knownFonts="1">
    <font>
      <sz val="11"/>
      <color theme="1"/>
      <name val="Calibri"/>
      <family val="2"/>
      <scheme val="minor"/>
    </font>
    <font>
      <sz val="11"/>
      <color theme="1"/>
      <name val="Calibri"/>
      <family val="2"/>
      <scheme val="minor"/>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sz val="11"/>
      <name val="Calibri"/>
      <family val="2"/>
      <scheme val="minor"/>
    </font>
    <font>
      <sz val="10"/>
      <name val="Arial"/>
      <family val="2"/>
    </font>
    <font>
      <b/>
      <sz val="11"/>
      <color theme="1"/>
      <name val="Calibri"/>
      <family val="2"/>
      <scheme val="minor"/>
    </font>
    <font>
      <sz val="9"/>
      <color indexed="81"/>
      <name val="Tahoma"/>
      <family val="2"/>
    </font>
    <font>
      <b/>
      <sz val="9"/>
      <color indexed="81"/>
      <name val="Tahoma"/>
      <family val="2"/>
    </font>
    <font>
      <b/>
      <sz val="11"/>
      <color theme="0"/>
      <name val="Arial"/>
      <family val="2"/>
    </font>
    <font>
      <sz val="11"/>
      <color theme="0"/>
      <name val="Arial"/>
      <family val="2"/>
    </font>
    <font>
      <sz val="11"/>
      <name val="Arial"/>
      <family val="2"/>
    </font>
    <font>
      <sz val="14"/>
      <color theme="0"/>
      <name val="Arial"/>
      <family val="2"/>
    </font>
    <font>
      <sz val="8"/>
      <color theme="0"/>
      <name val="Arial"/>
      <family val="2"/>
    </font>
    <font>
      <b/>
      <sz val="11"/>
      <name val="Arial"/>
      <family val="2"/>
    </font>
    <font>
      <b/>
      <sz val="11"/>
      <color theme="1"/>
      <name val="Arial"/>
      <family val="2"/>
    </font>
    <font>
      <b/>
      <sz val="11"/>
      <color theme="0" tint="-0.499984740745262"/>
      <name val="Arial"/>
      <family val="2"/>
    </font>
    <font>
      <b/>
      <vertAlign val="superscript"/>
      <sz val="11"/>
      <name val="Arial"/>
      <family val="2"/>
    </font>
    <font>
      <sz val="11"/>
      <color indexed="10"/>
      <name val="Arial"/>
      <family val="2"/>
    </font>
    <font>
      <b/>
      <sz val="11"/>
      <color indexed="10"/>
      <name val="Arial"/>
      <family val="2"/>
    </font>
    <font>
      <sz val="10"/>
      <color theme="0" tint="-0.499984740745262"/>
      <name val="Arial"/>
      <family val="2"/>
    </font>
    <font>
      <sz val="11"/>
      <color theme="0" tint="-0.499984740745262"/>
      <name val="Arial"/>
      <family val="2"/>
    </font>
    <font>
      <sz val="11"/>
      <color indexed="9"/>
      <name val="Arial"/>
      <family val="2"/>
    </font>
    <font>
      <b/>
      <sz val="10"/>
      <color rgb="FFFF0000"/>
      <name val="Calibri"/>
      <family val="2"/>
      <scheme val="minor"/>
    </font>
    <font>
      <b/>
      <sz val="10"/>
      <color indexed="10"/>
      <name val="Calibri"/>
      <family val="2"/>
    </font>
    <font>
      <sz val="12"/>
      <color theme="0"/>
      <name val="Arial"/>
      <family val="2"/>
    </font>
    <font>
      <b/>
      <sz val="10"/>
      <name val="Arial"/>
      <family val="2"/>
    </font>
    <font>
      <sz val="13"/>
      <color theme="0"/>
      <name val="Arial"/>
      <family val="2"/>
    </font>
    <font>
      <sz val="10"/>
      <color theme="0"/>
      <name val="Arial"/>
      <family val="2"/>
    </font>
    <font>
      <sz val="10"/>
      <color theme="1"/>
      <name val="Calibri"/>
      <family val="2"/>
      <scheme val="minor"/>
    </font>
    <font>
      <b/>
      <sz val="10"/>
      <color theme="0"/>
      <name val="Arial"/>
      <family val="2"/>
    </font>
    <font>
      <b/>
      <sz val="10"/>
      <name val="Calibri"/>
      <family val="2"/>
      <scheme val="minor"/>
    </font>
    <font>
      <b/>
      <sz val="10"/>
      <color theme="0"/>
      <name val="Calibri"/>
      <family val="2"/>
      <scheme val="minor"/>
    </font>
    <font>
      <b/>
      <sz val="10"/>
      <color rgb="FF92D050"/>
      <name val="Calibri"/>
      <family val="2"/>
      <scheme val="minor"/>
    </font>
    <font>
      <b/>
      <sz val="10"/>
      <color theme="0" tint="-4.9989318521683403E-2"/>
      <name val="Calibri"/>
      <family val="2"/>
      <scheme val="minor"/>
    </font>
    <font>
      <sz val="10"/>
      <name val="Calibri"/>
      <family val="2"/>
      <scheme val="minor"/>
    </font>
    <font>
      <u/>
      <sz val="8.8000000000000007"/>
      <color theme="10"/>
      <name val="Calibri"/>
      <family val="2"/>
    </font>
    <font>
      <b/>
      <sz val="10"/>
      <color rgb="FFFF0000"/>
      <name val="Arial"/>
      <family val="2"/>
    </font>
    <font>
      <sz val="10"/>
      <color rgb="FFC00000"/>
      <name val="Calibri"/>
      <family val="2"/>
      <scheme val="minor"/>
    </font>
    <font>
      <b/>
      <vertAlign val="superscript"/>
      <sz val="10"/>
      <name val="Calibri"/>
      <family val="2"/>
      <scheme val="minor"/>
    </font>
    <font>
      <b/>
      <i/>
      <sz val="10"/>
      <name val="Calibri"/>
      <family val="2"/>
      <scheme val="minor"/>
    </font>
    <font>
      <sz val="9"/>
      <name val="Calibri"/>
      <family val="2"/>
      <scheme val="minor"/>
    </font>
    <font>
      <b/>
      <vertAlign val="superscript"/>
      <sz val="10"/>
      <color theme="0"/>
      <name val="Calibri"/>
      <family val="2"/>
    </font>
    <font>
      <u/>
      <sz val="10"/>
      <color rgb="FFFF0000"/>
      <name val="Calibri"/>
      <family val="2"/>
      <scheme val="minor"/>
    </font>
    <font>
      <b/>
      <sz val="10"/>
      <color theme="8" tint="0.79998168889431442"/>
      <name val="Calibri"/>
      <family val="2"/>
      <scheme val="minor"/>
    </font>
    <font>
      <sz val="10"/>
      <color rgb="FFFF0000"/>
      <name val="Calibri"/>
      <family val="2"/>
      <scheme val="minor"/>
    </font>
    <font>
      <b/>
      <sz val="11"/>
      <name val="Verdana"/>
      <family val="2"/>
    </font>
    <font>
      <b/>
      <sz val="11"/>
      <color theme="1"/>
      <name val="Verdana"/>
      <family val="2"/>
    </font>
    <font>
      <sz val="9"/>
      <color theme="0" tint="-4.9989318521683403E-2"/>
      <name val="Verdana"/>
      <family val="2"/>
    </font>
    <font>
      <sz val="8"/>
      <name val="Arial"/>
      <family val="2"/>
    </font>
    <font>
      <sz val="9"/>
      <name val="Verdana"/>
      <family val="2"/>
    </font>
    <font>
      <sz val="9"/>
      <name val="Arial"/>
      <family val="2"/>
    </font>
    <font>
      <sz val="11"/>
      <name val="Verdana"/>
      <family val="2"/>
    </font>
    <font>
      <b/>
      <sz val="9"/>
      <name val="Verdana"/>
      <family val="2"/>
    </font>
    <font>
      <i/>
      <sz val="9"/>
      <name val="Verdana"/>
      <family val="2"/>
    </font>
    <font>
      <sz val="11"/>
      <color rgb="FFC00000"/>
      <name val="Calibri"/>
      <family val="2"/>
      <scheme val="minor"/>
    </font>
    <font>
      <sz val="9"/>
      <color rgb="FFFFFFFF"/>
      <name val="Tahoma"/>
      <family val="2"/>
    </font>
    <font>
      <sz val="9"/>
      <name val="Tahoma"/>
      <family val="2"/>
    </font>
    <font>
      <b/>
      <i/>
      <sz val="11"/>
      <color theme="1"/>
      <name val="Calibri"/>
      <family val="2"/>
      <scheme val="minor"/>
    </font>
    <font>
      <sz val="11"/>
      <color theme="9" tint="-0.249977111117893"/>
      <name val="Calibri"/>
      <family val="2"/>
      <scheme val="minor"/>
    </font>
    <font>
      <sz val="11"/>
      <color rgb="FF002060"/>
      <name val="Calibri"/>
      <family val="2"/>
      <scheme val="minor"/>
    </font>
    <font>
      <sz val="9"/>
      <color theme="1"/>
      <name val="Calibri"/>
      <family val="2"/>
      <scheme val="minor"/>
    </font>
    <font>
      <sz val="8"/>
      <color theme="1"/>
      <name val="Calibri"/>
      <family val="2"/>
      <scheme val="minor"/>
    </font>
    <font>
      <sz val="11"/>
      <color theme="1"/>
      <name val="Calibri"/>
      <family val="2"/>
    </font>
    <font>
      <sz val="10"/>
      <color theme="1"/>
      <name val="Arial"/>
      <family val="2"/>
    </font>
    <font>
      <sz val="11"/>
      <color rgb="FFFF0000"/>
      <name val="Calibri"/>
      <family val="2"/>
    </font>
    <font>
      <sz val="10"/>
      <color rgb="FFFF0000"/>
      <name val="Calibri"/>
      <family val="2"/>
    </font>
    <font>
      <sz val="10"/>
      <color theme="1"/>
      <name val="Calibri"/>
      <family val="2"/>
    </font>
    <font>
      <i/>
      <sz val="10"/>
      <name val="Calibri"/>
      <family val="2"/>
      <scheme val="minor"/>
    </font>
    <font>
      <sz val="11"/>
      <color rgb="FFFF0000"/>
      <name val="Calibri"/>
      <family val="2"/>
      <scheme val="minor"/>
    </font>
    <font>
      <sz val="10"/>
      <color rgb="FFFF0000"/>
      <name val="Arial"/>
      <family val="2"/>
    </font>
    <font>
      <b/>
      <sz val="11"/>
      <color rgb="FFFF0000"/>
      <name val="Calibri"/>
      <family val="2"/>
      <scheme val="minor"/>
    </font>
    <font>
      <b/>
      <sz val="10"/>
      <color theme="0" tint="-0.34998626667073579"/>
      <name val="Arial"/>
      <family val="2"/>
    </font>
    <font>
      <sz val="10"/>
      <color theme="0" tint="-0.34998626667073579"/>
      <name val="Arial"/>
      <family val="2"/>
    </font>
    <font>
      <sz val="11"/>
      <name val="Calibri"/>
      <family val="2"/>
    </font>
    <font>
      <sz val="11"/>
      <color rgb="FFFF0000"/>
      <name val="Arial"/>
      <family val="2"/>
    </font>
    <font>
      <sz val="11"/>
      <color theme="0" tint="-4.9989318521683403E-2"/>
      <name val="Calibri"/>
      <family val="2"/>
      <scheme val="minor"/>
    </font>
    <font>
      <i/>
      <sz val="11"/>
      <color theme="1"/>
      <name val="Calibri"/>
      <family val="2"/>
      <scheme val="minor"/>
    </font>
    <font>
      <i/>
      <sz val="9"/>
      <color theme="1"/>
      <name val="Calibri"/>
      <family val="2"/>
      <scheme val="minor"/>
    </font>
    <font>
      <sz val="10"/>
      <color theme="3" tint="0.39997558519241921"/>
      <name val="Calibri"/>
      <family val="2"/>
      <scheme val="minor"/>
    </font>
    <font>
      <b/>
      <sz val="12"/>
      <color theme="1"/>
      <name val="Calibri"/>
      <family val="2"/>
      <scheme val="minor"/>
    </font>
    <font>
      <b/>
      <sz val="16"/>
      <color rgb="FFFF0000"/>
      <name val="Calibri"/>
      <family val="2"/>
      <scheme val="minor"/>
    </font>
    <font>
      <sz val="11"/>
      <color theme="0" tint="-0.14999847407452621"/>
      <name val="Calibri"/>
      <family val="2"/>
      <scheme val="minor"/>
    </font>
    <font>
      <sz val="11"/>
      <color theme="0" tint="-0.249977111117893"/>
      <name val="Calibri"/>
      <family val="2"/>
    </font>
    <font>
      <b/>
      <sz val="8"/>
      <color indexed="81"/>
      <name val="Tahoma"/>
      <family val="2"/>
    </font>
    <font>
      <b/>
      <sz val="8"/>
      <color theme="1"/>
      <name val="Calibri"/>
      <family val="2"/>
      <scheme val="minor"/>
    </font>
    <font>
      <sz val="8"/>
      <name val="Calibri"/>
      <family val="2"/>
      <scheme val="minor"/>
    </font>
    <font>
      <sz val="12"/>
      <color rgb="FFFF0000"/>
      <name val="Calibri"/>
      <family val="2"/>
    </font>
    <font>
      <b/>
      <sz val="10"/>
      <color theme="1"/>
      <name val="Verdana"/>
      <family val="2"/>
    </font>
    <font>
      <u/>
      <sz val="11"/>
      <color theme="10"/>
      <name val="Calibri"/>
      <family val="2"/>
      <scheme val="minor"/>
    </font>
    <font>
      <b/>
      <sz val="8"/>
      <name val="Calibri"/>
      <family val="2"/>
      <scheme val="minor"/>
    </font>
    <font>
      <b/>
      <sz val="12"/>
      <name val="Calibri"/>
      <family val="2"/>
      <scheme val="minor"/>
    </font>
  </fonts>
  <fills count="34">
    <fill>
      <patternFill patternType="none"/>
    </fill>
    <fill>
      <patternFill patternType="gray125"/>
    </fill>
    <fill>
      <patternFill patternType="solid">
        <fgColor rgb="FFFFC000"/>
        <bgColor indexed="64"/>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indexed="9"/>
        <bgColor indexed="64"/>
      </patternFill>
    </fill>
    <fill>
      <patternFill patternType="solid">
        <fgColor rgb="FF008000"/>
        <bgColor indexed="64"/>
      </patternFill>
    </fill>
    <fill>
      <patternFill patternType="solid">
        <fgColor indexed="17"/>
        <bgColor indexed="64"/>
      </patternFill>
    </fill>
    <fill>
      <patternFill patternType="solid">
        <fgColor indexed="50"/>
        <bgColor indexed="64"/>
      </patternFill>
    </fill>
    <fill>
      <patternFill patternType="solid">
        <fgColor theme="0"/>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2"/>
        <bgColor indexed="64"/>
      </patternFill>
    </fill>
    <fill>
      <patternFill patternType="solid">
        <fgColor theme="4" tint="-0.49998474074526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2" tint="-0.499984740745262"/>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rgb="FF00FF00"/>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8" tint="0.59999389629810485"/>
        <bgColor indexed="64"/>
      </patternFill>
    </fill>
  </fills>
  <borders count="10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double">
        <color rgb="FF92D050"/>
      </left>
      <right/>
      <top style="double">
        <color rgb="FF92D050"/>
      </top>
      <bottom/>
      <diagonal/>
    </border>
    <border>
      <left/>
      <right/>
      <top style="double">
        <color rgb="FF92D050"/>
      </top>
      <bottom/>
      <diagonal/>
    </border>
    <border>
      <left/>
      <right style="double">
        <color rgb="FF92D050"/>
      </right>
      <top style="double">
        <color rgb="FF92D050"/>
      </top>
      <bottom/>
      <diagonal/>
    </border>
    <border>
      <left style="double">
        <color rgb="FF92D050"/>
      </left>
      <right/>
      <top/>
      <bottom/>
      <diagonal/>
    </border>
    <border>
      <left/>
      <right style="double">
        <color rgb="FF92D050"/>
      </right>
      <top/>
      <bottom/>
      <diagonal/>
    </border>
    <border>
      <left style="double">
        <color rgb="FF92D050"/>
      </left>
      <right style="dotted">
        <color rgb="FF92D050"/>
      </right>
      <top/>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tted">
        <color rgb="FF92D050"/>
      </left>
      <right style="double">
        <color rgb="FF92D050"/>
      </right>
      <top/>
      <bottom style="dotted">
        <color rgb="FF92D050"/>
      </bottom>
      <diagonal/>
    </border>
    <border>
      <left style="dotted">
        <color rgb="FF92D050"/>
      </left>
      <right style="dotted">
        <color rgb="FF92D050"/>
      </right>
      <top/>
      <bottom style="dotted">
        <color rgb="FF92D050"/>
      </bottom>
      <diagonal/>
    </border>
    <border>
      <left style="dotted">
        <color rgb="FF92D050"/>
      </left>
      <right style="dotted">
        <color rgb="FF92D050"/>
      </right>
      <top style="dotted">
        <color rgb="FF92D050"/>
      </top>
      <bottom style="dotted">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uble">
        <color rgb="FF92D050"/>
      </bottom>
      <diagonal/>
    </border>
    <border>
      <left style="double">
        <color rgb="FF92D050"/>
      </left>
      <right style="dotted">
        <color rgb="FF92D050"/>
      </right>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uble">
        <color rgb="FF92D050"/>
      </left>
      <right/>
      <top/>
      <bottom style="dotted">
        <color rgb="FF92D050"/>
      </bottom>
      <diagonal/>
    </border>
    <border>
      <left/>
      <right/>
      <top/>
      <bottom style="dotted">
        <color rgb="FF92D050"/>
      </bottom>
      <diagonal/>
    </border>
    <border>
      <left style="double">
        <color rgb="FF92D050"/>
      </left>
      <right style="dotted">
        <color rgb="FF92D050"/>
      </right>
      <top style="dotted">
        <color rgb="FF92D050"/>
      </top>
      <bottom/>
      <diagonal/>
    </border>
    <border>
      <left style="dotted">
        <color rgb="FF92D050"/>
      </left>
      <right style="dotted">
        <color rgb="FF92D050"/>
      </right>
      <top style="dotted">
        <color rgb="FF92D050"/>
      </top>
      <bottom/>
      <diagonal/>
    </border>
    <border>
      <left/>
      <right style="dotted">
        <color rgb="FF92D050"/>
      </right>
      <top/>
      <bottom style="double">
        <color rgb="FF92D050"/>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ouble">
        <color rgb="FF92D050"/>
      </left>
      <right style="dashed">
        <color rgb="FF92D050"/>
      </right>
      <top style="dashed">
        <color rgb="FF92D050"/>
      </top>
      <bottom/>
      <diagonal/>
    </border>
    <border>
      <left style="dashed">
        <color rgb="FF92D050"/>
      </left>
      <right style="dashed">
        <color rgb="FF92D050"/>
      </right>
      <top style="dashed">
        <color rgb="FF92D050"/>
      </top>
      <bottom style="dashed">
        <color rgb="FF92D050"/>
      </bottom>
      <diagonal/>
    </border>
    <border>
      <left style="dashed">
        <color rgb="FF92D050"/>
      </left>
      <right style="dashed">
        <color rgb="FF92D050"/>
      </right>
      <top style="dashed">
        <color rgb="FF92D050"/>
      </top>
      <bottom/>
      <diagonal/>
    </border>
    <border>
      <left style="double">
        <color rgb="FF92D050"/>
      </left>
      <right style="dashed">
        <color rgb="FF92D050"/>
      </right>
      <top/>
      <bottom/>
      <diagonal/>
    </border>
    <border>
      <left style="dashed">
        <color rgb="FF92D050"/>
      </left>
      <right style="dashed">
        <color rgb="FF92D050"/>
      </right>
      <top/>
      <bottom style="dashed">
        <color rgb="FF92D050"/>
      </bottom>
      <diagonal/>
    </border>
    <border>
      <left style="double">
        <color rgb="FF92D050"/>
      </left>
      <right style="dashed">
        <color rgb="FF92D050"/>
      </right>
      <top/>
      <bottom style="double">
        <color rgb="FF92D050"/>
      </bottom>
      <diagonal/>
    </border>
    <border>
      <left style="dashed">
        <color rgb="FF92D050"/>
      </left>
      <right style="dashed">
        <color rgb="FF92D050"/>
      </right>
      <top style="dashed">
        <color rgb="FF92D050"/>
      </top>
      <bottom style="double">
        <color rgb="FF92D050"/>
      </bottom>
      <diagonal/>
    </border>
    <border>
      <left style="double">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ouble">
        <color rgb="FF92D050"/>
      </left>
      <right/>
      <top/>
      <bottom style="double">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right style="double">
        <color rgb="FF92D050"/>
      </right>
      <top/>
      <bottom style="dotted">
        <color rgb="FF92D050"/>
      </bottom>
      <diagonal/>
    </border>
    <border>
      <left style="dotted">
        <color rgb="FF92D050"/>
      </left>
      <right/>
      <top style="dotted">
        <color rgb="FF92D050"/>
      </top>
      <bottom style="dotted">
        <color rgb="FF92D050"/>
      </bottom>
      <diagonal/>
    </border>
    <border>
      <left/>
      <right/>
      <top style="dotted">
        <color rgb="FF92D050"/>
      </top>
      <bottom style="dotted">
        <color rgb="FF92D050"/>
      </bottom>
      <diagonal/>
    </border>
    <border>
      <left/>
      <right style="dotted">
        <color rgb="FF92D050"/>
      </right>
      <top style="dotted">
        <color rgb="FF92D050"/>
      </top>
      <bottom/>
      <diagonal/>
    </border>
    <border>
      <left/>
      <right/>
      <top style="dotted">
        <color rgb="FF92D050"/>
      </top>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style="dashed">
        <color rgb="FF92D050"/>
      </left>
      <right style="dashed">
        <color rgb="FF92D050"/>
      </right>
      <top style="dotted">
        <color rgb="FF92D050"/>
      </top>
      <bottom style="dotted">
        <color rgb="FF92D050"/>
      </bottom>
      <diagonal/>
    </border>
    <border>
      <left/>
      <right style="double">
        <color rgb="FF92D050"/>
      </right>
      <top style="dotted">
        <color rgb="FF92D050"/>
      </top>
      <bottom/>
      <diagonal/>
    </border>
    <border>
      <left/>
      <right style="double">
        <color rgb="FF92D050"/>
      </right>
      <top style="dotted">
        <color rgb="FF92D050"/>
      </top>
      <bottom style="double">
        <color rgb="FF92D050"/>
      </bottom>
      <diagonal/>
    </border>
    <border>
      <left style="dotted">
        <color theme="0" tint="-0.24994659260841701"/>
      </left>
      <right style="double">
        <color theme="0" tint="-0.24994659260841701"/>
      </right>
      <top style="dotted">
        <color theme="0" tint="-0.24994659260841701"/>
      </top>
      <bottom/>
      <diagonal/>
    </border>
    <border>
      <left style="dotted">
        <color rgb="FF92D050"/>
      </left>
      <right/>
      <top style="dotted">
        <color rgb="FF92D050"/>
      </top>
      <bottom style="double">
        <color rgb="FF92D050"/>
      </bottom>
      <diagonal/>
    </border>
    <border>
      <left style="double">
        <color rgb="FF92D050"/>
      </left>
      <right/>
      <top style="dotted">
        <color rgb="FF92D050"/>
      </top>
      <bottom style="dotted">
        <color rgb="FF92D050"/>
      </bottom>
      <diagonal/>
    </border>
    <border>
      <left style="double">
        <color rgb="FF92D050"/>
      </left>
      <right/>
      <top style="dotted">
        <color rgb="FF92D050"/>
      </top>
      <bottom style="double">
        <color rgb="FF92D050"/>
      </bottom>
      <diagonal/>
    </border>
    <border>
      <left/>
      <right style="dotted">
        <color rgb="FF92D050"/>
      </right>
      <top style="double">
        <color rgb="FF92D050"/>
      </top>
      <bottom/>
      <diagonal/>
    </border>
    <border>
      <left style="dotted">
        <color rgb="FF92D050"/>
      </left>
      <right style="double">
        <color rgb="FF92D050"/>
      </right>
      <top/>
      <bottom/>
      <diagonal/>
    </border>
    <border>
      <left style="dotted">
        <color rgb="FF92D050"/>
      </left>
      <right style="double">
        <color rgb="FF92D050"/>
      </right>
      <top/>
      <bottom style="double">
        <color rgb="FF92D050"/>
      </bottom>
      <diagonal/>
    </border>
    <border>
      <left style="double">
        <color rgb="FF92D050"/>
      </left>
      <right/>
      <top style="dotted">
        <color rgb="FF92D050"/>
      </top>
      <bottom/>
      <diagonal/>
    </border>
    <border>
      <left style="dotted">
        <color rgb="FF92D050"/>
      </left>
      <right style="double">
        <color rgb="FF92D050"/>
      </right>
      <top style="dotted">
        <color rgb="FF92D050"/>
      </top>
      <bottom/>
      <diagonal/>
    </border>
    <border>
      <left/>
      <right style="double">
        <color rgb="FF92D050"/>
      </right>
      <top/>
      <bottom style="thin">
        <color indexed="64"/>
      </bottom>
      <diagonal/>
    </border>
    <border>
      <left style="double">
        <color rgb="FF92D050"/>
      </left>
      <right/>
      <top style="thin">
        <color indexed="64"/>
      </top>
      <bottom style="dotted">
        <color rgb="FF92D050"/>
      </bottom>
      <diagonal/>
    </border>
    <border>
      <left style="dotted">
        <color rgb="FF92D050"/>
      </left>
      <right style="double">
        <color rgb="FF92D050"/>
      </right>
      <top style="thin">
        <color indexed="64"/>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top/>
      <bottom/>
      <diagonal/>
    </border>
    <border>
      <left style="dotted">
        <color rgb="FF92D050"/>
      </left>
      <right/>
      <top style="thin">
        <color indexed="64"/>
      </top>
      <bottom/>
      <diagonal/>
    </border>
    <border>
      <left style="double">
        <color rgb="FF92D050"/>
      </left>
      <right/>
      <top style="dotted">
        <color rgb="FF92D050"/>
      </top>
      <bottom style="thin">
        <color indexed="64"/>
      </bottom>
      <diagonal/>
    </border>
    <border>
      <left style="dotted">
        <color rgb="FF92D050"/>
      </left>
      <right style="dotted">
        <color rgb="FF92D050"/>
      </right>
      <top style="dotted">
        <color rgb="FF92D050"/>
      </top>
      <bottom style="thin">
        <color indexed="64"/>
      </bottom>
      <diagonal/>
    </border>
    <border>
      <left style="dotted">
        <color rgb="FF92D050"/>
      </left>
      <right style="double">
        <color rgb="FF92D050"/>
      </right>
      <top style="dotted">
        <color rgb="FF92D050"/>
      </top>
      <bottom style="thin">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theme="0" tint="-0.34998626667073579"/>
      </left>
      <right style="dotted">
        <color theme="0" tint="-0.34998626667073579"/>
      </right>
      <top style="dotted">
        <color theme="0" tint="-0.34998626667073579"/>
      </top>
      <bottom style="dotted">
        <color theme="0" tint="-0.34998626667073579"/>
      </bottom>
      <diagonal/>
    </border>
    <border>
      <left/>
      <right style="dotted">
        <color theme="0" tint="-0.34998626667073579"/>
      </right>
      <top style="dotted">
        <color theme="0" tint="-0.34998626667073579"/>
      </top>
      <bottom style="dotted">
        <color theme="0" tint="-0.34998626667073579"/>
      </bottom>
      <diagonal/>
    </border>
    <border>
      <left style="dashed">
        <color theme="0" tint="-0.34998626667073579"/>
      </left>
      <right style="dashed">
        <color theme="0" tint="-0.34998626667073579"/>
      </right>
      <top style="dashed">
        <color theme="0" tint="-0.34998626667073579"/>
      </top>
      <bottom/>
      <diagonal/>
    </border>
    <border>
      <left style="dashed">
        <color theme="0" tint="-0.34998626667073579"/>
      </left>
      <right style="dashed">
        <color theme="0" tint="-0.34998626667073579"/>
      </right>
      <top/>
      <bottom style="dashed">
        <color theme="0" tint="-0.34998626667073579"/>
      </bottom>
      <diagonal/>
    </border>
    <border>
      <left style="dashed">
        <color theme="0" tint="-0.34998626667073579"/>
      </left>
      <right style="dashed">
        <color theme="0" tint="-0.34998626667073579"/>
      </right>
      <top/>
      <bottom/>
      <diagonal/>
    </border>
    <border>
      <left/>
      <right/>
      <top/>
      <bottom style="double">
        <color rgb="FF92D050"/>
      </bottom>
      <diagonal/>
    </border>
    <border>
      <left/>
      <right/>
      <top style="thin">
        <color indexed="64"/>
      </top>
      <bottom style="dotted">
        <color rgb="FF92D050"/>
      </bottom>
      <diagonal/>
    </border>
  </borders>
  <cellStyleXfs count="14">
    <xf numFmtId="0" fontId="0" fillId="0" borderId="0"/>
    <xf numFmtId="41" fontId="1" fillId="0" borderId="0" applyFont="0" applyFill="0" applyBorder="0" applyAlignment="0" applyProtection="0"/>
    <xf numFmtId="0" fontId="1"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9" fillId="0" borderId="0" applyFont="0" applyFill="0" applyBorder="0" applyAlignment="0" applyProtection="0"/>
    <xf numFmtId="0" fontId="40" fillId="0" borderId="0" applyNumberFormat="0" applyFill="0" applyBorder="0" applyAlignment="0" applyProtection="0">
      <alignment vertical="top"/>
      <protection locked="0"/>
    </xf>
    <xf numFmtId="0" fontId="53" fillId="0" borderId="0"/>
    <xf numFmtId="41" fontId="1" fillId="0" borderId="0" applyFont="0" applyFill="0" applyBorder="0" applyAlignment="0" applyProtection="0"/>
    <xf numFmtId="0" fontId="93" fillId="0" borderId="0" applyNumberFormat="0" applyFill="0" applyBorder="0" applyAlignment="0" applyProtection="0"/>
    <xf numFmtId="9" fontId="9" fillId="0" borderId="0" applyFont="0" applyFill="0" applyBorder="0" applyAlignment="0" applyProtection="0"/>
  </cellStyleXfs>
  <cellXfs count="901">
    <xf numFmtId="0" fontId="0" fillId="0" borderId="0" xfId="0"/>
    <xf numFmtId="0" fontId="2" fillId="0" borderId="0" xfId="0" applyFont="1"/>
    <xf numFmtId="0" fontId="0" fillId="0" borderId="0" xfId="0" applyFont="1"/>
    <xf numFmtId="0" fontId="0" fillId="0" borderId="0" xfId="0" applyFont="1" applyAlignment="1">
      <alignment horizontal="center"/>
    </xf>
    <xf numFmtId="0" fontId="5" fillId="0" borderId="0" xfId="0" applyFont="1"/>
    <xf numFmtId="0" fontId="6" fillId="0" borderId="0" xfId="0" applyFont="1" applyAlignment="1">
      <alignment horizontal="center"/>
    </xf>
    <xf numFmtId="0" fontId="4" fillId="0" borderId="0" xfId="0" applyFont="1"/>
    <xf numFmtId="0" fontId="0" fillId="0" borderId="1" xfId="0" applyFont="1" applyBorder="1" applyAlignment="1">
      <alignment horizontal="center"/>
    </xf>
    <xf numFmtId="43" fontId="0" fillId="2" borderId="1" xfId="0" applyNumberFormat="1" applyFont="1" applyFill="1" applyBorder="1"/>
    <xf numFmtId="0" fontId="7" fillId="0" borderId="0" xfId="0" applyFont="1"/>
    <xf numFmtId="0" fontId="0" fillId="0" borderId="1" xfId="0" applyFont="1" applyFill="1" applyBorder="1" applyAlignment="1">
      <alignment horizontal="center"/>
    </xf>
    <xf numFmtId="0" fontId="7" fillId="0" borderId="1" xfId="0" applyFont="1" applyBorder="1"/>
    <xf numFmtId="0" fontId="8" fillId="0" borderId="1" xfId="0" applyFont="1" applyBorder="1"/>
    <xf numFmtId="0" fontId="0" fillId="0" borderId="0" xfId="1" applyNumberFormat="1" applyFont="1"/>
    <xf numFmtId="0" fontId="0" fillId="3" borderId="1" xfId="0" applyFont="1" applyFill="1" applyBorder="1" applyAlignment="1">
      <alignment horizontal="center"/>
    </xf>
    <xf numFmtId="164" fontId="0" fillId="2" borderId="1" xfId="1" applyNumberFormat="1" applyFont="1" applyFill="1" applyBorder="1"/>
    <xf numFmtId="0" fontId="0" fillId="4" borderId="0" xfId="0" applyFont="1" applyFill="1"/>
    <xf numFmtId="0" fontId="0" fillId="0" borderId="0" xfId="0" applyFont="1" applyFill="1"/>
    <xf numFmtId="0" fontId="0" fillId="0" borderId="0" xfId="0" applyFont="1" applyFill="1" applyAlignment="1">
      <alignment horizontal="center"/>
    </xf>
    <xf numFmtId="0" fontId="10" fillId="0" borderId="0" xfId="0" applyFont="1"/>
    <xf numFmtId="0" fontId="0" fillId="2" borderId="0" xfId="0" applyFill="1"/>
    <xf numFmtId="0" fontId="0" fillId="0" borderId="1" xfId="0" applyBorder="1"/>
    <xf numFmtId="10" fontId="0" fillId="0" borderId="1" xfId="0" applyNumberFormat="1" applyBorder="1"/>
    <xf numFmtId="10" fontId="0" fillId="0" borderId="1" xfId="0" applyNumberFormat="1" applyFill="1" applyBorder="1"/>
    <xf numFmtId="0" fontId="0" fillId="0" borderId="2" xfId="0" applyFill="1" applyBorder="1"/>
    <xf numFmtId="10" fontId="0" fillId="0" borderId="10" xfId="0" applyNumberFormat="1" applyBorder="1"/>
    <xf numFmtId="10" fontId="0" fillId="0" borderId="11" xfId="0" applyNumberFormat="1" applyBorder="1"/>
    <xf numFmtId="0" fontId="0" fillId="0" borderId="0" xfId="0" applyFill="1" applyBorder="1"/>
    <xf numFmtId="0" fontId="0" fillId="0" borderId="1" xfId="0" applyBorder="1" applyAlignment="1">
      <alignment horizontal="center" vertical="center" wrapText="1"/>
    </xf>
    <xf numFmtId="0" fontId="0" fillId="0" borderId="0" xfId="0" applyAlignment="1">
      <alignment horizontal="center" vertical="center" wrapText="1"/>
    </xf>
    <xf numFmtId="2" fontId="0" fillId="5" borderId="1" xfId="0" applyNumberFormat="1" applyFill="1" applyBorder="1"/>
    <xf numFmtId="2" fontId="0" fillId="6" borderId="1" xfId="0" applyNumberFormat="1" applyFill="1" applyBorder="1"/>
    <xf numFmtId="2" fontId="0" fillId="3" borderId="1" xfId="0" applyNumberFormat="1" applyFill="1" applyBorder="1"/>
    <xf numFmtId="2" fontId="0" fillId="7" borderId="1" xfId="0" applyNumberFormat="1" applyFill="1" applyBorder="1"/>
    <xf numFmtId="9" fontId="0" fillId="0" borderId="0" xfId="0" applyNumberFormat="1" applyAlignment="1">
      <alignment horizontal="center"/>
    </xf>
    <xf numFmtId="2" fontId="0" fillId="8" borderId="1" xfId="0" applyNumberFormat="1" applyFill="1" applyBorder="1"/>
    <xf numFmtId="2" fontId="0" fillId="0" borderId="1" xfId="0" applyNumberFormat="1" applyBorder="1"/>
    <xf numFmtId="0" fontId="0" fillId="0" borderId="1" xfId="0" applyBorder="1" applyAlignment="1">
      <alignment horizontal="center"/>
    </xf>
    <xf numFmtId="0" fontId="0" fillId="5" borderId="1" xfId="0" applyFill="1" applyBorder="1" applyAlignment="1">
      <alignment horizontal="center"/>
    </xf>
    <xf numFmtId="2" fontId="0" fillId="5" borderId="1" xfId="0" applyNumberFormat="1" applyFill="1" applyBorder="1" applyAlignment="1">
      <alignment horizontal="center"/>
    </xf>
    <xf numFmtId="2" fontId="0" fillId="6" borderId="1" xfId="0" applyNumberFormat="1" applyFill="1" applyBorder="1" applyAlignment="1">
      <alignment horizontal="center"/>
    </xf>
    <xf numFmtId="0" fontId="0" fillId="6" borderId="1" xfId="0" applyFill="1" applyBorder="1" applyAlignment="1">
      <alignment horizontal="center"/>
    </xf>
    <xf numFmtId="2" fontId="0" fillId="3" borderId="1" xfId="0" applyNumberFormat="1" applyFill="1" applyBorder="1" applyAlignment="1">
      <alignment horizontal="center"/>
    </xf>
    <xf numFmtId="0" fontId="0" fillId="3" borderId="1" xfId="0" applyFill="1" applyBorder="1" applyAlignment="1">
      <alignment horizontal="center"/>
    </xf>
    <xf numFmtId="0" fontId="13" fillId="9" borderId="0" xfId="0" applyFont="1" applyFill="1" applyAlignment="1" applyProtection="1">
      <alignment horizontal="left" vertical="center"/>
      <protection hidden="1"/>
    </xf>
    <xf numFmtId="0" fontId="14" fillId="9" borderId="0" xfId="0" applyFont="1" applyFill="1" applyAlignment="1" applyProtection="1">
      <alignment vertical="center"/>
      <protection hidden="1"/>
    </xf>
    <xf numFmtId="165" fontId="15" fillId="9" borderId="0" xfId="0" applyNumberFormat="1" applyFont="1" applyFill="1" applyAlignment="1" applyProtection="1">
      <alignment vertical="center"/>
      <protection hidden="1"/>
    </xf>
    <xf numFmtId="2" fontId="15" fillId="9" borderId="0" xfId="0" applyNumberFormat="1" applyFont="1" applyFill="1" applyAlignment="1" applyProtection="1">
      <alignment vertical="center"/>
      <protection hidden="1"/>
    </xf>
    <xf numFmtId="0" fontId="15" fillId="9" borderId="0" xfId="0" applyFont="1" applyFill="1" applyAlignment="1" applyProtection="1">
      <alignment vertical="center"/>
      <protection hidden="1"/>
    </xf>
    <xf numFmtId="0" fontId="15" fillId="0" borderId="0" xfId="0" applyFont="1" applyBorder="1" applyAlignment="1" applyProtection="1">
      <alignment vertical="center"/>
      <protection hidden="1"/>
    </xf>
    <xf numFmtId="0" fontId="16" fillId="0" borderId="0" xfId="0" applyFont="1" applyBorder="1" applyAlignment="1" applyProtection="1">
      <alignment vertical="center"/>
      <protection hidden="1"/>
    </xf>
    <xf numFmtId="0" fontId="16" fillId="11" borderId="16" xfId="0" applyFont="1" applyFill="1" applyBorder="1" applyAlignment="1" applyProtection="1">
      <alignment horizontal="center" vertical="center" wrapText="1"/>
      <protection hidden="1"/>
    </xf>
    <xf numFmtId="0" fontId="16" fillId="11" borderId="0" xfId="0" applyFont="1" applyFill="1" applyBorder="1" applyAlignment="1" applyProtection="1">
      <alignment horizontal="center" vertical="center"/>
      <protection hidden="1"/>
    </xf>
    <xf numFmtId="0" fontId="16" fillId="11" borderId="17" xfId="0" applyFont="1" applyFill="1" applyBorder="1" applyAlignment="1" applyProtection="1">
      <alignment horizontal="center" vertical="center"/>
      <protection hidden="1"/>
    </xf>
    <xf numFmtId="0" fontId="13" fillId="12" borderId="22" xfId="0" applyFont="1" applyFill="1" applyBorder="1" applyAlignment="1" applyProtection="1">
      <alignment horizontal="center" vertical="center" wrapText="1"/>
      <protection hidden="1"/>
    </xf>
    <xf numFmtId="0" fontId="14" fillId="0" borderId="0" xfId="0" applyFont="1" applyBorder="1" applyAlignment="1" applyProtection="1">
      <alignment vertical="center"/>
      <protection hidden="1"/>
    </xf>
    <xf numFmtId="0" fontId="13" fillId="12" borderId="24" xfId="0" applyFont="1" applyFill="1" applyBorder="1" applyAlignment="1" applyProtection="1">
      <alignment horizontal="center" vertical="center" wrapText="1"/>
      <protection hidden="1"/>
    </xf>
    <xf numFmtId="0" fontId="13" fillId="12" borderId="25" xfId="0" applyFont="1" applyFill="1" applyBorder="1" applyAlignment="1" applyProtection="1">
      <alignment horizontal="center" vertical="center" wrapText="1"/>
      <protection hidden="1"/>
    </xf>
    <xf numFmtId="15" fontId="17" fillId="12" borderId="27" xfId="0" applyNumberFormat="1" applyFont="1" applyFill="1" applyBorder="1" applyAlignment="1" applyProtection="1">
      <alignment horizontal="center" vertical="center" wrapText="1"/>
      <protection hidden="1"/>
    </xf>
    <xf numFmtId="15" fontId="17" fillId="12" borderId="27" xfId="0" quotePrefix="1" applyNumberFormat="1" applyFont="1" applyFill="1" applyBorder="1" applyAlignment="1" applyProtection="1">
      <alignment horizontal="center" vertical="center" wrapText="1"/>
      <protection hidden="1"/>
    </xf>
    <xf numFmtId="15" fontId="17" fillId="12" borderId="28" xfId="0" applyNumberFormat="1" applyFont="1" applyFill="1" applyBorder="1" applyAlignment="1" applyProtection="1">
      <alignment horizontal="center" vertical="center" wrapText="1"/>
      <protection hidden="1"/>
    </xf>
    <xf numFmtId="0" fontId="18" fillId="0" borderId="29" xfId="0" applyFont="1" applyBorder="1" applyAlignment="1" applyProtection="1">
      <alignment horizontal="left" vertical="center" wrapText="1"/>
      <protection hidden="1"/>
    </xf>
    <xf numFmtId="43" fontId="15" fillId="0" borderId="0" xfId="0" applyNumberFormat="1" applyFont="1" applyBorder="1" applyAlignment="1" applyProtection="1">
      <alignment vertical="center"/>
      <protection hidden="1"/>
    </xf>
    <xf numFmtId="0" fontId="18" fillId="0" borderId="30" xfId="0" applyFont="1" applyBorder="1" applyAlignment="1" applyProtection="1">
      <alignment horizontal="left" vertical="center" wrapText="1"/>
      <protection hidden="1"/>
    </xf>
    <xf numFmtId="43" fontId="18" fillId="0" borderId="24" xfId="4" applyFont="1" applyFill="1" applyBorder="1" applyAlignment="1" applyProtection="1">
      <alignment horizontal="center" vertical="center" wrapText="1"/>
      <protection hidden="1"/>
    </xf>
    <xf numFmtId="43" fontId="18" fillId="13" borderId="25" xfId="4" applyFont="1" applyFill="1" applyBorder="1" applyAlignment="1" applyProtection="1">
      <alignment horizontal="center" vertical="center" wrapText="1"/>
      <protection hidden="1"/>
    </xf>
    <xf numFmtId="2" fontId="20" fillId="0" borderId="24" xfId="0" applyNumberFormat="1" applyFont="1" applyFill="1" applyBorder="1" applyAlignment="1" applyProtection="1">
      <alignment horizontal="right" vertical="center" wrapText="1"/>
      <protection hidden="1"/>
    </xf>
    <xf numFmtId="2" fontId="20" fillId="0" borderId="25" xfId="0" applyNumberFormat="1" applyFont="1" applyFill="1" applyBorder="1" applyAlignment="1" applyProtection="1">
      <alignment horizontal="right" vertical="center" wrapText="1"/>
      <protection hidden="1"/>
    </xf>
    <xf numFmtId="43" fontId="18" fillId="0" borderId="24" xfId="4" applyFont="1" applyFill="1" applyBorder="1" applyAlignment="1" applyProtection="1">
      <alignment vertical="center" wrapText="1"/>
      <protection hidden="1"/>
    </xf>
    <xf numFmtId="2" fontId="18" fillId="0" borderId="25" xfId="0" applyNumberFormat="1" applyFont="1" applyFill="1" applyBorder="1" applyAlignment="1" applyProtection="1">
      <alignment horizontal="center" vertical="center" wrapText="1"/>
      <protection hidden="1"/>
    </xf>
    <xf numFmtId="43" fontId="18" fillId="0" borderId="25" xfId="4" applyFont="1" applyFill="1" applyBorder="1" applyAlignment="1" applyProtection="1">
      <alignment vertical="center" wrapText="1"/>
      <protection hidden="1"/>
    </xf>
    <xf numFmtId="165" fontId="15" fillId="0" borderId="0" xfId="0" applyNumberFormat="1" applyFont="1" applyBorder="1" applyAlignment="1" applyProtection="1">
      <alignment vertical="center"/>
      <protection hidden="1"/>
    </xf>
    <xf numFmtId="43" fontId="18" fillId="0" borderId="25" xfId="4" applyFont="1" applyFill="1" applyBorder="1" applyAlignment="1" applyProtection="1">
      <alignment horizontal="center" vertical="center" wrapText="1"/>
      <protection hidden="1"/>
    </xf>
    <xf numFmtId="2" fontId="15" fillId="0" borderId="25" xfId="0" applyNumberFormat="1" applyFont="1" applyFill="1" applyBorder="1" applyAlignment="1" applyProtection="1">
      <alignment horizontal="center" vertical="center" wrapText="1"/>
      <protection hidden="1"/>
    </xf>
    <xf numFmtId="2" fontId="22" fillId="0" borderId="25" xfId="0" applyNumberFormat="1" applyFont="1" applyFill="1" applyBorder="1" applyAlignment="1" applyProtection="1">
      <alignment horizontal="center" vertical="center" wrapText="1"/>
      <protection hidden="1"/>
    </xf>
    <xf numFmtId="2" fontId="20" fillId="0" borderId="25" xfId="0" applyNumberFormat="1" applyFont="1" applyFill="1" applyBorder="1" applyAlignment="1" applyProtection="1">
      <alignment horizontal="center" vertical="center" wrapText="1"/>
      <protection hidden="1"/>
    </xf>
    <xf numFmtId="0" fontId="18" fillId="0" borderId="31" xfId="0" applyFont="1" applyBorder="1" applyAlignment="1" applyProtection="1">
      <alignment horizontal="left" vertical="center" wrapText="1"/>
      <protection hidden="1"/>
    </xf>
    <xf numFmtId="2" fontId="20" fillId="0" borderId="27" xfId="0" applyNumberFormat="1" applyFont="1" applyFill="1" applyBorder="1" applyAlignment="1" applyProtection="1">
      <alignment horizontal="right" vertical="center" wrapText="1"/>
      <protection hidden="1"/>
    </xf>
    <xf numFmtId="2" fontId="20" fillId="0" borderId="28" xfId="0" applyNumberFormat="1" applyFont="1" applyFill="1" applyBorder="1" applyAlignment="1" applyProtection="1">
      <alignment horizontal="right" vertical="center" wrapText="1"/>
      <protection hidden="1"/>
    </xf>
    <xf numFmtId="0" fontId="25" fillId="0" borderId="0" xfId="0" applyFont="1" applyFill="1" applyBorder="1" applyAlignment="1" applyProtection="1">
      <alignment vertical="center"/>
      <protection hidden="1"/>
    </xf>
    <xf numFmtId="0" fontId="24" fillId="0" borderId="0" xfId="0" applyFont="1" applyBorder="1" applyAlignment="1" applyProtection="1">
      <alignment horizontal="justify" vertical="top" wrapText="1"/>
      <protection hidden="1"/>
    </xf>
    <xf numFmtId="0" fontId="18" fillId="0" borderId="0" xfId="0" applyFont="1" applyBorder="1" applyAlignment="1" applyProtection="1">
      <alignment horizontal="left" vertical="center" wrapText="1"/>
      <protection hidden="1"/>
    </xf>
    <xf numFmtId="2" fontId="20" fillId="0" borderId="0" xfId="0" applyNumberFormat="1" applyFont="1" applyFill="1" applyBorder="1" applyAlignment="1" applyProtection="1">
      <alignment horizontal="right" vertical="center" wrapText="1"/>
      <protection hidden="1"/>
    </xf>
    <xf numFmtId="0" fontId="24" fillId="0" borderId="0" xfId="0" applyFont="1" applyBorder="1" applyAlignment="1" applyProtection="1">
      <alignment horizontal="left" vertical="top" wrapText="1"/>
      <protection hidden="1"/>
    </xf>
    <xf numFmtId="0" fontId="18" fillId="9" borderId="0" xfId="0" applyFont="1" applyFill="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0" xfId="0" applyFont="1" applyAlignment="1" applyProtection="1">
      <alignment vertical="center"/>
      <protection hidden="1"/>
    </xf>
    <xf numFmtId="0" fontId="15" fillId="0" borderId="0" xfId="0" applyFont="1" applyAlignment="1" applyProtection="1">
      <alignment vertical="center"/>
      <protection hidden="1"/>
    </xf>
    <xf numFmtId="0" fontId="16" fillId="13" borderId="0" xfId="0" applyFont="1" applyFill="1" applyBorder="1" applyAlignment="1" applyProtection="1">
      <alignment vertical="center"/>
      <protection hidden="1"/>
    </xf>
    <xf numFmtId="0" fontId="13" fillId="12" borderId="35" xfId="0" quotePrefix="1" applyFont="1" applyFill="1" applyBorder="1" applyAlignment="1" applyProtection="1">
      <alignment horizontal="center" vertical="center" wrapText="1"/>
      <protection hidden="1"/>
    </xf>
    <xf numFmtId="9" fontId="13" fillId="12" borderId="23" xfId="5" quotePrefix="1" applyFont="1" applyFill="1" applyBorder="1" applyAlignment="1" applyProtection="1">
      <alignment horizontal="center" vertical="center" wrapText="1"/>
      <protection hidden="1"/>
    </xf>
    <xf numFmtId="15" fontId="17" fillId="12" borderId="36" xfId="0" applyNumberFormat="1" applyFont="1" applyFill="1" applyBorder="1" applyAlignment="1" applyProtection="1">
      <alignment horizontal="center" vertical="center" wrapText="1"/>
      <protection hidden="1"/>
    </xf>
    <xf numFmtId="0" fontId="18" fillId="0" borderId="29" xfId="0" applyFont="1" applyFill="1" applyBorder="1" applyAlignment="1" applyProtection="1">
      <alignment horizontal="left" vertical="center" wrapText="1"/>
      <protection hidden="1"/>
    </xf>
    <xf numFmtId="0" fontId="18" fillId="0" borderId="30" xfId="0" applyFont="1" applyFill="1" applyBorder="1" applyAlignment="1" applyProtection="1">
      <alignment horizontal="left" vertical="center" wrapText="1"/>
      <protection hidden="1"/>
    </xf>
    <xf numFmtId="0" fontId="18" fillId="0" borderId="37" xfId="0" applyFont="1" applyFill="1" applyBorder="1" applyAlignment="1" applyProtection="1">
      <alignment horizontal="left" vertical="center" wrapText="1"/>
      <protection hidden="1"/>
    </xf>
    <xf numFmtId="43" fontId="18" fillId="0" borderId="24" xfId="4" applyFont="1" applyFill="1" applyBorder="1" applyAlignment="1" applyProtection="1">
      <alignment horizontal="right" vertical="center" wrapText="1"/>
      <protection hidden="1"/>
    </xf>
    <xf numFmtId="43" fontId="18" fillId="13" borderId="25" xfId="4" applyFont="1" applyFill="1" applyBorder="1" applyAlignment="1" applyProtection="1">
      <alignment horizontal="right" vertical="center" wrapText="1"/>
      <protection hidden="1"/>
    </xf>
    <xf numFmtId="0" fontId="18" fillId="0" borderId="31" xfId="0" applyFont="1" applyFill="1" applyBorder="1" applyAlignment="1" applyProtection="1">
      <alignment horizontal="left" vertical="center" wrapText="1"/>
      <protection hidden="1"/>
    </xf>
    <xf numFmtId="0" fontId="18" fillId="0" borderId="38" xfId="0" applyFont="1" applyFill="1" applyBorder="1" applyAlignment="1" applyProtection="1">
      <alignment horizontal="left" vertical="center" wrapText="1"/>
      <protection hidden="1"/>
    </xf>
    <xf numFmtId="43" fontId="18" fillId="0" borderId="27" xfId="4" applyFont="1" applyFill="1" applyBorder="1" applyAlignment="1" applyProtection="1">
      <alignment horizontal="right" vertical="center" wrapText="1"/>
      <protection hidden="1"/>
    </xf>
    <xf numFmtId="2" fontId="18" fillId="0" borderId="28" xfId="0" applyNumberFormat="1" applyFont="1" applyFill="1" applyBorder="1" applyAlignment="1" applyProtection="1">
      <alignment horizontal="right" vertical="center" wrapText="1"/>
      <protection hidden="1"/>
    </xf>
    <xf numFmtId="0" fontId="15" fillId="13" borderId="0" xfId="0" applyFont="1" applyFill="1" applyBorder="1" applyAlignment="1" applyProtection="1">
      <alignment vertical="center"/>
      <protection hidden="1"/>
    </xf>
    <xf numFmtId="43" fontId="18" fillId="9" borderId="0" xfId="4" applyFont="1" applyFill="1" applyBorder="1" applyAlignment="1" applyProtection="1">
      <alignment vertical="center" wrapText="1"/>
      <protection hidden="1"/>
    </xf>
    <xf numFmtId="43" fontId="18" fillId="9" borderId="0" xfId="4" applyFont="1" applyFill="1" applyBorder="1" applyAlignment="1" applyProtection="1">
      <alignment horizontal="center" vertical="center" wrapText="1"/>
      <protection hidden="1"/>
    </xf>
    <xf numFmtId="0" fontId="9" fillId="13" borderId="0" xfId="0" applyFont="1" applyFill="1" applyBorder="1" applyAlignment="1" applyProtection="1">
      <alignment vertical="center"/>
      <protection hidden="1"/>
    </xf>
    <xf numFmtId="0" fontId="24" fillId="0" borderId="0" xfId="0" applyFont="1" applyFill="1" applyBorder="1" applyAlignment="1" applyProtection="1">
      <alignment horizontal="justify" vertical="center" wrapText="1"/>
      <protection hidden="1"/>
    </xf>
    <xf numFmtId="0" fontId="30" fillId="0" borderId="0" xfId="0" applyFont="1" applyFill="1" applyBorder="1" applyAlignment="1" applyProtection="1">
      <alignment horizontal="left" vertical="center" wrapText="1"/>
      <protection hidden="1"/>
    </xf>
    <xf numFmtId="43" fontId="30" fillId="0" borderId="0" xfId="4" applyFont="1" applyFill="1" applyBorder="1" applyAlignment="1" applyProtection="1">
      <alignment horizontal="right" vertical="center" wrapText="1"/>
      <protection hidden="1"/>
    </xf>
    <xf numFmtId="0" fontId="9" fillId="13" borderId="0" xfId="0" applyFont="1" applyFill="1" applyBorder="1" applyAlignment="1" applyProtection="1">
      <alignment vertical="top"/>
      <protection hidden="1"/>
    </xf>
    <xf numFmtId="0" fontId="24" fillId="0" borderId="0" xfId="0" applyFont="1" applyFill="1" applyAlignment="1" applyProtection="1">
      <alignment horizontal="justify" vertical="center" wrapText="1"/>
      <protection hidden="1"/>
    </xf>
    <xf numFmtId="15" fontId="14" fillId="12" borderId="27" xfId="0" quotePrefix="1" applyNumberFormat="1" applyFont="1" applyFill="1" applyBorder="1" applyAlignment="1" applyProtection="1">
      <alignment horizontal="center" vertical="center" wrapText="1"/>
      <protection hidden="1"/>
    </xf>
    <xf numFmtId="15" fontId="14" fillId="12" borderId="28" xfId="0" quotePrefix="1" applyNumberFormat="1" applyFont="1" applyFill="1" applyBorder="1" applyAlignment="1" applyProtection="1">
      <alignment horizontal="center" vertical="center" wrapText="1"/>
      <protection hidden="1"/>
    </xf>
    <xf numFmtId="43" fontId="18" fillId="0" borderId="23" xfId="4" applyFont="1" applyFill="1" applyBorder="1" applyAlignment="1" applyProtection="1">
      <alignment vertical="center" wrapText="1"/>
      <protection hidden="1"/>
    </xf>
    <xf numFmtId="43" fontId="18" fillId="0" borderId="25" xfId="4" applyFont="1" applyFill="1" applyBorder="1" applyAlignment="1" applyProtection="1">
      <alignment horizontal="right" vertical="center" wrapText="1"/>
      <protection hidden="1"/>
    </xf>
    <xf numFmtId="43" fontId="23" fillId="0" borderId="24" xfId="4" applyFont="1" applyFill="1" applyBorder="1" applyAlignment="1" applyProtection="1">
      <alignment vertical="center" wrapText="1"/>
      <protection hidden="1"/>
    </xf>
    <xf numFmtId="43" fontId="23" fillId="0" borderId="25" xfId="4" applyFont="1" applyFill="1" applyBorder="1" applyAlignment="1" applyProtection="1">
      <alignment vertical="center" wrapText="1"/>
      <protection hidden="1"/>
    </xf>
    <xf numFmtId="2" fontId="18" fillId="0" borderId="24" xfId="0" quotePrefix="1" applyNumberFormat="1" applyFont="1" applyFill="1" applyBorder="1" applyAlignment="1" applyProtection="1">
      <alignment horizontal="right" vertical="center" wrapText="1"/>
      <protection hidden="1"/>
    </xf>
    <xf numFmtId="43" fontId="18" fillId="0" borderId="28" xfId="4" applyFont="1" applyFill="1" applyBorder="1" applyAlignment="1" applyProtection="1">
      <alignment horizontal="right" vertical="center" wrapText="1"/>
      <protection hidden="1"/>
    </xf>
    <xf numFmtId="0" fontId="33" fillId="0" borderId="0" xfId="0" applyFont="1"/>
    <xf numFmtId="0" fontId="34" fillId="12" borderId="44" xfId="0" applyFont="1" applyFill="1" applyBorder="1" applyAlignment="1" applyProtection="1">
      <alignment horizontal="center" vertical="center" wrapText="1"/>
      <protection hidden="1"/>
    </xf>
    <xf numFmtId="0" fontId="34" fillId="14" borderId="44" xfId="0" applyFont="1" applyFill="1" applyBorder="1" applyAlignment="1" applyProtection="1">
      <alignment horizontal="center" vertical="center" wrapText="1"/>
      <protection hidden="1"/>
    </xf>
    <xf numFmtId="9" fontId="32" fillId="12" borderId="44" xfId="0" quotePrefix="1" applyNumberFormat="1" applyFont="1" applyFill="1" applyBorder="1" applyAlignment="1" applyProtection="1">
      <alignment horizontal="center" vertical="center" wrapText="1"/>
      <protection hidden="1"/>
    </xf>
    <xf numFmtId="9" fontId="32" fillId="14" borderId="44" xfId="0" quotePrefix="1" applyNumberFormat="1" applyFont="1" applyFill="1" applyBorder="1" applyAlignment="1" applyProtection="1">
      <alignment horizontal="center" vertical="center" wrapText="1"/>
      <protection hidden="1"/>
    </xf>
    <xf numFmtId="15" fontId="32" fillId="12" borderId="49" xfId="0" quotePrefix="1" applyNumberFormat="1" applyFont="1" applyFill="1" applyBorder="1" applyAlignment="1" applyProtection="1">
      <alignment horizontal="center" vertical="center" wrapText="1"/>
      <protection hidden="1"/>
    </xf>
    <xf numFmtId="15" fontId="32" fillId="14" borderId="49" xfId="0" quotePrefix="1" applyNumberFormat="1" applyFont="1" applyFill="1" applyBorder="1" applyAlignment="1" applyProtection="1">
      <alignment horizontal="center" vertical="center" wrapText="1"/>
      <protection hidden="1"/>
    </xf>
    <xf numFmtId="167" fontId="30" fillId="0" borderId="50" xfId="4" applyNumberFormat="1" applyFont="1" applyBorder="1" applyAlignment="1" applyProtection="1">
      <alignment horizontal="left" vertical="center" wrapText="1"/>
      <protection hidden="1"/>
    </xf>
    <xf numFmtId="167" fontId="30" fillId="0" borderId="51" xfId="4" applyNumberFormat="1" applyFont="1" applyBorder="1" applyAlignment="1" applyProtection="1">
      <alignment horizontal="left" vertical="center" wrapText="1"/>
      <protection hidden="1"/>
    </xf>
    <xf numFmtId="43" fontId="30" fillId="15" borderId="44" xfId="4" applyFont="1" applyFill="1" applyBorder="1" applyAlignment="1" applyProtection="1">
      <alignment horizontal="center" vertical="center" wrapText="1"/>
      <protection hidden="1"/>
    </xf>
    <xf numFmtId="43" fontId="30" fillId="9" borderId="44" xfId="4" applyFont="1" applyFill="1" applyBorder="1" applyAlignment="1" applyProtection="1">
      <alignment horizontal="center" vertical="center" wrapText="1"/>
      <protection hidden="1"/>
    </xf>
    <xf numFmtId="0" fontId="30" fillId="0" borderId="30" xfId="0" applyFont="1" applyFill="1" applyBorder="1" applyAlignment="1" applyProtection="1">
      <alignment horizontal="left" vertical="center" wrapText="1"/>
      <protection hidden="1"/>
    </xf>
    <xf numFmtId="167" fontId="30" fillId="9" borderId="44" xfId="4" applyNumberFormat="1" applyFont="1" applyFill="1" applyBorder="1" applyAlignment="1" applyProtection="1">
      <alignment horizontal="center" vertical="center" wrapText="1"/>
      <protection hidden="1"/>
    </xf>
    <xf numFmtId="167" fontId="30" fillId="0" borderId="44" xfId="4" applyNumberFormat="1" applyFont="1" applyFill="1" applyBorder="1" applyAlignment="1" applyProtection="1">
      <alignment horizontal="center" vertical="center" wrapText="1"/>
      <protection hidden="1"/>
    </xf>
    <xf numFmtId="167" fontId="30" fillId="15" borderId="44" xfId="4" applyNumberFormat="1" applyFont="1" applyFill="1" applyBorder="1" applyAlignment="1" applyProtection="1">
      <alignment horizontal="center" vertical="center" wrapText="1"/>
      <protection hidden="1"/>
    </xf>
    <xf numFmtId="43" fontId="30" fillId="15" borderId="24" xfId="4" applyFont="1" applyFill="1" applyBorder="1" applyAlignment="1" applyProtection="1">
      <alignment horizontal="center" vertical="center" wrapText="1"/>
      <protection hidden="1"/>
    </xf>
    <xf numFmtId="43" fontId="30" fillId="0" borderId="51" xfId="4" applyNumberFormat="1" applyFont="1" applyBorder="1" applyAlignment="1" applyProtection="1">
      <alignment horizontal="left" vertical="center" wrapText="1"/>
      <protection hidden="1"/>
    </xf>
    <xf numFmtId="0" fontId="30" fillId="0" borderId="52" xfId="0" applyFont="1" applyBorder="1" applyAlignment="1" applyProtection="1">
      <alignment horizontal="left" vertical="center" wrapText="1"/>
      <protection hidden="1"/>
    </xf>
    <xf numFmtId="43" fontId="30" fillId="9" borderId="49" xfId="4" applyFont="1" applyFill="1" applyBorder="1" applyAlignment="1" applyProtection="1">
      <alignment horizontal="center" vertical="center" wrapText="1"/>
      <protection hidden="1"/>
    </xf>
    <xf numFmtId="43" fontId="30" fillId="15" borderId="49" xfId="4" applyFont="1" applyFill="1" applyBorder="1" applyAlignment="1" applyProtection="1">
      <alignment horizontal="center" vertical="center" wrapText="1"/>
      <protection hidden="1"/>
    </xf>
    <xf numFmtId="0" fontId="35" fillId="0" borderId="0" xfId="3" applyFont="1" applyFill="1" applyAlignment="1" applyProtection="1">
      <alignment vertical="center"/>
      <protection hidden="1"/>
    </xf>
    <xf numFmtId="0" fontId="35" fillId="0" borderId="0" xfId="3" applyFont="1" applyAlignment="1" applyProtection="1">
      <alignment vertical="center"/>
      <protection hidden="1"/>
    </xf>
    <xf numFmtId="0" fontId="37" fillId="16" borderId="30" xfId="3" quotePrefix="1" applyFont="1" applyFill="1" applyBorder="1" applyAlignment="1" applyProtection="1">
      <alignment horizontal="left" vertical="center"/>
      <protection hidden="1"/>
    </xf>
    <xf numFmtId="0" fontId="36" fillId="12" borderId="30" xfId="3" applyFont="1" applyFill="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5" fillId="0" borderId="30" xfId="0" applyFont="1" applyBorder="1" applyAlignment="1" applyProtection="1">
      <alignment horizontal="center" vertical="center" wrapText="1"/>
      <protection hidden="1"/>
    </xf>
    <xf numFmtId="43" fontId="35" fillId="13" borderId="25" xfId="8" applyFont="1" applyFill="1" applyBorder="1" applyAlignment="1" applyProtection="1">
      <alignment vertical="center" wrapText="1"/>
      <protection hidden="1"/>
    </xf>
    <xf numFmtId="43" fontId="35" fillId="13" borderId="30" xfId="8" applyFont="1" applyFill="1" applyBorder="1" applyAlignment="1" applyProtection="1">
      <alignment horizontal="center" vertical="center" wrapText="1"/>
      <protection hidden="1"/>
    </xf>
    <xf numFmtId="43" fontId="35" fillId="13" borderId="25" xfId="8" applyFont="1" applyFill="1" applyBorder="1" applyAlignment="1" applyProtection="1">
      <alignment horizontal="center" vertical="center" wrapText="1"/>
      <protection hidden="1"/>
    </xf>
    <xf numFmtId="43" fontId="35" fillId="13" borderId="37" xfId="8" applyFont="1" applyFill="1" applyBorder="1" applyAlignment="1" applyProtection="1">
      <alignment horizontal="center" vertical="center" wrapText="1"/>
      <protection hidden="1"/>
    </xf>
    <xf numFmtId="43" fontId="35" fillId="0" borderId="25" xfId="8" applyFont="1" applyFill="1" applyBorder="1" applyAlignment="1" applyProtection="1">
      <alignment horizontal="center" vertical="center" wrapText="1"/>
      <protection hidden="1"/>
    </xf>
    <xf numFmtId="0" fontId="35" fillId="0" borderId="25" xfId="0" applyFont="1" applyBorder="1" applyAlignment="1" applyProtection="1">
      <alignment horizontal="left" vertical="center" wrapText="1"/>
      <protection hidden="1"/>
    </xf>
    <xf numFmtId="0" fontId="35" fillId="17" borderId="30" xfId="0" applyFont="1" applyFill="1" applyBorder="1" applyAlignment="1" applyProtection="1">
      <alignment horizontal="center" vertical="center" wrapText="1"/>
      <protection hidden="1"/>
    </xf>
    <xf numFmtId="43" fontId="35" fillId="17" borderId="30" xfId="8" applyFont="1" applyFill="1" applyBorder="1" applyAlignment="1" applyProtection="1">
      <alignment horizontal="center" vertical="center" wrapText="1"/>
      <protection hidden="1"/>
    </xf>
    <xf numFmtId="43" fontId="35" fillId="17" borderId="25" xfId="8" applyFont="1" applyFill="1" applyBorder="1" applyAlignment="1" applyProtection="1">
      <alignment horizontal="center" vertical="center" wrapText="1"/>
      <protection hidden="1"/>
    </xf>
    <xf numFmtId="43" fontId="35" fillId="13" borderId="30" xfId="8" quotePrefix="1" applyFont="1" applyFill="1" applyBorder="1" applyAlignment="1" applyProtection="1">
      <alignment horizontal="center" vertical="center" wrapText="1"/>
      <protection hidden="1"/>
    </xf>
    <xf numFmtId="0" fontId="35" fillId="17" borderId="31" xfId="0" applyFont="1" applyFill="1" applyBorder="1" applyAlignment="1" applyProtection="1">
      <alignment horizontal="center" vertical="center" wrapText="1"/>
      <protection hidden="1"/>
    </xf>
    <xf numFmtId="0" fontId="35" fillId="17" borderId="28" xfId="0" applyFont="1" applyFill="1" applyBorder="1" applyAlignment="1" applyProtection="1">
      <alignment horizontal="left" vertical="center" wrapText="1"/>
      <protection hidden="1"/>
    </xf>
    <xf numFmtId="43" fontId="35" fillId="17" borderId="31" xfId="8" applyFont="1" applyFill="1" applyBorder="1" applyAlignment="1" applyProtection="1">
      <alignment horizontal="center" vertical="center" wrapText="1"/>
      <protection hidden="1"/>
    </xf>
    <xf numFmtId="43" fontId="35" fillId="17" borderId="28" xfId="8" applyFont="1" applyFill="1" applyBorder="1" applyAlignment="1" applyProtection="1">
      <alignment horizontal="center" vertical="center" wrapText="1"/>
      <protection hidden="1"/>
    </xf>
    <xf numFmtId="43" fontId="35" fillId="17" borderId="38" xfId="8" applyFont="1" applyFill="1" applyBorder="1" applyAlignment="1" applyProtection="1">
      <alignment horizontal="center" vertical="center" wrapText="1"/>
      <protection hidden="1"/>
    </xf>
    <xf numFmtId="0" fontId="27" fillId="0" borderId="0" xfId="0" applyFont="1" applyFill="1" applyBorder="1" applyAlignment="1" applyProtection="1">
      <alignment horizontal="center" vertical="center" wrapText="1"/>
      <protection hidden="1"/>
    </xf>
    <xf numFmtId="0" fontId="27" fillId="0" borderId="0" xfId="0" applyFont="1" applyFill="1" applyBorder="1" applyAlignment="1" applyProtection="1">
      <alignment horizontal="left" vertical="center" wrapText="1"/>
      <protection hidden="1"/>
    </xf>
    <xf numFmtId="43" fontId="27" fillId="0" borderId="0" xfId="8" applyFont="1" applyFill="1" applyBorder="1" applyAlignment="1" applyProtection="1">
      <alignment vertical="center" wrapText="1"/>
      <protection hidden="1"/>
    </xf>
    <xf numFmtId="0" fontId="35" fillId="0" borderId="0" xfId="3" quotePrefix="1" applyFont="1" applyFill="1" applyBorder="1" applyAlignment="1" applyProtection="1">
      <alignment horizontal="right" vertical="center" wrapText="1"/>
      <protection hidden="1"/>
    </xf>
    <xf numFmtId="0" fontId="39" fillId="0" borderId="0" xfId="3" applyFont="1" applyFill="1" applyBorder="1" applyAlignment="1" applyProtection="1">
      <alignment horizontal="left" vertical="center" wrapText="1"/>
      <protection hidden="1"/>
    </xf>
    <xf numFmtId="0" fontId="35" fillId="0" borderId="0" xfId="3" applyFont="1" applyFill="1" applyAlignment="1" applyProtection="1">
      <alignment horizontal="left" vertical="center"/>
      <protection hidden="1"/>
    </xf>
    <xf numFmtId="0" fontId="35" fillId="0" borderId="0" xfId="3" applyFont="1" applyFill="1" applyBorder="1" applyAlignment="1" applyProtection="1">
      <alignment vertical="center"/>
      <protection hidden="1"/>
    </xf>
    <xf numFmtId="0" fontId="35" fillId="0" borderId="0" xfId="3" quotePrefix="1" applyFont="1" applyFill="1" applyBorder="1" applyAlignment="1" applyProtection="1">
      <alignment vertical="center" wrapText="1"/>
      <protection hidden="1"/>
    </xf>
    <xf numFmtId="0" fontId="37" fillId="16" borderId="54" xfId="3" quotePrefix="1" applyFont="1" applyFill="1" applyBorder="1" applyAlignment="1" applyProtection="1">
      <alignment horizontal="left" vertical="center" wrapText="1"/>
      <protection hidden="1"/>
    </xf>
    <xf numFmtId="0" fontId="36" fillId="16" borderId="55" xfId="3" applyFont="1" applyFill="1" applyBorder="1" applyAlignment="1" applyProtection="1">
      <alignment vertical="center" wrapText="1"/>
      <protection hidden="1"/>
    </xf>
    <xf numFmtId="0" fontId="37" fillId="16" borderId="30" xfId="3" quotePrefix="1" applyFont="1" applyFill="1" applyBorder="1" applyAlignment="1" applyProtection="1">
      <alignment horizontal="left" vertical="center" wrapText="1"/>
      <protection hidden="1"/>
    </xf>
    <xf numFmtId="0" fontId="36" fillId="16" borderId="25" xfId="3" applyFont="1" applyFill="1" applyBorder="1" applyAlignment="1" applyProtection="1">
      <alignment vertical="center" wrapText="1"/>
      <protection hidden="1"/>
    </xf>
    <xf numFmtId="0" fontId="36" fillId="12" borderId="24" xfId="3" applyFont="1" applyFill="1" applyBorder="1" applyAlignment="1" applyProtection="1">
      <alignment horizontal="center" vertical="center" wrapText="1"/>
      <protection hidden="1"/>
    </xf>
    <xf numFmtId="9" fontId="36" fillId="12" borderId="25" xfId="3" quotePrefix="1" applyNumberFormat="1" applyFont="1" applyFill="1" applyBorder="1" applyAlignment="1" applyProtection="1">
      <alignment horizontal="center" vertical="center" wrapText="1"/>
      <protection hidden="1"/>
    </xf>
    <xf numFmtId="43" fontId="35" fillId="13" borderId="24" xfId="8" applyFont="1" applyFill="1" applyBorder="1" applyAlignment="1" applyProtection="1">
      <alignment horizontal="center" vertical="center" wrapText="1"/>
      <protection hidden="1"/>
    </xf>
    <xf numFmtId="43" fontId="35" fillId="13" borderId="24" xfId="8" quotePrefix="1" applyFont="1" applyFill="1" applyBorder="1" applyAlignment="1" applyProtection="1">
      <alignment horizontal="center" vertical="center" wrapText="1"/>
      <protection hidden="1"/>
    </xf>
    <xf numFmtId="43" fontId="35" fillId="13" borderId="25" xfId="8" quotePrefix="1" applyFont="1" applyFill="1" applyBorder="1" applyAlignment="1" applyProtection="1">
      <alignment horizontal="center" vertical="center" wrapText="1"/>
      <protection hidden="1"/>
    </xf>
    <xf numFmtId="43" fontId="35" fillId="0" borderId="30" xfId="6" quotePrefix="1" applyFont="1" applyFill="1" applyBorder="1" applyAlignment="1" applyProtection="1">
      <alignment horizontal="center" vertical="center" wrapText="1"/>
      <protection hidden="1"/>
    </xf>
    <xf numFmtId="43" fontId="35" fillId="0" borderId="24" xfId="6" quotePrefix="1" applyFont="1" applyFill="1" applyBorder="1" applyAlignment="1" applyProtection="1">
      <alignment horizontal="center" vertical="center" wrapText="1"/>
      <protection hidden="1"/>
    </xf>
    <xf numFmtId="43" fontId="35" fillId="0" borderId="25" xfId="6" quotePrefix="1" applyFont="1" applyFill="1" applyBorder="1" applyAlignment="1" applyProtection="1">
      <alignment horizontal="center" vertical="center" wrapText="1"/>
      <protection hidden="1"/>
    </xf>
    <xf numFmtId="43" fontId="35" fillId="0" borderId="24" xfId="8" applyFont="1" applyFill="1" applyBorder="1" applyAlignment="1" applyProtection="1">
      <alignment horizontal="center" vertical="center" wrapText="1"/>
      <protection hidden="1"/>
    </xf>
    <xf numFmtId="0" fontId="35" fillId="17" borderId="25" xfId="0" applyFont="1" applyFill="1" applyBorder="1" applyAlignment="1" applyProtection="1">
      <alignment horizontal="left" vertical="center" wrapText="1"/>
      <protection hidden="1"/>
    </xf>
    <xf numFmtId="43" fontId="35" fillId="17" borderId="24" xfId="8" applyFont="1" applyFill="1" applyBorder="1" applyAlignment="1" applyProtection="1">
      <alignment horizontal="center" vertical="center" wrapText="1"/>
      <protection hidden="1"/>
    </xf>
    <xf numFmtId="43" fontId="35" fillId="0" borderId="30" xfId="8" applyFont="1" applyFill="1" applyBorder="1" applyAlignment="1" applyProtection="1">
      <alignment horizontal="center" vertical="center" wrapText="1"/>
      <protection hidden="1"/>
    </xf>
    <xf numFmtId="43" fontId="35" fillId="17" borderId="27" xfId="8" applyFont="1" applyFill="1" applyBorder="1" applyAlignment="1" applyProtection="1">
      <alignment horizontal="center" vertical="center" wrapText="1"/>
      <protection hidden="1"/>
    </xf>
    <xf numFmtId="0" fontId="40" fillId="0" borderId="0" xfId="9" applyFont="1" applyFill="1" applyBorder="1" applyAlignment="1" applyProtection="1">
      <alignment vertical="center" wrapText="1"/>
      <protection hidden="1"/>
    </xf>
    <xf numFmtId="0" fontId="35" fillId="0" borderId="0" xfId="3" applyFont="1" applyFill="1" applyBorder="1" applyAlignment="1" applyProtection="1">
      <alignment horizontal="right" vertical="center" wrapText="1"/>
      <protection hidden="1"/>
    </xf>
    <xf numFmtId="0" fontId="39" fillId="0" borderId="0" xfId="3" quotePrefix="1" applyFont="1" applyFill="1" applyBorder="1" applyAlignment="1" applyProtection="1">
      <alignment horizontal="right" vertical="center" wrapText="1"/>
      <protection hidden="1"/>
    </xf>
    <xf numFmtId="0" fontId="39" fillId="0" borderId="0" xfId="3" quotePrefix="1" applyFont="1" applyFill="1" applyAlignment="1" applyProtection="1">
      <alignment horizontal="right" vertical="center"/>
      <protection hidden="1"/>
    </xf>
    <xf numFmtId="0" fontId="39" fillId="0" borderId="0" xfId="3" applyFont="1" applyAlignment="1" applyProtection="1">
      <alignment vertical="center"/>
      <protection hidden="1"/>
    </xf>
    <xf numFmtId="9" fontId="36" fillId="12" borderId="24" xfId="7" quotePrefix="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43" fontId="0" fillId="0" borderId="0" xfId="0" applyNumberFormat="1"/>
    <xf numFmtId="164" fontId="0" fillId="0" borderId="1" xfId="1" applyNumberFormat="1" applyFont="1" applyBorder="1"/>
    <xf numFmtId="0" fontId="10" fillId="0" borderId="0" xfId="0" applyFont="1" applyAlignment="1" applyProtection="1">
      <alignment vertical="center"/>
      <protection hidden="1"/>
    </xf>
    <xf numFmtId="0" fontId="37" fillId="16" borderId="54" xfId="3" quotePrefix="1" applyFont="1" applyFill="1" applyBorder="1" applyAlignment="1" applyProtection="1">
      <alignment horizontal="left" vertical="center"/>
      <protection hidden="1"/>
    </xf>
    <xf numFmtId="0" fontId="36" fillId="16" borderId="55" xfId="3" applyFont="1" applyFill="1" applyBorder="1" applyAlignment="1" applyProtection="1">
      <alignment vertical="center"/>
      <protection hidden="1"/>
    </xf>
    <xf numFmtId="0" fontId="36" fillId="16" borderId="0" xfId="3" applyFont="1" applyFill="1" applyBorder="1" applyAlignment="1" applyProtection="1">
      <alignment vertical="center"/>
      <protection hidden="1"/>
    </xf>
    <xf numFmtId="43" fontId="35" fillId="0" borderId="58" xfId="8" applyFont="1" applyFill="1" applyBorder="1" applyAlignment="1" applyProtection="1">
      <alignment horizontal="center" vertical="center" wrapText="1"/>
      <protection hidden="1"/>
    </xf>
    <xf numFmtId="43" fontId="35" fillId="0" borderId="58" xfId="0" applyNumberFormat="1" applyFont="1" applyBorder="1" applyAlignment="1" applyProtection="1">
      <alignment horizontal="center" vertical="center" wrapText="1"/>
      <protection hidden="1"/>
    </xf>
    <xf numFmtId="43" fontId="35" fillId="13" borderId="37" xfId="8" quotePrefix="1" applyFont="1" applyFill="1" applyBorder="1" applyAlignment="1" applyProtection="1">
      <alignment horizontal="center" vertical="center" wrapText="1"/>
      <protection hidden="1"/>
    </xf>
    <xf numFmtId="43" fontId="35" fillId="13" borderId="58" xfId="8" applyFont="1" applyFill="1" applyBorder="1" applyAlignment="1" applyProtection="1">
      <alignment horizontal="center" vertical="center" wrapText="1"/>
      <protection hidden="1"/>
    </xf>
    <xf numFmtId="43" fontId="35" fillId="13" borderId="59" xfId="8" applyFont="1" applyFill="1" applyBorder="1" applyAlignment="1" applyProtection="1">
      <alignment horizontal="center" vertical="center" wrapText="1"/>
      <protection hidden="1"/>
    </xf>
    <xf numFmtId="43" fontId="35" fillId="13" borderId="60" xfId="8" applyFont="1" applyFill="1" applyBorder="1" applyAlignment="1" applyProtection="1">
      <alignment horizontal="center" vertical="center" wrapText="1"/>
      <protection hidden="1"/>
    </xf>
    <xf numFmtId="165" fontId="35" fillId="17" borderId="58" xfId="0" applyNumberFormat="1" applyFont="1" applyFill="1" applyBorder="1" applyAlignment="1" applyProtection="1">
      <alignment horizontal="center" vertical="center" wrapText="1"/>
      <protection hidden="1"/>
    </xf>
    <xf numFmtId="43" fontId="35" fillId="17" borderId="0" xfId="8" applyFont="1" applyFill="1" applyBorder="1" applyAlignment="1" applyProtection="1">
      <alignment horizontal="center" vertical="center" wrapText="1"/>
      <protection hidden="1"/>
    </xf>
    <xf numFmtId="43" fontId="35" fillId="17" borderId="61" xfId="8" applyFont="1" applyFill="1" applyBorder="1" applyAlignment="1" applyProtection="1">
      <alignment horizontal="center" vertical="center" wrapText="1"/>
      <protection hidden="1"/>
    </xf>
    <xf numFmtId="43" fontId="35" fillId="17" borderId="58" xfId="8" applyFont="1" applyFill="1" applyBorder="1" applyAlignment="1" applyProtection="1">
      <alignment horizontal="center" vertical="center" wrapText="1"/>
      <protection hidden="1"/>
    </xf>
    <xf numFmtId="43" fontId="35" fillId="13" borderId="21" xfId="8" applyFont="1" applyFill="1" applyBorder="1" applyAlignment="1" applyProtection="1">
      <alignment horizontal="center" vertical="center" wrapText="1"/>
      <protection hidden="1"/>
    </xf>
    <xf numFmtId="43" fontId="35" fillId="0" borderId="37" xfId="8" applyFont="1" applyFill="1" applyBorder="1" applyAlignment="1" applyProtection="1">
      <alignment horizontal="center" vertical="center" wrapText="1"/>
      <protection hidden="1"/>
    </xf>
    <xf numFmtId="0" fontId="35" fillId="17" borderId="62" xfId="0" applyFont="1" applyFill="1" applyBorder="1" applyAlignment="1" applyProtection="1">
      <alignment horizontal="center" vertical="center" wrapText="1"/>
      <protection hidden="1"/>
    </xf>
    <xf numFmtId="43" fontId="35" fillId="17" borderId="62" xfId="8" applyFont="1" applyFill="1" applyBorder="1" applyAlignment="1" applyProtection="1">
      <alignment horizontal="center" vertical="center" wrapText="1"/>
      <protection hidden="1"/>
    </xf>
    <xf numFmtId="164" fontId="0" fillId="20" borderId="1" xfId="1" applyNumberFormat="1" applyFont="1" applyFill="1" applyBorder="1"/>
    <xf numFmtId="165" fontId="35" fillId="0" borderId="58" xfId="0" applyNumberFormat="1" applyFont="1" applyFill="1" applyBorder="1" applyAlignment="1" applyProtection="1">
      <alignment horizontal="left" vertical="center" wrapText="1"/>
      <protection hidden="1"/>
    </xf>
    <xf numFmtId="43" fontId="35" fillId="0" borderId="58" xfId="8" applyNumberFormat="1" applyFont="1" applyFill="1" applyBorder="1" applyAlignment="1" applyProtection="1">
      <alignment horizontal="center" vertical="center" wrapText="1"/>
      <protection hidden="1"/>
    </xf>
    <xf numFmtId="0" fontId="35" fillId="0" borderId="0" xfId="3" applyFont="1" applyFill="1" applyBorder="1" applyAlignment="1" applyProtection="1">
      <alignment vertical="center" wrapText="1"/>
      <protection hidden="1"/>
    </xf>
    <xf numFmtId="0" fontId="10" fillId="0" borderId="0" xfId="0" applyFont="1" applyProtection="1">
      <protection hidden="1"/>
    </xf>
    <xf numFmtId="0" fontId="39" fillId="0" borderId="0" xfId="3" applyFont="1" applyFill="1" applyBorder="1" applyAlignment="1" applyProtection="1">
      <alignment horizontal="justify" vertical="center" wrapText="1"/>
      <protection hidden="1"/>
    </xf>
    <xf numFmtId="0" fontId="35" fillId="0" borderId="25" xfId="0" applyFont="1" applyFill="1" applyBorder="1" applyAlignment="1" applyProtection="1">
      <alignment horizontal="left" vertical="center" wrapText="1"/>
      <protection hidden="1"/>
    </xf>
    <xf numFmtId="43" fontId="35" fillId="0" borderId="57" xfId="8" applyFont="1" applyFill="1" applyBorder="1" applyAlignment="1" applyProtection="1">
      <alignment horizontal="center" vertical="center" wrapText="1"/>
      <protection hidden="1"/>
    </xf>
    <xf numFmtId="43" fontId="35" fillId="0" borderId="61" xfId="8" applyFont="1" applyFill="1" applyBorder="1" applyAlignment="1" applyProtection="1">
      <alignment horizontal="center" vertical="center" wrapText="1"/>
      <protection hidden="1"/>
    </xf>
    <xf numFmtId="43" fontId="35" fillId="0" borderId="63" xfId="8" applyFont="1" applyFill="1" applyBorder="1" applyAlignment="1" applyProtection="1">
      <alignment horizontal="center" vertical="center" wrapText="1"/>
      <protection hidden="1"/>
    </xf>
    <xf numFmtId="165" fontId="35" fillId="17" borderId="61" xfId="0" applyNumberFormat="1" applyFont="1" applyFill="1" applyBorder="1" applyAlignment="1" applyProtection="1">
      <alignment horizontal="center" vertical="center" wrapText="1"/>
      <protection hidden="1"/>
    </xf>
    <xf numFmtId="43" fontId="35" fillId="13" borderId="61" xfId="8" applyFont="1" applyFill="1" applyBorder="1" applyAlignment="1" applyProtection="1">
      <alignment horizontal="center" vertical="center" wrapText="1"/>
      <protection hidden="1"/>
    </xf>
    <xf numFmtId="43" fontId="35" fillId="13" borderId="61" xfId="8" quotePrefix="1" applyFont="1" applyFill="1" applyBorder="1" applyAlignment="1" applyProtection="1">
      <alignment horizontal="center" vertical="center" wrapText="1"/>
      <protection hidden="1"/>
    </xf>
    <xf numFmtId="43" fontId="35" fillId="13" borderId="64" xfId="8" applyFont="1" applyFill="1" applyBorder="1" applyAlignment="1" applyProtection="1">
      <alignment horizontal="center" vertical="center" wrapText="1"/>
      <protection hidden="1"/>
    </xf>
    <xf numFmtId="43" fontId="35" fillId="17" borderId="17" xfId="8" applyFont="1" applyFill="1" applyBorder="1" applyAlignment="1" applyProtection="1">
      <alignment horizontal="center" vertical="center" wrapText="1"/>
      <protection hidden="1"/>
    </xf>
    <xf numFmtId="43" fontId="35" fillId="13" borderId="56" xfId="8" applyFont="1" applyFill="1" applyBorder="1" applyAlignment="1" applyProtection="1">
      <alignment horizontal="center" vertical="center" wrapText="1"/>
      <protection hidden="1"/>
    </xf>
    <xf numFmtId="43" fontId="35" fillId="17" borderId="65" xfId="8" applyFont="1" applyFill="1" applyBorder="1" applyAlignment="1" applyProtection="1">
      <alignment horizontal="center" vertical="center" wrapText="1"/>
      <protection hidden="1"/>
    </xf>
    <xf numFmtId="43" fontId="35" fillId="0" borderId="66" xfId="8" applyFont="1" applyFill="1" applyBorder="1" applyAlignment="1" applyProtection="1">
      <alignment horizontal="left" vertical="center"/>
      <protection hidden="1"/>
    </xf>
    <xf numFmtId="0" fontId="35" fillId="0" borderId="0" xfId="3" quotePrefix="1" applyFont="1" applyFill="1" applyBorder="1" applyAlignment="1" applyProtection="1">
      <alignment vertical="center"/>
      <protection hidden="1"/>
    </xf>
    <xf numFmtId="43" fontId="35" fillId="13" borderId="57" xfId="8" applyFont="1" applyFill="1" applyBorder="1" applyAlignment="1" applyProtection="1">
      <alignment horizontal="center" vertical="center" wrapText="1"/>
      <protection hidden="1"/>
    </xf>
    <xf numFmtId="43" fontId="35" fillId="17" borderId="57" xfId="8" applyFont="1" applyFill="1" applyBorder="1" applyAlignment="1" applyProtection="1">
      <alignment horizontal="center" vertical="center" wrapText="1"/>
      <protection hidden="1"/>
    </xf>
    <xf numFmtId="43" fontId="35" fillId="17" borderId="67" xfId="8"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0" fontId="35" fillId="0" borderId="0" xfId="3" applyFont="1" applyFill="1" applyBorder="1" applyAlignment="1" applyProtection="1">
      <alignment horizontal="left" vertical="center"/>
      <protection hidden="1"/>
    </xf>
    <xf numFmtId="0" fontId="18" fillId="3" borderId="30" xfId="0" applyFont="1" applyFill="1" applyBorder="1" applyAlignment="1" applyProtection="1">
      <alignment horizontal="left" vertical="center" wrapText="1"/>
      <protection hidden="1"/>
    </xf>
    <xf numFmtId="0" fontId="18" fillId="22" borderId="30" xfId="0" applyFont="1" applyFill="1" applyBorder="1" applyAlignment="1" applyProtection="1">
      <alignment horizontal="left" vertical="center" wrapText="1"/>
      <protection hidden="1"/>
    </xf>
    <xf numFmtId="0" fontId="18" fillId="8" borderId="30" xfId="0" applyFont="1" applyFill="1" applyBorder="1" applyAlignment="1" applyProtection="1">
      <alignment horizontal="left" vertical="center" wrapText="1"/>
      <protection hidden="1"/>
    </xf>
    <xf numFmtId="167" fontId="30" fillId="8" borderId="51" xfId="4" applyNumberFormat="1" applyFont="1" applyFill="1" applyBorder="1" applyAlignment="1" applyProtection="1">
      <alignment horizontal="left" vertical="center" wrapText="1"/>
      <protection hidden="1"/>
    </xf>
    <xf numFmtId="167" fontId="30" fillId="3" borderId="51" xfId="4" applyNumberFormat="1" applyFont="1" applyFill="1" applyBorder="1" applyAlignment="1" applyProtection="1">
      <alignment horizontal="left" vertical="center" wrapText="1"/>
      <protection hidden="1"/>
    </xf>
    <xf numFmtId="0" fontId="35" fillId="0" borderId="0" xfId="3" applyFont="1" applyFill="1" applyAlignment="1" applyProtection="1">
      <alignment vertical="center" wrapText="1"/>
      <protection hidden="1"/>
    </xf>
    <xf numFmtId="0" fontId="35" fillId="0" borderId="0" xfId="3" applyFont="1" applyAlignment="1" applyProtection="1">
      <alignment vertical="center" wrapText="1"/>
      <protection hidden="1"/>
    </xf>
    <xf numFmtId="0" fontId="27" fillId="0" borderId="0" xfId="3" applyFont="1" applyFill="1" applyBorder="1" applyAlignment="1" applyProtection="1">
      <alignment vertical="center" wrapText="1"/>
      <protection hidden="1"/>
    </xf>
    <xf numFmtId="0" fontId="36" fillId="12" borderId="57" xfId="3" applyFont="1" applyFill="1" applyBorder="1" applyAlignment="1" applyProtection="1">
      <alignment horizontal="center" vertical="center" wrapText="1"/>
      <protection hidden="1"/>
    </xf>
    <xf numFmtId="43" fontId="35" fillId="13" borderId="68" xfId="8" applyFont="1" applyFill="1" applyBorder="1" applyAlignment="1" applyProtection="1">
      <alignment horizontal="center" vertical="center" wrapText="1"/>
      <protection hidden="1"/>
    </xf>
    <xf numFmtId="43" fontId="35" fillId="13" borderId="57" xfId="8" quotePrefix="1" applyFont="1" applyFill="1" applyBorder="1" applyAlignment="1" applyProtection="1">
      <alignment horizontal="center" vertical="center" wrapText="1"/>
      <protection hidden="1"/>
    </xf>
    <xf numFmtId="43" fontId="35" fillId="0" borderId="68" xfId="8" applyFont="1" applyFill="1" applyBorder="1" applyAlignment="1" applyProtection="1">
      <alignment horizontal="center" vertical="center" wrapText="1"/>
      <protection hidden="1"/>
    </xf>
    <xf numFmtId="43" fontId="35" fillId="0" borderId="58" xfId="0" applyNumberFormat="1" applyFont="1" applyBorder="1" applyAlignment="1" applyProtection="1">
      <alignment horizontal="right" vertical="center" wrapText="1"/>
      <protection hidden="1"/>
    </xf>
    <xf numFmtId="43" fontId="35" fillId="23" borderId="24" xfId="8" applyFont="1" applyFill="1" applyBorder="1" applyAlignment="1" applyProtection="1">
      <alignment horizontal="center" vertical="center" wrapText="1"/>
      <protection hidden="1"/>
    </xf>
    <xf numFmtId="43" fontId="35" fillId="23" borderId="57" xfId="8" applyFont="1" applyFill="1" applyBorder="1" applyAlignment="1" applyProtection="1">
      <alignment horizontal="center" vertical="center" wrapText="1"/>
      <protection hidden="1"/>
    </xf>
    <xf numFmtId="43" fontId="35" fillId="17" borderId="68" xfId="8" applyFont="1" applyFill="1" applyBorder="1" applyAlignment="1" applyProtection="1">
      <alignment horizontal="center" vertical="center" wrapText="1"/>
      <protection hidden="1"/>
    </xf>
    <xf numFmtId="43" fontId="35" fillId="23" borderId="25" xfId="8" applyFont="1" applyFill="1" applyBorder="1" applyAlignment="1" applyProtection="1">
      <alignment horizontal="center" vertical="center" wrapText="1"/>
      <protection hidden="1"/>
    </xf>
    <xf numFmtId="43" fontId="35" fillId="0" borderId="58" xfId="0" applyNumberFormat="1" applyFont="1" applyFill="1" applyBorder="1" applyAlignment="1" applyProtection="1">
      <alignment horizontal="right" vertical="center" wrapText="1"/>
      <protection hidden="1"/>
    </xf>
    <xf numFmtId="43" fontId="35" fillId="17" borderId="58" xfId="0" applyNumberFormat="1" applyFont="1" applyFill="1" applyBorder="1" applyAlignment="1" applyProtection="1">
      <alignment horizontal="right" vertical="center" wrapText="1"/>
      <protection hidden="1"/>
    </xf>
    <xf numFmtId="43" fontId="35" fillId="13" borderId="58" xfId="8" applyFont="1" applyFill="1" applyBorder="1" applyAlignment="1" applyProtection="1">
      <alignment horizontal="right" vertical="center" wrapText="1"/>
      <protection hidden="1"/>
    </xf>
    <xf numFmtId="0" fontId="35" fillId="17" borderId="62" xfId="0" applyFont="1" applyFill="1" applyBorder="1" applyAlignment="1" applyProtection="1">
      <alignment horizontal="right" vertical="center" wrapText="1"/>
      <protection hidden="1"/>
    </xf>
    <xf numFmtId="43" fontId="35" fillId="17" borderId="69" xfId="8" applyFont="1" applyFill="1" applyBorder="1" applyAlignment="1" applyProtection="1">
      <alignment horizontal="center" vertical="center" wrapText="1"/>
      <protection hidden="1"/>
    </xf>
    <xf numFmtId="0" fontId="43" fillId="0" borderId="0" xfId="3" quotePrefix="1" applyFont="1" applyFill="1" applyBorder="1" applyAlignment="1" applyProtection="1">
      <alignment horizontal="right" vertical="center" wrapText="1"/>
      <protection hidden="1"/>
    </xf>
    <xf numFmtId="0" fontId="0" fillId="0" borderId="0" xfId="0" applyFont="1" applyAlignment="1" applyProtection="1">
      <alignment vertical="center"/>
      <protection hidden="1"/>
    </xf>
    <xf numFmtId="0" fontId="39" fillId="0" borderId="0" xfId="3" applyFont="1" applyFill="1" applyBorder="1" applyAlignment="1" applyProtection="1">
      <alignment vertical="center" wrapText="1"/>
      <protection hidden="1"/>
    </xf>
    <xf numFmtId="0" fontId="36" fillId="12" borderId="61" xfId="3" applyFont="1" applyFill="1" applyBorder="1" applyAlignment="1" applyProtection="1">
      <alignment horizontal="center" vertical="center" wrapText="1"/>
      <protection hidden="1"/>
    </xf>
    <xf numFmtId="2" fontId="35" fillId="0" borderId="58" xfId="0" applyNumberFormat="1" applyFont="1" applyBorder="1" applyAlignment="1" applyProtection="1">
      <alignment horizontal="right" vertical="center" wrapText="1"/>
      <protection hidden="1"/>
    </xf>
    <xf numFmtId="164" fontId="35" fillId="0" borderId="58" xfId="1" applyNumberFormat="1" applyFont="1" applyBorder="1" applyAlignment="1" applyProtection="1">
      <alignment horizontal="right" vertical="center" wrapText="1"/>
      <protection hidden="1"/>
    </xf>
    <xf numFmtId="0" fontId="40" fillId="0" borderId="0" xfId="9" applyFill="1" applyBorder="1" applyAlignment="1" applyProtection="1">
      <alignment vertical="center" wrapText="1"/>
      <protection hidden="1"/>
    </xf>
    <xf numFmtId="43" fontId="35" fillId="0" borderId="58" xfId="0" quotePrefix="1" applyNumberFormat="1" applyFont="1" applyBorder="1" applyAlignment="1" applyProtection="1">
      <alignment horizontal="center" vertical="center" wrapText="1"/>
      <protection hidden="1"/>
    </xf>
    <xf numFmtId="43" fontId="35" fillId="0" borderId="58" xfId="0" quotePrefix="1" applyNumberFormat="1" applyFont="1" applyBorder="1" applyAlignment="1" applyProtection="1">
      <alignment horizontal="right" vertical="center" wrapText="1"/>
      <protection hidden="1"/>
    </xf>
    <xf numFmtId="170" fontId="35" fillId="0" borderId="58" xfId="0" applyNumberFormat="1" applyFont="1" applyBorder="1" applyAlignment="1" applyProtection="1">
      <alignment horizontal="center" vertical="center" wrapText="1"/>
      <protection hidden="1"/>
    </xf>
    <xf numFmtId="43" fontId="35" fillId="0" borderId="68" xfId="0" applyNumberFormat="1" applyFont="1" applyFill="1" applyBorder="1" applyAlignment="1" applyProtection="1">
      <alignment horizontal="center" vertical="center" wrapText="1"/>
      <protection hidden="1"/>
    </xf>
    <xf numFmtId="43" fontId="35" fillId="0" borderId="58" xfId="0" applyNumberFormat="1" applyFont="1" applyFill="1" applyBorder="1" applyAlignment="1" applyProtection="1">
      <alignment horizontal="center" vertical="center" wrapText="1"/>
      <protection hidden="1"/>
    </xf>
    <xf numFmtId="0" fontId="36" fillId="16" borderId="30" xfId="3" quotePrefix="1" applyFont="1" applyFill="1" applyBorder="1" applyAlignment="1" applyProtection="1">
      <alignment horizontal="left" vertical="center" wrapText="1"/>
      <protection hidden="1"/>
    </xf>
    <xf numFmtId="9" fontId="36" fillId="12" borderId="30" xfId="7" quotePrefix="1" applyFont="1" applyFill="1" applyBorder="1" applyAlignment="1" applyProtection="1">
      <alignment horizontal="center" vertical="center" wrapText="1"/>
      <protection hidden="1"/>
    </xf>
    <xf numFmtId="169" fontId="36" fillId="12" borderId="61" xfId="3" quotePrefix="1" applyNumberFormat="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27" fillId="0" borderId="0" xfId="3" applyFont="1" applyAlignment="1" applyProtection="1">
      <alignment horizontal="justify"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0" fontId="36" fillId="12" borderId="18" xfId="3" applyFont="1" applyFill="1" applyBorder="1" applyAlignment="1" applyProtection="1">
      <alignment horizontal="center" vertical="center" wrapText="1"/>
      <protection hidden="1"/>
    </xf>
    <xf numFmtId="0" fontId="36" fillId="12" borderId="71" xfId="3" applyFont="1" applyFill="1" applyBorder="1" applyAlignment="1" applyProtection="1">
      <alignment horizontal="center" vertical="center" wrapText="1"/>
      <protection hidden="1"/>
    </xf>
    <xf numFmtId="9" fontId="36" fillId="12" borderId="71" xfId="3" quotePrefix="1" applyNumberFormat="1" applyFont="1" applyFill="1" applyBorder="1" applyAlignment="1" applyProtection="1">
      <alignment horizontal="center" vertical="center" wrapText="1"/>
      <protection hidden="1"/>
    </xf>
    <xf numFmtId="43" fontId="35" fillId="17" borderId="53" xfId="8" applyFont="1" applyFill="1" applyBorder="1" applyAlignment="1" applyProtection="1">
      <alignment horizontal="center" vertical="center" wrapText="1"/>
      <protection hidden="1"/>
    </xf>
    <xf numFmtId="43" fontId="35" fillId="17" borderId="72" xfId="8" applyFont="1" applyFill="1" applyBorder="1" applyAlignment="1" applyProtection="1">
      <alignment horizontal="center" vertical="center" wrapText="1"/>
      <protection hidden="1"/>
    </xf>
    <xf numFmtId="43" fontId="35" fillId="13" borderId="32" xfId="8" applyFont="1" applyFill="1" applyBorder="1" applyAlignment="1" applyProtection="1">
      <alignment horizontal="center" vertical="center" wrapText="1"/>
      <protection hidden="1"/>
    </xf>
    <xf numFmtId="43" fontId="35" fillId="13" borderId="73" xfId="8" applyFont="1" applyFill="1" applyBorder="1" applyAlignment="1" applyProtection="1">
      <alignment horizontal="center" vertical="center" wrapText="1"/>
      <protection hidden="1"/>
    </xf>
    <xf numFmtId="43" fontId="35" fillId="13" borderId="74" xfId="8" applyFont="1" applyFill="1" applyBorder="1" applyAlignment="1" applyProtection="1">
      <alignment horizontal="center" vertical="center" wrapText="1"/>
      <protection hidden="1"/>
    </xf>
    <xf numFmtId="0" fontId="36" fillId="16" borderId="25" xfId="3" applyFont="1" applyFill="1" applyBorder="1" applyAlignment="1" applyProtection="1">
      <alignment vertical="center"/>
      <protection hidden="1"/>
    </xf>
    <xf numFmtId="43" fontId="35" fillId="0" borderId="58" xfId="0" quotePrefix="1" applyNumberFormat="1" applyFont="1" applyFill="1" applyBorder="1" applyAlignment="1" applyProtection="1">
      <alignment horizontal="center" vertical="center" wrapText="1"/>
      <protection hidden="1"/>
    </xf>
    <xf numFmtId="0" fontId="10" fillId="0" borderId="0" xfId="0" applyFont="1" applyBorder="1" applyAlignment="1" applyProtection="1">
      <alignment vertical="center"/>
      <protection hidden="1"/>
    </xf>
    <xf numFmtId="0" fontId="37" fillId="16" borderId="29" xfId="3" quotePrefix="1" applyFont="1" applyFill="1" applyBorder="1" applyAlignment="1" applyProtection="1">
      <alignment horizontal="left" vertical="center"/>
      <protection hidden="1"/>
    </xf>
    <xf numFmtId="0" fontId="36" fillId="24" borderId="76" xfId="3" applyFont="1" applyFill="1" applyBorder="1" applyAlignment="1" applyProtection="1">
      <alignment horizontal="center" vertical="center" wrapText="1"/>
      <protection hidden="1"/>
    </xf>
    <xf numFmtId="0" fontId="36" fillId="24" borderId="77" xfId="3" applyFont="1" applyFill="1" applyBorder="1" applyAlignment="1" applyProtection="1">
      <alignment horizontal="center" vertical="center" wrapText="1"/>
      <protection hidden="1"/>
    </xf>
    <xf numFmtId="168" fontId="48" fillId="24" borderId="68" xfId="3" quotePrefix="1" applyNumberFormat="1" applyFont="1" applyFill="1" applyBorder="1" applyAlignment="1" applyProtection="1">
      <alignment horizontal="center" vertical="center" wrapText="1"/>
      <protection hidden="1"/>
    </xf>
    <xf numFmtId="9" fontId="48" fillId="24" borderId="25" xfId="7" applyFont="1" applyFill="1" applyBorder="1" applyAlignment="1" applyProtection="1">
      <alignment horizontal="center" vertical="center" wrapText="1"/>
      <protection hidden="1"/>
    </xf>
    <xf numFmtId="0" fontId="36" fillId="24" borderId="68" xfId="3" applyFont="1" applyFill="1" applyBorder="1" applyAlignment="1" applyProtection="1">
      <alignment horizontal="center" vertical="center" wrapText="1"/>
      <protection hidden="1"/>
    </xf>
    <xf numFmtId="0" fontId="36" fillId="24" borderId="25" xfId="3" applyFont="1" applyFill="1" applyBorder="1" applyAlignment="1" applyProtection="1">
      <alignment horizontal="center" vertical="center" wrapText="1"/>
      <protection hidden="1"/>
    </xf>
    <xf numFmtId="0" fontId="35" fillId="0" borderId="57" xfId="0" applyFont="1" applyBorder="1" applyAlignment="1" applyProtection="1">
      <alignment horizontal="left" vertical="center" wrapText="1"/>
      <protection hidden="1"/>
    </xf>
    <xf numFmtId="43" fontId="35" fillId="0" borderId="30" xfId="8" quotePrefix="1" applyFont="1" applyFill="1" applyBorder="1" applyAlignment="1" applyProtection="1">
      <alignment horizontal="center" vertical="center" wrapText="1"/>
      <protection hidden="1"/>
    </xf>
    <xf numFmtId="0" fontId="35" fillId="17" borderId="57" xfId="0" applyFont="1" applyFill="1" applyBorder="1" applyAlignment="1" applyProtection="1">
      <alignment horizontal="left" vertical="center" wrapText="1"/>
      <protection hidden="1"/>
    </xf>
    <xf numFmtId="0" fontId="35" fillId="17" borderId="67" xfId="0" applyFont="1" applyFill="1" applyBorder="1" applyAlignment="1" applyProtection="1">
      <alignment horizontal="left" vertical="center" wrapText="1"/>
      <protection hidden="1"/>
    </xf>
    <xf numFmtId="0" fontId="49" fillId="0" borderId="0" xfId="0" applyFont="1" applyFill="1" applyBorder="1" applyAlignment="1" applyProtection="1">
      <alignment horizontal="left" vertical="center" wrapText="1"/>
      <protection hidden="1"/>
    </xf>
    <xf numFmtId="43" fontId="49" fillId="0" borderId="0" xfId="8" applyFont="1" applyFill="1" applyBorder="1" applyAlignment="1" applyProtection="1">
      <alignment vertical="center" wrapText="1"/>
      <protection hidden="1"/>
    </xf>
    <xf numFmtId="0" fontId="39" fillId="0" borderId="0" xfId="3" applyFont="1" applyFill="1" applyAlignment="1" applyProtection="1">
      <alignment vertical="center"/>
      <protection hidden="1"/>
    </xf>
    <xf numFmtId="0" fontId="35" fillId="0" borderId="0" xfId="3" quotePrefix="1" applyFont="1" applyFill="1" applyAlignment="1" applyProtection="1">
      <alignment horizontal="right" vertical="center"/>
      <protection hidden="1"/>
    </xf>
    <xf numFmtId="0" fontId="50" fillId="0" borderId="0" xfId="0" applyFont="1" applyAlignment="1" applyProtection="1">
      <alignment horizontal="centerContinuous" vertical="center"/>
      <protection hidden="1"/>
    </xf>
    <xf numFmtId="0" fontId="51" fillId="0" borderId="0" xfId="0" applyFont="1" applyAlignment="1" applyProtection="1">
      <alignment vertical="center"/>
      <protection hidden="1"/>
    </xf>
    <xf numFmtId="0" fontId="52" fillId="0" borderId="0" xfId="0" applyFont="1" applyAlignment="1" applyProtection="1">
      <alignment vertical="center"/>
      <protection hidden="1"/>
    </xf>
    <xf numFmtId="0" fontId="50" fillId="0" borderId="0" xfId="0" quotePrefix="1" applyFont="1" applyAlignment="1" applyProtection="1">
      <alignment horizontal="left" vertical="center"/>
      <protection hidden="1"/>
    </xf>
    <xf numFmtId="4" fontId="50" fillId="0" borderId="0" xfId="10" applyNumberFormat="1" applyFont="1" applyFill="1" applyBorder="1" applyAlignment="1" applyProtection="1">
      <alignment horizontal="center" vertical="center"/>
      <protection hidden="1"/>
    </xf>
    <xf numFmtId="0" fontId="54" fillId="0" borderId="0" xfId="2" applyFont="1" applyFill="1" applyBorder="1" applyAlignment="1" applyProtection="1">
      <alignment vertical="center"/>
      <protection hidden="1"/>
    </xf>
    <xf numFmtId="0" fontId="54" fillId="0" borderId="0" xfId="2" applyFont="1" applyFill="1" applyBorder="1" applyAlignment="1" applyProtection="1">
      <alignment vertical="center" wrapText="1"/>
      <protection hidden="1"/>
    </xf>
    <xf numFmtId="0" fontId="55" fillId="0" borderId="0" xfId="0" applyFont="1" applyFill="1" applyAlignment="1" applyProtection="1">
      <alignment vertical="center"/>
      <protection hidden="1"/>
    </xf>
    <xf numFmtId="4" fontId="56" fillId="0" borderId="0" xfId="10" applyNumberFormat="1" applyFont="1" applyFill="1" applyBorder="1" applyAlignment="1" applyProtection="1">
      <alignment horizontal="center" vertical="center"/>
      <protection hidden="1"/>
    </xf>
    <xf numFmtId="0" fontId="56" fillId="0" borderId="0" xfId="0" applyFont="1" applyAlignment="1" applyProtection="1">
      <alignment horizontal="center" vertical="center"/>
      <protection hidden="1"/>
    </xf>
    <xf numFmtId="0" fontId="56" fillId="0" borderId="0" xfId="0" applyFont="1" applyAlignment="1" applyProtection="1">
      <alignment vertical="center"/>
      <protection hidden="1"/>
    </xf>
    <xf numFmtId="0" fontId="57" fillId="0" borderId="0" xfId="0" applyFont="1" applyAlignment="1" applyProtection="1">
      <alignment horizontal="left" vertical="center"/>
      <protection hidden="1"/>
    </xf>
    <xf numFmtId="0" fontId="57" fillId="0" borderId="0" xfId="0" applyFont="1" applyAlignment="1" applyProtection="1">
      <alignment vertical="center"/>
      <protection hidden="1"/>
    </xf>
    <xf numFmtId="0" fontId="58" fillId="0" borderId="0" xfId="2" applyFont="1" applyFill="1" applyBorder="1" applyAlignment="1" applyProtection="1">
      <alignment vertical="center"/>
      <protection hidden="1"/>
    </xf>
    <xf numFmtId="2" fontId="50" fillId="0" borderId="30" xfId="0" applyNumberFormat="1" applyFont="1" applyFill="1" applyBorder="1" applyAlignment="1" applyProtection="1">
      <alignment vertical="center"/>
      <protection hidden="1"/>
    </xf>
    <xf numFmtId="2" fontId="50" fillId="0" borderId="24" xfId="0" applyNumberFormat="1" applyFont="1" applyFill="1" applyBorder="1" applyAlignment="1" applyProtection="1">
      <alignment horizontal="center" vertical="center"/>
      <protection hidden="1"/>
    </xf>
    <xf numFmtId="4" fontId="50" fillId="0" borderId="24" xfId="0" applyNumberFormat="1" applyFont="1" applyFill="1" applyBorder="1" applyAlignment="1" applyProtection="1">
      <alignment horizontal="center" vertical="center"/>
      <protection hidden="1"/>
    </xf>
    <xf numFmtId="4" fontId="50" fillId="0" borderId="25" xfId="0" applyNumberFormat="1" applyFont="1" applyFill="1" applyBorder="1" applyAlignment="1" applyProtection="1">
      <alignment horizontal="center" vertical="center"/>
      <protection hidden="1"/>
    </xf>
    <xf numFmtId="4" fontId="50" fillId="0" borderId="24" xfId="0" quotePrefix="1" applyNumberFormat="1" applyFont="1" applyFill="1" applyBorder="1" applyAlignment="1" applyProtection="1">
      <alignment horizontal="center" vertical="center"/>
      <protection hidden="1"/>
    </xf>
    <xf numFmtId="4" fontId="50" fillId="0" borderId="25" xfId="0" quotePrefix="1" applyNumberFormat="1" applyFont="1" applyFill="1" applyBorder="1" applyAlignment="1" applyProtection="1">
      <alignment horizontal="center" vertical="center"/>
      <protection hidden="1"/>
    </xf>
    <xf numFmtId="2" fontId="50" fillId="0" borderId="30" xfId="0" applyNumberFormat="1" applyFont="1" applyBorder="1" applyAlignment="1" applyProtection="1">
      <alignment horizontal="left" vertical="center"/>
      <protection hidden="1"/>
    </xf>
    <xf numFmtId="3" fontId="50" fillId="0" borderId="24" xfId="0" quotePrefix="1" applyNumberFormat="1" applyFont="1" applyFill="1" applyBorder="1" applyAlignment="1" applyProtection="1">
      <alignment horizontal="center" vertical="center"/>
      <protection hidden="1"/>
    </xf>
    <xf numFmtId="3" fontId="50" fillId="0" borderId="25" xfId="0" quotePrefix="1" applyNumberFormat="1" applyFont="1" applyFill="1" applyBorder="1" applyAlignment="1" applyProtection="1">
      <alignment horizontal="center" vertical="center"/>
      <protection hidden="1"/>
    </xf>
    <xf numFmtId="2" fontId="50" fillId="0" borderId="30" xfId="0" applyNumberFormat="1" applyFont="1" applyBorder="1" applyAlignment="1" applyProtection="1">
      <alignment vertical="center"/>
      <protection hidden="1"/>
    </xf>
    <xf numFmtId="2" fontId="50" fillId="0" borderId="31" xfId="0" applyNumberFormat="1" applyFont="1" applyBorder="1" applyAlignment="1" applyProtection="1">
      <alignment horizontal="left" vertical="center"/>
      <protection hidden="1"/>
    </xf>
    <xf numFmtId="3" fontId="50" fillId="0" borderId="27" xfId="0" quotePrefix="1" applyNumberFormat="1" applyFont="1" applyFill="1" applyBorder="1" applyAlignment="1" applyProtection="1">
      <alignment horizontal="center" vertical="center"/>
      <protection hidden="1"/>
    </xf>
    <xf numFmtId="3" fontId="50" fillId="0" borderId="28" xfId="0" quotePrefix="1" applyNumberFormat="1" applyFont="1" applyFill="1" applyBorder="1" applyAlignment="1" applyProtection="1">
      <alignment horizontal="center" vertical="center"/>
      <protection hidden="1"/>
    </xf>
    <xf numFmtId="43" fontId="35" fillId="13" borderId="35" xfId="8" applyFont="1" applyFill="1" applyBorder="1" applyAlignment="1" applyProtection="1">
      <alignment horizontal="center" vertical="center" wrapText="1"/>
      <protection hidden="1"/>
    </xf>
    <xf numFmtId="43" fontId="35" fillId="17" borderId="79" xfId="8" applyFont="1" applyFill="1" applyBorder="1" applyAlignment="1" applyProtection="1">
      <alignment horizontal="center" vertical="center" wrapText="1"/>
      <protection hidden="1"/>
    </xf>
    <xf numFmtId="43" fontId="35" fillId="13" borderId="23" xfId="8" applyFont="1" applyFill="1" applyBorder="1" applyAlignment="1" applyProtection="1">
      <alignment horizontal="center" vertical="center" wrapText="1"/>
      <protection hidden="1"/>
    </xf>
    <xf numFmtId="165" fontId="35" fillId="17" borderId="57" xfId="0" applyNumberFormat="1" applyFont="1" applyFill="1" applyBorder="1" applyAlignment="1" applyProtection="1">
      <alignment horizontal="center" vertical="center" wrapText="1"/>
      <protection hidden="1"/>
    </xf>
    <xf numFmtId="43" fontId="35" fillId="0" borderId="30" xfId="0" applyNumberFormat="1" applyFont="1" applyBorder="1" applyAlignment="1" applyProtection="1">
      <alignment horizontal="right" vertical="center" wrapText="1"/>
      <protection hidden="1"/>
    </xf>
    <xf numFmtId="2" fontId="59" fillId="8" borderId="1" xfId="0" applyNumberFormat="1" applyFont="1" applyFill="1" applyBorder="1"/>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60" fillId="0" borderId="0" xfId="0" applyFont="1"/>
    <xf numFmtId="0" fontId="61" fillId="0" borderId="0" xfId="0" applyFont="1"/>
    <xf numFmtId="0" fontId="0" fillId="0" borderId="0" xfId="0" applyFont="1" applyFill="1" applyBorder="1"/>
    <xf numFmtId="0" fontId="0" fillId="0" borderId="0" xfId="0" applyAlignment="1">
      <alignment horizontal="center"/>
    </xf>
    <xf numFmtId="0" fontId="0" fillId="0" borderId="0" xfId="0" applyAlignment="1">
      <alignment horizontal="center" vertical="center"/>
    </xf>
    <xf numFmtId="0" fontId="62" fillId="0" borderId="0" xfId="0" applyFont="1"/>
    <xf numFmtId="10" fontId="63" fillId="8" borderId="1" xfId="0" applyNumberFormat="1" applyFont="1" applyFill="1" applyBorder="1" applyAlignment="1">
      <alignment horizontal="center"/>
    </xf>
    <xf numFmtId="0" fontId="63" fillId="8" borderId="1" xfId="0" applyFont="1" applyFill="1" applyBorder="1" applyAlignment="1">
      <alignment horizontal="center"/>
    </xf>
    <xf numFmtId="0" fontId="64" fillId="6" borderId="1" xfId="0" applyFont="1" applyFill="1" applyBorder="1" applyAlignment="1">
      <alignment horizontal="center"/>
    </xf>
    <xf numFmtId="164" fontId="0" fillId="5" borderId="1" xfId="1" applyNumberFormat="1" applyFont="1" applyFill="1" applyBorder="1" applyAlignment="1">
      <alignment horizontal="center" vertical="center"/>
    </xf>
    <xf numFmtId="164" fontId="66" fillId="5" borderId="1" xfId="1" applyNumberFormat="1" applyFont="1" applyFill="1" applyBorder="1" applyAlignment="1">
      <alignment horizontal="center" vertical="center" wrapText="1"/>
    </xf>
    <xf numFmtId="0" fontId="67" fillId="0" borderId="0" xfId="0" applyFont="1" applyFill="1" applyBorder="1"/>
    <xf numFmtId="0" fontId="67" fillId="0" borderId="0" xfId="0" applyNumberFormat="1" applyFont="1" applyFill="1" applyBorder="1"/>
    <xf numFmtId="4" fontId="67" fillId="0" borderId="0" xfId="0" applyNumberFormat="1" applyFont="1" applyFill="1" applyBorder="1"/>
    <xf numFmtId="171" fontId="67" fillId="0" borderId="0" xfId="0" applyNumberFormat="1" applyFont="1" applyFill="1" applyBorder="1"/>
    <xf numFmtId="171" fontId="67" fillId="3" borderId="0" xfId="0" applyNumberFormat="1" applyFont="1" applyFill="1" applyBorder="1"/>
    <xf numFmtId="0" fontId="68" fillId="3" borderId="0" xfId="0" applyNumberFormat="1" applyFont="1" applyFill="1"/>
    <xf numFmtId="43" fontId="67" fillId="0" borderId="0" xfId="0" applyNumberFormat="1" applyFont="1" applyFill="1" applyBorder="1"/>
    <xf numFmtId="164" fontId="0" fillId="0" borderId="1" xfId="1" applyNumberFormat="1" applyFont="1" applyFill="1" applyBorder="1"/>
    <xf numFmtId="0" fontId="65" fillId="0" borderId="1" xfId="0" applyFont="1" applyBorder="1"/>
    <xf numFmtId="164" fontId="0" fillId="5" borderId="1" xfId="1" applyNumberFormat="1" applyFont="1" applyFill="1" applyBorder="1"/>
    <xf numFmtId="164" fontId="66" fillId="3" borderId="1" xfId="1" applyNumberFormat="1" applyFont="1" applyFill="1" applyBorder="1" applyAlignment="1">
      <alignment horizontal="center" vertical="center" wrapText="1"/>
    </xf>
    <xf numFmtId="164" fontId="0" fillId="5" borderId="1" xfId="1" applyNumberFormat="1" applyFont="1" applyFill="1" applyBorder="1" applyAlignment="1">
      <alignment horizontal="center" vertical="center" wrapText="1"/>
    </xf>
    <xf numFmtId="0" fontId="65" fillId="0" borderId="1" xfId="0" applyFont="1" applyBorder="1" applyAlignment="1">
      <alignment horizontal="right"/>
    </xf>
    <xf numFmtId="0" fontId="67" fillId="8" borderId="0" xfId="0" applyFont="1" applyFill="1" applyBorder="1"/>
    <xf numFmtId="43" fontId="67" fillId="8" borderId="0" xfId="0" applyNumberFormat="1" applyFont="1" applyFill="1" applyBorder="1"/>
    <xf numFmtId="0" fontId="68" fillId="8" borderId="0" xfId="0" applyNumberFormat="1" applyFont="1" applyFill="1" applyAlignment="1">
      <alignment horizontal="center"/>
    </xf>
    <xf numFmtId="0" fontId="67" fillId="8" borderId="0" xfId="0" applyNumberFormat="1" applyFont="1" applyFill="1" applyBorder="1"/>
    <xf numFmtId="171" fontId="67" fillId="8" borderId="0" xfId="0" applyNumberFormat="1" applyFont="1" applyFill="1" applyBorder="1"/>
    <xf numFmtId="0" fontId="68" fillId="8" borderId="0" xfId="0" applyNumberFormat="1" applyFont="1" applyFill="1"/>
    <xf numFmtId="4" fontId="67" fillId="8" borderId="0" xfId="0" applyNumberFormat="1" applyFont="1" applyFill="1" applyBorder="1"/>
    <xf numFmtId="0" fontId="0" fillId="26" borderId="1" xfId="0" applyFill="1" applyBorder="1" applyAlignment="1">
      <alignment horizontal="center"/>
    </xf>
    <xf numFmtId="0" fontId="67" fillId="3" borderId="0" xfId="0" applyFont="1" applyFill="1" applyBorder="1"/>
    <xf numFmtId="4" fontId="69" fillId="0" borderId="0" xfId="0" applyNumberFormat="1" applyFont="1" applyFill="1" applyBorder="1"/>
    <xf numFmtId="0" fontId="13" fillId="12" borderId="57" xfId="0" quotePrefix="1" applyFont="1" applyFill="1" applyBorder="1" applyAlignment="1" applyProtection="1">
      <alignment horizontal="center" vertical="center" wrapText="1"/>
      <protection hidden="1"/>
    </xf>
    <xf numFmtId="0" fontId="13" fillId="24" borderId="25" xfId="0" quotePrefix="1" applyFont="1" applyFill="1" applyBorder="1" applyAlignment="1" applyProtection="1">
      <alignment horizontal="center" vertical="center" wrapText="1"/>
      <protection hidden="1"/>
    </xf>
    <xf numFmtId="9" fontId="13" fillId="12" borderId="57" xfId="0" quotePrefix="1" applyNumberFormat="1" applyFont="1" applyFill="1" applyBorder="1" applyAlignment="1" applyProtection="1">
      <alignment horizontal="center" vertical="center" wrapText="1"/>
      <protection hidden="1"/>
    </xf>
    <xf numFmtId="9" fontId="13" fillId="24" borderId="25" xfId="0" quotePrefix="1" applyNumberFormat="1" applyFont="1" applyFill="1" applyBorder="1" applyAlignment="1" applyProtection="1">
      <alignment horizontal="center" vertical="center" wrapText="1"/>
      <protection hidden="1"/>
    </xf>
    <xf numFmtId="15" fontId="14" fillId="12" borderId="67" xfId="0" quotePrefix="1" applyNumberFormat="1" applyFont="1" applyFill="1" applyBorder="1" applyAlignment="1" applyProtection="1">
      <alignment horizontal="center" vertical="center" wrapText="1"/>
      <protection hidden="1"/>
    </xf>
    <xf numFmtId="43" fontId="18" fillId="0" borderId="20" xfId="4" applyFont="1" applyFill="1" applyBorder="1" applyAlignment="1" applyProtection="1">
      <alignment vertical="center" wrapText="1"/>
      <protection hidden="1"/>
    </xf>
    <xf numFmtId="43" fontId="18" fillId="0" borderId="78" xfId="4" applyFont="1" applyFill="1" applyBorder="1" applyAlignment="1" applyProtection="1">
      <alignment vertical="center" wrapText="1"/>
      <protection hidden="1"/>
    </xf>
    <xf numFmtId="43" fontId="18" fillId="0" borderId="56" xfId="4" applyFont="1" applyFill="1" applyBorder="1" applyAlignment="1" applyProtection="1">
      <alignment vertical="center" wrapText="1"/>
      <protection hidden="1"/>
    </xf>
    <xf numFmtId="43" fontId="18" fillId="0" borderId="57" xfId="4" applyFont="1" applyFill="1" applyBorder="1" applyAlignment="1" applyProtection="1">
      <alignment vertical="center" wrapText="1"/>
      <protection hidden="1"/>
    </xf>
    <xf numFmtId="43" fontId="18" fillId="0" borderId="57" xfId="4" applyFont="1" applyFill="1" applyBorder="1" applyAlignment="1" applyProtection="1">
      <alignment horizontal="right" vertical="center" wrapText="1"/>
      <protection hidden="1"/>
    </xf>
    <xf numFmtId="43" fontId="18" fillId="0" borderId="61" xfId="4" applyFont="1" applyFill="1" applyBorder="1" applyAlignment="1" applyProtection="1">
      <alignment vertical="center" wrapText="1"/>
      <protection hidden="1"/>
    </xf>
    <xf numFmtId="43" fontId="18" fillId="0" borderId="57" xfId="4" applyFont="1" applyFill="1" applyBorder="1" applyAlignment="1" applyProtection="1">
      <alignment horizontal="center" vertical="center" wrapText="1"/>
      <protection hidden="1"/>
    </xf>
    <xf numFmtId="43" fontId="18" fillId="0" borderId="61" xfId="4" applyFont="1" applyFill="1" applyBorder="1" applyAlignment="1" applyProtection="1">
      <alignment horizontal="center" vertical="center" wrapText="1"/>
      <protection hidden="1"/>
    </xf>
    <xf numFmtId="43" fontId="18" fillId="0" borderId="61" xfId="4" applyFont="1" applyFill="1" applyBorder="1" applyAlignment="1" applyProtection="1">
      <alignment horizontal="right" vertical="center" wrapText="1"/>
      <protection hidden="1"/>
    </xf>
    <xf numFmtId="43" fontId="23" fillId="0" borderId="57" xfId="4" applyFont="1" applyFill="1" applyBorder="1" applyAlignment="1" applyProtection="1">
      <alignment vertical="center" wrapText="1"/>
      <protection hidden="1"/>
    </xf>
    <xf numFmtId="43" fontId="23" fillId="0" borderId="61" xfId="4" applyFont="1" applyFill="1" applyBorder="1" applyAlignment="1" applyProtection="1">
      <alignment vertical="center" wrapText="1"/>
      <protection hidden="1"/>
    </xf>
    <xf numFmtId="2" fontId="18" fillId="0" borderId="57" xfId="0" quotePrefix="1" applyNumberFormat="1" applyFont="1" applyFill="1" applyBorder="1" applyAlignment="1" applyProtection="1">
      <alignment horizontal="right" vertical="center" wrapText="1"/>
      <protection hidden="1"/>
    </xf>
    <xf numFmtId="2" fontId="18" fillId="0" borderId="61" xfId="0" quotePrefix="1" applyNumberFormat="1" applyFont="1" applyFill="1" applyBorder="1" applyAlignment="1" applyProtection="1">
      <alignment horizontal="right" vertical="center" wrapText="1"/>
      <protection hidden="1"/>
    </xf>
    <xf numFmtId="43" fontId="18" fillId="0" borderId="67" xfId="4" applyFont="1" applyFill="1" applyBorder="1" applyAlignment="1" applyProtection="1">
      <alignment horizontal="right" vertical="center" wrapText="1"/>
      <protection hidden="1"/>
    </xf>
    <xf numFmtId="0" fontId="68" fillId="22" borderId="0" xfId="0" applyNumberFormat="1" applyFont="1" applyFill="1"/>
    <xf numFmtId="0" fontId="36" fillId="12" borderId="24" xfId="3" applyFont="1" applyFill="1" applyBorder="1" applyAlignment="1" applyProtection="1">
      <alignment horizontal="center" vertical="center" wrapText="1"/>
      <protection hidden="1"/>
    </xf>
    <xf numFmtId="9" fontId="36" fillId="12" borderId="24" xfId="7" applyFont="1" applyFill="1" applyBorder="1" applyAlignment="1" applyProtection="1">
      <alignment horizontal="center" vertical="center" wrapText="1"/>
      <protection hidden="1"/>
    </xf>
    <xf numFmtId="9" fontId="36" fillId="12" borderId="25" xfId="7" applyFont="1" applyFill="1" applyBorder="1" applyAlignment="1" applyProtection="1">
      <alignment horizontal="center" vertical="center" wrapText="1"/>
      <protection hidden="1"/>
    </xf>
    <xf numFmtId="9" fontId="36" fillId="12" borderId="24" xfId="3" applyNumberFormat="1" applyFont="1" applyFill="1" applyBorder="1" applyAlignment="1" applyProtection="1">
      <alignment horizontal="center" vertical="center" wrapText="1"/>
      <protection hidden="1"/>
    </xf>
    <xf numFmtId="164" fontId="0" fillId="0" borderId="0" xfId="1" applyNumberFormat="1" applyFont="1"/>
    <xf numFmtId="0" fontId="70" fillId="19" borderId="0" xfId="0" applyFont="1" applyFill="1" applyBorder="1"/>
    <xf numFmtId="0" fontId="71" fillId="19" borderId="0" xfId="0" applyFont="1" applyFill="1" applyBorder="1"/>
    <xf numFmtId="0" fontId="0" fillId="0" borderId="1" xfId="0" applyBorder="1" applyAlignment="1">
      <alignment horizontal="center" vertical="center" wrapText="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43" fontId="35" fillId="17" borderId="81" xfId="8" applyFont="1" applyFill="1" applyBorder="1" applyAlignment="1" applyProtection="1">
      <alignment horizontal="center" vertical="center" wrapText="1"/>
      <protection hidden="1"/>
    </xf>
    <xf numFmtId="43" fontId="35" fillId="17" borderId="82" xfId="8" applyFont="1" applyFill="1" applyBorder="1" applyAlignment="1" applyProtection="1">
      <alignment horizontal="center" vertical="center" wrapText="1"/>
      <protection hidden="1"/>
    </xf>
    <xf numFmtId="43" fontId="35" fillId="17" borderId="83" xfId="8" applyFont="1" applyFill="1" applyBorder="1" applyAlignment="1" applyProtection="1">
      <alignment horizontal="center" vertical="center" wrapText="1"/>
      <protection hidden="1"/>
    </xf>
    <xf numFmtId="164" fontId="73" fillId="19" borderId="1" xfId="1" applyNumberFormat="1" applyFont="1" applyFill="1" applyBorder="1"/>
    <xf numFmtId="43" fontId="69" fillId="0" borderId="0" xfId="0" applyNumberFormat="1" applyFont="1" applyFill="1" applyBorder="1"/>
    <xf numFmtId="0" fontId="69" fillId="0" borderId="0" xfId="0" applyFont="1" applyFill="1" applyBorder="1"/>
    <xf numFmtId="0" fontId="74" fillId="3" borderId="0" xfId="0" applyNumberFormat="1" applyFont="1" applyFill="1"/>
    <xf numFmtId="0" fontId="69" fillId="0" borderId="0" xfId="0" applyNumberFormat="1" applyFont="1" applyFill="1" applyBorder="1"/>
    <xf numFmtId="171" fontId="69" fillId="3" borderId="0" xfId="0" applyNumberFormat="1" applyFont="1" applyFill="1" applyBorder="1"/>
    <xf numFmtId="0" fontId="73" fillId="0" borderId="1" xfId="0" applyFont="1" applyBorder="1"/>
    <xf numFmtId="2" fontId="73" fillId="0" borderId="1" xfId="0" applyNumberFormat="1" applyFont="1" applyBorder="1"/>
    <xf numFmtId="43" fontId="67" fillId="3" borderId="0" xfId="0" applyNumberFormat="1" applyFont="1" applyFill="1" applyBorder="1"/>
    <xf numFmtId="0" fontId="67" fillId="3" borderId="0" xfId="0" applyNumberFormat="1" applyFont="1" applyFill="1" applyBorder="1"/>
    <xf numFmtId="4" fontId="67" fillId="3" borderId="0" xfId="0" applyNumberFormat="1" applyFont="1" applyFill="1" applyBorder="1"/>
    <xf numFmtId="0" fontId="15" fillId="3" borderId="0" xfId="0" applyFont="1" applyFill="1" applyBorder="1" applyAlignment="1" applyProtection="1">
      <alignment vertical="center"/>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75" fillId="3" borderId="0" xfId="0" applyFont="1" applyFill="1" applyAlignment="1">
      <alignment horizontal="right"/>
    </xf>
    <xf numFmtId="0" fontId="36" fillId="0" borderId="0" xfId="3" applyFont="1" applyFill="1" applyAlignment="1" applyProtection="1">
      <alignment horizontal="left" vertical="center"/>
      <protection hidden="1"/>
    </xf>
    <xf numFmtId="4" fontId="69" fillId="3" borderId="0" xfId="0" applyNumberFormat="1" applyFont="1" applyFill="1" applyBorder="1"/>
    <xf numFmtId="0" fontId="0" fillId="3" borderId="0" xfId="0" applyFill="1"/>
    <xf numFmtId="0" fontId="33" fillId="3" borderId="0" xfId="0" applyFont="1" applyFill="1"/>
    <xf numFmtId="0" fontId="76" fillId="14" borderId="44" xfId="0" applyFont="1" applyFill="1" applyBorder="1" applyAlignment="1" applyProtection="1">
      <alignment horizontal="center" vertical="center" wrapText="1"/>
      <protection hidden="1"/>
    </xf>
    <xf numFmtId="9" fontId="77" fillId="14" borderId="44" xfId="0" quotePrefix="1" applyNumberFormat="1" applyFont="1" applyFill="1" applyBorder="1" applyAlignment="1" applyProtection="1">
      <alignment horizontal="center" vertical="center" wrapText="1"/>
      <protection hidden="1"/>
    </xf>
    <xf numFmtId="15" fontId="77" fillId="14" borderId="49" xfId="0" quotePrefix="1" applyNumberFormat="1" applyFont="1" applyFill="1" applyBorder="1" applyAlignment="1" applyProtection="1">
      <alignment horizontal="center" vertical="center" wrapText="1"/>
      <protection hidden="1"/>
    </xf>
    <xf numFmtId="43" fontId="76" fillId="15" borderId="44" xfId="4" applyFont="1" applyFill="1" applyBorder="1" applyAlignment="1" applyProtection="1">
      <alignment horizontal="center" vertical="center" wrapText="1"/>
      <protection hidden="1"/>
    </xf>
    <xf numFmtId="167" fontId="76" fillId="15" borderId="44" xfId="4" applyNumberFormat="1" applyFont="1" applyFill="1" applyBorder="1" applyAlignment="1" applyProtection="1">
      <alignment horizontal="center" vertical="center" wrapText="1"/>
      <protection hidden="1"/>
    </xf>
    <xf numFmtId="43" fontId="76" fillId="15" borderId="49" xfId="4" applyFont="1" applyFill="1" applyBorder="1" applyAlignment="1" applyProtection="1">
      <alignment horizontal="center" vertical="center" wrapText="1"/>
      <protection hidden="1"/>
    </xf>
    <xf numFmtId="0" fontId="33" fillId="27" borderId="0" xfId="0" applyFont="1" applyFill="1"/>
    <xf numFmtId="0" fontId="78" fillId="19" borderId="0" xfId="0" applyFont="1" applyFill="1" applyBorder="1"/>
    <xf numFmtId="0" fontId="67" fillId="7" borderId="0" xfId="0" applyFont="1" applyFill="1" applyBorder="1"/>
    <xf numFmtId="172" fontId="51" fillId="0" borderId="0" xfId="0" applyNumberFormat="1" applyFont="1" applyAlignment="1" applyProtection="1">
      <alignment vertical="center"/>
      <protection hidden="1"/>
    </xf>
    <xf numFmtId="166" fontId="19" fillId="0" borderId="20" xfId="4" applyNumberFormat="1" applyFont="1" applyFill="1" applyBorder="1" applyAlignment="1" applyProtection="1">
      <alignment horizontal="center" vertical="center" wrapText="1"/>
      <protection hidden="1"/>
    </xf>
    <xf numFmtId="0" fontId="0" fillId="0" borderId="1" xfId="0" applyBorder="1" applyAlignment="1">
      <alignment horizontal="center" vertical="center" wrapText="1"/>
    </xf>
    <xf numFmtId="2" fontId="0" fillId="0" borderId="1" xfId="0" applyNumberFormat="1" applyFill="1" applyBorder="1"/>
    <xf numFmtId="0" fontId="0" fillId="28" borderId="1" xfId="0" applyFill="1" applyBorder="1" applyAlignment="1">
      <alignment horizontal="center" vertical="center" wrapText="1"/>
    </xf>
    <xf numFmtId="2" fontId="0" fillId="28" borderId="1" xfId="0" applyNumberFormat="1" applyFill="1" applyBorder="1"/>
    <xf numFmtId="0" fontId="0" fillId="28" borderId="0" xfId="0" applyFill="1"/>
    <xf numFmtId="9" fontId="0" fillId="28" borderId="0" xfId="0" applyNumberFormat="1" applyFill="1" applyAlignment="1">
      <alignment horizontal="center"/>
    </xf>
    <xf numFmtId="2" fontId="59" fillId="0" borderId="1" xfId="0" applyNumberFormat="1" applyFont="1" applyFill="1" applyBorder="1"/>
    <xf numFmtId="10" fontId="0" fillId="28" borderId="1" xfId="0" applyNumberFormat="1" applyFill="1" applyBorder="1"/>
    <xf numFmtId="0" fontId="73" fillId="0" borderId="0" xfId="0" applyFont="1"/>
    <xf numFmtId="2" fontId="33" fillId="0" borderId="0" xfId="0" applyNumberFormat="1" applyFont="1"/>
    <xf numFmtId="0" fontId="0" fillId="28" borderId="11" xfId="0" applyFill="1" applyBorder="1" applyAlignment="1">
      <alignment horizontal="center" vertic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11" xfId="0" applyBorder="1" applyAlignment="1">
      <alignment horizontal="center" vertic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11" xfId="0" applyBorder="1" applyAlignment="1">
      <alignment horizontal="center" vertical="center" wrapText="1"/>
    </xf>
    <xf numFmtId="2" fontId="0" fillId="7" borderId="2" xfId="0" applyNumberFormat="1" applyFill="1" applyBorder="1"/>
    <xf numFmtId="2" fontId="0" fillId="28" borderId="11" xfId="0" applyNumberFormat="1" applyFill="1" applyBorder="1"/>
    <xf numFmtId="0" fontId="0" fillId="0" borderId="88" xfId="0" applyBorder="1" applyAlignment="1">
      <alignment horizontal="center" vertical="center" wrapText="1"/>
    </xf>
    <xf numFmtId="0" fontId="0" fillId="0" borderId="89" xfId="0" applyBorder="1" applyAlignment="1">
      <alignment horizontal="center" vertical="center" wrapText="1"/>
    </xf>
    <xf numFmtId="2" fontId="0" fillId="7" borderId="88" xfId="0" applyNumberFormat="1" applyFill="1" applyBorder="1"/>
    <xf numFmtId="2" fontId="0" fillId="7" borderId="89" xfId="0" applyNumberFormat="1" applyFill="1" applyBorder="1"/>
    <xf numFmtId="2" fontId="0" fillId="7" borderId="90" xfId="0" applyNumberFormat="1" applyFill="1" applyBorder="1"/>
    <xf numFmtId="2" fontId="0" fillId="7" borderId="91" xfId="0" applyNumberFormat="1" applyFill="1" applyBorder="1"/>
    <xf numFmtId="2" fontId="0" fillId="7" borderId="92" xfId="0" applyNumberFormat="1" applyFill="1" applyBorder="1"/>
    <xf numFmtId="2" fontId="0" fillId="6" borderId="2" xfId="0" applyNumberFormat="1" applyFill="1" applyBorder="1"/>
    <xf numFmtId="2" fontId="0" fillId="7" borderId="11" xfId="0" applyNumberFormat="1" applyFill="1" applyBorder="1"/>
    <xf numFmtId="2" fontId="0" fillId="3" borderId="88" xfId="0" applyNumberFormat="1" applyFill="1" applyBorder="1"/>
    <xf numFmtId="2" fontId="0" fillId="3" borderId="89" xfId="0" applyNumberFormat="1" applyFill="1" applyBorder="1"/>
    <xf numFmtId="2" fontId="0" fillId="3" borderId="90" xfId="0" applyNumberFormat="1" applyFill="1" applyBorder="1"/>
    <xf numFmtId="2" fontId="0" fillId="3" borderId="91" xfId="0" applyNumberFormat="1" applyFill="1" applyBorder="1"/>
    <xf numFmtId="2" fontId="0" fillId="3" borderId="92" xfId="0" applyNumberFormat="1" applyFill="1" applyBorder="1"/>
    <xf numFmtId="2" fontId="0" fillId="27" borderId="11" xfId="0" applyNumberFormat="1" applyFill="1" applyBorder="1"/>
    <xf numFmtId="0" fontId="0" fillId="13" borderId="0" xfId="0" applyFill="1"/>
    <xf numFmtId="0" fontId="79" fillId="0" borderId="0" xfId="0" applyFont="1" applyBorder="1" applyAlignment="1" applyProtection="1">
      <alignment vertical="center"/>
      <protection hidden="1"/>
    </xf>
    <xf numFmtId="0" fontId="65" fillId="0" borderId="0" xfId="0" applyFont="1"/>
    <xf numFmtId="2" fontId="0" fillId="0" borderId="0" xfId="0" applyNumberFormat="1"/>
    <xf numFmtId="0" fontId="36" fillId="12" borderId="24" xfId="3" applyFont="1" applyFill="1" applyBorder="1" applyAlignment="1" applyProtection="1">
      <alignment horizontal="center" vertical="center" wrapText="1"/>
      <protection hidden="1"/>
    </xf>
    <xf numFmtId="0" fontId="0" fillId="22" borderId="0" xfId="0" applyFill="1"/>
    <xf numFmtId="43" fontId="0" fillId="3" borderId="0" xfId="0" applyNumberFormat="1" applyFill="1"/>
    <xf numFmtId="164" fontId="0" fillId="27" borderId="1" xfId="1" applyNumberFormat="1" applyFont="1" applyFill="1" applyBorder="1" applyAlignment="1">
      <alignment horizontal="center" vertical="center"/>
    </xf>
    <xf numFmtId="0" fontId="38" fillId="16" borderId="14" xfId="3" applyFont="1" applyFill="1" applyBorder="1" applyAlignment="1" applyProtection="1">
      <alignment vertical="center" wrapText="1"/>
      <protection hidden="1"/>
    </xf>
    <xf numFmtId="0" fontId="38" fillId="16" borderId="33" xfId="3" applyFont="1" applyFill="1" applyBorder="1" applyAlignment="1" applyProtection="1">
      <alignment vertical="center" wrapText="1"/>
      <protection hidden="1"/>
    </xf>
    <xf numFmtId="0" fontId="38" fillId="21" borderId="14" xfId="3" applyFont="1" applyFill="1" applyBorder="1" applyAlignment="1" applyProtection="1">
      <alignment vertical="center" wrapText="1"/>
      <protection hidden="1"/>
    </xf>
    <xf numFmtId="0" fontId="38" fillId="21" borderId="15" xfId="3" applyFont="1" applyFill="1" applyBorder="1" applyAlignment="1" applyProtection="1">
      <alignment vertical="center" wrapText="1"/>
      <protection hidden="1"/>
    </xf>
    <xf numFmtId="0" fontId="38" fillId="21" borderId="33" xfId="3" applyFont="1" applyFill="1" applyBorder="1" applyAlignment="1" applyProtection="1">
      <alignment vertical="center" wrapText="1"/>
      <protection hidden="1"/>
    </xf>
    <xf numFmtId="0" fontId="38" fillId="21" borderId="56" xfId="3" applyFont="1" applyFill="1" applyBorder="1" applyAlignment="1" applyProtection="1">
      <alignment vertical="center" wrapText="1"/>
      <protection hidden="1"/>
    </xf>
    <xf numFmtId="0" fontId="0" fillId="5" borderId="93" xfId="0" applyFill="1" applyBorder="1" applyAlignment="1">
      <alignment vertical="center"/>
    </xf>
    <xf numFmtId="0" fontId="0" fillId="3" borderId="93" xfId="0" applyFill="1" applyBorder="1" applyAlignment="1">
      <alignment horizontal="center" vertical="center" wrapText="1"/>
    </xf>
    <xf numFmtId="0" fontId="0" fillId="0" borderId="94" xfId="0" applyBorder="1" applyAlignment="1">
      <alignment horizontal="left" vertical="center"/>
    </xf>
    <xf numFmtId="0" fontId="0" fillId="0" borderId="93" xfId="0" applyBorder="1" applyAlignment="1">
      <alignment horizontal="center" vertical="center"/>
    </xf>
    <xf numFmtId="174" fontId="0" fillId="28" borderId="1" xfId="0" applyNumberFormat="1" applyFill="1" applyBorder="1"/>
    <xf numFmtId="175" fontId="0" fillId="28" borderId="1" xfId="0" applyNumberFormat="1" applyFill="1" applyBorder="1"/>
    <xf numFmtId="175" fontId="0" fillId="0" borderId="0" xfId="0" applyNumberFormat="1"/>
    <xf numFmtId="177" fontId="0" fillId="0" borderId="0" xfId="0" applyNumberFormat="1"/>
    <xf numFmtId="174" fontId="73" fillId="3" borderId="1" xfId="0" applyNumberFormat="1" applyFont="1" applyFill="1" applyBorder="1"/>
    <xf numFmtId="2" fontId="73" fillId="3" borderId="1" xfId="0" applyNumberFormat="1" applyFont="1" applyFill="1" applyBorder="1"/>
    <xf numFmtId="0" fontId="80" fillId="0" borderId="0" xfId="0" applyFont="1"/>
    <xf numFmtId="9" fontId="80" fillId="0" borderId="0" xfId="0" applyNumberFormat="1" applyFont="1"/>
    <xf numFmtId="0" fontId="80" fillId="0" borderId="0" xfId="0" applyFont="1" applyAlignment="1">
      <alignment horizontal="center"/>
    </xf>
    <xf numFmtId="176" fontId="80" fillId="0" borderId="0" xfId="0" applyNumberFormat="1" applyFont="1"/>
    <xf numFmtId="0" fontId="81" fillId="0" borderId="94" xfId="0" applyFont="1" applyBorder="1" applyAlignment="1">
      <alignment horizontal="left" vertical="center"/>
    </xf>
    <xf numFmtId="0" fontId="0" fillId="27" borderId="93" xfId="0" applyFill="1" applyBorder="1" applyAlignment="1">
      <alignment vertical="center" wrapText="1"/>
    </xf>
    <xf numFmtId="175" fontId="0" fillId="7" borderId="88" xfId="0" applyNumberFormat="1" applyFill="1" applyBorder="1"/>
    <xf numFmtId="174" fontId="0" fillId="0" borderId="0" xfId="0" applyNumberFormat="1"/>
    <xf numFmtId="2" fontId="35" fillId="0" borderId="0" xfId="3" quotePrefix="1" applyNumberFormat="1" applyFont="1" applyFill="1" applyBorder="1" applyAlignment="1" applyProtection="1">
      <alignment vertical="center" wrapText="1"/>
      <protection hidden="1"/>
    </xf>
    <xf numFmtId="43" fontId="35" fillId="13" borderId="24" xfId="8" applyNumberFormat="1" applyFont="1" applyFill="1" applyBorder="1" applyAlignment="1" applyProtection="1">
      <alignment horizontal="center" vertical="center" wrapText="1"/>
      <protection hidden="1"/>
    </xf>
    <xf numFmtId="10" fontId="0" fillId="0" borderId="0" xfId="0" applyNumberFormat="1"/>
    <xf numFmtId="173" fontId="36" fillId="12" borderId="24" xfId="3" quotePrefix="1" applyNumberFormat="1" applyFont="1" applyFill="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43" fontId="0" fillId="28" borderId="1" xfId="0" applyNumberFormat="1" applyFill="1" applyBorder="1"/>
    <xf numFmtId="0" fontId="13" fillId="12" borderId="35" xfId="0" quotePrefix="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164" fontId="0" fillId="0" borderId="1" xfId="1" applyNumberFormat="1" applyFont="1" applyFill="1" applyBorder="1" applyAlignment="1">
      <alignment horizontal="center"/>
    </xf>
    <xf numFmtId="0" fontId="86" fillId="0" borderId="1" xfId="0" applyFont="1" applyFill="1" applyBorder="1"/>
    <xf numFmtId="164" fontId="86" fillId="0" borderId="1" xfId="1" applyNumberFormat="1" applyFont="1" applyFill="1" applyBorder="1"/>
    <xf numFmtId="43" fontId="86" fillId="0" borderId="0" xfId="0" applyNumberFormat="1" applyFont="1" applyFill="1" applyBorder="1" applyAlignment="1">
      <alignment horizontal="center"/>
    </xf>
    <xf numFmtId="43" fontId="86" fillId="0" borderId="0" xfId="0" applyNumberFormat="1" applyFont="1" applyFill="1"/>
    <xf numFmtId="0" fontId="86" fillId="0" borderId="0" xfId="0" applyFont="1" applyFill="1"/>
    <xf numFmtId="171" fontId="67" fillId="19" borderId="0" xfId="0" applyNumberFormat="1" applyFont="1" applyFill="1" applyBorder="1"/>
    <xf numFmtId="0" fontId="67" fillId="19" borderId="0" xfId="0" applyFont="1" applyFill="1" applyBorder="1"/>
    <xf numFmtId="43" fontId="67" fillId="19" borderId="0" xfId="0" applyNumberFormat="1" applyFont="1" applyFill="1" applyBorder="1"/>
    <xf numFmtId="0" fontId="67" fillId="22" borderId="0" xfId="0" applyFont="1" applyFill="1" applyBorder="1"/>
    <xf numFmtId="43" fontId="67" fillId="22" borderId="0" xfId="0" applyNumberFormat="1" applyFont="1" applyFill="1" applyBorder="1"/>
    <xf numFmtId="171" fontId="67" fillId="22" borderId="0" xfId="0" applyNumberFormat="1" applyFont="1" applyFill="1" applyBorder="1"/>
    <xf numFmtId="43" fontId="67" fillId="25" borderId="0" xfId="0" applyNumberFormat="1" applyFont="1" applyFill="1" applyBorder="1"/>
    <xf numFmtId="0" fontId="67" fillId="25" borderId="0" xfId="0" applyFont="1" applyFill="1" applyBorder="1"/>
    <xf numFmtId="0" fontId="67" fillId="15" borderId="0" xfId="0" applyFont="1" applyFill="1" applyBorder="1"/>
    <xf numFmtId="43" fontId="67" fillId="15" borderId="0" xfId="0" applyNumberFormat="1" applyFont="1" applyFill="1" applyBorder="1"/>
    <xf numFmtId="171" fontId="67" fillId="15" borderId="0" xfId="0" applyNumberFormat="1" applyFont="1" applyFill="1" applyBorder="1"/>
    <xf numFmtId="0" fontId="59" fillId="0" borderId="0" xfId="0" applyFont="1"/>
    <xf numFmtId="165" fontId="15" fillId="3" borderId="0" xfId="0" applyNumberFormat="1" applyFont="1" applyFill="1" applyBorder="1" applyAlignment="1" applyProtection="1">
      <alignment vertical="center"/>
      <protection hidden="1"/>
    </xf>
    <xf numFmtId="43" fontId="15" fillId="3" borderId="0" xfId="0" applyNumberFormat="1" applyFont="1" applyFill="1" applyBorder="1" applyAlignment="1" applyProtection="1">
      <alignment vertical="center"/>
      <protection hidden="1"/>
    </xf>
    <xf numFmtId="0" fontId="15" fillId="27" borderId="0" xfId="0" applyFont="1" applyFill="1" applyBorder="1" applyAlignment="1" applyProtection="1">
      <alignment vertical="center"/>
      <protection hidden="1"/>
    </xf>
    <xf numFmtId="0" fontId="0" fillId="27" borderId="0" xfId="0" applyFill="1"/>
    <xf numFmtId="43" fontId="0" fillId="27" borderId="0" xfId="0" applyNumberFormat="1" applyFill="1"/>
    <xf numFmtId="167" fontId="15" fillId="0" borderId="0" xfId="0" applyNumberFormat="1" applyFont="1" applyBorder="1" applyAlignment="1" applyProtection="1">
      <alignment vertical="center"/>
      <protection hidden="1"/>
    </xf>
    <xf numFmtId="2" fontId="0" fillId="3" borderId="0" xfId="0" applyNumberFormat="1" applyFill="1"/>
    <xf numFmtId="43" fontId="15" fillId="19" borderId="0" xfId="0" applyNumberFormat="1" applyFont="1" applyFill="1" applyBorder="1" applyAlignment="1" applyProtection="1">
      <alignment vertical="center"/>
      <protection hidden="1"/>
    </xf>
    <xf numFmtId="43" fontId="0" fillId="19" borderId="0" xfId="0" applyNumberFormat="1" applyFill="1"/>
    <xf numFmtId="0" fontId="0" fillId="19" borderId="0" xfId="0" applyFill="1"/>
    <xf numFmtId="9" fontId="0" fillId="27" borderId="0" xfId="0" applyNumberFormat="1" applyFill="1" applyAlignment="1">
      <alignment horizontal="center" vertical="center"/>
    </xf>
    <xf numFmtId="9" fontId="33" fillId="3" borderId="0" xfId="0" applyNumberFormat="1" applyFont="1" applyFill="1"/>
    <xf numFmtId="2" fontId="33" fillId="3" borderId="0" xfId="0" applyNumberFormat="1" applyFont="1" applyFill="1"/>
    <xf numFmtId="43" fontId="33" fillId="3" borderId="0" xfId="0" applyNumberFormat="1" applyFont="1" applyFill="1"/>
    <xf numFmtId="0" fontId="33" fillId="19" borderId="0" xfId="0" applyFont="1" applyFill="1"/>
    <xf numFmtId="9" fontId="33" fillId="19" borderId="0" xfId="0" applyNumberFormat="1" applyFont="1" applyFill="1"/>
    <xf numFmtId="2" fontId="33" fillId="19" borderId="0" xfId="0" applyNumberFormat="1" applyFont="1" applyFill="1"/>
    <xf numFmtId="43" fontId="33" fillId="19" borderId="0" xfId="0" applyNumberFormat="1" applyFont="1" applyFill="1"/>
    <xf numFmtId="43" fontId="33" fillId="27" borderId="0" xfId="0" applyNumberFormat="1" applyFont="1" applyFill="1"/>
    <xf numFmtId="0" fontId="39" fillId="0" borderId="0" xfId="3" applyFont="1" applyFill="1" applyBorder="1" applyAlignment="1" applyProtection="1">
      <alignment horizontal="left" vertical="center" wrapText="1"/>
      <protection hidden="1"/>
    </xf>
    <xf numFmtId="0" fontId="39" fillId="0" borderId="0" xfId="3" applyFont="1" applyFill="1" applyBorder="1" applyAlignment="1" applyProtection="1">
      <alignment horizontal="justify" vertical="center" wrapText="1"/>
      <protection hidden="1"/>
    </xf>
    <xf numFmtId="0" fontId="36" fillId="12" borderId="24" xfId="3" applyFont="1" applyFill="1" applyBorder="1" applyAlignment="1" applyProtection="1">
      <alignment horizontal="center" vertical="center" wrapText="1"/>
      <protection hidden="1"/>
    </xf>
    <xf numFmtId="169" fontId="36" fillId="12" borderId="24" xfId="3" quotePrefix="1" applyNumberFormat="1" applyFont="1" applyFill="1" applyBorder="1" applyAlignment="1" applyProtection="1">
      <alignment horizontal="center" vertical="center" wrapText="1"/>
      <protection hidden="1"/>
    </xf>
    <xf numFmtId="9" fontId="18" fillId="12" borderId="23" xfId="5" quotePrefix="1" applyFont="1" applyFill="1" applyBorder="1" applyAlignment="1" applyProtection="1">
      <alignment horizontal="center" vertical="center" wrapText="1"/>
      <protection hidden="1"/>
    </xf>
    <xf numFmtId="179" fontId="36" fillId="12" borderId="24" xfId="3" quotePrefix="1" applyNumberFormat="1" applyFont="1" applyFill="1" applyBorder="1" applyAlignment="1" applyProtection="1">
      <alignment horizontal="center" vertical="center" wrapText="1"/>
      <protection hidden="1"/>
    </xf>
    <xf numFmtId="0" fontId="87" fillId="0" borderId="0" xfId="0" applyFont="1" applyFill="1" applyBorder="1"/>
    <xf numFmtId="43" fontId="87" fillId="19" borderId="0" xfId="0" applyNumberFormat="1" applyFont="1" applyFill="1" applyBorder="1"/>
    <xf numFmtId="0" fontId="87" fillId="0" borderId="0" xfId="0" applyNumberFormat="1" applyFont="1" applyFill="1" applyBorder="1"/>
    <xf numFmtId="171" fontId="87" fillId="0" borderId="0" xfId="0" applyNumberFormat="1" applyFont="1" applyFill="1" applyBorder="1"/>
    <xf numFmtId="0" fontId="10" fillId="0" borderId="0" xfId="0" applyFont="1" applyFill="1"/>
    <xf numFmtId="0" fontId="0" fillId="0" borderId="0" xfId="0" applyFill="1"/>
    <xf numFmtId="0" fontId="10" fillId="0" borderId="84" xfId="0" applyFont="1" applyFill="1" applyBorder="1" applyAlignment="1">
      <alignment horizontal="left"/>
    </xf>
    <xf numFmtId="164" fontId="66" fillId="20" borderId="1" xfId="1" applyNumberFormat="1" applyFont="1" applyFill="1" applyBorder="1" applyAlignment="1">
      <alignment horizontal="center" vertical="center" wrapText="1"/>
    </xf>
    <xf numFmtId="43" fontId="33" fillId="0" borderId="1" xfId="0" applyNumberFormat="1" applyFont="1" applyBorder="1" applyAlignment="1">
      <alignment horizontal="center"/>
    </xf>
    <xf numFmtId="0" fontId="27" fillId="0" borderId="0" xfId="3" applyFont="1" applyAlignment="1" applyProtection="1">
      <alignment horizontal="left" vertical="center" wrapText="1"/>
      <protection hidden="1"/>
    </xf>
    <xf numFmtId="0" fontId="24" fillId="0" borderId="0" xfId="0" applyFont="1" applyBorder="1" applyAlignment="1" applyProtection="1">
      <alignment horizontal="justify" vertical="top" wrapText="1"/>
      <protection hidden="1"/>
    </xf>
    <xf numFmtId="0" fontId="24" fillId="0" borderId="0" xfId="0" applyFont="1" applyFill="1" applyBorder="1" applyAlignment="1" applyProtection="1">
      <alignment horizontal="justify" vertical="center" wrapText="1"/>
      <protection hidden="1"/>
    </xf>
    <xf numFmtId="0" fontId="29" fillId="10" borderId="0" xfId="0" applyFont="1" applyFill="1" applyBorder="1" applyAlignment="1" applyProtection="1">
      <alignment horizontal="center" vertical="center" wrapText="1"/>
      <protection hidden="1"/>
    </xf>
    <xf numFmtId="0" fontId="13" fillId="12" borderId="35" xfId="0" quotePrefix="1" applyFont="1" applyFill="1" applyBorder="1" applyAlignment="1" applyProtection="1">
      <alignment horizontal="center" vertical="center" wrapText="1"/>
      <protection hidden="1"/>
    </xf>
    <xf numFmtId="0" fontId="24" fillId="0" borderId="0" xfId="0" applyFont="1" applyFill="1" applyAlignment="1" applyProtection="1">
      <alignment horizontal="justify" vertical="center" wrapText="1"/>
      <protection hidden="1"/>
    </xf>
    <xf numFmtId="0" fontId="24" fillId="0" borderId="0" xfId="0" applyFont="1" applyFill="1" applyAlignment="1" applyProtection="1">
      <alignment horizontal="justify" vertical="top" wrapText="1"/>
      <protection hidden="1"/>
    </xf>
    <xf numFmtId="164" fontId="89" fillId="29" borderId="1" xfId="1" applyNumberFormat="1" applyFont="1" applyFill="1" applyBorder="1" applyAlignment="1">
      <alignment horizontal="center" vertical="center" wrapText="1"/>
    </xf>
    <xf numFmtId="164" fontId="89" fillId="19" borderId="1" xfId="1" applyNumberFormat="1" applyFont="1" applyFill="1" applyBorder="1" applyAlignment="1">
      <alignment horizontal="center" vertical="center" wrapText="1"/>
    </xf>
    <xf numFmtId="164" fontId="8" fillId="0" borderId="0" xfId="1" applyNumberFormat="1" applyFont="1" applyBorder="1"/>
    <xf numFmtId="167" fontId="76" fillId="15" borderId="0" xfId="4" applyNumberFormat="1" applyFont="1" applyFill="1" applyBorder="1" applyAlignment="1" applyProtection="1">
      <alignment horizontal="center" vertical="center" wrapText="1"/>
      <protection hidden="1"/>
    </xf>
    <xf numFmtId="2" fontId="33" fillId="2" borderId="0" xfId="0" applyNumberFormat="1" applyFont="1" applyFill="1"/>
    <xf numFmtId="173" fontId="36" fillId="12" borderId="24" xfId="3" quotePrefix="1" applyNumberFormat="1" applyFont="1" applyFill="1" applyBorder="1" applyAlignment="1" applyProtection="1">
      <alignment horizontal="center" vertical="center" wrapText="1"/>
      <protection hidden="1"/>
    </xf>
    <xf numFmtId="164" fontId="8" fillId="20" borderId="1" xfId="1" applyNumberFormat="1" applyFont="1" applyFill="1" applyBorder="1"/>
    <xf numFmtId="166" fontId="18" fillId="30" borderId="22" xfId="4" applyNumberFormat="1" applyFont="1" applyFill="1" applyBorder="1" applyAlignment="1" applyProtection="1">
      <alignment horizontal="center" vertical="center" wrapText="1"/>
      <protection hidden="1"/>
    </xf>
    <xf numFmtId="43" fontId="18" fillId="30" borderId="25" xfId="4" applyFont="1" applyFill="1" applyBorder="1" applyAlignment="1" applyProtection="1">
      <alignment horizontal="center" vertical="center" wrapText="1"/>
      <protection hidden="1"/>
    </xf>
    <xf numFmtId="43" fontId="18" fillId="30" borderId="25" xfId="4" applyFont="1" applyFill="1" applyBorder="1" applyAlignment="1" applyProtection="1">
      <alignment horizontal="right" vertical="center" wrapText="1"/>
      <protection hidden="1"/>
    </xf>
    <xf numFmtId="0" fontId="18" fillId="30" borderId="37" xfId="0" applyFont="1" applyFill="1" applyBorder="1" applyAlignment="1" applyProtection="1">
      <alignment horizontal="left" vertical="center" wrapText="1"/>
      <protection hidden="1"/>
    </xf>
    <xf numFmtId="43" fontId="18" fillId="30" borderId="24" xfId="4" applyFont="1" applyFill="1" applyBorder="1" applyAlignment="1" applyProtection="1">
      <alignment horizontal="right" vertical="center" wrapText="1"/>
      <protection hidden="1"/>
    </xf>
    <xf numFmtId="43" fontId="18" fillId="30" borderId="24" xfId="4" applyNumberFormat="1" applyFont="1" applyFill="1" applyBorder="1" applyAlignment="1" applyProtection="1">
      <alignment horizontal="right" vertical="center" wrapText="1"/>
      <protection hidden="1"/>
    </xf>
    <xf numFmtId="43" fontId="18" fillId="30" borderId="24" xfId="4" applyNumberFormat="1" applyFont="1" applyFill="1" applyBorder="1" applyAlignment="1" applyProtection="1">
      <alignment horizontal="center" vertical="center" wrapText="1"/>
      <protection hidden="1"/>
    </xf>
    <xf numFmtId="0" fontId="15" fillId="30" borderId="24" xfId="0" applyFont="1" applyFill="1" applyBorder="1" applyAlignment="1" applyProtection="1">
      <alignment vertical="center"/>
      <protection hidden="1"/>
    </xf>
    <xf numFmtId="43" fontId="18" fillId="30" borderId="24" xfId="4" applyFont="1" applyFill="1" applyBorder="1" applyAlignment="1" applyProtection="1">
      <alignment vertical="center" wrapText="1"/>
      <protection hidden="1"/>
    </xf>
    <xf numFmtId="167" fontId="30" fillId="30" borderId="47" xfId="4" applyNumberFormat="1" applyFont="1" applyFill="1" applyBorder="1" applyAlignment="1" applyProtection="1">
      <alignment horizontal="center" vertical="center" wrapText="1"/>
      <protection hidden="1"/>
    </xf>
    <xf numFmtId="167" fontId="76" fillId="30" borderId="47" xfId="4" applyNumberFormat="1" applyFont="1" applyFill="1" applyBorder="1" applyAlignment="1" applyProtection="1">
      <alignment horizontal="center" vertical="center" wrapText="1"/>
      <protection hidden="1"/>
    </xf>
    <xf numFmtId="43" fontId="30" fillId="30" borderId="44" xfId="4" applyFont="1" applyFill="1" applyBorder="1" applyAlignment="1" applyProtection="1">
      <alignment horizontal="center" wrapText="1"/>
      <protection hidden="1"/>
    </xf>
    <xf numFmtId="43" fontId="30" fillId="30" borderId="44" xfId="4" applyFont="1" applyFill="1" applyBorder="1" applyAlignment="1" applyProtection="1">
      <alignment horizontal="center" vertical="center" wrapText="1"/>
      <protection hidden="1"/>
    </xf>
    <xf numFmtId="43" fontId="76" fillId="30" borderId="44" xfId="4" applyFont="1" applyFill="1" applyBorder="1" applyAlignment="1" applyProtection="1">
      <alignment horizontal="center" vertical="center" wrapText="1"/>
      <protection hidden="1"/>
    </xf>
    <xf numFmtId="43" fontId="18" fillId="30" borderId="44" xfId="4" applyNumberFormat="1" applyFont="1" applyFill="1" applyBorder="1" applyAlignment="1" applyProtection="1">
      <alignment horizontal="center" vertical="center" wrapText="1"/>
      <protection hidden="1"/>
    </xf>
    <xf numFmtId="43" fontId="41" fillId="30" borderId="44" xfId="4" applyFont="1" applyFill="1" applyBorder="1" applyAlignment="1" applyProtection="1">
      <alignment horizontal="center" vertical="center" wrapText="1"/>
      <protection hidden="1"/>
    </xf>
    <xf numFmtId="43" fontId="19" fillId="0" borderId="23" xfId="4" applyFont="1" applyFill="1" applyBorder="1" applyAlignment="1" applyProtection="1">
      <alignment horizontal="center" vertical="center" wrapText="1"/>
      <protection hidden="1"/>
    </xf>
    <xf numFmtId="43" fontId="18" fillId="0" borderId="23" xfId="4" applyFont="1" applyFill="1" applyBorder="1" applyAlignment="1" applyProtection="1">
      <alignment horizontal="center" vertical="center" wrapText="1"/>
      <protection hidden="1"/>
    </xf>
    <xf numFmtId="43" fontId="18" fillId="0" borderId="24" xfId="4" quotePrefix="1" applyFont="1" applyFill="1" applyBorder="1" applyAlignment="1" applyProtection="1">
      <alignment horizontal="center" vertical="center" wrapText="1"/>
      <protection hidden="1"/>
    </xf>
    <xf numFmtId="43" fontId="18" fillId="28" borderId="24" xfId="4" applyFont="1" applyFill="1" applyBorder="1" applyAlignment="1" applyProtection="1">
      <alignment horizontal="center" vertical="center" wrapText="1"/>
      <protection hidden="1"/>
    </xf>
    <xf numFmtId="2" fontId="20" fillId="28" borderId="24" xfId="0" applyNumberFormat="1" applyFont="1" applyFill="1" applyBorder="1" applyAlignment="1" applyProtection="1">
      <alignment horizontal="right" vertical="center" wrapText="1"/>
      <protection hidden="1"/>
    </xf>
    <xf numFmtId="43" fontId="18" fillId="28" borderId="24" xfId="4" applyFont="1" applyFill="1" applyBorder="1" applyAlignment="1" applyProtection="1">
      <alignment vertical="center" wrapText="1"/>
      <protection hidden="1"/>
    </xf>
    <xf numFmtId="43" fontId="18" fillId="28" borderId="24" xfId="4" quotePrefix="1" applyFont="1" applyFill="1" applyBorder="1" applyAlignment="1" applyProtection="1">
      <alignment horizontal="center" vertical="center" wrapText="1"/>
      <protection hidden="1"/>
    </xf>
    <xf numFmtId="43" fontId="18" fillId="28" borderId="24" xfId="4" applyNumberFormat="1" applyFont="1" applyFill="1" applyBorder="1" applyAlignment="1" applyProtection="1">
      <alignment horizontal="center" vertical="center" wrapText="1"/>
      <protection hidden="1"/>
    </xf>
    <xf numFmtId="43" fontId="18" fillId="28" borderId="24" xfId="4" applyNumberFormat="1" applyFont="1" applyFill="1" applyBorder="1" applyAlignment="1" applyProtection="1">
      <alignment vertical="center" wrapText="1"/>
      <protection hidden="1"/>
    </xf>
    <xf numFmtId="43" fontId="18" fillId="28" borderId="23" xfId="4" applyFont="1" applyFill="1" applyBorder="1" applyAlignment="1" applyProtection="1">
      <alignment horizontal="right" vertical="center" wrapText="1"/>
      <protection hidden="1"/>
    </xf>
    <xf numFmtId="43" fontId="18" fillId="28" borderId="25" xfId="4" applyFont="1" applyFill="1" applyBorder="1" applyAlignment="1" applyProtection="1">
      <alignment horizontal="center" vertical="center" wrapText="1"/>
      <protection hidden="1"/>
    </xf>
    <xf numFmtId="43" fontId="30" fillId="28" borderId="47" xfId="4" applyFont="1" applyFill="1" applyBorder="1" applyAlignment="1" applyProtection="1">
      <alignment horizontal="center" vertical="center" wrapText="1"/>
      <protection hidden="1"/>
    </xf>
    <xf numFmtId="43" fontId="18" fillId="28" borderId="47" xfId="4" applyFont="1" applyFill="1" applyBorder="1" applyAlignment="1" applyProtection="1">
      <alignment horizontal="center" vertical="center" wrapText="1"/>
      <protection hidden="1"/>
    </xf>
    <xf numFmtId="43" fontId="30" fillId="28" borderId="44" xfId="4" applyFont="1" applyFill="1" applyBorder="1" applyAlignment="1" applyProtection="1">
      <alignment horizontal="center" vertical="center" wrapText="1"/>
      <protection hidden="1"/>
    </xf>
    <xf numFmtId="43" fontId="41" fillId="28" borderId="44" xfId="4" applyFont="1" applyFill="1" applyBorder="1" applyAlignment="1" applyProtection="1">
      <alignment horizontal="center" vertical="center" wrapText="1"/>
      <protection hidden="1"/>
    </xf>
    <xf numFmtId="0" fontId="27" fillId="0" borderId="0" xfId="3" applyFont="1" applyAlignment="1" applyProtection="1">
      <alignment horizontal="left" vertical="center" wrapText="1"/>
      <protection hidden="1"/>
    </xf>
    <xf numFmtId="0" fontId="24" fillId="0" borderId="0" xfId="0" applyFont="1" applyBorder="1" applyAlignment="1" applyProtection="1">
      <alignment horizontal="justify" vertical="top" wrapText="1"/>
      <protection hidden="1"/>
    </xf>
    <xf numFmtId="0" fontId="24" fillId="0" borderId="0" xfId="0" applyFont="1" applyFill="1" applyAlignment="1" applyProtection="1">
      <alignment horizontal="justify" vertical="center" wrapText="1"/>
      <protection hidden="1"/>
    </xf>
    <xf numFmtId="0" fontId="24" fillId="0" borderId="0" xfId="0" applyFont="1" applyFill="1" applyAlignment="1" applyProtection="1">
      <alignment horizontal="justify" vertical="top" wrapText="1"/>
      <protection hidden="1"/>
    </xf>
    <xf numFmtId="0" fontId="24" fillId="0" borderId="0" xfId="0" applyFont="1" applyFill="1" applyBorder="1" applyAlignment="1" applyProtection="1">
      <alignment horizontal="justify" vertical="center" wrapText="1"/>
      <protection hidden="1"/>
    </xf>
    <xf numFmtId="0" fontId="29" fillId="10" borderId="0" xfId="0" applyFont="1" applyFill="1" applyBorder="1" applyAlignment="1" applyProtection="1">
      <alignment horizontal="center" vertical="center" wrapText="1"/>
      <protection hidden="1"/>
    </xf>
    <xf numFmtId="0" fontId="13" fillId="12" borderId="35" xfId="0" quotePrefix="1" applyFont="1" applyFill="1" applyBorder="1" applyAlignment="1" applyProtection="1">
      <alignment horizontal="center" vertical="center" wrapText="1"/>
      <protection hidden="1"/>
    </xf>
    <xf numFmtId="2" fontId="67" fillId="3" borderId="0" xfId="0" applyNumberFormat="1" applyFont="1" applyFill="1" applyBorder="1"/>
    <xf numFmtId="0" fontId="85" fillId="3" borderId="0" xfId="0" applyFont="1" applyFill="1"/>
    <xf numFmtId="171" fontId="91" fillId="28" borderId="1" xfId="0" applyNumberFormat="1" applyFont="1" applyFill="1" applyBorder="1" applyAlignment="1">
      <alignment horizontal="center"/>
    </xf>
    <xf numFmtId="43" fontId="18" fillId="3" borderId="25" xfId="4" applyFont="1" applyFill="1" applyBorder="1" applyAlignment="1" applyProtection="1">
      <alignment horizontal="center" vertical="center" wrapText="1"/>
      <protection hidden="1"/>
    </xf>
    <xf numFmtId="43" fontId="18" fillId="3" borderId="25" xfId="4" applyFont="1" applyFill="1" applyBorder="1" applyAlignment="1" applyProtection="1">
      <alignment horizontal="right" vertical="center" wrapText="1"/>
      <protection hidden="1"/>
    </xf>
    <xf numFmtId="0" fontId="10" fillId="0" borderId="9" xfId="0" applyFont="1" applyBorder="1" applyAlignment="1">
      <alignment vertical="center"/>
    </xf>
    <xf numFmtId="0" fontId="10" fillId="0" borderId="1" xfId="0" applyFont="1" applyBorder="1" applyAlignment="1">
      <alignment vertical="center"/>
    </xf>
    <xf numFmtId="0" fontId="10" fillId="28" borderId="1" xfId="0" applyFont="1" applyFill="1" applyBorder="1" applyAlignment="1">
      <alignment vertical="center"/>
    </xf>
    <xf numFmtId="0" fontId="0" fillId="23" borderId="11" xfId="0" applyFill="1" applyBorder="1" applyAlignment="1">
      <alignment horizontal="center" vertical="center" wrapText="1"/>
    </xf>
    <xf numFmtId="0" fontId="0" fillId="23" borderId="1" xfId="0" applyFill="1" applyBorder="1" applyAlignment="1">
      <alignment horizontal="center" vertical="center" wrapText="1"/>
    </xf>
    <xf numFmtId="2" fontId="0" fillId="23" borderId="11" xfId="0" applyNumberFormat="1" applyFill="1" applyBorder="1"/>
    <xf numFmtId="2" fontId="0" fillId="23" borderId="1" xfId="0" applyNumberFormat="1" applyFill="1" applyBorder="1"/>
    <xf numFmtId="10" fontId="0" fillId="3" borderId="1" xfId="0" applyNumberFormat="1" applyFill="1" applyBorder="1"/>
    <xf numFmtId="0" fontId="0" fillId="31" borderId="0" xfId="0" applyFill="1"/>
    <xf numFmtId="9" fontId="0" fillId="31" borderId="0" xfId="0" applyNumberFormat="1" applyFill="1" applyAlignment="1">
      <alignment horizontal="center"/>
    </xf>
    <xf numFmtId="0" fontId="0" fillId="31" borderId="1" xfId="0" applyFill="1" applyBorder="1" applyAlignment="1">
      <alignment horizontal="center" vertical="center" wrapText="1"/>
    </xf>
    <xf numFmtId="2" fontId="0" fillId="31" borderId="1" xfId="0" applyNumberFormat="1" applyFill="1" applyBorder="1"/>
    <xf numFmtId="2" fontId="59" fillId="31" borderId="1" xfId="0" applyNumberFormat="1" applyFont="1" applyFill="1" applyBorder="1"/>
    <xf numFmtId="0" fontId="0" fillId="32" borderId="0" xfId="0" applyFill="1"/>
    <xf numFmtId="9" fontId="0" fillId="32" borderId="0" xfId="0" applyNumberFormat="1" applyFill="1" applyAlignment="1">
      <alignment horizontal="center"/>
    </xf>
    <xf numFmtId="0" fontId="0" fillId="32" borderId="1" xfId="0" applyFill="1" applyBorder="1" applyAlignment="1">
      <alignment horizontal="center" vertical="center" wrapText="1"/>
    </xf>
    <xf numFmtId="2" fontId="0" fillId="32" borderId="1" xfId="0" applyNumberFormat="1" applyFill="1" applyBorder="1"/>
    <xf numFmtId="174" fontId="0" fillId="32" borderId="1" xfId="0" applyNumberFormat="1" applyFill="1" applyBorder="1"/>
    <xf numFmtId="175" fontId="0" fillId="32" borderId="1" xfId="0" applyNumberFormat="1" applyFill="1" applyBorder="1"/>
    <xf numFmtId="0" fontId="0" fillId="32" borderId="11" xfId="0" applyFill="1" applyBorder="1" applyAlignment="1">
      <alignment horizontal="center" vertical="center" wrapText="1"/>
    </xf>
    <xf numFmtId="2" fontId="0" fillId="32" borderId="11" xfId="0" applyNumberFormat="1" applyFill="1" applyBorder="1"/>
    <xf numFmtId="0" fontId="39" fillId="0" borderId="0" xfId="3" applyFont="1" applyFill="1" applyBorder="1" applyAlignment="1" applyProtection="1">
      <alignment horizontal="justify"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43" fontId="35" fillId="0" borderId="60" xfId="0" applyNumberFormat="1" applyFont="1" applyBorder="1" applyAlignment="1" applyProtection="1">
      <alignment horizontal="center" vertical="center" wrapText="1"/>
      <protection hidden="1"/>
    </xf>
    <xf numFmtId="43" fontId="35" fillId="0" borderId="33" xfId="0" applyNumberFormat="1" applyFont="1" applyBorder="1" applyAlignment="1" applyProtection="1">
      <alignment horizontal="center" vertical="center" wrapText="1"/>
      <protection hidden="1"/>
    </xf>
    <xf numFmtId="43" fontId="35" fillId="17" borderId="37" xfId="8" quotePrefix="1" applyFont="1" applyFill="1" applyBorder="1" applyAlignment="1" applyProtection="1">
      <alignment horizontal="center" vertical="center" wrapText="1"/>
      <protection hidden="1"/>
    </xf>
    <xf numFmtId="43" fontId="35" fillId="17" borderId="37" xfId="8" applyFont="1" applyFill="1" applyBorder="1" applyAlignment="1" applyProtection="1">
      <alignment horizontal="center" vertical="center" wrapText="1"/>
      <protection hidden="1"/>
    </xf>
    <xf numFmtId="43" fontId="35" fillId="17" borderId="59" xfId="8" applyFont="1" applyFill="1" applyBorder="1" applyAlignment="1" applyProtection="1">
      <alignment horizontal="center" vertical="center" wrapText="1"/>
      <protection hidden="1"/>
    </xf>
    <xf numFmtId="43" fontId="35" fillId="17" borderId="21" xfId="8" applyFont="1" applyFill="1" applyBorder="1" applyAlignment="1" applyProtection="1">
      <alignment horizontal="center" vertical="center" wrapText="1"/>
      <protection hidden="1"/>
    </xf>
    <xf numFmtId="43" fontId="35" fillId="0" borderId="60" xfId="8" applyFont="1" applyFill="1" applyBorder="1" applyAlignment="1" applyProtection="1">
      <alignment horizontal="center" vertical="center" wrapText="1"/>
      <protection hidden="1"/>
    </xf>
    <xf numFmtId="43" fontId="35" fillId="13" borderId="33" xfId="8" applyFont="1" applyFill="1" applyBorder="1" applyAlignment="1" applyProtection="1">
      <alignment horizontal="center" vertical="center" wrapText="1"/>
      <protection hidden="1"/>
    </xf>
    <xf numFmtId="43" fontId="35" fillId="17" borderId="58" xfId="8" applyNumberFormat="1" applyFont="1" applyFill="1" applyBorder="1" applyAlignment="1" applyProtection="1">
      <alignment horizontal="center" vertical="center" wrapText="1"/>
      <protection hidden="1"/>
    </xf>
    <xf numFmtId="0" fontId="36" fillId="31" borderId="24" xfId="3" applyFont="1" applyFill="1" applyBorder="1" applyAlignment="1" applyProtection="1">
      <alignment horizontal="center" vertical="center" wrapText="1"/>
      <protection hidden="1"/>
    </xf>
    <xf numFmtId="173" fontId="36" fillId="31" borderId="24" xfId="3" quotePrefix="1" applyNumberFormat="1" applyFont="1" applyFill="1" applyBorder="1" applyAlignment="1" applyProtection="1">
      <alignment horizontal="center" vertical="center" wrapText="1"/>
      <protection hidden="1"/>
    </xf>
    <xf numFmtId="2" fontId="35" fillId="31" borderId="58" xfId="0" applyNumberFormat="1" applyFont="1" applyFill="1" applyBorder="1" applyAlignment="1" applyProtection="1">
      <alignment horizontal="right" vertical="center" wrapText="1"/>
      <protection hidden="1"/>
    </xf>
    <xf numFmtId="43" fontId="35" fillId="31" borderId="58" xfId="0" applyNumberFormat="1" applyFont="1" applyFill="1" applyBorder="1" applyAlignment="1" applyProtection="1">
      <alignment horizontal="center" vertical="center" wrapText="1"/>
      <protection hidden="1"/>
    </xf>
    <xf numFmtId="43" fontId="35" fillId="31" borderId="58" xfId="0" applyNumberFormat="1" applyFont="1" applyFill="1" applyBorder="1" applyAlignment="1" applyProtection="1">
      <alignment horizontal="right" vertical="center" wrapText="1"/>
      <protection hidden="1"/>
    </xf>
    <xf numFmtId="43" fontId="35" fillId="31" borderId="24" xfId="8" applyFont="1" applyFill="1" applyBorder="1" applyAlignment="1" applyProtection="1">
      <alignment horizontal="center" vertical="center" wrapText="1"/>
      <protection hidden="1"/>
    </xf>
    <xf numFmtId="0" fontId="36" fillId="31" borderId="30" xfId="3" applyFont="1" applyFill="1" applyBorder="1" applyAlignment="1" applyProtection="1">
      <alignment horizontal="center" vertical="center" wrapText="1"/>
      <protection hidden="1"/>
    </xf>
    <xf numFmtId="179" fontId="36" fillId="31" borderId="24" xfId="3" quotePrefix="1" applyNumberFormat="1" applyFont="1" applyFill="1" applyBorder="1" applyAlignment="1" applyProtection="1">
      <alignment horizontal="center" vertical="center" wrapText="1"/>
      <protection hidden="1"/>
    </xf>
    <xf numFmtId="43" fontId="35" fillId="31" borderId="68" xfId="8" applyFont="1" applyFill="1" applyBorder="1" applyAlignment="1" applyProtection="1">
      <alignment horizontal="center" vertical="center" wrapText="1"/>
      <protection hidden="1"/>
    </xf>
    <xf numFmtId="43" fontId="35" fillId="31" borderId="68" xfId="0" applyNumberFormat="1" applyFont="1" applyFill="1" applyBorder="1" applyAlignment="1" applyProtection="1">
      <alignment horizontal="center" vertical="center" wrapText="1"/>
      <protection hidden="1"/>
    </xf>
    <xf numFmtId="43" fontId="35" fillId="31" borderId="69" xfId="8" applyFont="1" applyFill="1" applyBorder="1" applyAlignment="1" applyProtection="1">
      <alignment horizontal="center" vertical="center" wrapText="1"/>
      <protection hidden="1"/>
    </xf>
    <xf numFmtId="43" fontId="0" fillId="0" borderId="0" xfId="0" applyNumberFormat="1" applyAlignment="1">
      <alignment horizontal="center"/>
    </xf>
    <xf numFmtId="170" fontId="0" fillId="0" borderId="0" xfId="0" applyNumberFormat="1"/>
    <xf numFmtId="170" fontId="0" fillId="0" borderId="0" xfId="0" applyNumberFormat="1" applyAlignment="1">
      <alignment horizontal="center"/>
    </xf>
    <xf numFmtId="43" fontId="35" fillId="31" borderId="58" xfId="8" applyFont="1" applyFill="1" applyBorder="1" applyAlignment="1" applyProtection="1">
      <alignment horizontal="center" vertical="center" wrapText="1"/>
      <protection hidden="1"/>
    </xf>
    <xf numFmtId="43" fontId="35" fillId="31" borderId="57" xfId="8" applyFont="1" applyFill="1" applyBorder="1" applyAlignment="1" applyProtection="1">
      <alignment horizontal="center" vertical="center" wrapText="1"/>
      <protection hidden="1"/>
    </xf>
    <xf numFmtId="43" fontId="35" fillId="31" borderId="37" xfId="8" quotePrefix="1" applyFont="1" applyFill="1" applyBorder="1" applyAlignment="1" applyProtection="1">
      <alignment horizontal="center" vertical="center" wrapText="1"/>
      <protection hidden="1"/>
    </xf>
    <xf numFmtId="43" fontId="35" fillId="31" borderId="37" xfId="8" applyFont="1" applyFill="1" applyBorder="1" applyAlignment="1" applyProtection="1">
      <alignment horizontal="center" vertical="center" wrapText="1"/>
      <protection hidden="1"/>
    </xf>
    <xf numFmtId="43" fontId="35" fillId="31" borderId="59" xfId="8" applyFont="1" applyFill="1" applyBorder="1" applyAlignment="1" applyProtection="1">
      <alignment horizontal="center" vertical="center" wrapText="1"/>
      <protection hidden="1"/>
    </xf>
    <xf numFmtId="43" fontId="35" fillId="31" borderId="0" xfId="8" applyFont="1" applyFill="1" applyBorder="1" applyAlignment="1" applyProtection="1">
      <alignment horizontal="center" vertical="center" wrapText="1"/>
      <protection hidden="1"/>
    </xf>
    <xf numFmtId="43" fontId="35" fillId="31" borderId="21" xfId="8" applyFont="1" applyFill="1" applyBorder="1" applyAlignment="1" applyProtection="1">
      <alignment horizontal="center" vertical="center" wrapText="1"/>
      <protection hidden="1"/>
    </xf>
    <xf numFmtId="165" fontId="35" fillId="31" borderId="58" xfId="0" applyNumberFormat="1" applyFont="1" applyFill="1" applyBorder="1" applyAlignment="1" applyProtection="1">
      <alignment horizontal="center" vertical="center" wrapText="1"/>
      <protection hidden="1"/>
    </xf>
    <xf numFmtId="43" fontId="35" fillId="31" borderId="58" xfId="8" applyNumberFormat="1" applyFont="1" applyFill="1" applyBorder="1" applyAlignment="1" applyProtection="1">
      <alignment horizontal="center" vertical="center" wrapText="1"/>
      <protection hidden="1"/>
    </xf>
    <xf numFmtId="43" fontId="35" fillId="31" borderId="38" xfId="8" applyFont="1" applyFill="1" applyBorder="1" applyAlignment="1" applyProtection="1">
      <alignment horizontal="center" vertical="center" wrapText="1"/>
      <protection hidden="1"/>
    </xf>
    <xf numFmtId="43" fontId="35" fillId="0" borderId="37" xfId="8" quotePrefix="1" applyFont="1" applyFill="1" applyBorder="1" applyAlignment="1" applyProtection="1">
      <alignment horizontal="center" vertical="center" wrapText="1"/>
      <protection hidden="1"/>
    </xf>
    <xf numFmtId="43" fontId="35" fillId="30" borderId="58" xfId="8" applyFont="1" applyFill="1" applyBorder="1" applyAlignment="1" applyProtection="1">
      <alignment horizontal="center" vertical="center" wrapText="1"/>
      <protection hidden="1"/>
    </xf>
    <xf numFmtId="43" fontId="35" fillId="30" borderId="58" xfId="8" applyNumberFormat="1" applyFont="1" applyFill="1" applyBorder="1" applyAlignment="1" applyProtection="1">
      <alignment horizontal="center" vertical="center" wrapText="1"/>
      <protection hidden="1"/>
    </xf>
    <xf numFmtId="165" fontId="35" fillId="30" borderId="58" xfId="0" applyNumberFormat="1" applyFont="1" applyFill="1" applyBorder="1" applyAlignment="1" applyProtection="1">
      <alignment horizontal="center" vertical="center" wrapText="1"/>
      <protection hidden="1"/>
    </xf>
    <xf numFmtId="2" fontId="65" fillId="0" borderId="0" xfId="0" applyNumberFormat="1" applyFont="1"/>
    <xf numFmtId="0" fontId="92" fillId="19" borderId="0" xfId="0" applyFont="1" applyFill="1" applyAlignment="1" applyProtection="1">
      <alignment horizontal="center" vertical="center"/>
      <protection hidden="1"/>
    </xf>
    <xf numFmtId="180" fontId="0" fillId="0" borderId="0" xfId="11" applyNumberFormat="1" applyFont="1"/>
    <xf numFmtId="180" fontId="0" fillId="0" borderId="0" xfId="0" applyNumberFormat="1"/>
    <xf numFmtId="180" fontId="0" fillId="3" borderId="0" xfId="0" applyNumberFormat="1" applyFill="1" applyAlignment="1">
      <alignment horizontal="center"/>
    </xf>
    <xf numFmtId="0" fontId="0" fillId="0" borderId="0" xfId="0"/>
    <xf numFmtId="0" fontId="39" fillId="0" borderId="0" xfId="3" applyFont="1" applyFill="1" applyBorder="1" applyAlignment="1" applyProtection="1">
      <alignment horizontal="left" vertical="center" wrapText="1"/>
      <protection hidden="1"/>
    </xf>
    <xf numFmtId="0" fontId="39" fillId="0" borderId="0" xfId="3" applyFont="1" applyFill="1" applyBorder="1" applyAlignment="1" applyProtection="1">
      <alignment horizontal="justify" vertical="justify" wrapText="1"/>
      <protection hidden="1"/>
    </xf>
    <xf numFmtId="0" fontId="27" fillId="0" borderId="0" xfId="3" applyFont="1" applyAlignment="1" applyProtection="1">
      <alignment horizontal="justify" vertical="center" wrapText="1"/>
      <protection hidden="1"/>
    </xf>
    <xf numFmtId="0" fontId="39" fillId="0" borderId="0" xfId="3" applyFont="1" applyFill="1" applyBorder="1" applyAlignment="1" applyProtection="1">
      <alignment horizontal="justify" vertical="center" wrapText="1"/>
      <protection hidden="1"/>
    </xf>
    <xf numFmtId="0" fontId="38" fillId="16" borderId="14" xfId="3" applyFont="1" applyFill="1" applyBorder="1" applyAlignment="1" applyProtection="1">
      <alignment horizontal="center" vertical="center"/>
      <protection hidden="1"/>
    </xf>
    <xf numFmtId="0" fontId="42" fillId="3" borderId="0" xfId="3" applyFont="1" applyFill="1" applyBorder="1" applyAlignment="1" applyProtection="1">
      <alignment horizontal="justify" vertical="center" wrapText="1"/>
      <protection hidden="1"/>
    </xf>
    <xf numFmtId="0" fontId="38" fillId="16" borderId="7" xfId="3" applyFont="1" applyFill="1" applyBorder="1" applyAlignment="1" applyProtection="1">
      <alignment horizontal="center" vertical="center"/>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164" fontId="94" fillId="8" borderId="1" xfId="1" applyNumberFormat="1" applyFont="1" applyFill="1" applyBorder="1" applyAlignment="1">
      <alignment horizontal="center" vertical="center" wrapText="1"/>
    </xf>
    <xf numFmtId="164" fontId="0" fillId="8" borderId="1" xfId="1" applyNumberFormat="1" applyFont="1" applyFill="1" applyBorder="1"/>
    <xf numFmtId="164" fontId="0" fillId="8" borderId="1" xfId="1" applyNumberFormat="1" applyFont="1" applyFill="1" applyBorder="1" applyAlignment="1">
      <alignment horizontal="center"/>
    </xf>
    <xf numFmtId="43" fontId="35" fillId="8" borderId="24" xfId="8" applyFont="1" applyFill="1" applyBorder="1" applyAlignment="1" applyProtection="1">
      <alignment horizontal="center" vertical="center" wrapText="1"/>
      <protection hidden="1"/>
    </xf>
    <xf numFmtId="43" fontId="35" fillId="8" borderId="24" xfId="8" quotePrefix="1" applyFont="1" applyFill="1" applyBorder="1" applyAlignment="1" applyProtection="1">
      <alignment horizontal="center" vertical="center" wrapText="1"/>
      <protection hidden="1"/>
    </xf>
    <xf numFmtId="43" fontId="35" fillId="8" borderId="58" xfId="8" applyFont="1" applyFill="1" applyBorder="1" applyAlignment="1" applyProtection="1">
      <alignment horizontal="center" vertical="center" wrapText="1"/>
      <protection hidden="1"/>
    </xf>
    <xf numFmtId="43" fontId="35" fillId="8" borderId="57" xfId="8" applyFont="1" applyFill="1" applyBorder="1" applyAlignment="1" applyProtection="1">
      <alignment horizontal="center" vertical="center" wrapText="1"/>
      <protection hidden="1"/>
    </xf>
    <xf numFmtId="43" fontId="35" fillId="8" borderId="37" xfId="8" applyFont="1" applyFill="1" applyBorder="1" applyAlignment="1" applyProtection="1">
      <alignment horizontal="center" vertical="center" wrapText="1"/>
      <protection hidden="1"/>
    </xf>
    <xf numFmtId="43" fontId="35" fillId="8" borderId="58" xfId="8" applyNumberFormat="1" applyFont="1" applyFill="1" applyBorder="1" applyAlignment="1" applyProtection="1">
      <alignment horizontal="center" vertical="center" wrapText="1"/>
      <protection hidden="1"/>
    </xf>
    <xf numFmtId="2" fontId="35" fillId="8" borderId="58" xfId="0" applyNumberFormat="1" applyFont="1" applyFill="1" applyBorder="1" applyAlignment="1" applyProtection="1">
      <alignment horizontal="right" vertical="center" wrapText="1"/>
      <protection hidden="1"/>
    </xf>
    <xf numFmtId="43" fontId="35" fillId="8" borderId="58" xfId="0" applyNumberFormat="1" applyFont="1" applyFill="1" applyBorder="1" applyAlignment="1" applyProtection="1">
      <alignment horizontal="center" vertical="center" wrapText="1"/>
      <protection hidden="1"/>
    </xf>
    <xf numFmtId="43" fontId="35" fillId="8" borderId="58" xfId="0" applyNumberFormat="1" applyFont="1" applyFill="1" applyBorder="1" applyAlignment="1" applyProtection="1">
      <alignment horizontal="right" vertical="center" wrapText="1"/>
      <protection hidden="1"/>
    </xf>
    <xf numFmtId="43" fontId="35" fillId="17" borderId="98" xfId="8" applyFont="1" applyFill="1" applyBorder="1" applyAlignment="1" applyProtection="1">
      <alignment horizontal="center" vertical="center" wrapText="1"/>
      <protection hidden="1"/>
    </xf>
    <xf numFmtId="43" fontId="35" fillId="8" borderId="32" xfId="8" applyFont="1" applyFill="1" applyBorder="1" applyAlignment="1" applyProtection="1">
      <alignment horizontal="center" vertical="center" wrapText="1"/>
      <protection hidden="1"/>
    </xf>
    <xf numFmtId="43" fontId="35" fillId="8" borderId="68" xfId="8" applyFont="1" applyFill="1" applyBorder="1" applyAlignment="1" applyProtection="1">
      <alignment horizontal="center" vertical="center" wrapText="1"/>
      <protection hidden="1"/>
    </xf>
    <xf numFmtId="0" fontId="36" fillId="24" borderId="99" xfId="3" applyFont="1" applyFill="1" applyBorder="1" applyAlignment="1" applyProtection="1">
      <alignment horizontal="center" vertical="center" wrapText="1"/>
      <protection hidden="1"/>
    </xf>
    <xf numFmtId="9" fontId="48" fillId="24" borderId="58" xfId="7" applyFont="1" applyFill="1" applyBorder="1" applyAlignment="1" applyProtection="1">
      <alignment horizontal="center" vertical="center" wrapText="1"/>
      <protection hidden="1"/>
    </xf>
    <xf numFmtId="0" fontId="36" fillId="24" borderId="58" xfId="3" applyFont="1" applyFill="1" applyBorder="1" applyAlignment="1" applyProtection="1">
      <alignment horizontal="center" vertical="center" wrapText="1"/>
      <protection hidden="1"/>
    </xf>
    <xf numFmtId="49" fontId="35" fillId="0" borderId="68" xfId="6" applyNumberFormat="1" applyFont="1" applyFill="1" applyBorder="1" applyAlignment="1" applyProtection="1">
      <alignment horizontal="center" vertical="center" wrapText="1"/>
      <protection hidden="1"/>
    </xf>
    <xf numFmtId="10" fontId="8" fillId="7" borderId="1" xfId="0" applyNumberFormat="1" applyFont="1" applyFill="1" applyBorder="1"/>
    <xf numFmtId="166" fontId="18" fillId="7" borderId="22" xfId="4" applyNumberFormat="1" applyFont="1" applyFill="1" applyBorder="1" applyAlignment="1" applyProtection="1">
      <alignment horizontal="center" vertical="center" wrapText="1"/>
      <protection hidden="1"/>
    </xf>
    <xf numFmtId="43" fontId="18" fillId="7" borderId="25" xfId="4" applyFont="1" applyFill="1" applyBorder="1" applyAlignment="1" applyProtection="1">
      <alignment horizontal="center" vertical="center" wrapText="1"/>
      <protection hidden="1"/>
    </xf>
    <xf numFmtId="43" fontId="18" fillId="7" borderId="25" xfId="4" applyFont="1" applyFill="1" applyBorder="1" applyAlignment="1" applyProtection="1">
      <alignment horizontal="right" vertical="center" wrapText="1"/>
      <protection hidden="1"/>
    </xf>
    <xf numFmtId="43" fontId="35" fillId="13" borderId="24" xfId="6" quotePrefix="1" applyFont="1" applyFill="1" applyBorder="1" applyAlignment="1" applyProtection="1">
      <alignment horizontal="center" vertical="center" wrapText="1"/>
      <protection hidden="1"/>
    </xf>
    <xf numFmtId="43" fontId="35" fillId="13" borderId="30" xfId="6" quotePrefix="1" applyFont="1" applyFill="1" applyBorder="1" applyAlignment="1" applyProtection="1">
      <alignment horizontal="center" vertical="center" wrapText="1"/>
      <protection hidden="1"/>
    </xf>
    <xf numFmtId="0" fontId="32" fillId="11" borderId="0" xfId="0" applyFont="1" applyFill="1" applyBorder="1" applyAlignment="1" applyProtection="1">
      <alignment horizontal="center" vertical="center" wrapText="1"/>
      <protection hidden="1"/>
    </xf>
    <xf numFmtId="178" fontId="0" fillId="33" borderId="1" xfId="1" applyNumberFormat="1" applyFont="1" applyFill="1" applyBorder="1"/>
    <xf numFmtId="164" fontId="0" fillId="33" borderId="1" xfId="1" applyNumberFormat="1" applyFont="1" applyFill="1" applyBorder="1"/>
    <xf numFmtId="164" fontId="0" fillId="22" borderId="1" xfId="1" applyNumberFormat="1" applyFont="1" applyFill="1" applyBorder="1"/>
    <xf numFmtId="2" fontId="35" fillId="13" borderId="58" xfId="0" applyNumberFormat="1" applyFont="1" applyFill="1" applyBorder="1" applyAlignment="1" applyProtection="1">
      <alignment horizontal="right" vertical="center" wrapText="1"/>
      <protection hidden="1"/>
    </xf>
    <xf numFmtId="164" fontId="35" fillId="13" borderId="58" xfId="1" applyNumberFormat="1" applyFont="1" applyFill="1" applyBorder="1" applyAlignment="1" applyProtection="1">
      <alignment horizontal="right" vertical="center" wrapText="1"/>
      <protection hidden="1"/>
    </xf>
    <xf numFmtId="43" fontId="35" fillId="13" borderId="58" xfId="0" applyNumberFormat="1" applyFont="1" applyFill="1" applyBorder="1" applyAlignment="1" applyProtection="1">
      <alignment horizontal="center" vertical="center" wrapText="1"/>
      <protection hidden="1"/>
    </xf>
    <xf numFmtId="49" fontId="35" fillId="13" borderId="68" xfId="6" applyNumberFormat="1" applyFont="1" applyFill="1" applyBorder="1" applyAlignment="1" applyProtection="1">
      <alignment horizontal="center" vertical="center" wrapText="1"/>
      <protection hidden="1"/>
    </xf>
    <xf numFmtId="43" fontId="35" fillId="13" borderId="58" xfId="0" applyNumberFormat="1" applyFont="1" applyFill="1" applyBorder="1" applyAlignment="1" applyProtection="1">
      <alignment horizontal="right" vertical="center" wrapText="1"/>
      <protection hidden="1"/>
    </xf>
    <xf numFmtId="0" fontId="0" fillId="31" borderId="2" xfId="0" applyFill="1" applyBorder="1" applyAlignment="1">
      <alignment horizontal="center"/>
    </xf>
    <xf numFmtId="0" fontId="0" fillId="31" borderId="10" xfId="0" applyFill="1" applyBorder="1" applyAlignment="1">
      <alignment horizontal="center"/>
    </xf>
    <xf numFmtId="0" fontId="0" fillId="31" borderId="11" xfId="0" applyFill="1" applyBorder="1" applyAlignment="1">
      <alignment horizontal="center"/>
    </xf>
    <xf numFmtId="0" fontId="0" fillId="31" borderId="2" xfId="0" applyFill="1" applyBorder="1" applyAlignment="1">
      <alignment horizontal="center" vertical="center" wrapText="1"/>
    </xf>
    <xf numFmtId="0" fontId="0" fillId="31" borderId="11" xfId="0" applyFill="1" applyBorder="1" applyAlignment="1">
      <alignment horizontal="center" vertical="center" wrapText="1"/>
    </xf>
    <xf numFmtId="0" fontId="0" fillId="31" borderId="9" xfId="0" applyFill="1" applyBorder="1" applyAlignment="1">
      <alignment horizontal="center" vertical="center" wrapText="1"/>
    </xf>
    <xf numFmtId="0" fontId="0" fillId="31" borderId="12" xfId="0" applyFill="1" applyBorder="1" applyAlignment="1">
      <alignment horizontal="center" vertical="center" wrapText="1"/>
    </xf>
    <xf numFmtId="0" fontId="0" fillId="32" borderId="1" xfId="0" applyFill="1" applyBorder="1" applyAlignment="1">
      <alignment horizontal="center"/>
    </xf>
    <xf numFmtId="0" fontId="0" fillId="32" borderId="1" xfId="0" applyFill="1" applyBorder="1" applyAlignment="1">
      <alignment horizontal="center" vertical="center" wrapText="1"/>
    </xf>
    <xf numFmtId="0" fontId="0" fillId="32" borderId="11" xfId="0" applyFill="1" applyBorder="1" applyAlignment="1">
      <alignment horizontal="center"/>
    </xf>
    <xf numFmtId="0" fontId="0" fillId="28" borderId="1" xfId="0" applyFill="1" applyBorder="1" applyAlignment="1">
      <alignment horizontal="center" vertical="center" wrapText="1"/>
    </xf>
    <xf numFmtId="0" fontId="0" fillId="0" borderId="11" xfId="0" applyBorder="1" applyAlignment="1">
      <alignment horizontal="center"/>
    </xf>
    <xf numFmtId="0" fontId="0" fillId="0" borderId="1" xfId="0" applyBorder="1" applyAlignment="1">
      <alignment horizontal="center"/>
    </xf>
    <xf numFmtId="0" fontId="0" fillId="28" borderId="2" xfId="0" applyFill="1" applyBorder="1" applyAlignment="1">
      <alignment horizontal="center"/>
    </xf>
    <xf numFmtId="0" fontId="0" fillId="28" borderId="10" xfId="0" applyFill="1" applyBorder="1" applyAlignment="1">
      <alignment horizontal="center"/>
    </xf>
    <xf numFmtId="0" fontId="0" fillId="28" borderId="11" xfId="0" applyFill="1" applyBorder="1" applyAlignment="1">
      <alignment horizontal="center"/>
    </xf>
    <xf numFmtId="0" fontId="0" fillId="28" borderId="2" xfId="0" applyFill="1" applyBorder="1" applyAlignment="1">
      <alignment horizontal="center" vertical="center" wrapText="1"/>
    </xf>
    <xf numFmtId="0" fontId="0" fillId="28" borderId="11" xfId="0" applyFill="1" applyBorder="1" applyAlignment="1">
      <alignment horizontal="center" vertical="center" wrapText="1"/>
    </xf>
    <xf numFmtId="0" fontId="0" fillId="28" borderId="9" xfId="0" applyFill="1" applyBorder="1" applyAlignment="1">
      <alignment horizontal="center" vertical="center" wrapText="1"/>
    </xf>
    <xf numFmtId="0" fontId="0" fillId="28" borderId="12" xfId="0" applyFill="1" applyBorder="1" applyAlignment="1">
      <alignment horizontal="center" vertical="center" wrapText="1"/>
    </xf>
    <xf numFmtId="0" fontId="0" fillId="28" borderId="1" xfId="0" applyFill="1" applyBorder="1" applyAlignment="1">
      <alignment horizontal="center"/>
    </xf>
    <xf numFmtId="0" fontId="0" fillId="0" borderId="1" xfId="0" applyBorder="1" applyAlignment="1">
      <alignment horizontal="center" vertical="center" wrapText="1"/>
    </xf>
    <xf numFmtId="0" fontId="0" fillId="0" borderId="2" xfId="0" applyBorder="1" applyAlignment="1">
      <alignment horizontal="center"/>
    </xf>
    <xf numFmtId="0" fontId="0" fillId="0" borderId="10" xfId="0" applyBorder="1" applyAlignment="1">
      <alignment horizontal="center"/>
    </xf>
    <xf numFmtId="0" fontId="0" fillId="0" borderId="2" xfId="0" applyBorder="1" applyAlignment="1">
      <alignment horizontal="center" vertical="center" wrapText="1"/>
    </xf>
    <xf numFmtId="0" fontId="0" fillId="0" borderId="11" xfId="0" applyBorder="1" applyAlignment="1">
      <alignment horizontal="center" vertical="center" wrapText="1"/>
    </xf>
    <xf numFmtId="0" fontId="0" fillId="0" borderId="9" xfId="0" applyBorder="1" applyAlignment="1">
      <alignment horizontal="center" vertical="center" wrapText="1"/>
    </xf>
    <xf numFmtId="0" fontId="0" fillId="0" borderId="12" xfId="0" applyBorder="1" applyAlignment="1">
      <alignment horizontal="center" vertical="center" wrapText="1"/>
    </xf>
    <xf numFmtId="0" fontId="0" fillId="0" borderId="85" xfId="0" applyBorder="1" applyAlignment="1">
      <alignment horizontal="center"/>
    </xf>
    <xf numFmtId="0" fontId="0" fillId="0" borderId="86" xfId="0" applyBorder="1" applyAlignment="1">
      <alignment horizontal="center"/>
    </xf>
    <xf numFmtId="0" fontId="0" fillId="0" borderId="87" xfId="0" applyBorder="1" applyAlignment="1">
      <alignment horizontal="center"/>
    </xf>
    <xf numFmtId="0" fontId="0" fillId="23" borderId="11" xfId="0" applyFill="1" applyBorder="1" applyAlignment="1">
      <alignment horizontal="center"/>
    </xf>
    <xf numFmtId="0" fontId="0" fillId="23" borderId="1" xfId="0" applyFill="1" applyBorder="1" applyAlignment="1">
      <alignment horizontal="center"/>
    </xf>
    <xf numFmtId="0" fontId="0" fillId="0" borderId="1" xfId="0" applyBorder="1" applyAlignment="1">
      <alignment horizontal="center" vertical="center"/>
    </xf>
    <xf numFmtId="0" fontId="0" fillId="3" borderId="1" xfId="0" applyFill="1" applyBorder="1" applyAlignment="1">
      <alignment horizontal="center"/>
    </xf>
    <xf numFmtId="0" fontId="0" fillId="0" borderId="95" xfId="0" applyBorder="1" applyAlignment="1">
      <alignment horizontal="center" vertical="center"/>
    </xf>
    <xf numFmtId="0" fontId="0" fillId="0" borderId="97" xfId="0" applyBorder="1" applyAlignment="1">
      <alignment horizontal="center" vertical="center"/>
    </xf>
    <xf numFmtId="0" fontId="0" fillId="0" borderId="96" xfId="0" applyBorder="1" applyAlignment="1">
      <alignment horizontal="center" vertical="center"/>
    </xf>
    <xf numFmtId="0" fontId="0" fillId="0" borderId="1" xfId="0" applyFont="1" applyBorder="1" applyAlignment="1">
      <alignment horizontal="left"/>
    </xf>
    <xf numFmtId="0" fontId="5" fillId="0" borderId="1" xfId="0" applyFont="1" applyBorder="1" applyAlignment="1">
      <alignment horizontal="left" vertical="center"/>
    </xf>
    <xf numFmtId="0" fontId="6" fillId="0" borderId="2"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5" xfId="0" applyFont="1" applyBorder="1" applyAlignment="1">
      <alignment horizontal="left"/>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0" fillId="8" borderId="1" xfId="0" applyFill="1" applyBorder="1" applyAlignment="1">
      <alignment horizontal="center"/>
    </xf>
    <xf numFmtId="0" fontId="0" fillId="8" borderId="1" xfId="0" applyFill="1" applyBorder="1" applyAlignment="1">
      <alignment horizontal="center" vertical="center"/>
    </xf>
    <xf numFmtId="0" fontId="27" fillId="0" borderId="0" xfId="3" applyFont="1" applyAlignment="1" applyProtection="1">
      <alignment horizontal="left" vertical="center" wrapText="1"/>
      <protection hidden="1"/>
    </xf>
    <xf numFmtId="0" fontId="24" fillId="0" borderId="0" xfId="0" applyFont="1" applyBorder="1" applyAlignment="1" applyProtection="1">
      <alignment horizontal="justify" vertical="top" wrapText="1"/>
      <protection hidden="1"/>
    </xf>
    <xf numFmtId="0" fontId="24" fillId="0" borderId="0" xfId="0" applyFont="1" applyBorder="1" applyAlignment="1" applyProtection="1">
      <alignment horizontal="left" vertical="top" wrapText="1"/>
      <protection hidden="1"/>
    </xf>
    <xf numFmtId="0" fontId="23" fillId="9" borderId="0" xfId="0" applyFont="1" applyFill="1" applyBorder="1" applyAlignment="1" applyProtection="1">
      <alignment horizontal="left" vertical="center" wrapText="1"/>
      <protection hidden="1"/>
    </xf>
    <xf numFmtId="0" fontId="23" fillId="9" borderId="0" xfId="0" quotePrefix="1" applyFont="1" applyFill="1" applyBorder="1" applyAlignment="1" applyProtection="1">
      <alignment horizontal="left" vertical="center" wrapText="1"/>
      <protection hidden="1"/>
    </xf>
    <xf numFmtId="0" fontId="16" fillId="10" borderId="13" xfId="0" applyFont="1" applyFill="1" applyBorder="1" applyAlignment="1" applyProtection="1">
      <alignment horizontal="center" vertical="center"/>
      <protection hidden="1"/>
    </xf>
    <xf numFmtId="0" fontId="16" fillId="10" borderId="14" xfId="0" applyFont="1" applyFill="1" applyBorder="1" applyAlignment="1" applyProtection="1">
      <alignment horizontal="center" vertical="center"/>
      <protection hidden="1"/>
    </xf>
    <xf numFmtId="0" fontId="16" fillId="10" borderId="15" xfId="0" applyFont="1" applyFill="1" applyBorder="1" applyAlignment="1" applyProtection="1">
      <alignment horizontal="center" vertical="center"/>
      <protection hidden="1"/>
    </xf>
    <xf numFmtId="0" fontId="13" fillId="12" borderId="18" xfId="0" applyFont="1" applyFill="1" applyBorder="1" applyAlignment="1" applyProtection="1">
      <alignment horizontal="center" vertical="center" wrapText="1"/>
      <protection hidden="1"/>
    </xf>
    <xf numFmtId="0" fontId="13" fillId="12" borderId="26" xfId="0" applyFont="1" applyFill="1" applyBorder="1" applyAlignment="1" applyProtection="1">
      <alignment horizontal="center" vertical="center" wrapText="1"/>
      <protection hidden="1"/>
    </xf>
    <xf numFmtId="0" fontId="13" fillId="12" borderId="19" xfId="0" quotePrefix="1" applyFont="1" applyFill="1" applyBorder="1" applyAlignment="1" applyProtection="1">
      <alignment horizontal="center" vertical="center" wrapText="1"/>
      <protection hidden="1"/>
    </xf>
    <xf numFmtId="0" fontId="13" fillId="12" borderId="23" xfId="0" quotePrefix="1" applyFont="1" applyFill="1" applyBorder="1" applyAlignment="1" applyProtection="1">
      <alignment horizontal="center" vertical="center" wrapText="1"/>
      <protection hidden="1"/>
    </xf>
    <xf numFmtId="0" fontId="13" fillId="12" borderId="20" xfId="0" applyFont="1" applyFill="1" applyBorder="1" applyAlignment="1" applyProtection="1">
      <alignment horizontal="center" vertical="center" wrapText="1"/>
      <protection hidden="1"/>
    </xf>
    <xf numFmtId="0" fontId="13" fillId="12" borderId="21" xfId="0" applyFont="1" applyFill="1" applyBorder="1" applyAlignment="1" applyProtection="1">
      <alignment horizontal="center" vertical="center" wrapText="1"/>
      <protection hidden="1"/>
    </xf>
    <xf numFmtId="0" fontId="24" fillId="0" borderId="0" xfId="0" applyFont="1" applyFill="1" applyBorder="1" applyAlignment="1" applyProtection="1">
      <alignment horizontal="justify" vertical="center" wrapText="1"/>
      <protection hidden="1"/>
    </xf>
    <xf numFmtId="0" fontId="29" fillId="10" borderId="16" xfId="0" applyFont="1" applyFill="1" applyBorder="1" applyAlignment="1" applyProtection="1">
      <alignment horizontal="center" vertical="center" wrapText="1"/>
      <protection hidden="1"/>
    </xf>
    <xf numFmtId="0" fontId="29" fillId="10" borderId="0" xfId="0" applyFont="1" applyFill="1" applyBorder="1" applyAlignment="1" applyProtection="1">
      <alignment horizontal="center" vertical="center" wrapText="1"/>
      <protection hidden="1"/>
    </xf>
    <xf numFmtId="0" fontId="16" fillId="11" borderId="32" xfId="0" applyFont="1" applyFill="1" applyBorder="1" applyAlignment="1" applyProtection="1">
      <alignment horizontal="center" vertical="center"/>
      <protection hidden="1"/>
    </xf>
    <xf numFmtId="0" fontId="16" fillId="11" borderId="33" xfId="0" applyFont="1" applyFill="1" applyBorder="1" applyAlignment="1" applyProtection="1">
      <alignment horizontal="center" vertical="center"/>
      <protection hidden="1"/>
    </xf>
    <xf numFmtId="0" fontId="13" fillId="12" borderId="34" xfId="0" applyFont="1" applyFill="1" applyBorder="1" applyAlignment="1" applyProtection="1">
      <alignment horizontal="center" vertical="center" wrapText="1"/>
      <protection hidden="1"/>
    </xf>
    <xf numFmtId="0" fontId="13" fillId="12" borderId="35" xfId="0" quotePrefix="1" applyFont="1" applyFill="1" applyBorder="1" applyAlignment="1" applyProtection="1">
      <alignment horizontal="center" vertical="center" wrapText="1"/>
      <protection hidden="1"/>
    </xf>
    <xf numFmtId="0" fontId="24" fillId="0" borderId="0" xfId="0" applyFont="1" applyFill="1" applyAlignment="1" applyProtection="1">
      <alignment horizontal="justify" vertical="center" wrapText="1"/>
      <protection hidden="1"/>
    </xf>
    <xf numFmtId="0" fontId="24" fillId="0" borderId="0" xfId="0" applyFont="1" applyFill="1" applyAlignment="1" applyProtection="1">
      <alignment horizontal="justify" vertical="top" wrapText="1"/>
      <protection hidden="1"/>
    </xf>
    <xf numFmtId="0" fontId="13" fillId="24" borderId="35" xfId="0" quotePrefix="1" applyFont="1" applyFill="1" applyBorder="1" applyAlignment="1" applyProtection="1">
      <alignment horizontal="center" vertical="center" wrapText="1"/>
      <protection hidden="1"/>
    </xf>
    <xf numFmtId="0" fontId="13" fillId="24" borderId="23" xfId="0" quotePrefix="1" applyFont="1" applyFill="1" applyBorder="1" applyAlignment="1" applyProtection="1">
      <alignment horizontal="center" vertical="center" wrapText="1"/>
      <protection hidden="1"/>
    </xf>
    <xf numFmtId="0" fontId="31" fillId="10" borderId="16" xfId="0" quotePrefix="1" applyFont="1" applyFill="1" applyBorder="1" applyAlignment="1" applyProtection="1">
      <alignment horizontal="center" vertical="center" wrapText="1"/>
      <protection hidden="1"/>
    </xf>
    <xf numFmtId="0" fontId="31" fillId="10" borderId="0" xfId="0" quotePrefix="1" applyFont="1" applyFill="1" applyBorder="1" applyAlignment="1" applyProtection="1">
      <alignment horizontal="center" vertical="center" wrapText="1"/>
      <protection hidden="1"/>
    </xf>
    <xf numFmtId="0" fontId="31" fillId="10" borderId="32" xfId="0" applyFont="1" applyFill="1" applyBorder="1" applyAlignment="1" applyProtection="1">
      <alignment horizontal="center" vertical="center" wrapText="1"/>
      <protection hidden="1"/>
    </xf>
    <xf numFmtId="0" fontId="31" fillId="10" borderId="33" xfId="0" applyFont="1" applyFill="1" applyBorder="1" applyAlignment="1" applyProtection="1">
      <alignment horizontal="center" vertical="center" wrapText="1"/>
      <protection hidden="1"/>
    </xf>
    <xf numFmtId="0" fontId="32" fillId="11" borderId="39" xfId="0" applyFont="1" applyFill="1" applyBorder="1" applyAlignment="1" applyProtection="1">
      <alignment horizontal="center" vertical="center" wrapText="1"/>
      <protection hidden="1"/>
    </xf>
    <xf numFmtId="0" fontId="32" fillId="11" borderId="40" xfId="0" applyFont="1" applyFill="1" applyBorder="1" applyAlignment="1" applyProtection="1">
      <alignment horizontal="center" vertical="center" wrapText="1"/>
      <protection hidden="1"/>
    </xf>
    <xf numFmtId="0" fontId="32" fillId="11" borderId="41" xfId="0" applyFont="1" applyFill="1" applyBorder="1" applyAlignment="1" applyProtection="1">
      <alignment horizontal="center" vertical="center" wrapText="1"/>
      <protection hidden="1"/>
    </xf>
    <xf numFmtId="0" fontId="32" fillId="11" borderId="42" xfId="0" applyFont="1" applyFill="1" applyBorder="1" applyAlignment="1" applyProtection="1">
      <alignment horizontal="center" vertical="center" wrapText="1"/>
      <protection hidden="1"/>
    </xf>
    <xf numFmtId="0" fontId="34" fillId="12" borderId="43" xfId="0" applyFont="1" applyFill="1" applyBorder="1" applyAlignment="1" applyProtection="1">
      <alignment horizontal="center" vertical="center" wrapText="1"/>
      <protection hidden="1"/>
    </xf>
    <xf numFmtId="0" fontId="34" fillId="12" borderId="46" xfId="0" applyFont="1" applyFill="1" applyBorder="1" applyAlignment="1" applyProtection="1">
      <alignment horizontal="center" vertical="center" wrapText="1"/>
      <protection hidden="1"/>
    </xf>
    <xf numFmtId="0" fontId="34" fillId="12" borderId="48" xfId="0" applyFont="1" applyFill="1" applyBorder="1" applyAlignment="1" applyProtection="1">
      <alignment horizontal="center" vertical="center" wrapText="1"/>
      <protection hidden="1"/>
    </xf>
    <xf numFmtId="0" fontId="34" fillId="12" borderId="45" xfId="0" applyFont="1" applyFill="1" applyBorder="1" applyAlignment="1" applyProtection="1">
      <alignment horizontal="center" vertical="center" wrapText="1"/>
      <protection hidden="1"/>
    </xf>
    <xf numFmtId="0" fontId="34" fillId="12" borderId="47" xfId="0"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justify" wrapText="1"/>
      <protection hidden="1"/>
    </xf>
    <xf numFmtId="0" fontId="39" fillId="0" borderId="0" xfId="3" applyFont="1" applyFill="1" applyBorder="1" applyAlignment="1" applyProtection="1">
      <alignment horizontal="left" vertical="center" wrapText="1"/>
      <protection hidden="1"/>
    </xf>
    <xf numFmtId="0" fontId="36" fillId="12" borderId="34" xfId="3" applyFont="1" applyFill="1" applyBorder="1" applyAlignment="1" applyProtection="1">
      <alignment horizontal="center" vertical="center" wrapText="1"/>
      <protection hidden="1"/>
    </xf>
    <xf numFmtId="0" fontId="36" fillId="12" borderId="29" xfId="3" applyFont="1" applyFill="1" applyBorder="1" applyAlignment="1" applyProtection="1">
      <alignment horizontal="center" vertical="center" wrapText="1"/>
      <protection hidden="1"/>
    </xf>
    <xf numFmtId="0" fontId="38" fillId="16" borderId="13" xfId="3" applyFont="1" applyFill="1" applyBorder="1" applyAlignment="1" applyProtection="1">
      <alignment horizontal="center" vertical="center" wrapText="1"/>
      <protection hidden="1"/>
    </xf>
    <xf numFmtId="0" fontId="38" fillId="16" borderId="14" xfId="3" applyFont="1" applyFill="1" applyBorder="1" applyAlignment="1" applyProtection="1">
      <alignment horizontal="center" vertical="center" wrapText="1"/>
      <protection hidden="1"/>
    </xf>
    <xf numFmtId="0" fontId="38" fillId="16" borderId="32" xfId="3" applyFont="1" applyFill="1" applyBorder="1" applyAlignment="1" applyProtection="1">
      <alignment horizontal="center" vertical="center" wrapText="1"/>
      <protection hidden="1"/>
    </xf>
    <xf numFmtId="0" fontId="38" fillId="16" borderId="33" xfId="3" applyFont="1" applyFill="1" applyBorder="1" applyAlignment="1" applyProtection="1">
      <alignment horizontal="center" vertical="center" wrapText="1"/>
      <protection hidden="1"/>
    </xf>
    <xf numFmtId="0" fontId="36" fillId="18" borderId="13" xfId="3" applyFont="1" applyFill="1" applyBorder="1" applyAlignment="1" applyProtection="1">
      <alignment horizontal="center" vertical="center" wrapText="1"/>
      <protection hidden="1"/>
    </xf>
    <xf numFmtId="0" fontId="36" fillId="18" borderId="14" xfId="3" applyFont="1" applyFill="1" applyBorder="1" applyAlignment="1" applyProtection="1">
      <alignment horizontal="center" vertical="center" wrapText="1"/>
      <protection hidden="1"/>
    </xf>
    <xf numFmtId="0" fontId="36" fillId="18" borderId="15" xfId="3" applyFont="1" applyFill="1" applyBorder="1" applyAlignment="1" applyProtection="1">
      <alignment horizontal="center" vertical="center" wrapText="1"/>
      <protection hidden="1"/>
    </xf>
    <xf numFmtId="0" fontId="36" fillId="18" borderId="32" xfId="3" applyFont="1" applyFill="1" applyBorder="1" applyAlignment="1" applyProtection="1">
      <alignment horizontal="center" vertical="center" wrapText="1"/>
      <protection hidden="1"/>
    </xf>
    <xf numFmtId="0" fontId="36" fillId="18" borderId="33" xfId="3" applyFont="1" applyFill="1" applyBorder="1" applyAlignment="1" applyProtection="1">
      <alignment horizontal="center" vertical="center" wrapText="1"/>
      <protection hidden="1"/>
    </xf>
    <xf numFmtId="0" fontId="36" fillId="18" borderId="56" xfId="3" applyFont="1" applyFill="1" applyBorder="1" applyAlignment="1" applyProtection="1">
      <alignment horizontal="center" vertical="center" wrapText="1"/>
      <protection hidden="1"/>
    </xf>
    <xf numFmtId="0" fontId="72" fillId="0" borderId="0" xfId="3" applyFont="1" applyFill="1" applyBorder="1" applyAlignment="1" applyProtection="1">
      <alignment horizontal="justify" vertical="center" wrapText="1"/>
      <protection hidden="1"/>
    </xf>
    <xf numFmtId="0" fontId="39" fillId="0" borderId="0" xfId="3" applyFont="1" applyFill="1" applyBorder="1" applyAlignment="1" applyProtection="1">
      <alignment horizontal="justify" vertical="center" wrapText="1"/>
      <protection hidden="1"/>
    </xf>
    <xf numFmtId="0" fontId="36" fillId="12" borderId="30" xfId="3" quotePrefix="1" applyFont="1" applyFill="1" applyBorder="1" applyAlignment="1" applyProtection="1">
      <alignment horizontal="center" vertical="center" wrapText="1"/>
      <protection hidden="1"/>
    </xf>
    <xf numFmtId="0" fontId="36" fillId="0" borderId="30" xfId="0" applyFont="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6" fillId="0" borderId="25" xfId="0" applyFont="1" applyBorder="1" applyAlignment="1" applyProtection="1">
      <alignment horizontal="center" vertical="center" wrapText="1"/>
      <protection hidden="1"/>
    </xf>
    <xf numFmtId="0" fontId="28" fillId="0" borderId="0" xfId="3" applyFont="1" applyAlignment="1" applyProtection="1">
      <alignment horizontal="justify" vertical="center" wrapText="1"/>
      <protection hidden="1"/>
    </xf>
    <xf numFmtId="0" fontId="27" fillId="0" borderId="0" xfId="3" applyFont="1" applyAlignment="1" applyProtection="1">
      <alignment horizontal="justify" vertical="center" wrapText="1"/>
      <protection hidden="1"/>
    </xf>
    <xf numFmtId="0" fontId="38" fillId="16" borderId="13" xfId="3" applyFont="1" applyFill="1" applyBorder="1" applyAlignment="1" applyProtection="1">
      <alignment horizontal="center" vertical="center"/>
      <protection hidden="1"/>
    </xf>
    <xf numFmtId="0" fontId="38" fillId="16" borderId="14" xfId="3" applyFont="1" applyFill="1" applyBorder="1" applyAlignment="1" applyProtection="1">
      <alignment horizontal="center" vertical="center"/>
      <protection hidden="1"/>
    </xf>
    <xf numFmtId="0" fontId="38" fillId="16" borderId="15" xfId="3" applyFont="1" applyFill="1" applyBorder="1" applyAlignment="1" applyProtection="1">
      <alignment horizontal="center" vertical="center"/>
      <protection hidden="1"/>
    </xf>
    <xf numFmtId="0" fontId="38" fillId="16" borderId="16" xfId="3" applyFont="1" applyFill="1" applyBorder="1" applyAlignment="1" applyProtection="1">
      <alignment horizontal="center" vertical="center"/>
      <protection hidden="1"/>
    </xf>
    <xf numFmtId="0" fontId="38" fillId="16" borderId="0" xfId="3" applyFont="1" applyFill="1" applyBorder="1" applyAlignment="1" applyProtection="1">
      <alignment horizontal="center" vertical="center"/>
      <protection hidden="1"/>
    </xf>
    <xf numFmtId="0" fontId="38" fillId="16" borderId="17" xfId="3" applyFont="1" applyFill="1" applyBorder="1" applyAlignment="1" applyProtection="1">
      <alignment horizontal="center" vertical="center"/>
      <protection hidden="1"/>
    </xf>
    <xf numFmtId="0" fontId="38" fillId="21" borderId="13" xfId="3" applyFont="1" applyFill="1" applyBorder="1" applyAlignment="1" applyProtection="1">
      <alignment horizontal="center" vertical="center"/>
      <protection hidden="1"/>
    </xf>
    <xf numFmtId="0" fontId="38" fillId="21" borderId="15" xfId="3" applyFont="1" applyFill="1" applyBorder="1" applyAlignment="1" applyProtection="1">
      <alignment horizontal="center" vertical="center"/>
      <protection hidden="1"/>
    </xf>
    <xf numFmtId="0" fontId="38" fillId="21" borderId="16" xfId="3" applyFont="1" applyFill="1" applyBorder="1" applyAlignment="1" applyProtection="1">
      <alignment horizontal="center" vertical="center"/>
      <protection hidden="1"/>
    </xf>
    <xf numFmtId="0" fontId="38" fillId="21" borderId="17" xfId="3" applyFont="1" applyFill="1" applyBorder="1" applyAlignment="1" applyProtection="1">
      <alignment horizontal="center" vertical="center"/>
      <protection hidden="1"/>
    </xf>
    <xf numFmtId="0" fontId="36" fillId="21" borderId="13" xfId="3" quotePrefix="1" applyFont="1" applyFill="1" applyBorder="1" applyAlignment="1" applyProtection="1">
      <alignment horizontal="center" vertical="center"/>
      <protection hidden="1"/>
    </xf>
    <xf numFmtId="0" fontId="36" fillId="21" borderId="14" xfId="3" quotePrefix="1" applyFont="1" applyFill="1" applyBorder="1" applyAlignment="1" applyProtection="1">
      <alignment horizontal="center" vertical="center"/>
      <protection hidden="1"/>
    </xf>
    <xf numFmtId="0" fontId="36" fillId="21" borderId="70" xfId="3" quotePrefix="1" applyFont="1" applyFill="1" applyBorder="1" applyAlignment="1" applyProtection="1">
      <alignment horizontal="center" vertical="center"/>
      <protection hidden="1"/>
    </xf>
    <xf numFmtId="0" fontId="36" fillId="21" borderId="32" xfId="3" quotePrefix="1" applyFont="1" applyFill="1" applyBorder="1" applyAlignment="1" applyProtection="1">
      <alignment horizontal="center" vertical="center"/>
      <protection hidden="1"/>
    </xf>
    <xf numFmtId="0" fontId="36" fillId="21" borderId="33" xfId="3" quotePrefix="1" applyFont="1" applyFill="1" applyBorder="1" applyAlignment="1" applyProtection="1">
      <alignment horizontal="center" vertical="center"/>
      <protection hidden="1"/>
    </xf>
    <xf numFmtId="0" fontId="36" fillId="21" borderId="21" xfId="3" quotePrefix="1" applyFont="1" applyFill="1" applyBorder="1" applyAlignment="1" applyProtection="1">
      <alignment horizontal="center" vertical="center"/>
      <protection hidden="1"/>
    </xf>
    <xf numFmtId="0" fontId="36" fillId="12" borderId="59" xfId="3" applyFont="1" applyFill="1" applyBorder="1" applyAlignment="1" applyProtection="1">
      <alignment horizontal="center" vertical="center" wrapText="1"/>
      <protection hidden="1"/>
    </xf>
    <xf numFmtId="0" fontId="36" fillId="12" borderId="21" xfId="3" applyFont="1" applyFill="1" applyBorder="1" applyAlignment="1" applyProtection="1">
      <alignment horizontal="center" vertical="center" wrapText="1"/>
      <protection hidden="1"/>
    </xf>
    <xf numFmtId="0" fontId="38" fillId="21" borderId="13" xfId="3" applyFont="1" applyFill="1" applyBorder="1" applyAlignment="1" applyProtection="1">
      <alignment horizontal="center" vertical="center" wrapText="1"/>
      <protection hidden="1"/>
    </xf>
    <xf numFmtId="0" fontId="38" fillId="21" borderId="32" xfId="3" applyFont="1" applyFill="1" applyBorder="1" applyAlignment="1" applyProtection="1">
      <alignment horizontal="center" vertical="center" wrapText="1"/>
      <protection hidden="1"/>
    </xf>
    <xf numFmtId="0" fontId="38" fillId="16" borderId="15" xfId="3" applyFont="1" applyFill="1" applyBorder="1" applyAlignment="1" applyProtection="1">
      <alignment horizontal="center" vertical="center" wrapText="1"/>
      <protection hidden="1"/>
    </xf>
    <xf numFmtId="0" fontId="38" fillId="16" borderId="56" xfId="3" applyFont="1" applyFill="1" applyBorder="1" applyAlignment="1" applyProtection="1">
      <alignment horizontal="center" vertical="center" wrapText="1"/>
      <protection hidden="1"/>
    </xf>
    <xf numFmtId="0" fontId="38" fillId="21" borderId="14" xfId="3" applyFont="1" applyFill="1" applyBorder="1" applyAlignment="1" applyProtection="1">
      <alignment horizontal="center" vertical="center" wrapText="1"/>
      <protection hidden="1"/>
    </xf>
    <xf numFmtId="0" fontId="38" fillId="21" borderId="15" xfId="3" applyFont="1" applyFill="1" applyBorder="1" applyAlignment="1" applyProtection="1">
      <alignment horizontal="center" vertical="center" wrapText="1"/>
      <protection hidden="1"/>
    </xf>
    <xf numFmtId="0" fontId="38" fillId="21" borderId="33" xfId="3" applyFont="1" applyFill="1" applyBorder="1" applyAlignment="1" applyProtection="1">
      <alignment horizontal="center" vertical="center" wrapText="1"/>
      <protection hidden="1"/>
    </xf>
    <xf numFmtId="0" fontId="38" fillId="21" borderId="56" xfId="3" applyFont="1" applyFill="1" applyBorder="1" applyAlignment="1" applyProtection="1">
      <alignment horizontal="center" vertical="center" wrapText="1"/>
      <protection hidden="1"/>
    </xf>
    <xf numFmtId="0" fontId="36" fillId="12" borderId="64" xfId="3" applyFont="1" applyFill="1" applyBorder="1" applyAlignment="1" applyProtection="1">
      <alignment horizontal="center" vertical="center" wrapText="1"/>
      <protection hidden="1"/>
    </xf>
    <xf numFmtId="0" fontId="36" fillId="12" borderId="56" xfId="3" applyFont="1" applyFill="1" applyBorder="1" applyAlignment="1" applyProtection="1">
      <alignment horizontal="center" vertical="center" wrapText="1"/>
      <protection hidden="1"/>
    </xf>
    <xf numFmtId="0" fontId="45" fillId="0" borderId="0" xfId="3" applyFont="1" applyFill="1" applyBorder="1" applyAlignment="1" applyProtection="1">
      <alignment horizontal="left" vertical="center" wrapText="1"/>
      <protection hidden="1"/>
    </xf>
    <xf numFmtId="0" fontId="38" fillId="21" borderId="16" xfId="3" applyFont="1" applyFill="1" applyBorder="1" applyAlignment="1" applyProtection="1">
      <alignment horizontal="center" vertical="center" wrapText="1"/>
      <protection hidden="1"/>
    </xf>
    <xf numFmtId="0" fontId="38" fillId="21" borderId="0" xfId="3" applyFont="1" applyFill="1" applyBorder="1" applyAlignment="1" applyProtection="1">
      <alignment horizontal="center" vertical="center" wrapText="1"/>
      <protection hidden="1"/>
    </xf>
    <xf numFmtId="0" fontId="38" fillId="21" borderId="17" xfId="3" applyFont="1" applyFill="1" applyBorder="1" applyAlignment="1" applyProtection="1">
      <alignment horizontal="center" vertical="center" wrapText="1"/>
      <protection hidden="1"/>
    </xf>
    <xf numFmtId="0" fontId="36" fillId="12" borderId="60" xfId="3" applyFont="1" applyFill="1" applyBorder="1" applyAlignment="1" applyProtection="1">
      <alignment horizontal="center" vertical="center" wrapText="1"/>
      <protection hidden="1"/>
    </xf>
    <xf numFmtId="0" fontId="36" fillId="12" borderId="33" xfId="3" applyFont="1" applyFill="1" applyBorder="1" applyAlignment="1" applyProtection="1">
      <alignment horizontal="center" vertical="center" wrapText="1"/>
      <protection hidden="1"/>
    </xf>
    <xf numFmtId="0" fontId="38" fillId="21" borderId="14" xfId="3" applyFont="1" applyFill="1" applyBorder="1" applyAlignment="1" applyProtection="1">
      <alignment horizontal="center" vertical="center"/>
      <protection hidden="1"/>
    </xf>
    <xf numFmtId="0" fontId="38" fillId="21" borderId="0" xfId="3" applyFont="1" applyFill="1" applyBorder="1" applyAlignment="1" applyProtection="1">
      <alignment horizontal="center" vertical="center"/>
      <protection hidden="1"/>
    </xf>
    <xf numFmtId="0" fontId="27" fillId="0" borderId="0" xfId="3" applyFont="1" applyAlignment="1" applyProtection="1">
      <alignment horizontal="justify" vertical="justify" wrapText="1"/>
      <protection hidden="1"/>
    </xf>
    <xf numFmtId="0" fontId="83" fillId="0" borderId="0" xfId="3" applyFont="1" applyFill="1" applyBorder="1" applyAlignment="1" applyProtection="1">
      <alignment horizontal="left" vertical="center" wrapText="1"/>
      <protection hidden="1"/>
    </xf>
    <xf numFmtId="0" fontId="36" fillId="12" borderId="57" xfId="3" applyFont="1" applyFill="1" applyBorder="1" applyAlignment="1" applyProtection="1">
      <alignment horizontal="center" vertical="center"/>
      <protection hidden="1"/>
    </xf>
    <xf numFmtId="0" fontId="36" fillId="0" borderId="57" xfId="0" applyFont="1" applyBorder="1" applyAlignment="1" applyProtection="1">
      <alignment horizontal="center" vertical="center"/>
      <protection hidden="1"/>
    </xf>
    <xf numFmtId="0" fontId="42" fillId="3" borderId="0" xfId="3" applyFont="1" applyFill="1" applyBorder="1" applyAlignment="1" applyProtection="1">
      <alignment horizontal="justify" vertical="center" wrapText="1"/>
      <protection hidden="1"/>
    </xf>
    <xf numFmtId="0" fontId="38" fillId="16" borderId="7" xfId="3" applyFont="1" applyFill="1" applyBorder="1" applyAlignment="1" applyProtection="1">
      <alignment horizontal="center" vertical="center"/>
      <protection hidden="1"/>
    </xf>
    <xf numFmtId="0" fontId="38" fillId="21" borderId="7" xfId="3" applyFont="1" applyFill="1" applyBorder="1" applyAlignment="1" applyProtection="1">
      <alignment horizontal="center" vertical="center"/>
      <protection hidden="1"/>
    </xf>
    <xf numFmtId="0" fontId="38" fillId="21" borderId="75" xfId="3" applyFont="1" applyFill="1" applyBorder="1" applyAlignment="1" applyProtection="1">
      <alignment horizontal="center" vertical="center"/>
      <protection hidden="1"/>
    </xf>
    <xf numFmtId="0" fontId="36" fillId="16" borderId="80" xfId="3" applyFont="1" applyFill="1" applyBorder="1" applyAlignment="1" applyProtection="1">
      <alignment horizontal="center" vertical="center"/>
      <protection hidden="1"/>
    </xf>
    <xf numFmtId="0" fontId="36" fillId="16" borderId="20" xfId="3" applyFont="1" applyFill="1" applyBorder="1" applyAlignment="1" applyProtection="1">
      <alignment horizontal="center" vertical="center"/>
      <protection hidden="1"/>
    </xf>
    <xf numFmtId="0" fontId="35" fillId="0" borderId="7" xfId="3" applyFont="1" applyFill="1" applyBorder="1" applyAlignment="1" applyProtection="1">
      <alignment horizontal="left" vertical="center"/>
      <protection hidden="1"/>
    </xf>
    <xf numFmtId="0" fontId="35" fillId="0" borderId="0" xfId="3" applyFont="1" applyFill="1" applyBorder="1" applyAlignment="1" applyProtection="1">
      <alignment horizontal="left" vertical="center"/>
      <protection hidden="1"/>
    </xf>
    <xf numFmtId="0" fontId="50" fillId="0" borderId="0" xfId="0" applyFont="1" applyBorder="1" applyAlignment="1" applyProtection="1">
      <alignment horizontal="center" vertical="center"/>
      <protection hidden="1"/>
    </xf>
    <xf numFmtId="0" fontId="36" fillId="12" borderId="54"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78"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36" fillId="12" borderId="55" xfId="3" applyFont="1" applyFill="1" applyBorder="1" applyAlignment="1" applyProtection="1">
      <alignment horizontal="center" vertical="center" wrapText="1"/>
      <protection hidden="1"/>
    </xf>
    <xf numFmtId="0" fontId="55" fillId="0" borderId="0" xfId="0" applyFont="1" applyFill="1" applyAlignment="1" applyProtection="1">
      <alignment horizontal="justify" vertical="justify"/>
      <protection hidden="1"/>
    </xf>
  </cellXfs>
  <cellStyles count="14">
    <cellStyle name="Hipervínculo" xfId="9" builtinId="8"/>
    <cellStyle name="Hipervínculo 2" xfId="12" xr:uid="{71BEC5F9-FC71-4534-A608-0DC25C29D296}"/>
    <cellStyle name="Millares" xfId="6" builtinId="3"/>
    <cellStyle name="Millares [0]" xfId="1" builtinId="6"/>
    <cellStyle name="Millares [0] 2" xfId="11" xr:uid="{9A2E8975-D3B1-464A-A0E5-574EB0EE48BB}"/>
    <cellStyle name="Millares 2" xfId="4" xr:uid="{00000000-0005-0000-0000-000003000000}"/>
    <cellStyle name="Millares 8" xfId="8" xr:uid="{00000000-0005-0000-0000-000004000000}"/>
    <cellStyle name="Normal" xfId="0" builtinId="0"/>
    <cellStyle name="Normal 2" xfId="3" xr:uid="{00000000-0005-0000-0000-000006000000}"/>
    <cellStyle name="Normal 3" xfId="2" xr:uid="{00000000-0005-0000-0000-000007000000}"/>
    <cellStyle name="Normal_PRECIOS FRONTERA CESARABRIL" xfId="10" xr:uid="{00000000-0005-0000-0000-000008000000}"/>
    <cellStyle name="Porcentaje" xfId="7" builtinId="5"/>
    <cellStyle name="Porcentaje 2" xfId="5" xr:uid="{00000000-0005-0000-0000-00000A000000}"/>
    <cellStyle name="Porcentual 2 2" xfId="13" xr:uid="{10156946-0071-47D7-AF99-52B11402ED93}"/>
  </cellStyles>
  <dxfs count="0"/>
  <tableStyles count="0" defaultTableStyle="TableStyleMedium2" defaultPivotStyle="PivotStyleLight16"/>
  <colors>
    <mruColors>
      <color rgb="FF00FF00"/>
      <color rgb="FF33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s>
</file>

<file path=xl/drawings/_rels/drawing3.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s>
</file>

<file path=xl/drawings/_rels/drawing4.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s>
</file>

<file path=xl/drawings/_rels/drawing5.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s>
</file>

<file path=xl/drawings/_rels/drawing6.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image" Target="../media/image30.png"/></Relationships>
</file>

<file path=xl/drawings/_rels/drawing7.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2.png"/></Relationships>
</file>

<file path=xl/drawings/_rels/drawing8.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image" Target="../media/image30.png"/></Relationships>
</file>

<file path=xl/drawings/_rels/drawing9.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3</xdr:col>
      <xdr:colOff>648257</xdr:colOff>
      <xdr:row>37</xdr:row>
      <xdr:rowOff>220597</xdr:rowOff>
    </xdr:from>
    <xdr:to>
      <xdr:col>8</xdr:col>
      <xdr:colOff>504825</xdr:colOff>
      <xdr:row>42</xdr:row>
      <xdr:rowOff>16126</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4020107" y="8240647"/>
          <a:ext cx="4342843" cy="1310564"/>
        </a:xfrm>
        <a:prstGeom prst="rect">
          <a:avLst/>
        </a:prstGeom>
      </xdr:spPr>
    </xdr:pic>
    <xdr:clientData/>
  </xdr:twoCellAnchor>
  <xdr:twoCellAnchor>
    <xdr:from>
      <xdr:col>4</xdr:col>
      <xdr:colOff>212148</xdr:colOff>
      <xdr:row>50</xdr:row>
      <xdr:rowOff>71351</xdr:rowOff>
    </xdr:from>
    <xdr:to>
      <xdr:col>8</xdr:col>
      <xdr:colOff>99046</xdr:colOff>
      <xdr:row>57</xdr:row>
      <xdr:rowOff>139399</xdr:rowOff>
    </xdr:to>
    <xdr:grpSp>
      <xdr:nvGrpSpPr>
        <xdr:cNvPr id="8" name="Grupo 7">
          <a:extLst>
            <a:ext uri="{FF2B5EF4-FFF2-40B4-BE49-F238E27FC236}">
              <a16:creationId xmlns:a16="http://schemas.microsoft.com/office/drawing/2014/main" id="{00000000-0008-0000-0000-000008000000}"/>
            </a:ext>
          </a:extLst>
        </xdr:cNvPr>
        <xdr:cNvGrpSpPr/>
      </xdr:nvGrpSpPr>
      <xdr:grpSpPr>
        <a:xfrm>
          <a:off x="4739324" y="10911175"/>
          <a:ext cx="3592310" cy="1382871"/>
          <a:chOff x="4429125" y="10866209"/>
          <a:chExt cx="4839898" cy="1954602"/>
        </a:xfrm>
      </xdr:grpSpPr>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457700" y="10866209"/>
            <a:ext cx="4773224" cy="1354706"/>
          </a:xfrm>
          <a:prstGeom prst="rect">
            <a:avLst/>
          </a:prstGeom>
        </xdr:spPr>
      </xdr:pic>
      <xdr:pic>
        <xdr:nvPicPr>
          <xdr:cNvPr id="7" name="Imagen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429125" y="12165465"/>
            <a:ext cx="4839898" cy="655346"/>
          </a:xfrm>
          <a:prstGeom prst="rect">
            <a:avLst/>
          </a:prstGeom>
        </xdr:spPr>
      </xdr:pic>
    </xdr:grpSp>
    <xdr:clientData/>
  </xdr:twoCellAnchor>
  <xdr:twoCellAnchor editAs="oneCell">
    <xdr:from>
      <xdr:col>0</xdr:col>
      <xdr:colOff>1333500</xdr:colOff>
      <xdr:row>91</xdr:row>
      <xdr:rowOff>142271</xdr:rowOff>
    </xdr:from>
    <xdr:to>
      <xdr:col>5</xdr:col>
      <xdr:colOff>658447</xdr:colOff>
      <xdr:row>102</xdr:row>
      <xdr:rowOff>25644</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333500" y="19452736"/>
          <a:ext cx="5168794" cy="1986493"/>
        </a:xfrm>
        <a:prstGeom prst="rect">
          <a:avLst/>
        </a:prstGeom>
      </xdr:spPr>
    </xdr:pic>
    <xdr:clientData/>
  </xdr:twoCellAnchor>
  <xdr:twoCellAnchor editAs="oneCell">
    <xdr:from>
      <xdr:col>53</xdr:col>
      <xdr:colOff>313266</xdr:colOff>
      <xdr:row>34</xdr:row>
      <xdr:rowOff>144992</xdr:rowOff>
    </xdr:from>
    <xdr:to>
      <xdr:col>55</xdr:col>
      <xdr:colOff>484954</xdr:colOff>
      <xdr:row>43</xdr:row>
      <xdr:rowOff>39987</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5"/>
        <a:stretch>
          <a:fillRect/>
        </a:stretch>
      </xdr:blipFill>
      <xdr:spPr>
        <a:xfrm>
          <a:off x="45635333" y="7079192"/>
          <a:ext cx="1763421" cy="2332897"/>
        </a:xfrm>
        <a:prstGeom prst="rect">
          <a:avLst/>
        </a:prstGeom>
      </xdr:spPr>
    </xdr:pic>
    <xdr:clientData/>
  </xdr:twoCellAnchor>
  <xdr:twoCellAnchor editAs="oneCell">
    <xdr:from>
      <xdr:col>55</xdr:col>
      <xdr:colOff>653764</xdr:colOff>
      <xdr:row>34</xdr:row>
      <xdr:rowOff>165774</xdr:rowOff>
    </xdr:from>
    <xdr:to>
      <xdr:col>61</xdr:col>
      <xdr:colOff>359086</xdr:colOff>
      <xdr:row>43</xdr:row>
      <xdr:rowOff>70295</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6"/>
        <a:stretch>
          <a:fillRect/>
        </a:stretch>
      </xdr:blipFill>
      <xdr:spPr>
        <a:xfrm>
          <a:off x="47567564" y="7099974"/>
          <a:ext cx="4480522" cy="2342423"/>
        </a:xfrm>
        <a:prstGeom prst="rect">
          <a:avLst/>
        </a:prstGeom>
      </xdr:spPr>
    </xdr:pic>
    <xdr:clientData/>
  </xdr:twoCellAnchor>
  <xdr:twoCellAnchor editAs="oneCell">
    <xdr:from>
      <xdr:col>11</xdr:col>
      <xdr:colOff>806824</xdr:colOff>
      <xdr:row>1</xdr:row>
      <xdr:rowOff>160867</xdr:rowOff>
    </xdr:from>
    <xdr:to>
      <xdr:col>13</xdr:col>
      <xdr:colOff>716600</xdr:colOff>
      <xdr:row>6</xdr:row>
      <xdr:rowOff>34518</xdr:rowOff>
    </xdr:to>
    <xdr:pic>
      <xdr:nvPicPr>
        <xdr:cNvPr id="9" name="Imagen 8">
          <a:extLst>
            <a:ext uri="{FF2B5EF4-FFF2-40B4-BE49-F238E27FC236}">
              <a16:creationId xmlns:a16="http://schemas.microsoft.com/office/drawing/2014/main" id="{A10FE569-42D8-4150-B61C-788F0D0031C5}"/>
            </a:ext>
          </a:extLst>
        </xdr:cNvPr>
        <xdr:cNvPicPr>
          <a:picLocks noChangeAspect="1"/>
        </xdr:cNvPicPr>
      </xdr:nvPicPr>
      <xdr:blipFill rotWithShape="1">
        <a:blip xmlns:r="http://schemas.openxmlformats.org/officeDocument/2006/relationships" r:embed="rId7"/>
        <a:srcRect l="2227" b="12600"/>
        <a:stretch/>
      </xdr:blipFill>
      <xdr:spPr>
        <a:xfrm>
          <a:off x="11430000" y="340161"/>
          <a:ext cx="1648929" cy="77012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25</xdr:col>
      <xdr:colOff>364371</xdr:colOff>
      <xdr:row>9</xdr:row>
      <xdr:rowOff>120334</xdr:rowOff>
    </xdr:from>
    <xdr:to>
      <xdr:col>27</xdr:col>
      <xdr:colOff>750060</xdr:colOff>
      <xdr:row>22</xdr:row>
      <xdr:rowOff>124676</xdr:rowOff>
    </xdr:to>
    <xdr:pic>
      <xdr:nvPicPr>
        <xdr:cNvPr id="2" name="Imagen 1">
          <a:extLst>
            <a:ext uri="{FF2B5EF4-FFF2-40B4-BE49-F238E27FC236}">
              <a16:creationId xmlns:a16="http://schemas.microsoft.com/office/drawing/2014/main" id="{00000000-0008-0000-1A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14548" t="6115" r="12715" b="5678"/>
        <a:stretch/>
      </xdr:blipFill>
      <xdr:spPr>
        <a:xfrm>
          <a:off x="17615725" y="1880676"/>
          <a:ext cx="2087353" cy="25470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45554</xdr:colOff>
      <xdr:row>2</xdr:row>
      <xdr:rowOff>574187</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762000" y="190500"/>
          <a:ext cx="2886075" cy="764687"/>
        </a:xfrm>
        <a:prstGeom prst="rect">
          <a:avLst/>
        </a:prstGeom>
      </xdr:spPr>
    </xdr:pic>
    <xdr:clientData/>
  </xdr:twoCellAnchor>
  <xdr:twoCellAnchor editAs="oneCell">
    <xdr:from>
      <xdr:col>0</xdr:col>
      <xdr:colOff>679174</xdr:colOff>
      <xdr:row>16</xdr:row>
      <xdr:rowOff>115957</xdr:rowOff>
    </xdr:from>
    <xdr:to>
      <xdr:col>7</xdr:col>
      <xdr:colOff>155523</xdr:colOff>
      <xdr:row>25</xdr:row>
      <xdr:rowOff>182881</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679174" y="5276022"/>
          <a:ext cx="7535327" cy="1781424"/>
        </a:xfrm>
        <a:prstGeom prst="rect">
          <a:avLst/>
        </a:prstGeom>
      </xdr:spPr>
    </xdr:pic>
    <xdr:clientData/>
  </xdr:twoCellAnchor>
  <xdr:twoCellAnchor editAs="oneCell">
    <xdr:from>
      <xdr:col>0</xdr:col>
      <xdr:colOff>372717</xdr:colOff>
      <xdr:row>27</xdr:row>
      <xdr:rowOff>140804</xdr:rowOff>
    </xdr:from>
    <xdr:to>
      <xdr:col>8</xdr:col>
      <xdr:colOff>201646</xdr:colOff>
      <xdr:row>35</xdr:row>
      <xdr:rowOff>55280</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stretch>
          <a:fillRect/>
        </a:stretch>
      </xdr:blipFill>
      <xdr:spPr>
        <a:xfrm>
          <a:off x="372717" y="7396369"/>
          <a:ext cx="8649907" cy="1438476"/>
        </a:xfrm>
        <a:prstGeom prst="rect">
          <a:avLst/>
        </a:prstGeom>
      </xdr:spPr>
    </xdr:pic>
    <xdr:clientData/>
  </xdr:twoCellAnchor>
  <xdr:twoCellAnchor editAs="oneCell">
    <xdr:from>
      <xdr:col>0</xdr:col>
      <xdr:colOff>298174</xdr:colOff>
      <xdr:row>35</xdr:row>
      <xdr:rowOff>165652</xdr:rowOff>
    </xdr:from>
    <xdr:to>
      <xdr:col>8</xdr:col>
      <xdr:colOff>584367</xdr:colOff>
      <xdr:row>44</xdr:row>
      <xdr:rowOff>175418</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4"/>
        <a:stretch>
          <a:fillRect/>
        </a:stretch>
      </xdr:blipFill>
      <xdr:spPr>
        <a:xfrm>
          <a:off x="298174" y="8945217"/>
          <a:ext cx="9107171" cy="1724266"/>
        </a:xfrm>
        <a:prstGeom prst="rect">
          <a:avLst/>
        </a:prstGeom>
      </xdr:spPr>
    </xdr:pic>
    <xdr:clientData/>
  </xdr:twoCellAnchor>
  <xdr:twoCellAnchor editAs="oneCell">
    <xdr:from>
      <xdr:col>0</xdr:col>
      <xdr:colOff>438978</xdr:colOff>
      <xdr:row>46</xdr:row>
      <xdr:rowOff>132522</xdr:rowOff>
    </xdr:from>
    <xdr:to>
      <xdr:col>9</xdr:col>
      <xdr:colOff>144171</xdr:colOff>
      <xdr:row>58</xdr:row>
      <xdr:rowOff>113788</xdr:rowOff>
    </xdr:to>
    <xdr:pic>
      <xdr:nvPicPr>
        <xdr:cNvPr id="7" name="Imagen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5"/>
        <a:stretch>
          <a:fillRect/>
        </a:stretch>
      </xdr:blipFill>
      <xdr:spPr>
        <a:xfrm>
          <a:off x="438978" y="11007587"/>
          <a:ext cx="9288171" cy="2267266"/>
        </a:xfrm>
        <a:prstGeom prst="rect">
          <a:avLst/>
        </a:prstGeom>
      </xdr:spPr>
    </xdr:pic>
    <xdr:clientData/>
  </xdr:twoCellAnchor>
  <xdr:twoCellAnchor editAs="oneCell">
    <xdr:from>
      <xdr:col>3</xdr:col>
      <xdr:colOff>24848</xdr:colOff>
      <xdr:row>62</xdr:row>
      <xdr:rowOff>163070</xdr:rowOff>
    </xdr:from>
    <xdr:to>
      <xdr:col>10</xdr:col>
      <xdr:colOff>462536</xdr:colOff>
      <xdr:row>64</xdr:row>
      <xdr:rowOff>157846</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6"/>
        <a:stretch>
          <a:fillRect/>
        </a:stretch>
      </xdr:blipFill>
      <xdr:spPr>
        <a:xfrm>
          <a:off x="3627783" y="14086135"/>
          <a:ext cx="7179731" cy="375776"/>
        </a:xfrm>
        <a:prstGeom prst="rect">
          <a:avLst/>
        </a:prstGeom>
      </xdr:spPr>
    </xdr:pic>
    <xdr:clientData/>
  </xdr:twoCellAnchor>
  <xdr:twoCellAnchor editAs="oneCell">
    <xdr:from>
      <xdr:col>3</xdr:col>
      <xdr:colOff>44577</xdr:colOff>
      <xdr:row>68</xdr:row>
      <xdr:rowOff>1504</xdr:rowOff>
    </xdr:from>
    <xdr:to>
      <xdr:col>10</xdr:col>
      <xdr:colOff>568339</xdr:colOff>
      <xdr:row>70</xdr:row>
      <xdr:rowOff>30487</xdr:rowOff>
    </xdr:to>
    <xdr:pic>
      <xdr:nvPicPr>
        <xdr:cNvPr id="9" name="Imagen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7"/>
        <a:stretch>
          <a:fillRect/>
        </a:stretch>
      </xdr:blipFill>
      <xdr:spPr>
        <a:xfrm>
          <a:off x="4106971" y="13381381"/>
          <a:ext cx="8157014" cy="404863"/>
        </a:xfrm>
        <a:prstGeom prst="rect">
          <a:avLst/>
        </a:prstGeom>
      </xdr:spPr>
    </xdr:pic>
    <xdr:clientData/>
  </xdr:twoCellAnchor>
  <xdr:twoCellAnchor editAs="oneCell">
    <xdr:from>
      <xdr:col>3</xdr:col>
      <xdr:colOff>0</xdr:colOff>
      <xdr:row>60</xdr:row>
      <xdr:rowOff>1</xdr:rowOff>
    </xdr:from>
    <xdr:to>
      <xdr:col>9</xdr:col>
      <xdr:colOff>405848</xdr:colOff>
      <xdr:row>61</xdr:row>
      <xdr:rowOff>190385</xdr:rowOff>
    </xdr:to>
    <xdr:pic>
      <xdr:nvPicPr>
        <xdr:cNvPr id="10" name="Imagen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8"/>
        <a:stretch>
          <a:fillRect/>
        </a:stretch>
      </xdr:blipFill>
      <xdr:spPr>
        <a:xfrm>
          <a:off x="3602935" y="13542066"/>
          <a:ext cx="6385891" cy="380884"/>
        </a:xfrm>
        <a:prstGeom prst="rect">
          <a:avLst/>
        </a:prstGeom>
      </xdr:spPr>
    </xdr:pic>
    <xdr:clientData/>
  </xdr:twoCellAnchor>
  <xdr:twoCellAnchor editAs="oneCell">
    <xdr:from>
      <xdr:col>3</xdr:col>
      <xdr:colOff>49696</xdr:colOff>
      <xdr:row>65</xdr:row>
      <xdr:rowOff>41414</xdr:rowOff>
    </xdr:from>
    <xdr:to>
      <xdr:col>10</xdr:col>
      <xdr:colOff>364435</xdr:colOff>
      <xdr:row>67</xdr:row>
      <xdr:rowOff>145717</xdr:rowOff>
    </xdr:to>
    <xdr:pic>
      <xdr:nvPicPr>
        <xdr:cNvPr id="11" name="Imagen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9"/>
        <a:stretch>
          <a:fillRect/>
        </a:stretch>
      </xdr:blipFill>
      <xdr:spPr>
        <a:xfrm>
          <a:off x="3652631" y="14535979"/>
          <a:ext cx="7056782" cy="485303"/>
        </a:xfrm>
        <a:prstGeom prst="rect">
          <a:avLst/>
        </a:prstGeom>
      </xdr:spPr>
    </xdr:pic>
    <xdr:clientData/>
  </xdr:twoCellAnchor>
  <xdr:twoCellAnchor editAs="oneCell">
    <xdr:from>
      <xdr:col>3</xdr:col>
      <xdr:colOff>65658</xdr:colOff>
      <xdr:row>71</xdr:row>
      <xdr:rowOff>26769</xdr:rowOff>
    </xdr:from>
    <xdr:to>
      <xdr:col>10</xdr:col>
      <xdr:colOff>787672</xdr:colOff>
      <xdr:row>74</xdr:row>
      <xdr:rowOff>136671</xdr:rowOff>
    </xdr:to>
    <xdr:pic>
      <xdr:nvPicPr>
        <xdr:cNvPr id="12" name="Imagen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0"/>
        <a:stretch>
          <a:fillRect/>
        </a:stretch>
      </xdr:blipFill>
      <xdr:spPr>
        <a:xfrm>
          <a:off x="4128052" y="13970466"/>
          <a:ext cx="8355266" cy="6737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17</xdr:col>
      <xdr:colOff>711011</xdr:colOff>
      <xdr:row>26</xdr:row>
      <xdr:rowOff>71178</xdr:rowOff>
    </xdr:from>
    <xdr:to>
      <xdr:col>20</xdr:col>
      <xdr:colOff>371438</xdr:colOff>
      <xdr:row>33</xdr:row>
      <xdr:rowOff>153755</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12066468" y="4460961"/>
          <a:ext cx="1946428" cy="2081678"/>
        </a:xfrm>
        <a:prstGeom prst="rect">
          <a:avLst/>
        </a:prstGeom>
      </xdr:spPr>
    </xdr:pic>
    <xdr:clientData/>
  </xdr:twoCellAnchor>
  <xdr:twoCellAnchor editAs="oneCell">
    <xdr:from>
      <xdr:col>21</xdr:col>
      <xdr:colOff>39689</xdr:colOff>
      <xdr:row>26</xdr:row>
      <xdr:rowOff>21483</xdr:rowOff>
    </xdr:from>
    <xdr:to>
      <xdr:col>23</xdr:col>
      <xdr:colOff>138909</xdr:colOff>
      <xdr:row>33</xdr:row>
      <xdr:rowOff>157984</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14548" t="6115" r="12715" b="5678"/>
        <a:stretch/>
      </xdr:blipFill>
      <xdr:spPr>
        <a:xfrm>
          <a:off x="14443146" y="4411266"/>
          <a:ext cx="1623218" cy="2135602"/>
        </a:xfrm>
        <a:prstGeom prst="rect">
          <a:avLst/>
        </a:prstGeom>
      </xdr:spPr>
    </xdr:pic>
    <xdr:clientData/>
  </xdr:twoCellAnchor>
  <xdr:twoCellAnchor editAs="oneCell">
    <xdr:from>
      <xdr:col>17</xdr:col>
      <xdr:colOff>697032</xdr:colOff>
      <xdr:row>34</xdr:row>
      <xdr:rowOff>120265</xdr:rowOff>
    </xdr:from>
    <xdr:to>
      <xdr:col>19</xdr:col>
      <xdr:colOff>597325</xdr:colOff>
      <xdr:row>36</xdr:row>
      <xdr:rowOff>70782</xdr:rowOff>
    </xdr:to>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a:stretch>
          <a:fillRect/>
        </a:stretch>
      </xdr:blipFill>
      <xdr:spPr>
        <a:xfrm>
          <a:off x="12052489" y="6680091"/>
          <a:ext cx="1424295" cy="331517"/>
        </a:xfrm>
        <a:prstGeom prst="rect">
          <a:avLst/>
        </a:prstGeom>
      </xdr:spPr>
    </xdr:pic>
    <xdr:clientData/>
  </xdr:twoCellAnchor>
  <xdr:twoCellAnchor editAs="oneCell">
    <xdr:from>
      <xdr:col>17</xdr:col>
      <xdr:colOff>736893</xdr:colOff>
      <xdr:row>36</xdr:row>
      <xdr:rowOff>105602</xdr:rowOff>
    </xdr:from>
    <xdr:to>
      <xdr:col>18</xdr:col>
      <xdr:colOff>736997</xdr:colOff>
      <xdr:row>43</xdr:row>
      <xdr:rowOff>36772</xdr:rowOff>
    </xdr:to>
    <xdr:pic>
      <xdr:nvPicPr>
        <xdr:cNvPr id="7" name="Imagen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4"/>
        <a:stretch>
          <a:fillRect/>
        </a:stretch>
      </xdr:blipFill>
      <xdr:spPr>
        <a:xfrm>
          <a:off x="12092350" y="7046428"/>
          <a:ext cx="762106" cy="1297860"/>
        </a:xfrm>
        <a:prstGeom prst="rect">
          <a:avLst/>
        </a:prstGeom>
      </xdr:spPr>
    </xdr:pic>
    <xdr:clientData/>
  </xdr:twoCellAnchor>
  <xdr:twoCellAnchor>
    <xdr:from>
      <xdr:col>0</xdr:col>
      <xdr:colOff>0</xdr:colOff>
      <xdr:row>57</xdr:row>
      <xdr:rowOff>83765</xdr:rowOff>
    </xdr:from>
    <xdr:to>
      <xdr:col>5</xdr:col>
      <xdr:colOff>149462</xdr:colOff>
      <xdr:row>103</xdr:row>
      <xdr:rowOff>4639</xdr:rowOff>
    </xdr:to>
    <xdr:grpSp>
      <xdr:nvGrpSpPr>
        <xdr:cNvPr id="11" name="Grupo 10">
          <a:extLst>
            <a:ext uri="{FF2B5EF4-FFF2-40B4-BE49-F238E27FC236}">
              <a16:creationId xmlns:a16="http://schemas.microsoft.com/office/drawing/2014/main" id="{DB544802-613B-4B1E-A5F7-9C71137BC02D}"/>
            </a:ext>
          </a:extLst>
        </xdr:cNvPr>
        <xdr:cNvGrpSpPr/>
      </xdr:nvGrpSpPr>
      <xdr:grpSpPr>
        <a:xfrm>
          <a:off x="0" y="11431589"/>
          <a:ext cx="5281756" cy="8512050"/>
          <a:chOff x="4953426" y="9662321"/>
          <a:chExt cx="5698033" cy="8907641"/>
        </a:xfrm>
      </xdr:grpSpPr>
      <xdr:pic>
        <xdr:nvPicPr>
          <xdr:cNvPr id="9" name="Imagen 8">
            <a:extLst>
              <a:ext uri="{FF2B5EF4-FFF2-40B4-BE49-F238E27FC236}">
                <a16:creationId xmlns:a16="http://schemas.microsoft.com/office/drawing/2014/main" id="{49E966F9-BBA7-435A-9EB8-A528BC39CD4B}"/>
              </a:ext>
            </a:extLst>
          </xdr:cNvPr>
          <xdr:cNvPicPr>
            <a:picLocks noChangeAspect="1"/>
          </xdr:cNvPicPr>
        </xdr:nvPicPr>
        <xdr:blipFill>
          <a:blip xmlns:r="http://schemas.openxmlformats.org/officeDocument/2006/relationships" r:embed="rId5"/>
          <a:stretch>
            <a:fillRect/>
          </a:stretch>
        </xdr:blipFill>
        <xdr:spPr>
          <a:xfrm>
            <a:off x="4953426" y="9662321"/>
            <a:ext cx="5548641" cy="3540707"/>
          </a:xfrm>
          <a:prstGeom prst="rect">
            <a:avLst/>
          </a:prstGeom>
        </xdr:spPr>
      </xdr:pic>
      <xdr:pic>
        <xdr:nvPicPr>
          <xdr:cNvPr id="10" name="Imagen 9">
            <a:extLst>
              <a:ext uri="{FF2B5EF4-FFF2-40B4-BE49-F238E27FC236}">
                <a16:creationId xmlns:a16="http://schemas.microsoft.com/office/drawing/2014/main" id="{710B7677-D38C-4B56-806E-2350D59D35D6}"/>
              </a:ext>
            </a:extLst>
          </xdr:cNvPr>
          <xdr:cNvPicPr>
            <a:picLocks noChangeAspect="1"/>
          </xdr:cNvPicPr>
        </xdr:nvPicPr>
        <xdr:blipFill>
          <a:blip xmlns:r="http://schemas.openxmlformats.org/officeDocument/2006/relationships" r:embed="rId6"/>
          <a:stretch>
            <a:fillRect/>
          </a:stretch>
        </xdr:blipFill>
        <xdr:spPr>
          <a:xfrm>
            <a:off x="4958298" y="13124330"/>
            <a:ext cx="5693161" cy="5445632"/>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293391</xdr:colOff>
      <xdr:row>14</xdr:row>
      <xdr:rowOff>178761</xdr:rowOff>
    </xdr:from>
    <xdr:to>
      <xdr:col>12</xdr:col>
      <xdr:colOff>2826328</xdr:colOff>
      <xdr:row>36</xdr:row>
      <xdr:rowOff>28615</xdr:rowOff>
    </xdr:to>
    <xdr:grpSp>
      <xdr:nvGrpSpPr>
        <xdr:cNvPr id="5" name="Grupo 4">
          <a:extLst>
            <a:ext uri="{FF2B5EF4-FFF2-40B4-BE49-F238E27FC236}">
              <a16:creationId xmlns:a16="http://schemas.microsoft.com/office/drawing/2014/main" id="{98A8CB3F-9600-48B3-9171-9F76DC597B9F}"/>
            </a:ext>
          </a:extLst>
        </xdr:cNvPr>
        <xdr:cNvGrpSpPr/>
      </xdr:nvGrpSpPr>
      <xdr:grpSpPr>
        <a:xfrm>
          <a:off x="13638974" y="4327428"/>
          <a:ext cx="5337521" cy="3829187"/>
          <a:chOff x="10522935" y="4511159"/>
          <a:chExt cx="5114772" cy="4152913"/>
        </a:xfrm>
      </xdr:grpSpPr>
      <xdr:pic>
        <xdr:nvPicPr>
          <xdr:cNvPr id="3" name="Imagen 2">
            <a:extLst>
              <a:ext uri="{FF2B5EF4-FFF2-40B4-BE49-F238E27FC236}">
                <a16:creationId xmlns:a16="http://schemas.microsoft.com/office/drawing/2014/main" id="{FDB5B0CE-5FCF-4FCC-8443-BC534AFBD45B}"/>
              </a:ext>
            </a:extLst>
          </xdr:cNvPr>
          <xdr:cNvPicPr>
            <a:picLocks noChangeAspect="1"/>
          </xdr:cNvPicPr>
        </xdr:nvPicPr>
        <xdr:blipFill>
          <a:blip xmlns:r="http://schemas.openxmlformats.org/officeDocument/2006/relationships" r:embed="rId1"/>
          <a:stretch>
            <a:fillRect/>
          </a:stretch>
        </xdr:blipFill>
        <xdr:spPr>
          <a:xfrm>
            <a:off x="10615182" y="5564637"/>
            <a:ext cx="4994486" cy="3099435"/>
          </a:xfrm>
          <a:prstGeom prst="rect">
            <a:avLst/>
          </a:prstGeom>
        </xdr:spPr>
      </xdr:pic>
      <xdr:pic>
        <xdr:nvPicPr>
          <xdr:cNvPr id="4" name="Imagen 3">
            <a:extLst>
              <a:ext uri="{FF2B5EF4-FFF2-40B4-BE49-F238E27FC236}">
                <a16:creationId xmlns:a16="http://schemas.microsoft.com/office/drawing/2014/main" id="{624E9764-C799-4D1A-8220-0BAE34011DD1}"/>
              </a:ext>
            </a:extLst>
          </xdr:cNvPr>
          <xdr:cNvPicPr>
            <a:picLocks noChangeAspect="1"/>
          </xdr:cNvPicPr>
        </xdr:nvPicPr>
        <xdr:blipFill>
          <a:blip xmlns:r="http://schemas.openxmlformats.org/officeDocument/2006/relationships" r:embed="rId2"/>
          <a:stretch>
            <a:fillRect/>
          </a:stretch>
        </xdr:blipFill>
        <xdr:spPr>
          <a:xfrm>
            <a:off x="10522935" y="4511159"/>
            <a:ext cx="5114772" cy="1068987"/>
          </a:xfrm>
          <a:prstGeom prst="rect">
            <a:avLst/>
          </a:prstGeom>
        </xdr:spPr>
      </xdr:pic>
    </xdr:grpSp>
    <xdr:clientData/>
  </xdr:twoCellAnchor>
  <xdr:twoCellAnchor editAs="oneCell">
    <xdr:from>
      <xdr:col>9</xdr:col>
      <xdr:colOff>347338</xdr:colOff>
      <xdr:row>2</xdr:row>
      <xdr:rowOff>31750</xdr:rowOff>
    </xdr:from>
    <xdr:to>
      <xdr:col>13</xdr:col>
      <xdr:colOff>1617343</xdr:colOff>
      <xdr:row>21</xdr:row>
      <xdr:rowOff>63214</xdr:rowOff>
    </xdr:to>
    <xdr:pic>
      <xdr:nvPicPr>
        <xdr:cNvPr id="2" name="Imagen 1">
          <a:extLst>
            <a:ext uri="{FF2B5EF4-FFF2-40B4-BE49-F238E27FC236}">
              <a16:creationId xmlns:a16="http://schemas.microsoft.com/office/drawing/2014/main" id="{801C0D95-68CD-4627-96D8-647F97837F2F}"/>
            </a:ext>
          </a:extLst>
        </xdr:cNvPr>
        <xdr:cNvPicPr>
          <a:picLocks noChangeAspect="1"/>
        </xdr:cNvPicPr>
      </xdr:nvPicPr>
      <xdr:blipFill>
        <a:blip xmlns:r="http://schemas.openxmlformats.org/officeDocument/2006/relationships" r:embed="rId3"/>
        <a:stretch>
          <a:fillRect/>
        </a:stretch>
      </xdr:blipFill>
      <xdr:spPr>
        <a:xfrm>
          <a:off x="13692921" y="677333"/>
          <a:ext cx="7863422" cy="479396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2327563</xdr:colOff>
      <xdr:row>47</xdr:row>
      <xdr:rowOff>39119</xdr:rowOff>
    </xdr:from>
    <xdr:to>
      <xdr:col>8</xdr:col>
      <xdr:colOff>112824</xdr:colOff>
      <xdr:row>71</xdr:row>
      <xdr:rowOff>174306</xdr:rowOff>
    </xdr:to>
    <xdr:grpSp>
      <xdr:nvGrpSpPr>
        <xdr:cNvPr id="8" name="Grupo 7">
          <a:extLst>
            <a:ext uri="{FF2B5EF4-FFF2-40B4-BE49-F238E27FC236}">
              <a16:creationId xmlns:a16="http://schemas.microsoft.com/office/drawing/2014/main" id="{829847D4-FC8D-483C-A756-7C342344F629}"/>
            </a:ext>
          </a:extLst>
        </xdr:cNvPr>
        <xdr:cNvGrpSpPr/>
      </xdr:nvGrpSpPr>
      <xdr:grpSpPr>
        <a:xfrm>
          <a:off x="3089563" y="10849994"/>
          <a:ext cx="6365699" cy="4516687"/>
          <a:chOff x="3188175" y="11285750"/>
          <a:chExt cx="6694549" cy="4829432"/>
        </a:xfrm>
      </xdr:grpSpPr>
      <xdr:pic>
        <xdr:nvPicPr>
          <xdr:cNvPr id="5" name="Imagen 4">
            <a:extLst>
              <a:ext uri="{FF2B5EF4-FFF2-40B4-BE49-F238E27FC236}">
                <a16:creationId xmlns:a16="http://schemas.microsoft.com/office/drawing/2014/main" id="{7A4AA8FA-4ACE-4144-910C-FD744ABBB942}"/>
              </a:ext>
            </a:extLst>
          </xdr:cNvPr>
          <xdr:cNvPicPr>
            <a:picLocks noChangeAspect="1"/>
          </xdr:cNvPicPr>
        </xdr:nvPicPr>
        <xdr:blipFill>
          <a:blip xmlns:r="http://schemas.openxmlformats.org/officeDocument/2006/relationships" r:embed="rId1"/>
          <a:stretch>
            <a:fillRect/>
          </a:stretch>
        </xdr:blipFill>
        <xdr:spPr>
          <a:xfrm>
            <a:off x="3188175" y="11285750"/>
            <a:ext cx="6571944" cy="1381835"/>
          </a:xfrm>
          <a:prstGeom prst="rect">
            <a:avLst/>
          </a:prstGeom>
        </xdr:spPr>
      </xdr:pic>
      <xdr:pic>
        <xdr:nvPicPr>
          <xdr:cNvPr id="6" name="Imagen 5">
            <a:extLst>
              <a:ext uri="{FF2B5EF4-FFF2-40B4-BE49-F238E27FC236}">
                <a16:creationId xmlns:a16="http://schemas.microsoft.com/office/drawing/2014/main" id="{185ACE38-1854-4148-A276-0E4CDE9CFA93}"/>
              </a:ext>
            </a:extLst>
          </xdr:cNvPr>
          <xdr:cNvPicPr>
            <a:picLocks noChangeAspect="1"/>
          </xdr:cNvPicPr>
        </xdr:nvPicPr>
        <xdr:blipFill>
          <a:blip xmlns:r="http://schemas.openxmlformats.org/officeDocument/2006/relationships" r:embed="rId2"/>
          <a:stretch>
            <a:fillRect/>
          </a:stretch>
        </xdr:blipFill>
        <xdr:spPr>
          <a:xfrm>
            <a:off x="3197956" y="12635345"/>
            <a:ext cx="6684768" cy="1507593"/>
          </a:xfrm>
          <a:prstGeom prst="rect">
            <a:avLst/>
          </a:prstGeom>
        </xdr:spPr>
      </xdr:pic>
      <xdr:pic>
        <xdr:nvPicPr>
          <xdr:cNvPr id="7" name="Imagen 6">
            <a:extLst>
              <a:ext uri="{FF2B5EF4-FFF2-40B4-BE49-F238E27FC236}">
                <a16:creationId xmlns:a16="http://schemas.microsoft.com/office/drawing/2014/main" id="{F4584688-33D9-46BF-A5BB-64F584DC7FBB}"/>
              </a:ext>
            </a:extLst>
          </xdr:cNvPr>
          <xdr:cNvPicPr>
            <a:picLocks noChangeAspect="1"/>
          </xdr:cNvPicPr>
        </xdr:nvPicPr>
        <xdr:blipFill>
          <a:blip xmlns:r="http://schemas.openxmlformats.org/officeDocument/2006/relationships" r:embed="rId3"/>
          <a:stretch>
            <a:fillRect/>
          </a:stretch>
        </xdr:blipFill>
        <xdr:spPr>
          <a:xfrm>
            <a:off x="3217515" y="14102297"/>
            <a:ext cx="6618500" cy="2012885"/>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16</xdr:col>
      <xdr:colOff>2139539</xdr:colOff>
      <xdr:row>27</xdr:row>
      <xdr:rowOff>285996</xdr:rowOff>
    </xdr:from>
    <xdr:to>
      <xdr:col>18</xdr:col>
      <xdr:colOff>2061664</xdr:colOff>
      <xdr:row>101</xdr:row>
      <xdr:rowOff>143491</xdr:rowOff>
    </xdr:to>
    <xdr:grpSp>
      <xdr:nvGrpSpPr>
        <xdr:cNvPr id="14" name="Grupo 13">
          <a:extLst>
            <a:ext uri="{FF2B5EF4-FFF2-40B4-BE49-F238E27FC236}">
              <a16:creationId xmlns:a16="http://schemas.microsoft.com/office/drawing/2014/main" id="{7DCC4B49-8969-4852-A7C6-1F9ACF473255}"/>
            </a:ext>
          </a:extLst>
        </xdr:cNvPr>
        <xdr:cNvGrpSpPr/>
      </xdr:nvGrpSpPr>
      <xdr:grpSpPr>
        <a:xfrm>
          <a:off x="17007610" y="6336639"/>
          <a:ext cx="6217697" cy="4937495"/>
          <a:chOff x="8087097" y="18038618"/>
          <a:chExt cx="6668201" cy="5493327"/>
        </a:xfrm>
      </xdr:grpSpPr>
      <xdr:pic>
        <xdr:nvPicPr>
          <xdr:cNvPr id="15" name="Imagen 14">
            <a:extLst>
              <a:ext uri="{FF2B5EF4-FFF2-40B4-BE49-F238E27FC236}">
                <a16:creationId xmlns:a16="http://schemas.microsoft.com/office/drawing/2014/main" id="{771DE10A-081E-4394-B113-27D81C307607}"/>
              </a:ext>
            </a:extLst>
          </xdr:cNvPr>
          <xdr:cNvPicPr>
            <a:picLocks noChangeAspect="1"/>
          </xdr:cNvPicPr>
        </xdr:nvPicPr>
        <xdr:blipFill>
          <a:blip xmlns:r="http://schemas.openxmlformats.org/officeDocument/2006/relationships" r:embed="rId1"/>
          <a:stretch>
            <a:fillRect/>
          </a:stretch>
        </xdr:blipFill>
        <xdr:spPr>
          <a:xfrm>
            <a:off x="8087097" y="19439906"/>
            <a:ext cx="6668201" cy="4092039"/>
          </a:xfrm>
          <a:prstGeom prst="rect">
            <a:avLst/>
          </a:prstGeom>
        </xdr:spPr>
      </xdr:pic>
      <xdr:pic>
        <xdr:nvPicPr>
          <xdr:cNvPr id="16" name="Imagen 15">
            <a:extLst>
              <a:ext uri="{FF2B5EF4-FFF2-40B4-BE49-F238E27FC236}">
                <a16:creationId xmlns:a16="http://schemas.microsoft.com/office/drawing/2014/main" id="{7B20A6A9-94BF-41A7-BB93-08F56C4B0696}"/>
              </a:ext>
            </a:extLst>
          </xdr:cNvPr>
          <xdr:cNvPicPr>
            <a:picLocks noChangeAspect="1"/>
          </xdr:cNvPicPr>
        </xdr:nvPicPr>
        <xdr:blipFill>
          <a:blip xmlns:r="http://schemas.openxmlformats.org/officeDocument/2006/relationships" r:embed="rId2"/>
          <a:stretch>
            <a:fillRect/>
          </a:stretch>
        </xdr:blipFill>
        <xdr:spPr>
          <a:xfrm>
            <a:off x="8122722" y="18038618"/>
            <a:ext cx="6614555" cy="1385593"/>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11</xdr:col>
      <xdr:colOff>1187532</xdr:colOff>
      <xdr:row>2</xdr:row>
      <xdr:rowOff>23751</xdr:rowOff>
    </xdr:from>
    <xdr:to>
      <xdr:col>14</xdr:col>
      <xdr:colOff>1548211</xdr:colOff>
      <xdr:row>22</xdr:row>
      <xdr:rowOff>130975</xdr:rowOff>
    </xdr:to>
    <xdr:grpSp>
      <xdr:nvGrpSpPr>
        <xdr:cNvPr id="3" name="Grupo 2">
          <a:extLst>
            <a:ext uri="{FF2B5EF4-FFF2-40B4-BE49-F238E27FC236}">
              <a16:creationId xmlns:a16="http://schemas.microsoft.com/office/drawing/2014/main" id="{2DF03510-3284-49CB-BBC9-0DD2ED8144AA}"/>
            </a:ext>
          </a:extLst>
        </xdr:cNvPr>
        <xdr:cNvGrpSpPr/>
      </xdr:nvGrpSpPr>
      <xdr:grpSpPr>
        <a:xfrm>
          <a:off x="11780826" y="404751"/>
          <a:ext cx="4962561" cy="4096518"/>
          <a:chOff x="12920352" y="3895106"/>
          <a:chExt cx="6736962" cy="4468961"/>
        </a:xfrm>
      </xdr:grpSpPr>
      <xdr:pic>
        <xdr:nvPicPr>
          <xdr:cNvPr id="4" name="Imagen 3">
            <a:extLst>
              <a:ext uri="{FF2B5EF4-FFF2-40B4-BE49-F238E27FC236}">
                <a16:creationId xmlns:a16="http://schemas.microsoft.com/office/drawing/2014/main" id="{14921E24-579C-46F9-880A-13DEBE4372FD}"/>
              </a:ext>
            </a:extLst>
          </xdr:cNvPr>
          <xdr:cNvPicPr>
            <a:picLocks noChangeAspect="1"/>
          </xdr:cNvPicPr>
        </xdr:nvPicPr>
        <xdr:blipFill>
          <a:blip xmlns:r="http://schemas.openxmlformats.org/officeDocument/2006/relationships" r:embed="rId1"/>
          <a:stretch>
            <a:fillRect/>
          </a:stretch>
        </xdr:blipFill>
        <xdr:spPr>
          <a:xfrm>
            <a:off x="12955979" y="5415148"/>
            <a:ext cx="6701335" cy="2948919"/>
          </a:xfrm>
          <a:prstGeom prst="rect">
            <a:avLst/>
          </a:prstGeom>
        </xdr:spPr>
      </xdr:pic>
      <xdr:pic>
        <xdr:nvPicPr>
          <xdr:cNvPr id="5" name="Imagen 4">
            <a:extLst>
              <a:ext uri="{FF2B5EF4-FFF2-40B4-BE49-F238E27FC236}">
                <a16:creationId xmlns:a16="http://schemas.microsoft.com/office/drawing/2014/main" id="{285BA97E-37F8-48B9-9223-18DF0EC4F4B8}"/>
              </a:ext>
            </a:extLst>
          </xdr:cNvPr>
          <xdr:cNvPicPr>
            <a:picLocks noChangeAspect="1"/>
          </xdr:cNvPicPr>
        </xdr:nvPicPr>
        <xdr:blipFill>
          <a:blip xmlns:r="http://schemas.openxmlformats.org/officeDocument/2006/relationships" r:embed="rId2"/>
          <a:stretch>
            <a:fillRect/>
          </a:stretch>
        </xdr:blipFill>
        <xdr:spPr>
          <a:xfrm>
            <a:off x="12920352" y="3895106"/>
            <a:ext cx="6730872" cy="1470056"/>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18</xdr:col>
      <xdr:colOff>542108</xdr:colOff>
      <xdr:row>16</xdr:row>
      <xdr:rowOff>183079</xdr:rowOff>
    </xdr:from>
    <xdr:to>
      <xdr:col>23</xdr:col>
      <xdr:colOff>697289</xdr:colOff>
      <xdr:row>33</xdr:row>
      <xdr:rowOff>95103</xdr:rowOff>
    </xdr:to>
    <xdr:grpSp>
      <xdr:nvGrpSpPr>
        <xdr:cNvPr id="5" name="Grupo 4">
          <a:extLst>
            <a:ext uri="{FF2B5EF4-FFF2-40B4-BE49-F238E27FC236}">
              <a16:creationId xmlns:a16="http://schemas.microsoft.com/office/drawing/2014/main" id="{D8F23FC7-A91A-4C18-A6C5-7D273B8E8958}"/>
            </a:ext>
          </a:extLst>
        </xdr:cNvPr>
        <xdr:cNvGrpSpPr/>
      </xdr:nvGrpSpPr>
      <xdr:grpSpPr>
        <a:xfrm>
          <a:off x="16843465" y="3521365"/>
          <a:ext cx="3965181" cy="4121167"/>
          <a:chOff x="8087097" y="18038618"/>
          <a:chExt cx="6668201" cy="5493327"/>
        </a:xfrm>
      </xdr:grpSpPr>
      <xdr:pic>
        <xdr:nvPicPr>
          <xdr:cNvPr id="6" name="Imagen 5">
            <a:extLst>
              <a:ext uri="{FF2B5EF4-FFF2-40B4-BE49-F238E27FC236}">
                <a16:creationId xmlns:a16="http://schemas.microsoft.com/office/drawing/2014/main" id="{939559E6-E049-4ED3-A8FB-E2CD405775CB}"/>
              </a:ext>
            </a:extLst>
          </xdr:cNvPr>
          <xdr:cNvPicPr>
            <a:picLocks noChangeAspect="1"/>
          </xdr:cNvPicPr>
        </xdr:nvPicPr>
        <xdr:blipFill>
          <a:blip xmlns:r="http://schemas.openxmlformats.org/officeDocument/2006/relationships" r:embed="rId1"/>
          <a:stretch>
            <a:fillRect/>
          </a:stretch>
        </xdr:blipFill>
        <xdr:spPr>
          <a:xfrm>
            <a:off x="8087097" y="19439906"/>
            <a:ext cx="6668201" cy="4092039"/>
          </a:xfrm>
          <a:prstGeom prst="rect">
            <a:avLst/>
          </a:prstGeom>
        </xdr:spPr>
      </xdr:pic>
      <xdr:pic>
        <xdr:nvPicPr>
          <xdr:cNvPr id="7" name="Imagen 6">
            <a:extLst>
              <a:ext uri="{FF2B5EF4-FFF2-40B4-BE49-F238E27FC236}">
                <a16:creationId xmlns:a16="http://schemas.microsoft.com/office/drawing/2014/main" id="{B0D3CCCC-07D1-4B8B-ADAB-87BA13642412}"/>
              </a:ext>
            </a:extLst>
          </xdr:cNvPr>
          <xdr:cNvPicPr>
            <a:picLocks noChangeAspect="1"/>
          </xdr:cNvPicPr>
        </xdr:nvPicPr>
        <xdr:blipFill>
          <a:blip xmlns:r="http://schemas.openxmlformats.org/officeDocument/2006/relationships" r:embed="rId2"/>
          <a:stretch>
            <a:fillRect/>
          </a:stretch>
        </xdr:blipFill>
        <xdr:spPr>
          <a:xfrm>
            <a:off x="8122722" y="18038618"/>
            <a:ext cx="6614555" cy="1385593"/>
          </a:xfrm>
          <a:prstGeom prst="rect">
            <a:avLst/>
          </a:prstGeom>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24</xdr:col>
      <xdr:colOff>119620</xdr:colOff>
      <xdr:row>54</xdr:row>
      <xdr:rowOff>69273</xdr:rowOff>
    </xdr:from>
    <xdr:to>
      <xdr:col>26</xdr:col>
      <xdr:colOff>647195</xdr:colOff>
      <xdr:row>65</xdr:row>
      <xdr:rowOff>57107</xdr:rowOff>
    </xdr:to>
    <xdr:pic>
      <xdr:nvPicPr>
        <xdr:cNvPr id="3" name="Imagen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a:stretch>
          <a:fillRect/>
        </a:stretch>
      </xdr:blipFill>
      <xdr:spPr>
        <a:xfrm>
          <a:off x="16531319" y="10329553"/>
          <a:ext cx="2213870" cy="2077892"/>
        </a:xfrm>
        <a:prstGeom prst="rect">
          <a:avLst/>
        </a:prstGeom>
      </xdr:spPr>
    </xdr:pic>
    <xdr:clientData/>
  </xdr:twoCellAnchor>
  <xdr:twoCellAnchor editAs="oneCell">
    <xdr:from>
      <xdr:col>20</xdr:col>
      <xdr:colOff>369093</xdr:colOff>
      <xdr:row>58</xdr:row>
      <xdr:rowOff>12644</xdr:rowOff>
    </xdr:from>
    <xdr:to>
      <xdr:col>22</xdr:col>
      <xdr:colOff>364639</xdr:colOff>
      <xdr:row>59</xdr:row>
      <xdr:rowOff>153661</xdr:rowOff>
    </xdr:to>
    <xdr:pic>
      <xdr:nvPicPr>
        <xdr:cNvPr id="4" name="Imagen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2"/>
        <a:stretch>
          <a:fillRect/>
        </a:stretch>
      </xdr:blipFill>
      <xdr:spPr>
        <a:xfrm>
          <a:off x="11199018" y="11061644"/>
          <a:ext cx="1424295" cy="331517"/>
        </a:xfrm>
        <a:prstGeom prst="rect">
          <a:avLst/>
        </a:prstGeom>
      </xdr:spPr>
    </xdr:pic>
    <xdr:clientData/>
  </xdr:twoCellAnchor>
  <xdr:twoCellAnchor editAs="oneCell">
    <xdr:from>
      <xdr:col>20</xdr:col>
      <xdr:colOff>500063</xdr:colOff>
      <xdr:row>60</xdr:row>
      <xdr:rowOff>55959</xdr:rowOff>
    </xdr:from>
    <xdr:to>
      <xdr:col>21</xdr:col>
      <xdr:colOff>547795</xdr:colOff>
      <xdr:row>67</xdr:row>
      <xdr:rowOff>29154</xdr:rowOff>
    </xdr:to>
    <xdr:pic>
      <xdr:nvPicPr>
        <xdr:cNvPr id="5" name="Imagen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3"/>
        <a:stretch>
          <a:fillRect/>
        </a:stretch>
      </xdr:blipFill>
      <xdr:spPr>
        <a:xfrm>
          <a:off x="11329988" y="11485959"/>
          <a:ext cx="762106" cy="13066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MERYVENT\ZZZ.MERCA.GQ\MERCADEO\POLITICA%20DE%20PRECIOS\PRECIOS%20MARZO%202003\precios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LC\COPIA%20DISCO%20MARZO%208\2019%20LIQUIDOS\04%20Abril\PRECIOS%201%20de%20abril%20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LC\COPIA%20DISCO%20MARZO%208\2019%20LIQUIDOS\04%20Abril\ZF%20PRECIOS%201%20de%20abril%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 val="Enero"/>
      <sheetName val="desgl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TARIFAS DE TRANSPORTE"/>
      <sheetName val="SP"/>
      <sheetName val="COMBUSTIBLES "/>
      <sheetName val="GASOLINA CORRIENTE OXIGENADA"/>
      <sheetName val="SUSPENSIÓN DE MEZCLAS GASOLINA"/>
      <sheetName val="GASOLINA EXTRA OXIGENADA"/>
      <sheetName val="BIODIESEL"/>
      <sheetName val="SUSPENSIÓN DE MEZCLAS ACPM"/>
      <sheetName val="SAN-ANDRES + GENERACION"/>
      <sheetName val="DIESEL MARINO "/>
      <sheetName val="GCINI"/>
      <sheetName val="Hoja1"/>
      <sheetName val="Hoja2"/>
      <sheetName val="Hoja3"/>
      <sheetName val="Hoja4"/>
    </sheetNames>
    <sheetDataSet>
      <sheetData sheetId="0">
        <row r="20">
          <cell r="E20">
            <v>5078.7700000000004</v>
          </cell>
        </row>
      </sheetData>
      <sheetData sheetId="1"/>
      <sheetData sheetId="2"/>
      <sheetData sheetId="3">
        <row r="1">
          <cell r="A1" t="str">
            <v>1 DE ABRIL 2019</v>
          </cell>
        </row>
        <row r="5">
          <cell r="C5" t="str">
            <v>Ecopetrol</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
      <sheetName val="TARIFAS HISTORICO POLIDUCTO"/>
      <sheetName val="Rubros"/>
      <sheetName val="COMBUSTIBLES "/>
      <sheetName val="CORRIENTE OXIGENADA"/>
      <sheetName val="EXTRA OXIGENADA"/>
      <sheetName val="BIODIESEL"/>
      <sheetName val="OTROS DPTOS - BASE"/>
      <sheetName val="NORTEDESANTANDER - BASE"/>
      <sheetName val="NARIÑO-PUTUMAYO - BASE"/>
      <sheetName val="RESOLUCION ZF"/>
      <sheetName val="AMAZONAS -  BASE"/>
      <sheetName val="GUAJIRA - BASE"/>
      <sheetName val="RESOLUCION NORTEDESANTANDER"/>
      <sheetName val="RES ALGUNAS ZONAS"/>
      <sheetName val="NORTESANTANDER"/>
      <sheetName val="AMAZONAS"/>
      <sheetName val="NARIÑO"/>
      <sheetName val="PUTUMAYO"/>
      <sheetName val="ARAUCA"/>
      <sheetName val="BOYACA"/>
      <sheetName val="GUAINIA"/>
      <sheetName val="VICHADA"/>
      <sheetName val="GUAJIRA"/>
      <sheetName val="CESAR"/>
      <sheetName val="CHOCO"/>
      <sheetName val="VAUPES"/>
      <sheetName val="ELECTROCOMBUSTIBLE"/>
    </sheetNames>
    <sheetDataSet>
      <sheetData sheetId="0"/>
      <sheetData sheetId="1"/>
      <sheetData sheetId="2"/>
      <sheetData sheetId="3"/>
      <sheetData sheetId="4">
        <row r="12">
          <cell r="C12" t="str">
            <v>(3)</v>
          </cell>
          <cell r="D12" t="str">
            <v>(3)</v>
          </cell>
        </row>
      </sheetData>
      <sheetData sheetId="5"/>
      <sheetData sheetId="6">
        <row r="12">
          <cell r="G12" t="str">
            <v>(3)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AY90"/>
  <sheetViews>
    <sheetView topLeftCell="K1" zoomScale="85" zoomScaleNormal="85" workbookViewId="0">
      <selection activeCell="Z54" sqref="Z54"/>
    </sheetView>
  </sheetViews>
  <sheetFormatPr baseColWidth="10" defaultRowHeight="14.5" x14ac:dyDescent="0.35"/>
  <cols>
    <col min="1" max="1" width="23.81640625" customWidth="1"/>
    <col min="2" max="2" width="13.81640625" customWidth="1"/>
    <col min="3" max="3" width="13.08984375" customWidth="1"/>
    <col min="4" max="4" width="14.08984375" customWidth="1"/>
    <col min="5" max="7" width="13.36328125" customWidth="1"/>
    <col min="8" max="8" width="12.90625" customWidth="1"/>
    <col min="9" max="9" width="13.1796875" customWidth="1"/>
    <col min="10" max="10" width="11.36328125" customWidth="1"/>
    <col min="11" max="13" width="12.6328125" customWidth="1"/>
    <col min="14" max="22" width="11.36328125" customWidth="1"/>
    <col min="23" max="23" width="13.1796875" customWidth="1"/>
    <col min="24" max="24" width="15.6328125" customWidth="1"/>
    <col min="25" max="25" width="11.36328125" customWidth="1"/>
    <col min="26" max="26" width="14.1796875" customWidth="1"/>
    <col min="27" max="27" width="12.81640625" customWidth="1"/>
    <col min="28" max="28" width="11.36328125" customWidth="1"/>
    <col min="29" max="29" width="16.08984375" customWidth="1"/>
    <col min="30" max="30" width="16.81640625" customWidth="1"/>
    <col min="31" max="31" width="15.36328125" customWidth="1"/>
    <col min="38" max="42" width="12.08984375" bestFit="1" customWidth="1"/>
    <col min="43" max="43" width="11.6328125" bestFit="1" customWidth="1"/>
    <col min="44" max="44" width="12.08984375" bestFit="1" customWidth="1"/>
  </cols>
  <sheetData>
    <row r="1" spans="1:34" x14ac:dyDescent="0.35">
      <c r="A1" s="19" t="s">
        <v>74</v>
      </c>
    </row>
    <row r="2" spans="1:34" x14ac:dyDescent="0.35">
      <c r="A2" s="20" t="s">
        <v>75</v>
      </c>
      <c r="B2" s="20"/>
      <c r="C2" s="20"/>
      <c r="D2" s="20"/>
    </row>
    <row r="4" spans="1:34" x14ac:dyDescent="0.35">
      <c r="B4" s="627">
        <v>2013</v>
      </c>
      <c r="C4" s="627">
        <v>2014</v>
      </c>
      <c r="D4" s="627">
        <v>2015</v>
      </c>
      <c r="E4" s="627">
        <v>2016</v>
      </c>
      <c r="F4" s="627">
        <v>2017</v>
      </c>
      <c r="G4" s="627">
        <v>2018</v>
      </c>
      <c r="H4" s="628">
        <v>2019</v>
      </c>
      <c r="I4" s="629">
        <v>2020</v>
      </c>
      <c r="J4" s="628">
        <v>2021</v>
      </c>
    </row>
    <row r="5" spans="1:34" x14ac:dyDescent="0.35">
      <c r="A5" s="21" t="s">
        <v>76</v>
      </c>
      <c r="B5" s="22">
        <v>1.9400000000000001E-2</v>
      </c>
      <c r="C5" s="22">
        <v>3.6600000000000001E-2</v>
      </c>
      <c r="D5" s="23">
        <v>6.7699999999999996E-2</v>
      </c>
      <c r="E5" s="23">
        <v>5.7500000000000002E-2</v>
      </c>
      <c r="F5" s="23">
        <v>4.0899999999999999E-2</v>
      </c>
      <c r="G5" s="23">
        <v>3.1800000000000002E-2</v>
      </c>
      <c r="H5" s="23">
        <v>3.7999999999999999E-2</v>
      </c>
      <c r="I5" s="449">
        <v>1.61E-2</v>
      </c>
      <c r="J5" s="634">
        <v>4.3400000000000001E-2</v>
      </c>
    </row>
    <row r="6" spans="1:34" x14ac:dyDescent="0.35">
      <c r="A6" s="24" t="s">
        <v>77</v>
      </c>
      <c r="B6" s="25"/>
      <c r="C6" s="26"/>
      <c r="D6" s="23">
        <v>7.9299999999999995E-2</v>
      </c>
      <c r="E6" s="27"/>
      <c r="F6" s="27"/>
    </row>
    <row r="7" spans="1:34" x14ac:dyDescent="0.35">
      <c r="A7" s="27" t="s">
        <v>78</v>
      </c>
    </row>
    <row r="8" spans="1:34" x14ac:dyDescent="0.35">
      <c r="C8" s="507"/>
      <c r="D8" s="507"/>
      <c r="E8" s="507"/>
      <c r="F8" s="507"/>
      <c r="G8" s="507"/>
      <c r="H8" s="507"/>
      <c r="I8" s="507"/>
      <c r="J8" s="507"/>
    </row>
    <row r="9" spans="1:34" x14ac:dyDescent="0.35">
      <c r="A9" s="19" t="s">
        <v>79</v>
      </c>
      <c r="H9" t="s">
        <v>459</v>
      </c>
      <c r="W9" s="507">
        <f>21.91*1.0161</f>
        <v>22.262751000000002</v>
      </c>
    </row>
    <row r="10" spans="1:34" ht="15" thickBot="1" x14ac:dyDescent="0.4"/>
    <row r="11" spans="1:34" x14ac:dyDescent="0.35">
      <c r="B11" s="749">
        <v>2013</v>
      </c>
      <c r="C11" s="749"/>
      <c r="D11" s="749"/>
      <c r="E11" s="749">
        <v>2014</v>
      </c>
      <c r="F11" s="749"/>
      <c r="G11" s="749"/>
      <c r="H11" s="749">
        <v>2015</v>
      </c>
      <c r="I11" s="749"/>
      <c r="J11" s="749"/>
      <c r="K11" s="749">
        <v>2016</v>
      </c>
      <c r="L11" s="749"/>
      <c r="M11" s="749"/>
      <c r="N11" s="749">
        <v>2017</v>
      </c>
      <c r="O11" s="749"/>
      <c r="P11" s="759"/>
      <c r="Q11" s="765">
        <v>2018</v>
      </c>
      <c r="R11" s="766"/>
      <c r="S11" s="767"/>
      <c r="T11" s="748">
        <v>2019</v>
      </c>
      <c r="U11" s="749"/>
      <c r="V11" s="759"/>
      <c r="W11" s="765">
        <v>2020</v>
      </c>
      <c r="X11" s="766"/>
      <c r="Y11" s="767"/>
      <c r="Z11" s="752">
        <v>2021</v>
      </c>
      <c r="AA11" s="757"/>
      <c r="AB11" s="757"/>
      <c r="AC11" s="768">
        <v>2022</v>
      </c>
      <c r="AD11" s="769"/>
      <c r="AE11" s="769"/>
    </row>
    <row r="12" spans="1:34" s="29" customFormat="1" ht="29" x14ac:dyDescent="0.35">
      <c r="A12" s="28" t="s">
        <v>80</v>
      </c>
      <c r="B12" s="28" t="s">
        <v>81</v>
      </c>
      <c r="C12" s="28" t="s">
        <v>82</v>
      </c>
      <c r="D12" s="28" t="s">
        <v>83</v>
      </c>
      <c r="E12" s="28" t="s">
        <v>81</v>
      </c>
      <c r="F12" s="28" t="s">
        <v>82</v>
      </c>
      <c r="G12" s="28" t="s">
        <v>83</v>
      </c>
      <c r="H12" s="28" t="s">
        <v>81</v>
      </c>
      <c r="I12" s="28" t="s">
        <v>82</v>
      </c>
      <c r="J12" s="28" t="s">
        <v>83</v>
      </c>
      <c r="K12" s="28" t="s">
        <v>81</v>
      </c>
      <c r="L12" s="28" t="s">
        <v>82</v>
      </c>
      <c r="M12" s="28" t="s">
        <v>83</v>
      </c>
      <c r="N12" s="28" t="s">
        <v>81</v>
      </c>
      <c r="O12" s="28" t="s">
        <v>82</v>
      </c>
      <c r="P12" s="454" t="s">
        <v>83</v>
      </c>
      <c r="Q12" s="461" t="s">
        <v>81</v>
      </c>
      <c r="R12" s="453" t="s">
        <v>82</v>
      </c>
      <c r="S12" s="462" t="s">
        <v>83</v>
      </c>
      <c r="T12" s="455" t="s">
        <v>81</v>
      </c>
      <c r="U12" s="28" t="s">
        <v>82</v>
      </c>
      <c r="V12" s="454" t="s">
        <v>83</v>
      </c>
      <c r="W12" s="461" t="s">
        <v>81</v>
      </c>
      <c r="X12" s="453" t="s">
        <v>82</v>
      </c>
      <c r="Y12" s="462" t="s">
        <v>83</v>
      </c>
      <c r="Z12" s="452" t="s">
        <v>81</v>
      </c>
      <c r="AA12" s="444" t="s">
        <v>82</v>
      </c>
      <c r="AB12" s="444" t="s">
        <v>83</v>
      </c>
      <c r="AC12" s="630" t="s">
        <v>81</v>
      </c>
      <c r="AD12" s="631" t="s">
        <v>82</v>
      </c>
      <c r="AE12" s="631" t="s">
        <v>83</v>
      </c>
    </row>
    <row r="13" spans="1:34" x14ac:dyDescent="0.35">
      <c r="A13" s="21" t="s">
        <v>84</v>
      </c>
      <c r="B13" s="21">
        <v>16.47</v>
      </c>
      <c r="C13" s="21">
        <v>16.47</v>
      </c>
      <c r="D13" s="21">
        <v>0</v>
      </c>
      <c r="E13" s="30">
        <f>B13*(1+$B$5)</f>
        <v>16.789518000000001</v>
      </c>
      <c r="F13" s="30">
        <f t="shared" ref="F13:G20" si="0">C13*(1+$B$5)</f>
        <v>16.789518000000001</v>
      </c>
      <c r="G13" s="30">
        <f t="shared" si="0"/>
        <v>0</v>
      </c>
      <c r="H13" s="30">
        <f>E13*(1+$C$5)</f>
        <v>17.404014358800001</v>
      </c>
      <c r="I13" s="30">
        <f>F13*(1+$C$5)</f>
        <v>17.404014358800001</v>
      </c>
      <c r="J13" s="30">
        <f>G13*(1+$C$5)</f>
        <v>0</v>
      </c>
      <c r="K13" s="30">
        <f>H13*(1+$D$5)</f>
        <v>18.582266130890762</v>
      </c>
      <c r="L13" s="30">
        <f>I13*(1+$D$5)</f>
        <v>18.582266130890762</v>
      </c>
      <c r="M13" s="30">
        <f>J13*(1+$D$5)</f>
        <v>0</v>
      </c>
      <c r="N13" s="31">
        <f>K13*(1+$E$5)</f>
        <v>19.650746433416984</v>
      </c>
      <c r="O13" s="31">
        <f t="shared" ref="O13:P21" si="1">L13*(1+$E$5)</f>
        <v>19.650746433416984</v>
      </c>
      <c r="P13" s="468">
        <f t="shared" si="1"/>
        <v>0</v>
      </c>
      <c r="Q13" s="470">
        <f>N13*(1+$F$5)</f>
        <v>20.454461962543736</v>
      </c>
      <c r="R13" s="32">
        <f>O13*(1+$F$5)</f>
        <v>20.454461962543736</v>
      </c>
      <c r="S13" s="471">
        <f>P13*(1+$F$5)</f>
        <v>0</v>
      </c>
      <c r="T13" s="469">
        <f t="shared" ref="T13:V21" si="2">Q13*(1+$G$5)</f>
        <v>21.104913852952627</v>
      </c>
      <c r="U13" s="33">
        <f t="shared" si="2"/>
        <v>21.104913852952627</v>
      </c>
      <c r="V13" s="459">
        <f t="shared" si="2"/>
        <v>0</v>
      </c>
      <c r="W13" s="506">
        <f t="shared" ref="W13:W21" si="3">T13*(1+$H$5)</f>
        <v>21.906900579364827</v>
      </c>
      <c r="X13" s="33">
        <f t="shared" ref="X13:X21" si="4">U13*(1+$H$5)</f>
        <v>21.906900579364827</v>
      </c>
      <c r="Y13" s="464">
        <f t="shared" ref="Y13:Y21" si="5">V13*(1+$G$5)</f>
        <v>0</v>
      </c>
      <c r="Z13" s="460">
        <f t="shared" ref="Z13:AA17" si="6">W13*(1+$I$5)-0.01</f>
        <v>22.249601678692599</v>
      </c>
      <c r="AA13" s="445">
        <f t="shared" si="6"/>
        <v>22.249601678692599</v>
      </c>
      <c r="AB13" s="443"/>
      <c r="AC13" s="632">
        <f t="shared" ref="AC13:AC21" si="7">Z13*(1+$J$5)</f>
        <v>23.21523439154786</v>
      </c>
      <c r="AD13" s="633">
        <f t="shared" ref="AD13:AD21" si="8">AA13*(1+$J$5)</f>
        <v>23.21523439154786</v>
      </c>
      <c r="AE13" s="633"/>
      <c r="AH13" s="21" t="s">
        <v>84</v>
      </c>
    </row>
    <row r="14" spans="1:34" x14ac:dyDescent="0.35">
      <c r="A14" s="21" t="s">
        <v>85</v>
      </c>
      <c r="B14" s="21">
        <v>7.62</v>
      </c>
      <c r="C14" s="21">
        <v>16.47</v>
      </c>
      <c r="D14" s="21">
        <v>0</v>
      </c>
      <c r="E14" s="30">
        <f t="shared" ref="E14:E20" si="9">B14*(1+$B$5)</f>
        <v>7.7678280000000006</v>
      </c>
      <c r="F14" s="30">
        <f t="shared" si="0"/>
        <v>16.789518000000001</v>
      </c>
      <c r="G14" s="30">
        <f t="shared" si="0"/>
        <v>0</v>
      </c>
      <c r="H14" s="30">
        <f t="shared" ref="H14:J20" si="10">E14*(1+$C$5)</f>
        <v>8.0521305048000009</v>
      </c>
      <c r="I14" s="30">
        <f t="shared" si="10"/>
        <v>17.404014358800001</v>
      </c>
      <c r="J14" s="30">
        <f t="shared" si="10"/>
        <v>0</v>
      </c>
      <c r="K14" s="30">
        <f t="shared" ref="K14:M20" si="11">H14*(1+$D$5)</f>
        <v>8.5972597399749624</v>
      </c>
      <c r="L14" s="30">
        <f t="shared" si="11"/>
        <v>18.582266130890762</v>
      </c>
      <c r="M14" s="30">
        <f t="shared" si="11"/>
        <v>0</v>
      </c>
      <c r="N14" s="31">
        <f t="shared" ref="N14:N21" si="12">K14*(1+$E$5)</f>
        <v>9.0916021750235245</v>
      </c>
      <c r="O14" s="31">
        <f t="shared" si="1"/>
        <v>19.650746433416984</v>
      </c>
      <c r="P14" s="468">
        <f t="shared" si="1"/>
        <v>0</v>
      </c>
      <c r="Q14" s="470">
        <f t="shared" ref="Q14:S21" si="13">N14*(1+$F$5)</f>
        <v>9.4634487039819852</v>
      </c>
      <c r="R14" s="32">
        <f t="shared" si="13"/>
        <v>20.454461962543736</v>
      </c>
      <c r="S14" s="471">
        <f t="shared" si="13"/>
        <v>0</v>
      </c>
      <c r="T14" s="469">
        <f t="shared" si="2"/>
        <v>9.7643863727686124</v>
      </c>
      <c r="U14" s="33">
        <f t="shared" si="2"/>
        <v>21.104913852952627</v>
      </c>
      <c r="V14" s="459">
        <f t="shared" si="2"/>
        <v>0</v>
      </c>
      <c r="W14" s="463">
        <f t="shared" si="3"/>
        <v>10.13543305493382</v>
      </c>
      <c r="X14" s="33">
        <f t="shared" si="4"/>
        <v>21.906900579364827</v>
      </c>
      <c r="Y14" s="464">
        <f t="shared" si="5"/>
        <v>0</v>
      </c>
      <c r="Z14" s="475">
        <f t="shared" si="6"/>
        <v>10.288613527118255</v>
      </c>
      <c r="AA14" s="445">
        <f t="shared" si="6"/>
        <v>22.249601678692599</v>
      </c>
      <c r="AB14" s="443"/>
      <c r="AC14" s="632">
        <f t="shared" si="7"/>
        <v>10.735139354195187</v>
      </c>
      <c r="AD14" s="633">
        <f t="shared" si="8"/>
        <v>23.21523439154786</v>
      </c>
      <c r="AE14" s="633"/>
      <c r="AH14" s="21" t="s">
        <v>85</v>
      </c>
    </row>
    <row r="15" spans="1:34" x14ac:dyDescent="0.35">
      <c r="A15" s="21" t="s">
        <v>86</v>
      </c>
      <c r="B15" s="21">
        <v>16.47</v>
      </c>
      <c r="C15" s="21">
        <v>16.47</v>
      </c>
      <c r="D15" s="21">
        <v>0</v>
      </c>
      <c r="E15" s="30">
        <f t="shared" si="9"/>
        <v>16.789518000000001</v>
      </c>
      <c r="F15" s="30">
        <f t="shared" si="0"/>
        <v>16.789518000000001</v>
      </c>
      <c r="G15" s="30">
        <f t="shared" si="0"/>
        <v>0</v>
      </c>
      <c r="H15" s="30">
        <f t="shared" si="10"/>
        <v>17.404014358800001</v>
      </c>
      <c r="I15" s="30">
        <f t="shared" si="10"/>
        <v>17.404014358800001</v>
      </c>
      <c r="J15" s="30">
        <f t="shared" si="10"/>
        <v>0</v>
      </c>
      <c r="K15" s="30">
        <f t="shared" si="11"/>
        <v>18.582266130890762</v>
      </c>
      <c r="L15" s="30">
        <f t="shared" si="11"/>
        <v>18.582266130890762</v>
      </c>
      <c r="M15" s="30">
        <f t="shared" si="11"/>
        <v>0</v>
      </c>
      <c r="N15" s="31">
        <f t="shared" si="12"/>
        <v>19.650746433416984</v>
      </c>
      <c r="O15" s="31">
        <f t="shared" si="1"/>
        <v>19.650746433416984</v>
      </c>
      <c r="P15" s="468">
        <f t="shared" si="1"/>
        <v>0</v>
      </c>
      <c r="Q15" s="470">
        <f t="shared" si="13"/>
        <v>20.454461962543736</v>
      </c>
      <c r="R15" s="32">
        <f t="shared" si="13"/>
        <v>20.454461962543736</v>
      </c>
      <c r="S15" s="471">
        <f t="shared" si="13"/>
        <v>0</v>
      </c>
      <c r="T15" s="469">
        <f t="shared" si="2"/>
        <v>21.104913852952627</v>
      </c>
      <c r="U15" s="33">
        <f t="shared" si="2"/>
        <v>21.104913852952627</v>
      </c>
      <c r="V15" s="459">
        <f t="shared" si="2"/>
        <v>0</v>
      </c>
      <c r="W15" s="463">
        <f t="shared" si="3"/>
        <v>21.906900579364827</v>
      </c>
      <c r="X15" s="33">
        <f t="shared" si="4"/>
        <v>21.906900579364827</v>
      </c>
      <c r="Y15" s="464">
        <f t="shared" si="5"/>
        <v>0</v>
      </c>
      <c r="Z15" s="460">
        <f t="shared" si="6"/>
        <v>22.249601678692599</v>
      </c>
      <c r="AA15" s="445">
        <f t="shared" si="6"/>
        <v>22.249601678692599</v>
      </c>
      <c r="AB15" s="443"/>
      <c r="AC15" s="632">
        <f t="shared" si="7"/>
        <v>23.21523439154786</v>
      </c>
      <c r="AD15" s="633">
        <f t="shared" si="8"/>
        <v>23.21523439154786</v>
      </c>
      <c r="AE15" s="633"/>
      <c r="AH15" s="21" t="s">
        <v>86</v>
      </c>
    </row>
    <row r="16" spans="1:34" x14ac:dyDescent="0.35">
      <c r="A16" s="21" t="s">
        <v>87</v>
      </c>
      <c r="B16" s="21">
        <v>7.62</v>
      </c>
      <c r="C16" s="21">
        <v>16.47</v>
      </c>
      <c r="D16" s="21">
        <v>0</v>
      </c>
      <c r="E16" s="30">
        <f t="shared" si="9"/>
        <v>7.7678280000000006</v>
      </c>
      <c r="F16" s="30">
        <f t="shared" si="0"/>
        <v>16.789518000000001</v>
      </c>
      <c r="G16" s="30">
        <f t="shared" si="0"/>
        <v>0</v>
      </c>
      <c r="H16" s="30">
        <f t="shared" si="10"/>
        <v>8.0521305048000009</v>
      </c>
      <c r="I16" s="30">
        <f t="shared" si="10"/>
        <v>17.404014358800001</v>
      </c>
      <c r="J16" s="30">
        <f t="shared" si="10"/>
        <v>0</v>
      </c>
      <c r="K16" s="30">
        <f t="shared" si="11"/>
        <v>8.5972597399749624</v>
      </c>
      <c r="L16" s="30">
        <f t="shared" si="11"/>
        <v>18.582266130890762</v>
      </c>
      <c r="M16" s="30">
        <f t="shared" si="11"/>
        <v>0</v>
      </c>
      <c r="N16" s="31">
        <f t="shared" si="12"/>
        <v>9.0916021750235245</v>
      </c>
      <c r="O16" s="31">
        <f t="shared" si="1"/>
        <v>19.650746433416984</v>
      </c>
      <c r="P16" s="468">
        <f t="shared" si="1"/>
        <v>0</v>
      </c>
      <c r="Q16" s="470">
        <f t="shared" si="13"/>
        <v>9.4634487039819852</v>
      </c>
      <c r="R16" s="32">
        <f t="shared" si="13"/>
        <v>20.454461962543736</v>
      </c>
      <c r="S16" s="471">
        <f t="shared" si="13"/>
        <v>0</v>
      </c>
      <c r="T16" s="469">
        <f t="shared" si="2"/>
        <v>9.7643863727686124</v>
      </c>
      <c r="U16" s="33">
        <f t="shared" si="2"/>
        <v>21.104913852952627</v>
      </c>
      <c r="V16" s="459">
        <f t="shared" si="2"/>
        <v>0</v>
      </c>
      <c r="W16" s="463">
        <f t="shared" si="3"/>
        <v>10.13543305493382</v>
      </c>
      <c r="X16" s="33">
        <f t="shared" si="4"/>
        <v>21.906900579364827</v>
      </c>
      <c r="Y16" s="464">
        <f t="shared" si="5"/>
        <v>0</v>
      </c>
      <c r="Z16" s="475">
        <f t="shared" si="6"/>
        <v>10.288613527118255</v>
      </c>
      <c r="AA16" s="445">
        <f t="shared" si="6"/>
        <v>22.249601678692599</v>
      </c>
      <c r="AB16" s="443"/>
      <c r="AC16" s="632">
        <f t="shared" si="7"/>
        <v>10.735139354195187</v>
      </c>
      <c r="AD16" s="633">
        <f t="shared" si="8"/>
        <v>23.21523439154786</v>
      </c>
      <c r="AE16" s="633"/>
      <c r="AH16" s="21" t="s">
        <v>87</v>
      </c>
    </row>
    <row r="17" spans="1:51" x14ac:dyDescent="0.35">
      <c r="A17" s="21" t="s">
        <v>88</v>
      </c>
      <c r="B17" s="21">
        <v>16.47</v>
      </c>
      <c r="C17" s="21">
        <v>16.47</v>
      </c>
      <c r="D17" s="21">
        <v>16.47</v>
      </c>
      <c r="E17" s="30">
        <f t="shared" si="9"/>
        <v>16.789518000000001</v>
      </c>
      <c r="F17" s="30">
        <f t="shared" si="0"/>
        <v>16.789518000000001</v>
      </c>
      <c r="G17" s="30">
        <f t="shared" si="0"/>
        <v>16.789518000000001</v>
      </c>
      <c r="H17" s="30">
        <f t="shared" si="10"/>
        <v>17.404014358800001</v>
      </c>
      <c r="I17" s="30">
        <f t="shared" si="10"/>
        <v>17.404014358800001</v>
      </c>
      <c r="J17" s="30">
        <f t="shared" si="10"/>
        <v>17.404014358800001</v>
      </c>
      <c r="K17" s="30">
        <f t="shared" si="11"/>
        <v>18.582266130890762</v>
      </c>
      <c r="L17" s="30">
        <f t="shared" si="11"/>
        <v>18.582266130890762</v>
      </c>
      <c r="M17" s="30">
        <f t="shared" si="11"/>
        <v>18.582266130890762</v>
      </c>
      <c r="N17" s="31">
        <f t="shared" si="12"/>
        <v>19.650746433416984</v>
      </c>
      <c r="O17" s="31">
        <f t="shared" si="1"/>
        <v>19.650746433416984</v>
      </c>
      <c r="P17" s="468">
        <f t="shared" si="1"/>
        <v>19.650746433416984</v>
      </c>
      <c r="Q17" s="470">
        <f t="shared" si="13"/>
        <v>20.454461962543736</v>
      </c>
      <c r="R17" s="32">
        <f t="shared" si="13"/>
        <v>20.454461962543736</v>
      </c>
      <c r="S17" s="471">
        <f t="shared" si="13"/>
        <v>20.454461962543736</v>
      </c>
      <c r="T17" s="469">
        <f t="shared" si="2"/>
        <v>21.104913852952627</v>
      </c>
      <c r="U17" s="33">
        <f t="shared" si="2"/>
        <v>21.104913852952627</v>
      </c>
      <c r="V17" s="459">
        <f t="shared" si="2"/>
        <v>21.104913852952627</v>
      </c>
      <c r="W17" s="463">
        <f t="shared" si="3"/>
        <v>21.906900579364827</v>
      </c>
      <c r="X17" s="33">
        <f t="shared" si="4"/>
        <v>21.906900579364827</v>
      </c>
      <c r="Y17" s="464">
        <f t="shared" si="5"/>
        <v>21.776050113476522</v>
      </c>
      <c r="Z17" s="460">
        <f t="shared" si="6"/>
        <v>22.249601678692599</v>
      </c>
      <c r="AA17" s="445">
        <f t="shared" si="6"/>
        <v>22.249601678692599</v>
      </c>
      <c r="AB17" s="443"/>
      <c r="AC17" s="632">
        <f t="shared" si="7"/>
        <v>23.21523439154786</v>
      </c>
      <c r="AD17" s="633">
        <f t="shared" si="8"/>
        <v>23.21523439154786</v>
      </c>
      <c r="AE17" s="633"/>
      <c r="AH17" s="21" t="s">
        <v>88</v>
      </c>
    </row>
    <row r="18" spans="1:51" x14ac:dyDescent="0.35">
      <c r="A18" s="21" t="s">
        <v>89</v>
      </c>
      <c r="B18" s="21">
        <v>11.21</v>
      </c>
      <c r="C18" s="21">
        <v>16.47</v>
      </c>
      <c r="D18" s="21">
        <v>0</v>
      </c>
      <c r="E18" s="30">
        <f t="shared" si="9"/>
        <v>11.427474000000002</v>
      </c>
      <c r="F18" s="30">
        <f t="shared" si="0"/>
        <v>16.789518000000001</v>
      </c>
      <c r="G18" s="30">
        <f t="shared" si="0"/>
        <v>0</v>
      </c>
      <c r="H18" s="30">
        <f t="shared" si="10"/>
        <v>11.845719548400002</v>
      </c>
      <c r="I18" s="30">
        <f t="shared" si="10"/>
        <v>17.404014358800001</v>
      </c>
      <c r="J18" s="30">
        <f t="shared" si="10"/>
        <v>0</v>
      </c>
      <c r="K18" s="30">
        <f t="shared" si="11"/>
        <v>12.647674761826684</v>
      </c>
      <c r="L18" s="30">
        <f t="shared" si="11"/>
        <v>18.582266130890762</v>
      </c>
      <c r="M18" s="30">
        <f t="shared" si="11"/>
        <v>0</v>
      </c>
      <c r="N18" s="31">
        <f t="shared" si="12"/>
        <v>13.374916060631719</v>
      </c>
      <c r="O18" s="31">
        <f t="shared" si="1"/>
        <v>19.650746433416984</v>
      </c>
      <c r="P18" s="468">
        <f t="shared" si="1"/>
        <v>0</v>
      </c>
      <c r="Q18" s="470">
        <f t="shared" si="13"/>
        <v>13.921950127511556</v>
      </c>
      <c r="R18" s="32">
        <f t="shared" si="13"/>
        <v>20.454461962543736</v>
      </c>
      <c r="S18" s="471">
        <f t="shared" si="13"/>
        <v>0</v>
      </c>
      <c r="T18" s="469">
        <f t="shared" si="2"/>
        <v>14.364668141566424</v>
      </c>
      <c r="U18" s="33">
        <f t="shared" si="2"/>
        <v>21.104913852952627</v>
      </c>
      <c r="V18" s="459">
        <f t="shared" si="2"/>
        <v>0</v>
      </c>
      <c r="W18" s="463">
        <f t="shared" si="3"/>
        <v>14.910525530945948</v>
      </c>
      <c r="X18" s="33">
        <f t="shared" si="4"/>
        <v>21.906900579364827</v>
      </c>
      <c r="Y18" s="464">
        <f t="shared" si="5"/>
        <v>0</v>
      </c>
      <c r="Z18" s="475">
        <f t="shared" ref="Z18" si="14">W18*(1+$I$5)</f>
        <v>15.150584991994178</v>
      </c>
      <c r="AA18" s="445">
        <f>X18*(1+$I$5)-0.01</f>
        <v>22.249601678692599</v>
      </c>
      <c r="AB18" s="443"/>
      <c r="AC18" s="632">
        <f t="shared" si="7"/>
        <v>15.808120380646727</v>
      </c>
      <c r="AD18" s="633">
        <f t="shared" si="8"/>
        <v>23.21523439154786</v>
      </c>
      <c r="AE18" s="633"/>
      <c r="AH18" s="21" t="s">
        <v>89</v>
      </c>
    </row>
    <row r="19" spans="1:51" x14ac:dyDescent="0.35">
      <c r="A19" s="21" t="s">
        <v>90</v>
      </c>
      <c r="B19" s="21">
        <v>16.47</v>
      </c>
      <c r="C19" s="21">
        <v>16.47</v>
      </c>
      <c r="D19" s="21">
        <v>0</v>
      </c>
      <c r="E19" s="30">
        <f t="shared" si="9"/>
        <v>16.789518000000001</v>
      </c>
      <c r="F19" s="30">
        <f t="shared" si="0"/>
        <v>16.789518000000001</v>
      </c>
      <c r="G19" s="30">
        <f t="shared" si="0"/>
        <v>0</v>
      </c>
      <c r="H19" s="30">
        <f t="shared" si="10"/>
        <v>17.404014358800001</v>
      </c>
      <c r="I19" s="30">
        <f t="shared" si="10"/>
        <v>17.404014358800001</v>
      </c>
      <c r="J19" s="30">
        <f t="shared" si="10"/>
        <v>0</v>
      </c>
      <c r="K19" s="30">
        <f t="shared" si="11"/>
        <v>18.582266130890762</v>
      </c>
      <c r="L19" s="30">
        <f t="shared" si="11"/>
        <v>18.582266130890762</v>
      </c>
      <c r="M19" s="30">
        <f t="shared" si="11"/>
        <v>0</v>
      </c>
      <c r="N19" s="31">
        <f t="shared" si="12"/>
        <v>19.650746433416984</v>
      </c>
      <c r="O19" s="31">
        <f t="shared" si="1"/>
        <v>19.650746433416984</v>
      </c>
      <c r="P19" s="468">
        <f t="shared" si="1"/>
        <v>0</v>
      </c>
      <c r="Q19" s="470">
        <f t="shared" si="13"/>
        <v>20.454461962543736</v>
      </c>
      <c r="R19" s="32">
        <f t="shared" si="13"/>
        <v>20.454461962543736</v>
      </c>
      <c r="S19" s="471">
        <f t="shared" si="13"/>
        <v>0</v>
      </c>
      <c r="T19" s="469">
        <f t="shared" si="2"/>
        <v>21.104913852952627</v>
      </c>
      <c r="U19" s="33">
        <f t="shared" si="2"/>
        <v>21.104913852952627</v>
      </c>
      <c r="V19" s="459">
        <f t="shared" si="2"/>
        <v>0</v>
      </c>
      <c r="W19" s="463">
        <f t="shared" si="3"/>
        <v>21.906900579364827</v>
      </c>
      <c r="X19" s="33">
        <f t="shared" si="4"/>
        <v>21.906900579364827</v>
      </c>
      <c r="Y19" s="464">
        <f t="shared" si="5"/>
        <v>0</v>
      </c>
      <c r="Z19" s="460">
        <f>W19*(1+$I$5)-0.01</f>
        <v>22.249601678692599</v>
      </c>
      <c r="AA19" s="445">
        <f>X19*(1+$I$5)-0.01</f>
        <v>22.249601678692599</v>
      </c>
      <c r="AB19" s="443"/>
      <c r="AC19" s="632">
        <f t="shared" si="7"/>
        <v>23.21523439154786</v>
      </c>
      <c r="AD19" s="633">
        <f t="shared" si="8"/>
        <v>23.21523439154786</v>
      </c>
      <c r="AE19" s="633"/>
      <c r="AH19" s="21" t="s">
        <v>90</v>
      </c>
    </row>
    <row r="20" spans="1:51" x14ac:dyDescent="0.35">
      <c r="A20" s="21" t="s">
        <v>91</v>
      </c>
      <c r="B20" s="21">
        <v>7.62</v>
      </c>
      <c r="C20" s="21">
        <v>16.47</v>
      </c>
      <c r="D20" s="21">
        <v>0</v>
      </c>
      <c r="E20" s="30">
        <f t="shared" si="9"/>
        <v>7.7678280000000006</v>
      </c>
      <c r="F20" s="30">
        <f t="shared" si="0"/>
        <v>16.789518000000001</v>
      </c>
      <c r="G20" s="30">
        <f t="shared" si="0"/>
        <v>0</v>
      </c>
      <c r="H20" s="30">
        <f t="shared" si="10"/>
        <v>8.0521305048000009</v>
      </c>
      <c r="I20" s="30">
        <f t="shared" si="10"/>
        <v>17.404014358800001</v>
      </c>
      <c r="J20" s="30">
        <f t="shared" si="10"/>
        <v>0</v>
      </c>
      <c r="K20" s="30">
        <f t="shared" si="11"/>
        <v>8.5972597399749624</v>
      </c>
      <c r="L20" s="30">
        <f t="shared" si="11"/>
        <v>18.582266130890762</v>
      </c>
      <c r="M20" s="30">
        <f t="shared" si="11"/>
        <v>0</v>
      </c>
      <c r="N20" s="31">
        <f t="shared" si="12"/>
        <v>9.0916021750235245</v>
      </c>
      <c r="O20" s="31">
        <f t="shared" si="1"/>
        <v>19.650746433416984</v>
      </c>
      <c r="P20" s="468">
        <f t="shared" si="1"/>
        <v>0</v>
      </c>
      <c r="Q20" s="470">
        <f t="shared" si="13"/>
        <v>9.4634487039819852</v>
      </c>
      <c r="R20" s="32">
        <f t="shared" si="13"/>
        <v>20.454461962543736</v>
      </c>
      <c r="S20" s="471">
        <f t="shared" si="13"/>
        <v>0</v>
      </c>
      <c r="T20" s="469">
        <f t="shared" si="2"/>
        <v>9.7643863727686124</v>
      </c>
      <c r="U20" s="33">
        <f t="shared" si="2"/>
        <v>21.104913852952627</v>
      </c>
      <c r="V20" s="459">
        <f t="shared" si="2"/>
        <v>0</v>
      </c>
      <c r="W20" s="463">
        <f t="shared" si="3"/>
        <v>10.13543305493382</v>
      </c>
      <c r="X20" s="33">
        <f t="shared" si="4"/>
        <v>21.906900579364827</v>
      </c>
      <c r="Y20" s="464">
        <f t="shared" si="5"/>
        <v>0</v>
      </c>
      <c r="Z20" s="475">
        <f>W20*(1+$I$5)-0.01</f>
        <v>10.288613527118255</v>
      </c>
      <c r="AA20" s="445">
        <f>X20*(1+$I$5)-0.01</f>
        <v>22.249601678692599</v>
      </c>
      <c r="AB20" s="443"/>
      <c r="AC20" s="632">
        <f t="shared" si="7"/>
        <v>10.735139354195187</v>
      </c>
      <c r="AD20" s="633">
        <f t="shared" si="8"/>
        <v>23.21523439154786</v>
      </c>
      <c r="AE20" s="633"/>
      <c r="AH20" s="21" t="s">
        <v>91</v>
      </c>
    </row>
    <row r="21" spans="1:51" ht="15" thickBot="1" x14ac:dyDescent="0.4">
      <c r="A21" s="21" t="s">
        <v>92</v>
      </c>
      <c r="B21" s="21"/>
      <c r="C21" s="21"/>
      <c r="D21" s="21"/>
      <c r="E21" s="30"/>
      <c r="F21" s="30"/>
      <c r="G21" s="30"/>
      <c r="H21" s="30"/>
      <c r="I21" s="30"/>
      <c r="J21" s="30"/>
      <c r="K21" s="30">
        <f>K13</f>
        <v>18.582266130890762</v>
      </c>
      <c r="L21" s="30">
        <f>L13</f>
        <v>18.582266130890762</v>
      </c>
      <c r="M21" s="30">
        <f>M13</f>
        <v>0</v>
      </c>
      <c r="N21" s="31">
        <f t="shared" si="12"/>
        <v>19.650746433416984</v>
      </c>
      <c r="O21" s="31">
        <f t="shared" si="1"/>
        <v>19.650746433416984</v>
      </c>
      <c r="P21" s="468">
        <f t="shared" si="1"/>
        <v>0</v>
      </c>
      <c r="Q21" s="472">
        <f t="shared" si="13"/>
        <v>20.454461962543736</v>
      </c>
      <c r="R21" s="473">
        <f t="shared" si="13"/>
        <v>20.454461962543736</v>
      </c>
      <c r="S21" s="474">
        <f t="shared" si="13"/>
        <v>0</v>
      </c>
      <c r="T21" s="469">
        <f t="shared" si="2"/>
        <v>21.104913852952627</v>
      </c>
      <c r="U21" s="33">
        <f t="shared" si="2"/>
        <v>21.104913852952627</v>
      </c>
      <c r="V21" s="459">
        <f t="shared" si="2"/>
        <v>0</v>
      </c>
      <c r="W21" s="465">
        <f t="shared" si="3"/>
        <v>21.906900579364827</v>
      </c>
      <c r="X21" s="466">
        <f t="shared" si="4"/>
        <v>21.906900579364827</v>
      </c>
      <c r="Y21" s="467">
        <f t="shared" si="5"/>
        <v>0</v>
      </c>
      <c r="Z21" s="460">
        <f>W21*(1+$I$5)-0.01</f>
        <v>22.249601678692599</v>
      </c>
      <c r="AA21" s="445">
        <f>X21*(1+$I$5)-0.01</f>
        <v>22.249601678692599</v>
      </c>
      <c r="AB21" s="443"/>
      <c r="AC21" s="632">
        <f t="shared" si="7"/>
        <v>23.21523439154786</v>
      </c>
      <c r="AD21" s="633">
        <f t="shared" si="8"/>
        <v>23.21523439154786</v>
      </c>
      <c r="AE21" s="633"/>
      <c r="AH21" s="21" t="s">
        <v>92</v>
      </c>
    </row>
    <row r="22" spans="1:51" x14ac:dyDescent="0.35">
      <c r="W22" s="496"/>
    </row>
    <row r="23" spans="1:51" x14ac:dyDescent="0.35">
      <c r="A23" s="19" t="s">
        <v>93</v>
      </c>
      <c r="W23" s="496"/>
    </row>
    <row r="24" spans="1:51" x14ac:dyDescent="0.35">
      <c r="L24" t="s">
        <v>94</v>
      </c>
      <c r="P24" s="34">
        <v>0.03</v>
      </c>
      <c r="Q24" t="s">
        <v>95</v>
      </c>
      <c r="U24" s="34">
        <v>0.03</v>
      </c>
      <c r="V24" t="s">
        <v>95</v>
      </c>
      <c r="Z24" s="34">
        <v>0.03</v>
      </c>
      <c r="AA24" t="s">
        <v>506</v>
      </c>
      <c r="AE24" s="34">
        <v>0.03</v>
      </c>
      <c r="AF24" t="s">
        <v>505</v>
      </c>
      <c r="AJ24" s="34">
        <v>0.03</v>
      </c>
      <c r="AK24" t="s">
        <v>431</v>
      </c>
      <c r="AO24" s="34">
        <v>0.03</v>
      </c>
      <c r="AP24" s="446" t="s">
        <v>426</v>
      </c>
      <c r="AQ24" s="446"/>
      <c r="AR24" s="446"/>
      <c r="AS24" s="446"/>
      <c r="AT24" s="447">
        <v>0.03</v>
      </c>
      <c r="AU24" s="635" t="s">
        <v>507</v>
      </c>
      <c r="AV24" s="635"/>
      <c r="AW24" s="635"/>
      <c r="AX24" s="635"/>
      <c r="AY24" s="636">
        <v>0.03</v>
      </c>
    </row>
    <row r="25" spans="1:51" x14ac:dyDescent="0.35">
      <c r="A25" s="758" t="s">
        <v>80</v>
      </c>
      <c r="B25" s="749" t="s">
        <v>460</v>
      </c>
      <c r="C25" s="749"/>
      <c r="D25" s="749"/>
      <c r="E25" s="749"/>
      <c r="F25" s="749"/>
      <c r="G25" s="749">
        <v>2014</v>
      </c>
      <c r="H25" s="749"/>
      <c r="I25" s="749"/>
      <c r="J25" s="749"/>
      <c r="K25" s="749"/>
      <c r="L25" s="759">
        <v>2015</v>
      </c>
      <c r="M25" s="760"/>
      <c r="N25" s="760"/>
      <c r="O25" s="760"/>
      <c r="P25" s="748"/>
      <c r="Q25" s="759">
        <v>2016</v>
      </c>
      <c r="R25" s="760"/>
      <c r="S25" s="760"/>
      <c r="T25" s="760"/>
      <c r="U25" s="748"/>
      <c r="V25" s="759">
        <v>2017</v>
      </c>
      <c r="W25" s="760"/>
      <c r="X25" s="760"/>
      <c r="Y25" s="760"/>
      <c r="Z25" s="748"/>
      <c r="AA25" s="759">
        <v>2018</v>
      </c>
      <c r="AB25" s="760"/>
      <c r="AC25" s="760"/>
      <c r="AD25" s="760"/>
      <c r="AE25" s="748"/>
      <c r="AF25" s="759">
        <v>2019</v>
      </c>
      <c r="AG25" s="760"/>
      <c r="AH25" s="760"/>
      <c r="AI25" s="760"/>
      <c r="AJ25" s="748"/>
      <c r="AK25" s="759">
        <v>2020</v>
      </c>
      <c r="AL25" s="760"/>
      <c r="AM25" s="760"/>
      <c r="AN25" s="760"/>
      <c r="AO25" s="748"/>
      <c r="AP25" s="750">
        <v>2021</v>
      </c>
      <c r="AQ25" s="751"/>
      <c r="AR25" s="751"/>
      <c r="AS25" s="751"/>
      <c r="AT25" s="752"/>
      <c r="AU25" s="737">
        <v>2022</v>
      </c>
      <c r="AV25" s="738"/>
      <c r="AW25" s="738"/>
      <c r="AX25" s="738"/>
      <c r="AY25" s="739"/>
    </row>
    <row r="26" spans="1:51" ht="30" customHeight="1" x14ac:dyDescent="0.35">
      <c r="A26" s="758"/>
      <c r="B26" s="758" t="s">
        <v>81</v>
      </c>
      <c r="C26" s="758"/>
      <c r="D26" s="758" t="s">
        <v>82</v>
      </c>
      <c r="E26" s="758"/>
      <c r="F26" s="758" t="s">
        <v>83</v>
      </c>
      <c r="G26" s="758" t="s">
        <v>81</v>
      </c>
      <c r="H26" s="758"/>
      <c r="I26" s="758" t="s">
        <v>82</v>
      </c>
      <c r="J26" s="758"/>
      <c r="K26" s="758" t="s">
        <v>83</v>
      </c>
      <c r="L26" s="761" t="s">
        <v>81</v>
      </c>
      <c r="M26" s="762"/>
      <c r="N26" s="761" t="s">
        <v>82</v>
      </c>
      <c r="O26" s="762"/>
      <c r="P26" s="763" t="s">
        <v>83</v>
      </c>
      <c r="Q26" s="761" t="s">
        <v>81</v>
      </c>
      <c r="R26" s="762"/>
      <c r="S26" s="761" t="s">
        <v>82</v>
      </c>
      <c r="T26" s="762"/>
      <c r="U26" s="763" t="s">
        <v>83</v>
      </c>
      <c r="V26" s="761" t="s">
        <v>81</v>
      </c>
      <c r="W26" s="762"/>
      <c r="X26" s="761" t="s">
        <v>82</v>
      </c>
      <c r="Y26" s="762"/>
      <c r="Z26" s="763" t="s">
        <v>83</v>
      </c>
      <c r="AA26" s="761" t="s">
        <v>81</v>
      </c>
      <c r="AB26" s="762"/>
      <c r="AC26" s="761" t="s">
        <v>82</v>
      </c>
      <c r="AD26" s="762"/>
      <c r="AE26" s="763" t="s">
        <v>83</v>
      </c>
      <c r="AF26" s="761" t="s">
        <v>81</v>
      </c>
      <c r="AG26" s="762"/>
      <c r="AH26" s="761" t="s">
        <v>82</v>
      </c>
      <c r="AI26" s="762"/>
      <c r="AJ26" s="763" t="s">
        <v>83</v>
      </c>
      <c r="AK26" s="761" t="s">
        <v>81</v>
      </c>
      <c r="AL26" s="762"/>
      <c r="AM26" s="761" t="s">
        <v>82</v>
      </c>
      <c r="AN26" s="762"/>
      <c r="AO26" s="763" t="s">
        <v>83</v>
      </c>
      <c r="AP26" s="753" t="s">
        <v>81</v>
      </c>
      <c r="AQ26" s="754"/>
      <c r="AR26" s="753" t="s">
        <v>82</v>
      </c>
      <c r="AS26" s="754"/>
      <c r="AT26" s="755" t="s">
        <v>83</v>
      </c>
      <c r="AU26" s="740" t="s">
        <v>81</v>
      </c>
      <c r="AV26" s="741"/>
      <c r="AW26" s="740" t="s">
        <v>82</v>
      </c>
      <c r="AX26" s="741"/>
      <c r="AY26" s="742" t="s">
        <v>83</v>
      </c>
    </row>
    <row r="27" spans="1:51" ht="29" x14ac:dyDescent="0.35">
      <c r="A27" s="758"/>
      <c r="B27" s="28" t="s">
        <v>96</v>
      </c>
      <c r="C27" s="28" t="s">
        <v>97</v>
      </c>
      <c r="D27" s="28" t="s">
        <v>96</v>
      </c>
      <c r="E27" s="28" t="s">
        <v>97</v>
      </c>
      <c r="F27" s="758"/>
      <c r="G27" s="28" t="s">
        <v>96</v>
      </c>
      <c r="H27" s="28" t="s">
        <v>97</v>
      </c>
      <c r="I27" s="28" t="s">
        <v>96</v>
      </c>
      <c r="J27" s="28" t="s">
        <v>97</v>
      </c>
      <c r="K27" s="758"/>
      <c r="L27" s="28" t="s">
        <v>96</v>
      </c>
      <c r="M27" s="28" t="s">
        <v>97</v>
      </c>
      <c r="N27" s="28" t="s">
        <v>96</v>
      </c>
      <c r="O27" s="28" t="s">
        <v>97</v>
      </c>
      <c r="P27" s="764"/>
      <c r="Q27" s="28" t="s">
        <v>96</v>
      </c>
      <c r="R27" s="28" t="s">
        <v>97</v>
      </c>
      <c r="S27" s="28" t="s">
        <v>96</v>
      </c>
      <c r="T27" s="28" t="s">
        <v>97</v>
      </c>
      <c r="U27" s="764"/>
      <c r="V27" s="28" t="s">
        <v>96</v>
      </c>
      <c r="W27" s="28" t="s">
        <v>97</v>
      </c>
      <c r="X27" s="28" t="s">
        <v>96</v>
      </c>
      <c r="Y27" s="28" t="s">
        <v>97</v>
      </c>
      <c r="Z27" s="764"/>
      <c r="AA27" s="28" t="s">
        <v>96</v>
      </c>
      <c r="AB27" s="28" t="s">
        <v>97</v>
      </c>
      <c r="AC27" s="28" t="s">
        <v>96</v>
      </c>
      <c r="AD27" s="28" t="s">
        <v>97</v>
      </c>
      <c r="AE27" s="764"/>
      <c r="AF27" s="28" t="s">
        <v>96</v>
      </c>
      <c r="AG27" s="28" t="s">
        <v>97</v>
      </c>
      <c r="AH27" s="28" t="s">
        <v>96</v>
      </c>
      <c r="AI27" s="28" t="s">
        <v>97</v>
      </c>
      <c r="AJ27" s="764"/>
      <c r="AK27" s="403" t="s">
        <v>96</v>
      </c>
      <c r="AL27" s="403" t="s">
        <v>97</v>
      </c>
      <c r="AM27" s="403" t="s">
        <v>96</v>
      </c>
      <c r="AN27" s="403" t="s">
        <v>97</v>
      </c>
      <c r="AO27" s="764"/>
      <c r="AP27" s="444" t="s">
        <v>96</v>
      </c>
      <c r="AQ27" s="444" t="s">
        <v>97</v>
      </c>
      <c r="AR27" s="444" t="s">
        <v>96</v>
      </c>
      <c r="AS27" s="444" t="s">
        <v>97</v>
      </c>
      <c r="AT27" s="756"/>
      <c r="AU27" s="637" t="s">
        <v>96</v>
      </c>
      <c r="AV27" s="637" t="s">
        <v>97</v>
      </c>
      <c r="AW27" s="637" t="s">
        <v>96</v>
      </c>
      <c r="AX27" s="637" t="s">
        <v>97</v>
      </c>
      <c r="AY27" s="743"/>
    </row>
    <row r="28" spans="1:51" x14ac:dyDescent="0.35">
      <c r="A28" s="21" t="s">
        <v>85</v>
      </c>
      <c r="B28" s="21">
        <v>9.06</v>
      </c>
      <c r="C28" s="21">
        <v>8.6300000000000008</v>
      </c>
      <c r="D28" s="21">
        <v>9.06</v>
      </c>
      <c r="E28" s="21">
        <v>8.6300000000000008</v>
      </c>
      <c r="F28" s="21">
        <v>0</v>
      </c>
      <c r="G28" s="30">
        <v>10.52</v>
      </c>
      <c r="H28" s="30">
        <v>10.52</v>
      </c>
      <c r="I28" s="30">
        <v>10.52</v>
      </c>
      <c r="J28" s="30">
        <v>10.52</v>
      </c>
      <c r="K28" s="30">
        <f>F28*(1+$B$5)</f>
        <v>0</v>
      </c>
      <c r="L28" s="30">
        <f>G28*(1+$P$24)</f>
        <v>10.835599999999999</v>
      </c>
      <c r="M28" s="30">
        <f t="shared" ref="M28:P31" si="15">H28*(1+$P$24)</f>
        <v>10.835599999999999</v>
      </c>
      <c r="N28" s="30">
        <f t="shared" si="15"/>
        <v>10.835599999999999</v>
      </c>
      <c r="O28" s="30">
        <f t="shared" si="15"/>
        <v>10.835599999999999</v>
      </c>
      <c r="P28" s="30">
        <f t="shared" si="15"/>
        <v>0</v>
      </c>
      <c r="Q28" s="31">
        <f>L28*(1+U24)</f>
        <v>11.160667999999999</v>
      </c>
      <c r="R28" s="31">
        <f t="shared" ref="R28:U31" si="16">M28*(1+$U$24)</f>
        <v>11.160667999999999</v>
      </c>
      <c r="S28" s="31">
        <f t="shared" si="16"/>
        <v>11.160667999999999</v>
      </c>
      <c r="T28" s="31">
        <f t="shared" si="16"/>
        <v>11.160667999999999</v>
      </c>
      <c r="U28" s="31">
        <f t="shared" si="16"/>
        <v>0</v>
      </c>
      <c r="V28" s="30">
        <f t="shared" ref="V28:Z32" si="17">Q28*(1+$Z$24)</f>
        <v>11.49548804</v>
      </c>
      <c r="W28" s="30">
        <f t="shared" si="17"/>
        <v>11.49548804</v>
      </c>
      <c r="X28" s="30">
        <f t="shared" si="17"/>
        <v>11.49548804</v>
      </c>
      <c r="Y28" s="30">
        <f t="shared" si="17"/>
        <v>11.49548804</v>
      </c>
      <c r="Z28" s="30">
        <f t="shared" si="17"/>
        <v>0</v>
      </c>
      <c r="AA28" s="32">
        <f>V28*(1+$AE$24)</f>
        <v>11.840352681200001</v>
      </c>
      <c r="AB28" s="32">
        <f>W28*(1+$AE$24)</f>
        <v>11.840352681200001</v>
      </c>
      <c r="AC28" s="32">
        <f>X28*(1+$AE$24)</f>
        <v>11.840352681200001</v>
      </c>
      <c r="AD28" s="32">
        <f>Y28*(1+$AE$24)</f>
        <v>11.840352681200001</v>
      </c>
      <c r="AE28" s="32">
        <f>Z28*(1+$AE$24)</f>
        <v>0</v>
      </c>
      <c r="AF28" s="35">
        <f t="shared" ref="AF28:AI32" si="18">AA28*(1+$AJ$24)</f>
        <v>12.195563261636002</v>
      </c>
      <c r="AG28" s="35">
        <f t="shared" si="18"/>
        <v>12.195563261636002</v>
      </c>
      <c r="AH28" s="35">
        <f t="shared" si="18"/>
        <v>12.195563261636002</v>
      </c>
      <c r="AI28" s="35">
        <f t="shared" si="18"/>
        <v>12.195563261636002</v>
      </c>
      <c r="AJ28" s="337">
        <v>0</v>
      </c>
      <c r="AK28" s="35">
        <f>AF28*(1+$AJ$24)</f>
        <v>12.561430159485083</v>
      </c>
      <c r="AL28" s="35">
        <f t="shared" ref="AL28:AL32" si="19">AG28*(1+$AJ$24)</f>
        <v>12.561430159485083</v>
      </c>
      <c r="AM28" s="35">
        <f t="shared" ref="AM28:AM32" si="20">AH28*(1+$AJ$24)</f>
        <v>12.561430159485083</v>
      </c>
      <c r="AN28" s="35">
        <f t="shared" ref="AN28:AN32" si="21">AI28*(1+$AJ$24)</f>
        <v>12.561430159485083</v>
      </c>
      <c r="AO28" s="337">
        <v>0</v>
      </c>
      <c r="AP28" s="445">
        <f>AK28*(1+$AT$24)</f>
        <v>12.938273064269636</v>
      </c>
      <c r="AQ28" s="443"/>
      <c r="AR28" s="443"/>
      <c r="AS28" s="443"/>
      <c r="AT28" s="448">
        <v>0</v>
      </c>
      <c r="AU28" s="638">
        <f>AP28*(1+$AY$24)</f>
        <v>13.326421256197724</v>
      </c>
      <c r="AV28" s="638"/>
      <c r="AW28" s="638"/>
      <c r="AX28" s="638"/>
      <c r="AY28" s="639">
        <v>0</v>
      </c>
    </row>
    <row r="29" spans="1:51" x14ac:dyDescent="0.35">
      <c r="A29" s="21" t="s">
        <v>86</v>
      </c>
      <c r="B29" s="21">
        <v>5.56</v>
      </c>
      <c r="C29" s="21">
        <v>5.13</v>
      </c>
      <c r="D29" s="21">
        <v>5.56</v>
      </c>
      <c r="E29" s="21">
        <v>5.13</v>
      </c>
      <c r="F29" s="21">
        <v>0</v>
      </c>
      <c r="G29" s="30">
        <v>10.52</v>
      </c>
      <c r="H29" s="30">
        <v>10.52</v>
      </c>
      <c r="I29" s="30">
        <v>10.52</v>
      </c>
      <c r="J29" s="30">
        <v>10.52</v>
      </c>
      <c r="K29" s="30">
        <f>F29*(1+$B$5)</f>
        <v>0</v>
      </c>
      <c r="L29" s="30">
        <f>G29*(1+$P$24)</f>
        <v>10.835599999999999</v>
      </c>
      <c r="M29" s="30">
        <f t="shared" si="15"/>
        <v>10.835599999999999</v>
      </c>
      <c r="N29" s="30">
        <f t="shared" si="15"/>
        <v>10.835599999999999</v>
      </c>
      <c r="O29" s="30">
        <f t="shared" si="15"/>
        <v>10.835599999999999</v>
      </c>
      <c r="P29" s="30">
        <f t="shared" si="15"/>
        <v>0</v>
      </c>
      <c r="Q29" s="31">
        <f>L29*(1+$U$24)</f>
        <v>11.160667999999999</v>
      </c>
      <c r="R29" s="31">
        <f t="shared" si="16"/>
        <v>11.160667999999999</v>
      </c>
      <c r="S29" s="31">
        <f t="shared" si="16"/>
        <v>11.160667999999999</v>
      </c>
      <c r="T29" s="31">
        <f t="shared" si="16"/>
        <v>11.160667999999999</v>
      </c>
      <c r="U29" s="31">
        <f t="shared" si="16"/>
        <v>0</v>
      </c>
      <c r="V29" s="30">
        <f t="shared" si="17"/>
        <v>11.49548804</v>
      </c>
      <c r="W29" s="30">
        <f t="shared" si="17"/>
        <v>11.49548804</v>
      </c>
      <c r="X29" s="30">
        <f t="shared" si="17"/>
        <v>11.49548804</v>
      </c>
      <c r="Y29" s="30">
        <f t="shared" si="17"/>
        <v>11.49548804</v>
      </c>
      <c r="Z29" s="30">
        <f t="shared" si="17"/>
        <v>0</v>
      </c>
      <c r="AA29" s="32">
        <f>V29*(1+$AE$24)</f>
        <v>11.840352681200001</v>
      </c>
      <c r="AB29" s="32">
        <f>W29*(1+$AE$24)-0.01</f>
        <v>11.830352681200001</v>
      </c>
      <c r="AC29" s="32">
        <f>X29*(1+$AE$24)-0.01</f>
        <v>11.830352681200001</v>
      </c>
      <c r="AD29" s="32">
        <f>Y29*(1+$AE$24)-0.01</f>
        <v>11.830352681200001</v>
      </c>
      <c r="AE29" s="32">
        <f>Z29*(1+$AE$24)</f>
        <v>0</v>
      </c>
      <c r="AF29" s="35">
        <f t="shared" si="18"/>
        <v>12.195563261636002</v>
      </c>
      <c r="AG29" s="35">
        <f t="shared" si="18"/>
        <v>12.185263261636001</v>
      </c>
      <c r="AH29" s="35">
        <f t="shared" si="18"/>
        <v>12.185263261636001</v>
      </c>
      <c r="AI29" s="35">
        <f t="shared" si="18"/>
        <v>12.185263261636001</v>
      </c>
      <c r="AJ29" s="337">
        <v>0</v>
      </c>
      <c r="AK29" s="35">
        <f t="shared" ref="AK29:AK32" si="22">AF29*(1+$AJ$24)</f>
        <v>12.561430159485083</v>
      </c>
      <c r="AL29" s="35">
        <f t="shared" si="19"/>
        <v>12.550821159485082</v>
      </c>
      <c r="AM29" s="35">
        <f t="shared" si="20"/>
        <v>12.550821159485082</v>
      </c>
      <c r="AN29" s="35">
        <f t="shared" si="21"/>
        <v>12.550821159485082</v>
      </c>
      <c r="AO29" s="337">
        <v>0</v>
      </c>
      <c r="AP29" s="445">
        <f t="shared" ref="AP29:AP32" si="23">AK29*(1+$AT$24)</f>
        <v>12.938273064269636</v>
      </c>
      <c r="AQ29" s="443"/>
      <c r="AR29" s="443"/>
      <c r="AS29" s="443"/>
      <c r="AT29" s="448">
        <v>0</v>
      </c>
      <c r="AU29" s="638">
        <f>AP29*(1+$AY$24)</f>
        <v>13.326421256197724</v>
      </c>
      <c r="AV29" s="638"/>
      <c r="AW29" s="638"/>
      <c r="AX29" s="638"/>
      <c r="AY29" s="639">
        <v>0</v>
      </c>
    </row>
    <row r="30" spans="1:51" x14ac:dyDescent="0.35">
      <c r="A30" s="21" t="s">
        <v>87</v>
      </c>
      <c r="B30" s="21">
        <v>9.06</v>
      </c>
      <c r="C30" s="21">
        <v>8.6300000000000008</v>
      </c>
      <c r="D30" s="21">
        <v>9.06</v>
      </c>
      <c r="E30" s="21">
        <v>8.6300000000000008</v>
      </c>
      <c r="F30" s="21">
        <v>0</v>
      </c>
      <c r="G30" s="30">
        <v>10.52</v>
      </c>
      <c r="H30" s="30">
        <v>10.52</v>
      </c>
      <c r="I30" s="30">
        <v>10.52</v>
      </c>
      <c r="J30" s="30">
        <v>10.52</v>
      </c>
      <c r="K30" s="30">
        <f>F30*(1+$B$5)</f>
        <v>0</v>
      </c>
      <c r="L30" s="30">
        <f>G30*(1+$P$24)</f>
        <v>10.835599999999999</v>
      </c>
      <c r="M30" s="30">
        <f t="shared" si="15"/>
        <v>10.835599999999999</v>
      </c>
      <c r="N30" s="30">
        <f t="shared" si="15"/>
        <v>10.835599999999999</v>
      </c>
      <c r="O30" s="30">
        <f t="shared" si="15"/>
        <v>10.835599999999999</v>
      </c>
      <c r="P30" s="30">
        <f t="shared" si="15"/>
        <v>0</v>
      </c>
      <c r="Q30" s="31">
        <f>L30*(1+$U$24)</f>
        <v>11.160667999999999</v>
      </c>
      <c r="R30" s="31">
        <f t="shared" si="16"/>
        <v>11.160667999999999</v>
      </c>
      <c r="S30" s="31">
        <f t="shared" si="16"/>
        <v>11.160667999999999</v>
      </c>
      <c r="T30" s="31">
        <f t="shared" si="16"/>
        <v>11.160667999999999</v>
      </c>
      <c r="U30" s="31">
        <f t="shared" si="16"/>
        <v>0</v>
      </c>
      <c r="V30" s="30">
        <f>Q30*(1+$Z$24)</f>
        <v>11.49548804</v>
      </c>
      <c r="W30" s="30">
        <f t="shared" si="17"/>
        <v>11.49548804</v>
      </c>
      <c r="X30" s="30">
        <f t="shared" si="17"/>
        <v>11.49548804</v>
      </c>
      <c r="Y30" s="30">
        <f t="shared" si="17"/>
        <v>11.49548804</v>
      </c>
      <c r="Z30" s="30">
        <f t="shared" si="17"/>
        <v>0</v>
      </c>
      <c r="AA30" s="32">
        <f t="shared" ref="AA30:AD32" si="24">V30*(1+$AE$24)</f>
        <v>11.840352681200001</v>
      </c>
      <c r="AB30" s="32">
        <f t="shared" si="24"/>
        <v>11.840352681200001</v>
      </c>
      <c r="AC30" s="32">
        <f t="shared" si="24"/>
        <v>11.840352681200001</v>
      </c>
      <c r="AD30" s="32">
        <f t="shared" si="24"/>
        <v>11.840352681200001</v>
      </c>
      <c r="AE30" s="32">
        <f>Z30*(1+$AE$24)</f>
        <v>0</v>
      </c>
      <c r="AF30" s="35">
        <f t="shared" si="18"/>
        <v>12.195563261636002</v>
      </c>
      <c r="AG30" s="35">
        <f t="shared" si="18"/>
        <v>12.195563261636002</v>
      </c>
      <c r="AH30" s="35">
        <f t="shared" si="18"/>
        <v>12.195563261636002</v>
      </c>
      <c r="AI30" s="35">
        <f t="shared" si="18"/>
        <v>12.195563261636002</v>
      </c>
      <c r="AJ30" s="337">
        <v>0</v>
      </c>
      <c r="AK30" s="35">
        <f t="shared" si="22"/>
        <v>12.561430159485083</v>
      </c>
      <c r="AL30" s="35">
        <f t="shared" si="19"/>
        <v>12.561430159485083</v>
      </c>
      <c r="AM30" s="35">
        <f t="shared" si="20"/>
        <v>12.561430159485083</v>
      </c>
      <c r="AN30" s="35">
        <f t="shared" si="21"/>
        <v>12.561430159485083</v>
      </c>
      <c r="AO30" s="337">
        <v>0</v>
      </c>
      <c r="AP30" s="445">
        <f t="shared" si="23"/>
        <v>12.938273064269636</v>
      </c>
      <c r="AQ30" s="443"/>
      <c r="AR30" s="443"/>
      <c r="AS30" s="443"/>
      <c r="AT30" s="448">
        <v>0</v>
      </c>
      <c r="AU30" s="638">
        <f>AP30*(1+$AY$24)</f>
        <v>13.326421256197724</v>
      </c>
      <c r="AV30" s="638"/>
      <c r="AW30" s="638"/>
      <c r="AX30" s="638"/>
      <c r="AY30" s="639">
        <v>0</v>
      </c>
    </row>
    <row r="31" spans="1:51" x14ac:dyDescent="0.35">
      <c r="A31" s="21" t="s">
        <v>91</v>
      </c>
      <c r="B31" s="21">
        <v>9.06</v>
      </c>
      <c r="C31" s="21">
        <v>8.6300000000000008</v>
      </c>
      <c r="D31" s="21">
        <v>9.06</v>
      </c>
      <c r="E31" s="21">
        <v>8.6300000000000008</v>
      </c>
      <c r="F31" s="21">
        <v>0</v>
      </c>
      <c r="G31" s="30">
        <v>10.52</v>
      </c>
      <c r="H31" s="30">
        <v>10.52</v>
      </c>
      <c r="I31" s="30">
        <v>10.52</v>
      </c>
      <c r="J31" s="30">
        <v>10.52</v>
      </c>
      <c r="K31" s="30">
        <f>F31*(1+$B$5)</f>
        <v>0</v>
      </c>
      <c r="L31" s="30">
        <f>G31*(1+$P$24)</f>
        <v>10.835599999999999</v>
      </c>
      <c r="M31" s="30">
        <f t="shared" si="15"/>
        <v>10.835599999999999</v>
      </c>
      <c r="N31" s="30">
        <f t="shared" si="15"/>
        <v>10.835599999999999</v>
      </c>
      <c r="O31" s="30">
        <f t="shared" si="15"/>
        <v>10.835599999999999</v>
      </c>
      <c r="P31" s="30">
        <f t="shared" si="15"/>
        <v>0</v>
      </c>
      <c r="Q31" s="31">
        <f>L31*(1+$U$24)</f>
        <v>11.160667999999999</v>
      </c>
      <c r="R31" s="31">
        <f t="shared" si="16"/>
        <v>11.160667999999999</v>
      </c>
      <c r="S31" s="31">
        <f t="shared" si="16"/>
        <v>11.160667999999999</v>
      </c>
      <c r="T31" s="31">
        <f t="shared" si="16"/>
        <v>11.160667999999999</v>
      </c>
      <c r="U31" s="31">
        <f t="shared" si="16"/>
        <v>0</v>
      </c>
      <c r="V31" s="30">
        <f>Q31*(1+$Z$24)</f>
        <v>11.49548804</v>
      </c>
      <c r="W31" s="30">
        <f t="shared" si="17"/>
        <v>11.49548804</v>
      </c>
      <c r="X31" s="30">
        <f t="shared" si="17"/>
        <v>11.49548804</v>
      </c>
      <c r="Y31" s="30">
        <f t="shared" si="17"/>
        <v>11.49548804</v>
      </c>
      <c r="Z31" s="30">
        <f t="shared" si="17"/>
        <v>0</v>
      </c>
      <c r="AA31" s="32">
        <f t="shared" si="24"/>
        <v>11.840352681200001</v>
      </c>
      <c r="AB31" s="32">
        <f t="shared" si="24"/>
        <v>11.840352681200001</v>
      </c>
      <c r="AC31" s="32">
        <f t="shared" si="24"/>
        <v>11.840352681200001</v>
      </c>
      <c r="AD31" s="32">
        <f t="shared" si="24"/>
        <v>11.840352681200001</v>
      </c>
      <c r="AE31" s="32">
        <f>Z31*(1+$AE$24)</f>
        <v>0</v>
      </c>
      <c r="AF31" s="35">
        <f t="shared" si="18"/>
        <v>12.195563261636002</v>
      </c>
      <c r="AG31" s="35">
        <f t="shared" si="18"/>
        <v>12.195563261636002</v>
      </c>
      <c r="AH31" s="35">
        <f t="shared" si="18"/>
        <v>12.195563261636002</v>
      </c>
      <c r="AI31" s="35">
        <f t="shared" si="18"/>
        <v>12.195563261636002</v>
      </c>
      <c r="AJ31" s="337">
        <v>0</v>
      </c>
      <c r="AK31" s="35">
        <f t="shared" si="22"/>
        <v>12.561430159485083</v>
      </c>
      <c r="AL31" s="35">
        <f t="shared" si="19"/>
        <v>12.561430159485083</v>
      </c>
      <c r="AM31" s="35">
        <f t="shared" si="20"/>
        <v>12.561430159485083</v>
      </c>
      <c r="AN31" s="35">
        <f t="shared" si="21"/>
        <v>12.561430159485083</v>
      </c>
      <c r="AO31" s="337">
        <v>0</v>
      </c>
      <c r="AP31" s="445">
        <f t="shared" si="23"/>
        <v>12.938273064269636</v>
      </c>
      <c r="AQ31" s="443"/>
      <c r="AR31" s="443"/>
      <c r="AS31" s="443"/>
      <c r="AT31" s="448">
        <v>0</v>
      </c>
      <c r="AU31" s="638">
        <f>AP31*(1+$AY$24)</f>
        <v>13.326421256197724</v>
      </c>
      <c r="AV31" s="638"/>
      <c r="AW31" s="638"/>
      <c r="AX31" s="638"/>
      <c r="AY31" s="639">
        <v>0</v>
      </c>
    </row>
    <row r="32" spans="1:51" x14ac:dyDescent="0.35">
      <c r="A32" s="21" t="s">
        <v>92</v>
      </c>
      <c r="B32" s="36"/>
      <c r="C32" s="36"/>
      <c r="D32" s="36"/>
      <c r="E32" s="36"/>
      <c r="F32" s="36"/>
      <c r="G32" s="30"/>
      <c r="H32" s="30"/>
      <c r="I32" s="30"/>
      <c r="J32" s="30"/>
      <c r="K32" s="30"/>
      <c r="L32" s="30"/>
      <c r="M32" s="30"/>
      <c r="N32" s="30"/>
      <c r="O32" s="30"/>
      <c r="P32" s="30"/>
      <c r="Q32" s="31">
        <f>Q28</f>
        <v>11.160667999999999</v>
      </c>
      <c r="R32" s="31">
        <f>R28</f>
        <v>11.160667999999999</v>
      </c>
      <c r="S32" s="31">
        <f>S28</f>
        <v>11.160667999999999</v>
      </c>
      <c r="T32" s="31">
        <f>T28</f>
        <v>11.160667999999999</v>
      </c>
      <c r="U32" s="31">
        <f>U28</f>
        <v>0</v>
      </c>
      <c r="V32" s="30">
        <f>Q32*(1+$Z$24)</f>
        <v>11.49548804</v>
      </c>
      <c r="W32" s="30">
        <f t="shared" si="17"/>
        <v>11.49548804</v>
      </c>
      <c r="X32" s="30">
        <f t="shared" si="17"/>
        <v>11.49548804</v>
      </c>
      <c r="Y32" s="30">
        <f t="shared" si="17"/>
        <v>11.49548804</v>
      </c>
      <c r="Z32" s="30">
        <f t="shared" si="17"/>
        <v>0</v>
      </c>
      <c r="AA32" s="32">
        <f t="shared" si="24"/>
        <v>11.840352681200001</v>
      </c>
      <c r="AB32" s="32">
        <f t="shared" si="24"/>
        <v>11.840352681200001</v>
      </c>
      <c r="AC32" s="32">
        <f t="shared" si="24"/>
        <v>11.840352681200001</v>
      </c>
      <c r="AD32" s="32">
        <f t="shared" si="24"/>
        <v>11.840352681200001</v>
      </c>
      <c r="AE32" s="32">
        <f>Z32*(1+$AE$24)</f>
        <v>0</v>
      </c>
      <c r="AF32" s="35">
        <f t="shared" si="18"/>
        <v>12.195563261636002</v>
      </c>
      <c r="AG32" s="35">
        <f t="shared" si="18"/>
        <v>12.195563261636002</v>
      </c>
      <c r="AH32" s="35">
        <f t="shared" si="18"/>
        <v>12.195563261636002</v>
      </c>
      <c r="AI32" s="35">
        <f t="shared" si="18"/>
        <v>12.195563261636002</v>
      </c>
      <c r="AJ32" s="337">
        <v>0</v>
      </c>
      <c r="AK32" s="35">
        <f t="shared" si="22"/>
        <v>12.561430159485083</v>
      </c>
      <c r="AL32" s="35">
        <f t="shared" si="19"/>
        <v>12.561430159485083</v>
      </c>
      <c r="AM32" s="35">
        <f t="shared" si="20"/>
        <v>12.561430159485083</v>
      </c>
      <c r="AN32" s="35">
        <f t="shared" si="21"/>
        <v>12.561430159485083</v>
      </c>
      <c r="AO32" s="337">
        <v>0</v>
      </c>
      <c r="AP32" s="445">
        <f t="shared" si="23"/>
        <v>12.938273064269636</v>
      </c>
      <c r="AQ32" s="443"/>
      <c r="AR32" s="443"/>
      <c r="AS32" s="443"/>
      <c r="AT32" s="448">
        <v>0</v>
      </c>
      <c r="AU32" s="638">
        <f>AP32*(1+$AY$24)</f>
        <v>13.326421256197724</v>
      </c>
      <c r="AV32" s="638"/>
      <c r="AW32" s="638"/>
      <c r="AX32" s="638"/>
      <c r="AY32" s="639">
        <v>0</v>
      </c>
    </row>
    <row r="34" spans="1:51" x14ac:dyDescent="0.35">
      <c r="A34" s="19" t="s">
        <v>98</v>
      </c>
    </row>
    <row r="35" spans="1:51" x14ac:dyDescent="0.35">
      <c r="L35" t="s">
        <v>94</v>
      </c>
      <c r="P35" s="34">
        <v>0.03</v>
      </c>
      <c r="Q35" t="s">
        <v>95</v>
      </c>
      <c r="U35" s="34">
        <v>0.03</v>
      </c>
      <c r="V35" t="s">
        <v>95</v>
      </c>
      <c r="Z35" s="34">
        <v>0.03</v>
      </c>
      <c r="AA35" t="s">
        <v>95</v>
      </c>
      <c r="AE35" s="34">
        <v>0.03</v>
      </c>
      <c r="AF35" t="s">
        <v>95</v>
      </c>
      <c r="AJ35" s="34">
        <v>0.03</v>
      </c>
      <c r="AK35" t="s">
        <v>431</v>
      </c>
      <c r="AO35" s="34">
        <v>0.03</v>
      </c>
      <c r="AP35" s="446" t="s">
        <v>426</v>
      </c>
      <c r="AQ35" s="446"/>
      <c r="AR35" s="446"/>
      <c r="AS35" s="446"/>
      <c r="AT35" s="447">
        <v>0.03</v>
      </c>
      <c r="AU35" s="640" t="s">
        <v>507</v>
      </c>
      <c r="AV35" s="640"/>
      <c r="AW35" s="640"/>
      <c r="AX35" s="640"/>
      <c r="AY35" s="641">
        <v>0.03</v>
      </c>
    </row>
    <row r="36" spans="1:51" x14ac:dyDescent="0.35">
      <c r="A36" s="758" t="s">
        <v>80</v>
      </c>
      <c r="B36" s="749">
        <v>2013</v>
      </c>
      <c r="C36" s="749"/>
      <c r="D36" s="749"/>
      <c r="E36" s="749"/>
      <c r="F36" s="749"/>
      <c r="G36" s="771">
        <v>2014</v>
      </c>
      <c r="H36" s="771"/>
      <c r="I36" s="771"/>
      <c r="J36" s="771"/>
      <c r="K36" s="771"/>
      <c r="L36" s="749">
        <v>2015</v>
      </c>
      <c r="M36" s="749"/>
      <c r="N36" s="749"/>
      <c r="O36" s="749"/>
      <c r="P36" s="749"/>
      <c r="Q36" s="749">
        <v>2016</v>
      </c>
      <c r="R36" s="749"/>
      <c r="S36" s="749"/>
      <c r="T36" s="749"/>
      <c r="U36" s="749"/>
      <c r="V36" s="749">
        <v>2017</v>
      </c>
      <c r="W36" s="749"/>
      <c r="X36" s="749"/>
      <c r="Y36" s="749"/>
      <c r="Z36" s="749"/>
      <c r="AA36" s="749">
        <v>2018</v>
      </c>
      <c r="AB36" s="749"/>
      <c r="AC36" s="749"/>
      <c r="AD36" s="749"/>
      <c r="AE36" s="749"/>
      <c r="AF36" s="749">
        <v>2019</v>
      </c>
      <c r="AG36" s="749"/>
      <c r="AH36" s="749"/>
      <c r="AI36" s="749"/>
      <c r="AJ36" s="749"/>
      <c r="AK36" s="749">
        <v>2020</v>
      </c>
      <c r="AL36" s="749"/>
      <c r="AM36" s="749"/>
      <c r="AN36" s="749"/>
      <c r="AO36" s="749"/>
      <c r="AP36" s="757">
        <v>2021</v>
      </c>
      <c r="AQ36" s="757"/>
      <c r="AR36" s="757"/>
      <c r="AS36" s="757"/>
      <c r="AT36" s="757"/>
      <c r="AU36" s="744">
        <v>2022</v>
      </c>
      <c r="AV36" s="744"/>
      <c r="AW36" s="744"/>
      <c r="AX36" s="744"/>
      <c r="AY36" s="744"/>
    </row>
    <row r="37" spans="1:51" ht="30" customHeight="1" x14ac:dyDescent="0.35">
      <c r="A37" s="758"/>
      <c r="B37" s="758" t="s">
        <v>81</v>
      </c>
      <c r="C37" s="758"/>
      <c r="D37" s="758" t="s">
        <v>82</v>
      </c>
      <c r="E37" s="758"/>
      <c r="F37" s="758" t="s">
        <v>83</v>
      </c>
      <c r="G37" s="758" t="s">
        <v>81</v>
      </c>
      <c r="H37" s="758"/>
      <c r="I37" s="758" t="s">
        <v>82</v>
      </c>
      <c r="J37" s="758"/>
      <c r="K37" s="758" t="s">
        <v>83</v>
      </c>
      <c r="L37" s="758" t="s">
        <v>81</v>
      </c>
      <c r="M37" s="758"/>
      <c r="N37" s="758" t="s">
        <v>82</v>
      </c>
      <c r="O37" s="758"/>
      <c r="P37" s="758" t="s">
        <v>83</v>
      </c>
      <c r="Q37" s="758" t="s">
        <v>81</v>
      </c>
      <c r="R37" s="758"/>
      <c r="S37" s="758" t="s">
        <v>82</v>
      </c>
      <c r="T37" s="758"/>
      <c r="U37" s="758" t="s">
        <v>83</v>
      </c>
      <c r="V37" s="758" t="s">
        <v>81</v>
      </c>
      <c r="W37" s="758"/>
      <c r="X37" s="758" t="s">
        <v>82</v>
      </c>
      <c r="Y37" s="758"/>
      <c r="Z37" s="758" t="s">
        <v>83</v>
      </c>
      <c r="AA37" s="758" t="s">
        <v>81</v>
      </c>
      <c r="AB37" s="758"/>
      <c r="AC37" s="758" t="s">
        <v>82</v>
      </c>
      <c r="AD37" s="758"/>
      <c r="AE37" s="758" t="s">
        <v>83</v>
      </c>
      <c r="AF37" s="758" t="s">
        <v>81</v>
      </c>
      <c r="AG37" s="758"/>
      <c r="AH37" s="758" t="s">
        <v>82</v>
      </c>
      <c r="AI37" s="758"/>
      <c r="AJ37" s="758" t="s">
        <v>83</v>
      </c>
      <c r="AK37" s="758" t="s">
        <v>81</v>
      </c>
      <c r="AL37" s="758"/>
      <c r="AM37" s="758" t="s">
        <v>82</v>
      </c>
      <c r="AN37" s="758"/>
      <c r="AO37" s="758" t="s">
        <v>83</v>
      </c>
      <c r="AP37" s="747" t="s">
        <v>81</v>
      </c>
      <c r="AQ37" s="747"/>
      <c r="AR37" s="747" t="s">
        <v>82</v>
      </c>
      <c r="AS37" s="747"/>
      <c r="AT37" s="747" t="s">
        <v>83</v>
      </c>
      <c r="AU37" s="745" t="s">
        <v>81</v>
      </c>
      <c r="AV37" s="745"/>
      <c r="AW37" s="745" t="s">
        <v>82</v>
      </c>
      <c r="AX37" s="745"/>
      <c r="AY37" s="745" t="s">
        <v>83</v>
      </c>
    </row>
    <row r="38" spans="1:51" ht="58" x14ac:dyDescent="0.35">
      <c r="A38" s="758"/>
      <c r="B38" s="28" t="s">
        <v>99</v>
      </c>
      <c r="C38" s="28" t="s">
        <v>100</v>
      </c>
      <c r="D38" s="28" t="s">
        <v>99</v>
      </c>
      <c r="E38" s="28" t="s">
        <v>100</v>
      </c>
      <c r="F38" s="758"/>
      <c r="G38" s="28" t="s">
        <v>99</v>
      </c>
      <c r="H38" s="28" t="s">
        <v>100</v>
      </c>
      <c r="I38" s="28" t="s">
        <v>99</v>
      </c>
      <c r="J38" s="28" t="s">
        <v>100</v>
      </c>
      <c r="K38" s="758"/>
      <c r="L38" s="28" t="s">
        <v>99</v>
      </c>
      <c r="M38" s="28" t="s">
        <v>100</v>
      </c>
      <c r="N38" s="28" t="s">
        <v>99</v>
      </c>
      <c r="O38" s="28" t="s">
        <v>100</v>
      </c>
      <c r="P38" s="758"/>
      <c r="Q38" s="28" t="s">
        <v>99</v>
      </c>
      <c r="R38" s="28" t="s">
        <v>100</v>
      </c>
      <c r="S38" s="28" t="s">
        <v>99</v>
      </c>
      <c r="T38" s="28" t="s">
        <v>100</v>
      </c>
      <c r="U38" s="758"/>
      <c r="V38" s="28" t="s">
        <v>99</v>
      </c>
      <c r="W38" s="28" t="s">
        <v>100</v>
      </c>
      <c r="X38" s="28" t="s">
        <v>99</v>
      </c>
      <c r="Y38" s="28" t="s">
        <v>100</v>
      </c>
      <c r="Z38" s="758"/>
      <c r="AA38" s="28" t="s">
        <v>99</v>
      </c>
      <c r="AB38" s="28" t="s">
        <v>100</v>
      </c>
      <c r="AC38" s="28" t="s">
        <v>99</v>
      </c>
      <c r="AD38" s="28" t="s">
        <v>100</v>
      </c>
      <c r="AE38" s="758"/>
      <c r="AF38" s="28" t="s">
        <v>99</v>
      </c>
      <c r="AG38" s="28" t="s">
        <v>100</v>
      </c>
      <c r="AH38" s="28" t="s">
        <v>99</v>
      </c>
      <c r="AI38" s="28" t="s">
        <v>100</v>
      </c>
      <c r="AJ38" s="758"/>
      <c r="AK38" s="403" t="s">
        <v>99</v>
      </c>
      <c r="AL38" s="403" t="s">
        <v>100</v>
      </c>
      <c r="AM38" s="403" t="s">
        <v>99</v>
      </c>
      <c r="AN38" s="403" t="s">
        <v>100</v>
      </c>
      <c r="AO38" s="758"/>
      <c r="AP38" s="444" t="s">
        <v>99</v>
      </c>
      <c r="AQ38" s="444" t="s">
        <v>100</v>
      </c>
      <c r="AR38" s="444" t="s">
        <v>99</v>
      </c>
      <c r="AS38" s="444" t="s">
        <v>100</v>
      </c>
      <c r="AT38" s="747"/>
      <c r="AU38" s="642" t="s">
        <v>99</v>
      </c>
      <c r="AV38" s="642" t="s">
        <v>100</v>
      </c>
      <c r="AW38" s="642" t="s">
        <v>99</v>
      </c>
      <c r="AX38" s="642" t="s">
        <v>100</v>
      </c>
      <c r="AY38" s="745"/>
    </row>
    <row r="39" spans="1:51" x14ac:dyDescent="0.35">
      <c r="A39" s="21" t="s">
        <v>84</v>
      </c>
      <c r="B39" s="36">
        <v>9.65</v>
      </c>
      <c r="C39" s="36">
        <v>8.7899999999999991</v>
      </c>
      <c r="D39" s="36">
        <v>9.65</v>
      </c>
      <c r="E39" s="36">
        <v>8.7899999999999991</v>
      </c>
      <c r="F39" s="36">
        <v>0</v>
      </c>
      <c r="G39" s="30">
        <v>10.52</v>
      </c>
      <c r="H39" s="30">
        <v>10.52</v>
      </c>
      <c r="I39" s="30">
        <v>10.52</v>
      </c>
      <c r="J39" s="30">
        <v>10.52</v>
      </c>
      <c r="K39" s="30">
        <f>F39*(1+$B$5)</f>
        <v>0</v>
      </c>
      <c r="L39" s="30">
        <f>G39*(1+$P$35)</f>
        <v>10.835599999999999</v>
      </c>
      <c r="M39" s="30">
        <f t="shared" ref="M39:P42" si="25">H39*(1+$P$35)</f>
        <v>10.835599999999999</v>
      </c>
      <c r="N39" s="30">
        <f t="shared" si="25"/>
        <v>10.835599999999999</v>
      </c>
      <c r="O39" s="30">
        <f t="shared" si="25"/>
        <v>10.835599999999999</v>
      </c>
      <c r="P39" s="30">
        <f t="shared" si="25"/>
        <v>0</v>
      </c>
      <c r="Q39" s="31">
        <f>L39*(1+U35)</f>
        <v>11.160667999999999</v>
      </c>
      <c r="R39" s="31">
        <f t="shared" ref="R39:U42" si="26">M39*(1+$U$35)</f>
        <v>11.160667999999999</v>
      </c>
      <c r="S39" s="31">
        <f t="shared" si="26"/>
        <v>11.160667999999999</v>
      </c>
      <c r="T39" s="31">
        <f t="shared" si="26"/>
        <v>11.160667999999999</v>
      </c>
      <c r="U39" s="31">
        <f t="shared" si="26"/>
        <v>0</v>
      </c>
      <c r="V39" s="30">
        <f t="shared" ref="V39:Z43" si="27">Q39*(1+$Z$35)</f>
        <v>11.49548804</v>
      </c>
      <c r="W39" s="30">
        <f t="shared" si="27"/>
        <v>11.49548804</v>
      </c>
      <c r="X39" s="30">
        <f t="shared" si="27"/>
        <v>11.49548804</v>
      </c>
      <c r="Y39" s="30">
        <f t="shared" si="27"/>
        <v>11.49548804</v>
      </c>
      <c r="Z39" s="30">
        <f t="shared" si="27"/>
        <v>0</v>
      </c>
      <c r="AA39" s="32">
        <f>V39*(1+$AE$35)</f>
        <v>11.840352681200001</v>
      </c>
      <c r="AB39" s="32">
        <f>W39*(1+$AE$35)</f>
        <v>11.840352681200001</v>
      </c>
      <c r="AC39" s="32">
        <f>X39*(1+$AE$35)</f>
        <v>11.840352681200001</v>
      </c>
      <c r="AD39" s="32">
        <f>Y39*(1+$AE$35)</f>
        <v>11.840352681200001</v>
      </c>
      <c r="AE39" s="32">
        <f>Z39*(1+$AE$35)</f>
        <v>0</v>
      </c>
      <c r="AF39" s="35">
        <f t="shared" ref="AF39:AO39" si="28">AA39*(1+$AJ$35)</f>
        <v>12.195563261636002</v>
      </c>
      <c r="AG39" s="35">
        <f t="shared" si="28"/>
        <v>12.195563261636002</v>
      </c>
      <c r="AH39" s="35">
        <f t="shared" si="28"/>
        <v>12.195563261636002</v>
      </c>
      <c r="AI39" s="35">
        <f t="shared" si="28"/>
        <v>12.195563261636002</v>
      </c>
      <c r="AJ39" s="35">
        <f t="shared" si="28"/>
        <v>0</v>
      </c>
      <c r="AK39" s="35">
        <f>AF39*(1+$AJ$35)</f>
        <v>12.561430159485083</v>
      </c>
      <c r="AL39" s="35">
        <f t="shared" si="28"/>
        <v>12.561430159485083</v>
      </c>
      <c r="AM39" s="35">
        <f t="shared" si="28"/>
        <v>12.561430159485083</v>
      </c>
      <c r="AN39" s="35">
        <f t="shared" si="28"/>
        <v>12.561430159485083</v>
      </c>
      <c r="AO39" s="35">
        <f t="shared" si="28"/>
        <v>0</v>
      </c>
      <c r="AP39" s="445">
        <f t="shared" ref="AP39:AT43" si="29">AK39*(1+$AT$35)</f>
        <v>12.938273064269636</v>
      </c>
      <c r="AQ39" s="445">
        <f t="shared" si="29"/>
        <v>12.938273064269636</v>
      </c>
      <c r="AR39" s="445">
        <f t="shared" si="29"/>
        <v>12.938273064269636</v>
      </c>
      <c r="AS39" s="494">
        <f t="shared" si="29"/>
        <v>12.938273064269636</v>
      </c>
      <c r="AT39" s="445">
        <f t="shared" si="29"/>
        <v>0</v>
      </c>
      <c r="AU39" s="643">
        <f t="shared" ref="AU39:AY43" si="30">AP39*(1+$AY$35)</f>
        <v>13.326421256197724</v>
      </c>
      <c r="AV39" s="643">
        <f t="shared" si="30"/>
        <v>13.326421256197724</v>
      </c>
      <c r="AW39" s="643">
        <f t="shared" si="30"/>
        <v>13.326421256197724</v>
      </c>
      <c r="AX39" s="644">
        <f t="shared" si="30"/>
        <v>13.326421256197724</v>
      </c>
      <c r="AY39" s="643">
        <f t="shared" si="30"/>
        <v>0</v>
      </c>
    </row>
    <row r="40" spans="1:51" x14ac:dyDescent="0.35">
      <c r="A40" s="21" t="s">
        <v>89</v>
      </c>
      <c r="B40" s="36">
        <v>6.15</v>
      </c>
      <c r="C40" s="36">
        <v>5.29</v>
      </c>
      <c r="D40" s="36">
        <v>6.15</v>
      </c>
      <c r="E40" s="36">
        <v>5.29</v>
      </c>
      <c r="F40" s="36">
        <v>0</v>
      </c>
      <c r="G40" s="30">
        <v>10.52</v>
      </c>
      <c r="H40" s="30">
        <v>6.82</v>
      </c>
      <c r="I40" s="30">
        <v>6.82</v>
      </c>
      <c r="J40" s="30">
        <v>6.82</v>
      </c>
      <c r="K40" s="30">
        <f>F40*(1+$B$5)</f>
        <v>0</v>
      </c>
      <c r="L40" s="30">
        <f>G40*(1+$P$35)</f>
        <v>10.835599999999999</v>
      </c>
      <c r="M40" s="30">
        <f t="shared" si="25"/>
        <v>7.0246000000000004</v>
      </c>
      <c r="N40" s="30">
        <f t="shared" si="25"/>
        <v>7.0246000000000004</v>
      </c>
      <c r="O40" s="30">
        <f t="shared" si="25"/>
        <v>7.0246000000000004</v>
      </c>
      <c r="P40" s="30">
        <f t="shared" si="25"/>
        <v>0</v>
      </c>
      <c r="Q40" s="31">
        <f>L40*(1+$U$35)</f>
        <v>11.160667999999999</v>
      </c>
      <c r="R40" s="31">
        <f t="shared" si="26"/>
        <v>7.2353380000000005</v>
      </c>
      <c r="S40" s="31">
        <f t="shared" si="26"/>
        <v>7.2353380000000005</v>
      </c>
      <c r="T40" s="31">
        <f t="shared" si="26"/>
        <v>7.2353380000000005</v>
      </c>
      <c r="U40" s="31">
        <f t="shared" si="26"/>
        <v>0</v>
      </c>
      <c r="V40" s="30">
        <f t="shared" si="27"/>
        <v>11.49548804</v>
      </c>
      <c r="W40" s="30">
        <f t="shared" si="27"/>
        <v>7.4523981400000006</v>
      </c>
      <c r="X40" s="30">
        <f t="shared" si="27"/>
        <v>7.4523981400000006</v>
      </c>
      <c r="Y40" s="30">
        <f t="shared" si="27"/>
        <v>7.4523981400000006</v>
      </c>
      <c r="Z40" s="30">
        <f t="shared" si="27"/>
        <v>0</v>
      </c>
      <c r="AA40" s="32">
        <f>V40*(1+$AE$35)</f>
        <v>11.840352681200001</v>
      </c>
      <c r="AB40" s="498">
        <f>W40*(1+$AE$35)-0.01</f>
        <v>7.6659700842000014</v>
      </c>
      <c r="AC40" s="499">
        <f>X40*(1+$AE$35)-0.01</f>
        <v>7.6659700842000014</v>
      </c>
      <c r="AD40" s="32">
        <f t="shared" ref="AB40:AD41" si="31">Y40*(1+$AE$35)-0.01</f>
        <v>7.6659700842000014</v>
      </c>
      <c r="AE40" s="32">
        <f>Z40*(1+$AE$35)</f>
        <v>0</v>
      </c>
      <c r="AF40" s="35">
        <f t="shared" ref="AF40:AJ43" si="32">AA40*(1+$AJ$35)</f>
        <v>12.195563261636002</v>
      </c>
      <c r="AG40" s="35">
        <f t="shared" si="32"/>
        <v>7.8959491867260017</v>
      </c>
      <c r="AH40" s="35">
        <f t="shared" si="32"/>
        <v>7.8959491867260017</v>
      </c>
      <c r="AI40" s="35">
        <f t="shared" si="32"/>
        <v>7.8959491867260017</v>
      </c>
      <c r="AJ40" s="35">
        <f t="shared" si="32"/>
        <v>0</v>
      </c>
      <c r="AK40" s="35">
        <f>AF40*(1+$AJ$35)</f>
        <v>12.561430159485083</v>
      </c>
      <c r="AL40" s="35">
        <f t="shared" ref="AL40:AL43" si="33">AG40*(1+$AJ$35)</f>
        <v>8.1328276623277826</v>
      </c>
      <c r="AM40" s="35">
        <f t="shared" ref="AM40:AM43" si="34">AH40*(1+$AJ$35)</f>
        <v>8.1328276623277826</v>
      </c>
      <c r="AN40" s="35">
        <f t="shared" ref="AN40:AN43" si="35">AI40*(1+$AJ$35)</f>
        <v>8.1328276623277826</v>
      </c>
      <c r="AO40" s="35">
        <f t="shared" ref="AO40:AO43" si="36">AJ40*(1+$AJ$35)</f>
        <v>0</v>
      </c>
      <c r="AP40" s="445">
        <f>AK40*(1+$AT$35)</f>
        <v>12.938273064269636</v>
      </c>
      <c r="AQ40" s="495">
        <v>8.3841999999999999</v>
      </c>
      <c r="AR40" s="495">
        <v>8.3841999999999999</v>
      </c>
      <c r="AS40" s="495">
        <v>8.3841999999999999</v>
      </c>
      <c r="AT40" s="445">
        <f t="shared" si="29"/>
        <v>0</v>
      </c>
      <c r="AU40" s="643">
        <f t="shared" si="30"/>
        <v>13.326421256197724</v>
      </c>
      <c r="AV40" s="643">
        <f t="shared" ref="AV40:AX41" si="37">ROUND(AQ40,2)*(1+$AY$35)</f>
        <v>8.6314000000000011</v>
      </c>
      <c r="AW40" s="643">
        <f t="shared" si="37"/>
        <v>8.6314000000000011</v>
      </c>
      <c r="AX40" s="643">
        <f t="shared" si="37"/>
        <v>8.6314000000000011</v>
      </c>
      <c r="AY40" s="643">
        <f t="shared" si="30"/>
        <v>0</v>
      </c>
    </row>
    <row r="41" spans="1:51" x14ac:dyDescent="0.35">
      <c r="A41" s="21" t="s">
        <v>90</v>
      </c>
      <c r="B41" s="36">
        <v>6.15</v>
      </c>
      <c r="C41" s="36">
        <v>5.29</v>
      </c>
      <c r="D41" s="36">
        <v>6.15</v>
      </c>
      <c r="E41" s="36">
        <v>5.29</v>
      </c>
      <c r="F41" s="36">
        <v>0</v>
      </c>
      <c r="G41" s="30">
        <v>10.52</v>
      </c>
      <c r="H41" s="30">
        <v>6.82</v>
      </c>
      <c r="I41" s="30">
        <v>6.82</v>
      </c>
      <c r="J41" s="30">
        <v>6.82</v>
      </c>
      <c r="K41" s="30">
        <f>F41*(1+$B$5)</f>
        <v>0</v>
      </c>
      <c r="L41" s="30">
        <f>G41*(1+$P$35)</f>
        <v>10.835599999999999</v>
      </c>
      <c r="M41" s="30">
        <f t="shared" si="25"/>
        <v>7.0246000000000004</v>
      </c>
      <c r="N41" s="30">
        <f t="shared" si="25"/>
        <v>7.0246000000000004</v>
      </c>
      <c r="O41" s="30">
        <f t="shared" si="25"/>
        <v>7.0246000000000004</v>
      </c>
      <c r="P41" s="30">
        <f t="shared" si="25"/>
        <v>0</v>
      </c>
      <c r="Q41" s="31">
        <f>L41*(1+$U$35)</f>
        <v>11.160667999999999</v>
      </c>
      <c r="R41" s="31">
        <f t="shared" si="26"/>
        <v>7.2353380000000005</v>
      </c>
      <c r="S41" s="31">
        <f t="shared" si="26"/>
        <v>7.2353380000000005</v>
      </c>
      <c r="T41" s="31">
        <f t="shared" si="26"/>
        <v>7.2353380000000005</v>
      </c>
      <c r="U41" s="31">
        <f t="shared" si="26"/>
        <v>0</v>
      </c>
      <c r="V41" s="30">
        <f t="shared" si="27"/>
        <v>11.49548804</v>
      </c>
      <c r="W41" s="30">
        <f t="shared" si="27"/>
        <v>7.4523981400000006</v>
      </c>
      <c r="X41" s="30">
        <f t="shared" si="27"/>
        <v>7.4523981400000006</v>
      </c>
      <c r="Y41" s="30">
        <f t="shared" si="27"/>
        <v>7.4523981400000006</v>
      </c>
      <c r="Z41" s="30">
        <f t="shared" si="27"/>
        <v>0</v>
      </c>
      <c r="AA41" s="32">
        <f>V41*(1+$AE$35)</f>
        <v>11.840352681200001</v>
      </c>
      <c r="AB41" s="499">
        <f t="shared" si="31"/>
        <v>7.6659700842000014</v>
      </c>
      <c r="AC41" s="499">
        <f t="shared" si="31"/>
        <v>7.6659700842000014</v>
      </c>
      <c r="AD41" s="32">
        <f t="shared" si="31"/>
        <v>7.6659700842000014</v>
      </c>
      <c r="AE41" s="32">
        <f>Z41*(1+$AE$35)</f>
        <v>0</v>
      </c>
      <c r="AF41" s="35">
        <f t="shared" si="32"/>
        <v>12.195563261636002</v>
      </c>
      <c r="AG41" s="35">
        <f t="shared" si="32"/>
        <v>7.8959491867260017</v>
      </c>
      <c r="AH41" s="35">
        <f t="shared" si="32"/>
        <v>7.8959491867260017</v>
      </c>
      <c r="AI41" s="35">
        <f t="shared" si="32"/>
        <v>7.8959491867260017</v>
      </c>
      <c r="AJ41" s="35">
        <f t="shared" si="32"/>
        <v>0</v>
      </c>
      <c r="AK41" s="35">
        <f t="shared" ref="AK41:AK43" si="38">AF41*(1+$AJ$35)</f>
        <v>12.561430159485083</v>
      </c>
      <c r="AL41" s="35">
        <f t="shared" si="33"/>
        <v>8.1328276623277826</v>
      </c>
      <c r="AM41" s="35">
        <f t="shared" si="34"/>
        <v>8.1328276623277826</v>
      </c>
      <c r="AN41" s="35">
        <f t="shared" si="35"/>
        <v>8.1328276623277826</v>
      </c>
      <c r="AO41" s="35">
        <f t="shared" si="36"/>
        <v>0</v>
      </c>
      <c r="AP41" s="445">
        <f t="shared" si="29"/>
        <v>12.938273064269636</v>
      </c>
      <c r="AQ41" s="495">
        <v>8.3841999999999999</v>
      </c>
      <c r="AR41" s="495">
        <v>8.3841999999999999</v>
      </c>
      <c r="AS41" s="495">
        <v>8.3841999999999999</v>
      </c>
      <c r="AT41" s="445">
        <f t="shared" si="29"/>
        <v>0</v>
      </c>
      <c r="AU41" s="643">
        <f t="shared" si="30"/>
        <v>13.326421256197724</v>
      </c>
      <c r="AV41" s="643">
        <f t="shared" si="37"/>
        <v>8.6314000000000011</v>
      </c>
      <c r="AW41" s="643">
        <f t="shared" si="37"/>
        <v>8.6314000000000011</v>
      </c>
      <c r="AX41" s="643">
        <f t="shared" si="37"/>
        <v>8.6314000000000011</v>
      </c>
      <c r="AY41" s="643">
        <f t="shared" si="30"/>
        <v>0</v>
      </c>
    </row>
    <row r="42" spans="1:51" x14ac:dyDescent="0.35">
      <c r="A42" s="416" t="s">
        <v>413</v>
      </c>
      <c r="B42" s="36">
        <v>9.15</v>
      </c>
      <c r="C42" s="36">
        <v>8.2899999999999991</v>
      </c>
      <c r="D42" s="36">
        <v>9.15</v>
      </c>
      <c r="E42" s="36">
        <v>8.2899999999999991</v>
      </c>
      <c r="F42" s="417">
        <v>3.7</v>
      </c>
      <c r="G42" s="30">
        <v>10.52</v>
      </c>
      <c r="H42" s="30">
        <v>10.52</v>
      </c>
      <c r="I42" s="30">
        <v>10.52</v>
      </c>
      <c r="J42" s="30">
        <v>10.52</v>
      </c>
      <c r="K42" s="30">
        <v>3.7</v>
      </c>
      <c r="L42" s="30">
        <f>G42*(1+$P$35)</f>
        <v>10.835599999999999</v>
      </c>
      <c r="M42" s="30">
        <f t="shared" si="25"/>
        <v>10.835599999999999</v>
      </c>
      <c r="N42" s="30">
        <f t="shared" si="25"/>
        <v>10.835599999999999</v>
      </c>
      <c r="O42" s="30">
        <f t="shared" si="25"/>
        <v>10.835599999999999</v>
      </c>
      <c r="P42" s="30">
        <f t="shared" si="25"/>
        <v>3.8110000000000004</v>
      </c>
      <c r="Q42" s="31">
        <f>L42*(1+$U$35)</f>
        <v>11.160667999999999</v>
      </c>
      <c r="R42" s="31">
        <f t="shared" si="26"/>
        <v>11.160667999999999</v>
      </c>
      <c r="S42" s="31">
        <f t="shared" si="26"/>
        <v>11.160667999999999</v>
      </c>
      <c r="T42" s="31">
        <f t="shared" si="26"/>
        <v>11.160667999999999</v>
      </c>
      <c r="U42" s="31">
        <f t="shared" si="26"/>
        <v>3.9253300000000007</v>
      </c>
      <c r="V42" s="30">
        <f t="shared" si="27"/>
        <v>11.49548804</v>
      </c>
      <c r="W42" s="30">
        <f t="shared" si="27"/>
        <v>11.49548804</v>
      </c>
      <c r="X42" s="30">
        <f t="shared" si="27"/>
        <v>11.49548804</v>
      </c>
      <c r="Y42" s="30">
        <f t="shared" si="27"/>
        <v>11.49548804</v>
      </c>
      <c r="Z42" s="30">
        <f>U42*(1+$Z$35)</f>
        <v>4.0430899000000009</v>
      </c>
      <c r="AA42" s="32">
        <f t="shared" ref="AA42:AD43" si="39">V42*(1+$AE$35)</f>
        <v>11.840352681200001</v>
      </c>
      <c r="AB42" s="32">
        <f t="shared" si="39"/>
        <v>11.840352681200001</v>
      </c>
      <c r="AC42" s="32">
        <f t="shared" si="39"/>
        <v>11.840352681200001</v>
      </c>
      <c r="AD42" s="32">
        <f t="shared" si="39"/>
        <v>11.840352681200001</v>
      </c>
      <c r="AE42" s="32">
        <f>Z42*(1+$AE$35)</f>
        <v>4.1643825970000012</v>
      </c>
      <c r="AF42" s="35">
        <f t="shared" si="32"/>
        <v>12.195563261636002</v>
      </c>
      <c r="AG42" s="35">
        <f t="shared" si="32"/>
        <v>12.195563261636002</v>
      </c>
      <c r="AH42" s="35">
        <f t="shared" si="32"/>
        <v>12.195563261636002</v>
      </c>
      <c r="AI42" s="35">
        <f t="shared" si="32"/>
        <v>12.195563261636002</v>
      </c>
      <c r="AJ42" s="35">
        <f t="shared" si="32"/>
        <v>4.2893140749100018</v>
      </c>
      <c r="AK42" s="35">
        <f t="shared" si="38"/>
        <v>12.561430159485083</v>
      </c>
      <c r="AL42" s="35">
        <f t="shared" si="33"/>
        <v>12.561430159485083</v>
      </c>
      <c r="AM42" s="35">
        <f t="shared" si="34"/>
        <v>12.561430159485083</v>
      </c>
      <c r="AN42" s="35">
        <f t="shared" si="35"/>
        <v>12.561430159485083</v>
      </c>
      <c r="AO42" s="35">
        <f>AJ42*(1+$AJ$35)</f>
        <v>4.4179934971573021</v>
      </c>
      <c r="AP42" s="445">
        <f t="shared" si="29"/>
        <v>12.938273064269636</v>
      </c>
      <c r="AQ42" s="445">
        <f t="shared" si="29"/>
        <v>12.938273064269636</v>
      </c>
      <c r="AR42" s="445">
        <f t="shared" si="29"/>
        <v>12.938273064269636</v>
      </c>
      <c r="AS42" s="445">
        <f t="shared" si="29"/>
        <v>12.938273064269636</v>
      </c>
      <c r="AT42" s="495">
        <f t="shared" si="29"/>
        <v>4.5505333020720213</v>
      </c>
      <c r="AU42" s="643">
        <f t="shared" si="30"/>
        <v>13.326421256197724</v>
      </c>
      <c r="AV42" s="643">
        <f t="shared" si="30"/>
        <v>13.326421256197724</v>
      </c>
      <c r="AW42" s="643">
        <f t="shared" si="30"/>
        <v>13.326421256197724</v>
      </c>
      <c r="AX42" s="643">
        <f t="shared" si="30"/>
        <v>13.326421256197724</v>
      </c>
      <c r="AY42" s="645">
        <f>AT42*(1+$AY$35)</f>
        <v>4.6870493011341825</v>
      </c>
    </row>
    <row r="43" spans="1:51" x14ac:dyDescent="0.35">
      <c r="A43" s="21" t="s">
        <v>92</v>
      </c>
      <c r="B43" s="36"/>
      <c r="C43" s="36"/>
      <c r="D43" s="36"/>
      <c r="E43" s="36"/>
      <c r="F43" s="36"/>
      <c r="G43" s="30"/>
      <c r="H43" s="30"/>
      <c r="I43" s="30"/>
      <c r="J43" s="30"/>
      <c r="K43" s="30"/>
      <c r="L43" s="30"/>
      <c r="M43" s="30"/>
      <c r="N43" s="30"/>
      <c r="O43" s="30"/>
      <c r="P43" s="30"/>
      <c r="Q43" s="31">
        <f>Q39</f>
        <v>11.160667999999999</v>
      </c>
      <c r="R43" s="31">
        <f>R39</f>
        <v>11.160667999999999</v>
      </c>
      <c r="S43" s="31">
        <f>S39</f>
        <v>11.160667999999999</v>
      </c>
      <c r="T43" s="31">
        <f>T39</f>
        <v>11.160667999999999</v>
      </c>
      <c r="U43" s="31">
        <f>U39</f>
        <v>0</v>
      </c>
      <c r="V43" s="30">
        <f t="shared" si="27"/>
        <v>11.49548804</v>
      </c>
      <c r="W43" s="30">
        <f t="shared" si="27"/>
        <v>11.49548804</v>
      </c>
      <c r="X43" s="30">
        <f t="shared" si="27"/>
        <v>11.49548804</v>
      </c>
      <c r="Y43" s="30">
        <f t="shared" si="27"/>
        <v>11.49548804</v>
      </c>
      <c r="Z43" s="30">
        <f>U43*(1+$Z$35)</f>
        <v>0</v>
      </c>
      <c r="AA43" s="32">
        <f t="shared" si="39"/>
        <v>11.840352681200001</v>
      </c>
      <c r="AB43" s="32">
        <f t="shared" si="39"/>
        <v>11.840352681200001</v>
      </c>
      <c r="AC43" s="32">
        <f t="shared" si="39"/>
        <v>11.840352681200001</v>
      </c>
      <c r="AD43" s="32">
        <f t="shared" si="39"/>
        <v>11.840352681200001</v>
      </c>
      <c r="AE43" s="32">
        <f>Z43*(1+$AE$35)</f>
        <v>0</v>
      </c>
      <c r="AF43" s="35">
        <f t="shared" si="32"/>
        <v>12.195563261636002</v>
      </c>
      <c r="AG43" s="35">
        <f t="shared" si="32"/>
        <v>12.195563261636002</v>
      </c>
      <c r="AH43" s="35">
        <f t="shared" si="32"/>
        <v>12.195563261636002</v>
      </c>
      <c r="AI43" s="35">
        <f t="shared" si="32"/>
        <v>12.195563261636002</v>
      </c>
      <c r="AJ43" s="35">
        <f t="shared" si="32"/>
        <v>0</v>
      </c>
      <c r="AK43" s="35">
        <f t="shared" si="38"/>
        <v>12.561430159485083</v>
      </c>
      <c r="AL43" s="35">
        <f t="shared" si="33"/>
        <v>12.561430159485083</v>
      </c>
      <c r="AM43" s="35">
        <f t="shared" si="34"/>
        <v>12.561430159485083</v>
      </c>
      <c r="AN43" s="35">
        <f t="shared" si="35"/>
        <v>12.561430159485083</v>
      </c>
      <c r="AO43" s="35">
        <f t="shared" si="36"/>
        <v>0</v>
      </c>
      <c r="AP43" s="445">
        <f t="shared" si="29"/>
        <v>12.938273064269636</v>
      </c>
      <c r="AQ43" s="445">
        <f t="shared" si="29"/>
        <v>12.938273064269636</v>
      </c>
      <c r="AR43" s="445">
        <f t="shared" si="29"/>
        <v>12.938273064269636</v>
      </c>
      <c r="AS43" s="445">
        <f t="shared" si="29"/>
        <v>12.938273064269636</v>
      </c>
      <c r="AT43" s="445">
        <f t="shared" si="29"/>
        <v>0</v>
      </c>
      <c r="AU43" s="643">
        <f t="shared" si="30"/>
        <v>13.326421256197724</v>
      </c>
      <c r="AV43" s="643">
        <f t="shared" si="30"/>
        <v>13.326421256197724</v>
      </c>
      <c r="AW43" s="643">
        <f t="shared" si="30"/>
        <v>13.326421256197724</v>
      </c>
      <c r="AX43" s="643">
        <f t="shared" si="30"/>
        <v>13.326421256197724</v>
      </c>
      <c r="AY43" s="643">
        <f t="shared" si="30"/>
        <v>0</v>
      </c>
    </row>
    <row r="45" spans="1:51" x14ac:dyDescent="0.35">
      <c r="A45" s="19" t="s">
        <v>461</v>
      </c>
      <c r="AQ45" s="479"/>
      <c r="AT45" s="479">
        <f>+AS40+AT42</f>
        <v>12.934733302072022</v>
      </c>
    </row>
    <row r="46" spans="1:51" ht="15" thickBot="1" x14ac:dyDescent="0.4">
      <c r="Z46" s="450"/>
      <c r="AH46" s="497"/>
      <c r="AI46" s="479"/>
      <c r="AJ46" s="479"/>
      <c r="AK46" s="496"/>
      <c r="AX46" s="479">
        <f>8.38*(1+3%)</f>
        <v>8.6314000000000011</v>
      </c>
    </row>
    <row r="47" spans="1:51" x14ac:dyDescent="0.35">
      <c r="A47" s="770" t="s">
        <v>80</v>
      </c>
      <c r="B47" s="749">
        <v>2013</v>
      </c>
      <c r="C47" s="749"/>
      <c r="D47" s="749"/>
      <c r="E47" s="749">
        <v>2014</v>
      </c>
      <c r="F47" s="749"/>
      <c r="G47" s="749"/>
      <c r="H47" s="749">
        <v>2015</v>
      </c>
      <c r="I47" s="749"/>
      <c r="J47" s="749"/>
      <c r="K47" s="749">
        <v>2016</v>
      </c>
      <c r="L47" s="749"/>
      <c r="M47" s="749"/>
      <c r="N47" s="749">
        <v>2017</v>
      </c>
      <c r="O47" s="749"/>
      <c r="P47" s="759"/>
      <c r="Q47" s="765">
        <v>2018</v>
      </c>
      <c r="R47" s="766"/>
      <c r="S47" s="767"/>
      <c r="T47" s="748">
        <v>2019</v>
      </c>
      <c r="U47" s="749"/>
      <c r="V47" s="759"/>
      <c r="W47" s="765">
        <v>2020</v>
      </c>
      <c r="X47" s="766"/>
      <c r="Y47" s="767"/>
      <c r="Z47" s="748">
        <v>2021</v>
      </c>
      <c r="AA47" s="749"/>
      <c r="AB47" s="749"/>
      <c r="AC47" s="746">
        <v>2022</v>
      </c>
      <c r="AD47" s="744"/>
      <c r="AE47" s="744"/>
      <c r="AV47" s="507"/>
    </row>
    <row r="48" spans="1:51" ht="29" x14ac:dyDescent="0.35">
      <c r="A48" s="770"/>
      <c r="B48" s="28" t="s">
        <v>81</v>
      </c>
      <c r="C48" s="28" t="s">
        <v>82</v>
      </c>
      <c r="D48" s="28" t="s">
        <v>83</v>
      </c>
      <c r="E48" s="28" t="s">
        <v>81</v>
      </c>
      <c r="F48" s="28" t="s">
        <v>82</v>
      </c>
      <c r="G48" s="28" t="s">
        <v>83</v>
      </c>
      <c r="H48" s="28" t="s">
        <v>81</v>
      </c>
      <c r="I48" s="28" t="s">
        <v>82</v>
      </c>
      <c r="J48" s="28" t="s">
        <v>83</v>
      </c>
      <c r="K48" s="28" t="s">
        <v>81</v>
      </c>
      <c r="L48" s="28" t="s">
        <v>82</v>
      </c>
      <c r="M48" s="28" t="s">
        <v>83</v>
      </c>
      <c r="N48" s="28" t="s">
        <v>81</v>
      </c>
      <c r="O48" s="28" t="s">
        <v>82</v>
      </c>
      <c r="P48" s="457" t="s">
        <v>83</v>
      </c>
      <c r="Q48" s="461" t="s">
        <v>81</v>
      </c>
      <c r="R48" s="456" t="s">
        <v>82</v>
      </c>
      <c r="S48" s="462" t="s">
        <v>83</v>
      </c>
      <c r="T48" s="458" t="s">
        <v>81</v>
      </c>
      <c r="U48" s="28" t="s">
        <v>82</v>
      </c>
      <c r="V48" s="457" t="s">
        <v>83</v>
      </c>
      <c r="W48" s="461" t="s">
        <v>81</v>
      </c>
      <c r="X48" s="456" t="s">
        <v>82</v>
      </c>
      <c r="Y48" s="462" t="s">
        <v>83</v>
      </c>
      <c r="Z48" s="458" t="s">
        <v>81</v>
      </c>
      <c r="AA48" s="442" t="s">
        <v>82</v>
      </c>
      <c r="AB48" s="442" t="s">
        <v>83</v>
      </c>
      <c r="AC48" s="646" t="s">
        <v>81</v>
      </c>
      <c r="AD48" s="642" t="s">
        <v>82</v>
      </c>
      <c r="AE48" s="642" t="s">
        <v>83</v>
      </c>
    </row>
    <row r="49" spans="1:44" x14ac:dyDescent="0.35">
      <c r="A49" s="21" t="s">
        <v>84</v>
      </c>
      <c r="B49" s="36">
        <v>0</v>
      </c>
      <c r="C49" s="36">
        <v>0</v>
      </c>
      <c r="D49" s="36">
        <v>0</v>
      </c>
      <c r="E49" s="30">
        <f>B49*(1+$B$5)</f>
        <v>0</v>
      </c>
      <c r="F49" s="30">
        <f t="shared" ref="F49:G56" si="40">C49*(1+$B$5)</f>
        <v>0</v>
      </c>
      <c r="G49" s="30">
        <f t="shared" si="40"/>
        <v>0</v>
      </c>
      <c r="H49" s="30">
        <f>E49*(1+$C$5)</f>
        <v>0</v>
      </c>
      <c r="I49" s="30">
        <f>F49*(1+$C$5)</f>
        <v>0</v>
      </c>
      <c r="J49" s="30">
        <f>G49*(1+$C$5)</f>
        <v>0</v>
      </c>
      <c r="K49" s="30">
        <f>H49*(1+$D$5)</f>
        <v>0</v>
      </c>
      <c r="L49" s="30">
        <f t="shared" ref="L49:L55" si="41">I49*(1+$D$5)</f>
        <v>0</v>
      </c>
      <c r="M49" s="30">
        <f>J49*(1+$D$5)</f>
        <v>0</v>
      </c>
      <c r="N49" s="31">
        <f t="shared" ref="N49:P57" si="42">K49*(1+$E$5)</f>
        <v>0</v>
      </c>
      <c r="O49" s="31">
        <f t="shared" si="42"/>
        <v>0</v>
      </c>
      <c r="P49" s="468">
        <f t="shared" si="42"/>
        <v>0</v>
      </c>
      <c r="Q49" s="470">
        <f t="shared" ref="Q49:S57" si="43">N49*(1+$F$5)</f>
        <v>0</v>
      </c>
      <c r="R49" s="32">
        <f t="shared" si="43"/>
        <v>0</v>
      </c>
      <c r="S49" s="471">
        <f t="shared" si="43"/>
        <v>0</v>
      </c>
      <c r="T49" s="469">
        <f t="shared" ref="T49:V56" si="44">Q49*(1+$G$5)</f>
        <v>0</v>
      </c>
      <c r="U49" s="33">
        <f t="shared" si="44"/>
        <v>0</v>
      </c>
      <c r="V49" s="459">
        <f t="shared" si="44"/>
        <v>0</v>
      </c>
      <c r="W49" s="463">
        <f t="shared" ref="W49:Y56" si="45">T49*(1+$H$5)</f>
        <v>0</v>
      </c>
      <c r="X49" s="33">
        <f t="shared" si="45"/>
        <v>0</v>
      </c>
      <c r="Y49" s="464">
        <f t="shared" si="45"/>
        <v>0</v>
      </c>
      <c r="Z49" s="460">
        <f t="shared" ref="Z49:AB56" si="46">W49*(1+$I$5)</f>
        <v>0</v>
      </c>
      <c r="AA49" s="445">
        <f t="shared" si="46"/>
        <v>0</v>
      </c>
      <c r="AB49" s="445">
        <f t="shared" si="46"/>
        <v>0</v>
      </c>
      <c r="AC49" s="647">
        <f t="shared" ref="AC49:AC57" si="47">Z49*(1+$J$5)</f>
        <v>0</v>
      </c>
      <c r="AD49" s="643">
        <f t="shared" ref="AD49:AD57" si="48">AA49*(1+$J$5)</f>
        <v>0</v>
      </c>
      <c r="AE49" s="643">
        <f t="shared" ref="AE49:AE57" si="49">AB49*(1+$J$5)</f>
        <v>0</v>
      </c>
      <c r="AG49" s="21" t="s">
        <v>84</v>
      </c>
      <c r="AL49" s="690"/>
      <c r="AM49" s="693"/>
      <c r="AN49" s="693"/>
      <c r="AO49" s="693"/>
      <c r="AP49" s="693"/>
      <c r="AQ49" s="691"/>
      <c r="AR49" s="692"/>
    </row>
    <row r="50" spans="1:44" x14ac:dyDescent="0.35">
      <c r="A50" s="21" t="s">
        <v>85</v>
      </c>
      <c r="B50" s="36">
        <v>78.87</v>
      </c>
      <c r="C50" s="36">
        <v>78.87</v>
      </c>
      <c r="D50" s="36">
        <v>0</v>
      </c>
      <c r="E50" s="30">
        <f t="shared" ref="E50:E56" si="50">B50*(1+$B$5)</f>
        <v>80.400078000000008</v>
      </c>
      <c r="F50" s="30">
        <f t="shared" si="40"/>
        <v>80.400078000000008</v>
      </c>
      <c r="G50" s="30">
        <f t="shared" si="40"/>
        <v>0</v>
      </c>
      <c r="H50" s="30">
        <f t="shared" ref="H50:J56" si="51">E50*(1+$C$5)</f>
        <v>83.342720854800007</v>
      </c>
      <c r="I50" s="30">
        <f t="shared" si="51"/>
        <v>83.342720854800007</v>
      </c>
      <c r="J50" s="30">
        <f t="shared" si="51"/>
        <v>0</v>
      </c>
      <c r="K50" s="30">
        <f>H50*(1+$D$5)-0.01</f>
        <v>88.975023056669968</v>
      </c>
      <c r="L50" s="30">
        <f>I50*(1+$D$5)-0.01</f>
        <v>88.975023056669968</v>
      </c>
      <c r="M50" s="30">
        <f t="shared" ref="M50:M56" si="52">J50*(1+$D$5)</f>
        <v>0</v>
      </c>
      <c r="N50" s="31">
        <f t="shared" si="42"/>
        <v>94.091086882428499</v>
      </c>
      <c r="O50" s="31">
        <f t="shared" si="42"/>
        <v>94.091086882428499</v>
      </c>
      <c r="P50" s="468">
        <f t="shared" si="42"/>
        <v>0</v>
      </c>
      <c r="Q50" s="470">
        <f t="shared" si="43"/>
        <v>97.939412335919812</v>
      </c>
      <c r="R50" s="32">
        <f t="shared" si="43"/>
        <v>97.939412335919812</v>
      </c>
      <c r="S50" s="471">
        <f t="shared" si="43"/>
        <v>0</v>
      </c>
      <c r="T50" s="469">
        <f>Q50*(1+$G$5)</f>
        <v>101.05388564820207</v>
      </c>
      <c r="U50" s="33">
        <f t="shared" si="44"/>
        <v>101.05388564820207</v>
      </c>
      <c r="V50" s="459">
        <f t="shared" si="44"/>
        <v>0</v>
      </c>
      <c r="W50" s="463">
        <f>T50*(1+$H$5)</f>
        <v>104.89393330283374</v>
      </c>
      <c r="X50" s="33">
        <f t="shared" si="45"/>
        <v>104.89393330283374</v>
      </c>
      <c r="Y50" s="464">
        <f t="shared" si="45"/>
        <v>0</v>
      </c>
      <c r="Z50" s="460">
        <f>W50*(1+$I$5)+0.01</f>
        <v>106.59272562900938</v>
      </c>
      <c r="AA50" s="445">
        <f>X50*(1+$I$5)+0.01</f>
        <v>106.59272562900938</v>
      </c>
      <c r="AB50" s="445">
        <f t="shared" si="46"/>
        <v>0</v>
      </c>
      <c r="AC50" s="647">
        <f t="shared" si="47"/>
        <v>111.2188499213084</v>
      </c>
      <c r="AD50" s="643">
        <f t="shared" si="48"/>
        <v>111.2188499213084</v>
      </c>
      <c r="AE50" s="643">
        <f t="shared" si="49"/>
        <v>0</v>
      </c>
      <c r="AG50" s="21" t="s">
        <v>85</v>
      </c>
      <c r="AL50" s="690"/>
      <c r="AM50" s="690"/>
      <c r="AN50" s="690"/>
      <c r="AO50" s="690"/>
      <c r="AP50" s="690"/>
      <c r="AQ50" s="691"/>
      <c r="AR50" s="692"/>
    </row>
    <row r="51" spans="1:44" x14ac:dyDescent="0.35">
      <c r="A51" s="21" t="s">
        <v>86</v>
      </c>
      <c r="B51" s="36">
        <v>0</v>
      </c>
      <c r="C51" s="36">
        <v>0</v>
      </c>
      <c r="D51" s="36">
        <v>0</v>
      </c>
      <c r="E51" s="30">
        <f t="shared" si="50"/>
        <v>0</v>
      </c>
      <c r="F51" s="30">
        <f t="shared" si="40"/>
        <v>0</v>
      </c>
      <c r="G51" s="30">
        <f t="shared" si="40"/>
        <v>0</v>
      </c>
      <c r="H51" s="30">
        <f t="shared" si="51"/>
        <v>0</v>
      </c>
      <c r="I51" s="30">
        <f t="shared" si="51"/>
        <v>0</v>
      </c>
      <c r="J51" s="30">
        <f t="shared" si="51"/>
        <v>0</v>
      </c>
      <c r="K51" s="30">
        <f>H51*(1+$D$5)</f>
        <v>0</v>
      </c>
      <c r="L51" s="30">
        <f t="shared" si="41"/>
        <v>0</v>
      </c>
      <c r="M51" s="30">
        <f t="shared" si="52"/>
        <v>0</v>
      </c>
      <c r="N51" s="31">
        <f t="shared" si="42"/>
        <v>0</v>
      </c>
      <c r="O51" s="31">
        <f t="shared" si="42"/>
        <v>0</v>
      </c>
      <c r="P51" s="468">
        <f t="shared" si="42"/>
        <v>0</v>
      </c>
      <c r="Q51" s="470">
        <f t="shared" si="43"/>
        <v>0</v>
      </c>
      <c r="R51" s="32">
        <f t="shared" si="43"/>
        <v>0</v>
      </c>
      <c r="S51" s="471">
        <f t="shared" si="43"/>
        <v>0</v>
      </c>
      <c r="T51" s="469">
        <f t="shared" si="44"/>
        <v>0</v>
      </c>
      <c r="U51" s="33">
        <f t="shared" si="44"/>
        <v>0</v>
      </c>
      <c r="V51" s="459">
        <f t="shared" si="44"/>
        <v>0</v>
      </c>
      <c r="W51" s="463">
        <f t="shared" si="45"/>
        <v>0</v>
      </c>
      <c r="X51" s="33">
        <f t="shared" si="45"/>
        <v>0</v>
      </c>
      <c r="Y51" s="464">
        <f t="shared" si="45"/>
        <v>0</v>
      </c>
      <c r="Z51" s="460">
        <f t="shared" si="46"/>
        <v>0</v>
      </c>
      <c r="AA51" s="445">
        <f t="shared" si="46"/>
        <v>0</v>
      </c>
      <c r="AB51" s="445">
        <f t="shared" si="46"/>
        <v>0</v>
      </c>
      <c r="AC51" s="647">
        <f t="shared" si="47"/>
        <v>0</v>
      </c>
      <c r="AD51" s="643">
        <f t="shared" si="48"/>
        <v>0</v>
      </c>
      <c r="AE51" s="643">
        <f t="shared" si="49"/>
        <v>0</v>
      </c>
      <c r="AG51" s="21" t="s">
        <v>86</v>
      </c>
    </row>
    <row r="52" spans="1:44" x14ac:dyDescent="0.35">
      <c r="A52" s="21" t="s">
        <v>87</v>
      </c>
      <c r="B52" s="36">
        <v>78.87</v>
      </c>
      <c r="C52" s="36">
        <v>78.87</v>
      </c>
      <c r="D52" s="36">
        <v>0</v>
      </c>
      <c r="E52" s="30">
        <f t="shared" si="50"/>
        <v>80.400078000000008</v>
      </c>
      <c r="F52" s="30">
        <f t="shared" si="40"/>
        <v>80.400078000000008</v>
      </c>
      <c r="G52" s="30">
        <f t="shared" si="40"/>
        <v>0</v>
      </c>
      <c r="H52" s="30">
        <f t="shared" si="51"/>
        <v>83.342720854800007</v>
      </c>
      <c r="I52" s="30">
        <f t="shared" si="51"/>
        <v>83.342720854800007</v>
      </c>
      <c r="J52" s="30">
        <f t="shared" si="51"/>
        <v>0</v>
      </c>
      <c r="K52" s="30">
        <f>H52*(1+$D$5)-0.01</f>
        <v>88.975023056669968</v>
      </c>
      <c r="L52" s="30">
        <f>I52*(1+$D$5)-0.01</f>
        <v>88.975023056669968</v>
      </c>
      <c r="M52" s="30">
        <f t="shared" si="52"/>
        <v>0</v>
      </c>
      <c r="N52" s="31">
        <f t="shared" si="42"/>
        <v>94.091086882428499</v>
      </c>
      <c r="O52" s="31">
        <f t="shared" si="42"/>
        <v>94.091086882428499</v>
      </c>
      <c r="P52" s="468">
        <f t="shared" si="42"/>
        <v>0</v>
      </c>
      <c r="Q52" s="470">
        <f t="shared" si="43"/>
        <v>97.939412335919812</v>
      </c>
      <c r="R52" s="32">
        <f t="shared" si="43"/>
        <v>97.939412335919812</v>
      </c>
      <c r="S52" s="471">
        <f t="shared" si="43"/>
        <v>0</v>
      </c>
      <c r="T52" s="469">
        <f>Q52*(1+$G$5)</f>
        <v>101.05388564820207</v>
      </c>
      <c r="U52" s="33">
        <f t="shared" si="44"/>
        <v>101.05388564820207</v>
      </c>
      <c r="V52" s="459">
        <f t="shared" si="44"/>
        <v>0</v>
      </c>
      <c r="W52" s="463">
        <f t="shared" si="45"/>
        <v>104.89393330283374</v>
      </c>
      <c r="X52" s="33">
        <f t="shared" si="45"/>
        <v>104.89393330283374</v>
      </c>
      <c r="Y52" s="464">
        <f t="shared" si="45"/>
        <v>0</v>
      </c>
      <c r="Z52" s="460">
        <f>W52*(1+$I$5)+0.01</f>
        <v>106.59272562900938</v>
      </c>
      <c r="AA52" s="445">
        <f>X52*(1+$I$5)+0.01</f>
        <v>106.59272562900938</v>
      </c>
      <c r="AB52" s="445">
        <f t="shared" si="46"/>
        <v>0</v>
      </c>
      <c r="AC52" s="647">
        <f t="shared" si="47"/>
        <v>111.2188499213084</v>
      </c>
      <c r="AD52" s="643">
        <f t="shared" si="48"/>
        <v>111.2188499213084</v>
      </c>
      <c r="AE52" s="643">
        <f t="shared" si="49"/>
        <v>0</v>
      </c>
      <c r="AG52" s="21" t="s">
        <v>87</v>
      </c>
    </row>
    <row r="53" spans="1:44" x14ac:dyDescent="0.35">
      <c r="A53" s="21" t="s">
        <v>88</v>
      </c>
      <c r="B53" s="36">
        <v>58.03</v>
      </c>
      <c r="C53" s="36">
        <v>58.03</v>
      </c>
      <c r="D53" s="36">
        <v>58.03</v>
      </c>
      <c r="E53" s="30">
        <f t="shared" si="50"/>
        <v>59.155782000000009</v>
      </c>
      <c r="F53" s="30">
        <f t="shared" si="40"/>
        <v>59.155782000000009</v>
      </c>
      <c r="G53" s="30">
        <f t="shared" si="40"/>
        <v>59.155782000000009</v>
      </c>
      <c r="H53" s="30">
        <f t="shared" si="51"/>
        <v>61.320883621200011</v>
      </c>
      <c r="I53" s="30">
        <f t="shared" si="51"/>
        <v>61.320883621200011</v>
      </c>
      <c r="J53" s="30">
        <f t="shared" si="51"/>
        <v>61.320883621200011</v>
      </c>
      <c r="K53" s="30">
        <f>H53*(1+$D$5)</f>
        <v>65.472307442355259</v>
      </c>
      <c r="L53" s="30">
        <f t="shared" si="41"/>
        <v>65.472307442355259</v>
      </c>
      <c r="M53" s="30">
        <f t="shared" si="52"/>
        <v>65.472307442355259</v>
      </c>
      <c r="N53" s="31">
        <f t="shared" si="42"/>
        <v>69.236965120290691</v>
      </c>
      <c r="O53" s="31">
        <f t="shared" si="42"/>
        <v>69.236965120290691</v>
      </c>
      <c r="P53" s="468">
        <f t="shared" si="42"/>
        <v>69.236965120290691</v>
      </c>
      <c r="Q53" s="470">
        <f t="shared" si="43"/>
        <v>72.068756993710579</v>
      </c>
      <c r="R53" s="32">
        <f t="shared" si="43"/>
        <v>72.068756993710579</v>
      </c>
      <c r="S53" s="471">
        <f t="shared" si="43"/>
        <v>72.068756993710579</v>
      </c>
      <c r="T53" s="469">
        <f t="shared" si="44"/>
        <v>74.360543466110585</v>
      </c>
      <c r="U53" s="33">
        <f t="shared" si="44"/>
        <v>74.360543466110585</v>
      </c>
      <c r="V53" s="459">
        <f t="shared" si="44"/>
        <v>74.360543466110585</v>
      </c>
      <c r="W53" s="463">
        <f t="shared" si="45"/>
        <v>77.186244117822795</v>
      </c>
      <c r="X53" s="33">
        <f t="shared" si="45"/>
        <v>77.186244117822795</v>
      </c>
      <c r="Y53" s="464">
        <f t="shared" si="45"/>
        <v>77.186244117822795</v>
      </c>
      <c r="Z53" s="460">
        <f t="shared" si="46"/>
        <v>78.428942648119744</v>
      </c>
      <c r="AA53" s="445">
        <f t="shared" si="46"/>
        <v>78.428942648119744</v>
      </c>
      <c r="AB53" s="445">
        <f t="shared" si="46"/>
        <v>78.428942648119744</v>
      </c>
      <c r="AC53" s="647">
        <f t="shared" si="47"/>
        <v>81.832758759048147</v>
      </c>
      <c r="AD53" s="643">
        <f t="shared" si="48"/>
        <v>81.832758759048147</v>
      </c>
      <c r="AE53" s="643">
        <f t="shared" si="49"/>
        <v>81.832758759048147</v>
      </c>
      <c r="AG53" s="21" t="s">
        <v>88</v>
      </c>
    </row>
    <row r="54" spans="1:44" x14ac:dyDescent="0.35">
      <c r="A54" s="21" t="s">
        <v>89</v>
      </c>
      <c r="B54" s="36">
        <v>78.87</v>
      </c>
      <c r="C54" s="36">
        <v>78.87</v>
      </c>
      <c r="D54" s="36">
        <v>0</v>
      </c>
      <c r="E54" s="30">
        <f t="shared" si="50"/>
        <v>80.400078000000008</v>
      </c>
      <c r="F54" s="30">
        <f t="shared" si="40"/>
        <v>80.400078000000008</v>
      </c>
      <c r="G54" s="30">
        <f t="shared" si="40"/>
        <v>0</v>
      </c>
      <c r="H54" s="30">
        <f t="shared" si="51"/>
        <v>83.342720854800007</v>
      </c>
      <c r="I54" s="30">
        <f t="shared" si="51"/>
        <v>83.342720854800007</v>
      </c>
      <c r="J54" s="30">
        <f t="shared" si="51"/>
        <v>0</v>
      </c>
      <c r="K54" s="30">
        <f>H54*(1+$D$5)-0.01</f>
        <v>88.975023056669968</v>
      </c>
      <c r="L54" s="30">
        <f>I54*(1+$D$5)-0.01</f>
        <v>88.975023056669968</v>
      </c>
      <c r="M54" s="30">
        <f t="shared" si="52"/>
        <v>0</v>
      </c>
      <c r="N54" s="31">
        <f t="shared" si="42"/>
        <v>94.091086882428499</v>
      </c>
      <c r="O54" s="31">
        <f t="shared" si="42"/>
        <v>94.091086882428499</v>
      </c>
      <c r="P54" s="468">
        <f t="shared" si="42"/>
        <v>0</v>
      </c>
      <c r="Q54" s="470">
        <f t="shared" si="43"/>
        <v>97.939412335919812</v>
      </c>
      <c r="R54" s="32">
        <f t="shared" si="43"/>
        <v>97.939412335919812</v>
      </c>
      <c r="S54" s="471">
        <f t="shared" si="43"/>
        <v>0</v>
      </c>
      <c r="T54" s="469">
        <f t="shared" si="44"/>
        <v>101.05388564820207</v>
      </c>
      <c r="U54" s="33">
        <f t="shared" si="44"/>
        <v>101.05388564820207</v>
      </c>
      <c r="V54" s="459">
        <f t="shared" si="44"/>
        <v>0</v>
      </c>
      <c r="W54" s="463">
        <f t="shared" si="45"/>
        <v>104.89393330283374</v>
      </c>
      <c r="X54" s="33">
        <f t="shared" si="45"/>
        <v>104.89393330283374</v>
      </c>
      <c r="Y54" s="464">
        <f t="shared" si="45"/>
        <v>0</v>
      </c>
      <c r="Z54" s="460">
        <f>W54*(1+$I$5)+0.01</f>
        <v>106.59272562900938</v>
      </c>
      <c r="AA54" s="445">
        <f t="shared" si="46"/>
        <v>106.58272562900937</v>
      </c>
      <c r="AB54" s="445">
        <f t="shared" si="46"/>
        <v>0</v>
      </c>
      <c r="AC54" s="647">
        <f t="shared" si="47"/>
        <v>111.2188499213084</v>
      </c>
      <c r="AD54" s="643">
        <f t="shared" si="48"/>
        <v>111.20841592130839</v>
      </c>
      <c r="AE54" s="643">
        <f t="shared" si="49"/>
        <v>0</v>
      </c>
      <c r="AG54" s="21" t="s">
        <v>89</v>
      </c>
    </row>
    <row r="55" spans="1:44" x14ac:dyDescent="0.35">
      <c r="A55" s="21" t="s">
        <v>90</v>
      </c>
      <c r="B55" s="36">
        <v>0</v>
      </c>
      <c r="C55" s="36">
        <v>0</v>
      </c>
      <c r="D55" s="36">
        <v>0</v>
      </c>
      <c r="E55" s="30">
        <f t="shared" si="50"/>
        <v>0</v>
      </c>
      <c r="F55" s="30">
        <f t="shared" si="40"/>
        <v>0</v>
      </c>
      <c r="G55" s="30">
        <f t="shared" si="40"/>
        <v>0</v>
      </c>
      <c r="H55" s="30">
        <f t="shared" si="51"/>
        <v>0</v>
      </c>
      <c r="I55" s="30">
        <f t="shared" si="51"/>
        <v>0</v>
      </c>
      <c r="J55" s="30">
        <f t="shared" si="51"/>
        <v>0</v>
      </c>
      <c r="K55" s="30">
        <f>H55*(1+$D$5)</f>
        <v>0</v>
      </c>
      <c r="L55" s="30">
        <f t="shared" si="41"/>
        <v>0</v>
      </c>
      <c r="M55" s="30">
        <f t="shared" si="52"/>
        <v>0</v>
      </c>
      <c r="N55" s="31">
        <f t="shared" si="42"/>
        <v>0</v>
      </c>
      <c r="O55" s="31">
        <f t="shared" si="42"/>
        <v>0</v>
      </c>
      <c r="P55" s="468">
        <f t="shared" si="42"/>
        <v>0</v>
      </c>
      <c r="Q55" s="470">
        <f t="shared" si="43"/>
        <v>0</v>
      </c>
      <c r="R55" s="32">
        <f t="shared" si="43"/>
        <v>0</v>
      </c>
      <c r="S55" s="471">
        <f t="shared" si="43"/>
        <v>0</v>
      </c>
      <c r="T55" s="469">
        <f t="shared" si="44"/>
        <v>0</v>
      </c>
      <c r="U55" s="33">
        <f t="shared" si="44"/>
        <v>0</v>
      </c>
      <c r="V55" s="459">
        <f t="shared" si="44"/>
        <v>0</v>
      </c>
      <c r="W55" s="463">
        <f t="shared" si="45"/>
        <v>0</v>
      </c>
      <c r="X55" s="33">
        <f t="shared" si="45"/>
        <v>0</v>
      </c>
      <c r="Y55" s="464">
        <f t="shared" si="45"/>
        <v>0</v>
      </c>
      <c r="Z55" s="460">
        <f t="shared" si="46"/>
        <v>0</v>
      </c>
      <c r="AA55" s="445">
        <f t="shared" si="46"/>
        <v>0</v>
      </c>
      <c r="AB55" s="445">
        <f t="shared" si="46"/>
        <v>0</v>
      </c>
      <c r="AC55" s="647">
        <f t="shared" si="47"/>
        <v>0</v>
      </c>
      <c r="AD55" s="643">
        <f t="shared" si="48"/>
        <v>0</v>
      </c>
      <c r="AE55" s="643">
        <f t="shared" si="49"/>
        <v>0</v>
      </c>
      <c r="AG55" s="21" t="s">
        <v>90</v>
      </c>
    </row>
    <row r="56" spans="1:44" x14ac:dyDescent="0.35">
      <c r="A56" s="21" t="s">
        <v>91</v>
      </c>
      <c r="B56" s="36">
        <v>78.87</v>
      </c>
      <c r="C56" s="36">
        <v>78.87</v>
      </c>
      <c r="D56" s="36">
        <v>0</v>
      </c>
      <c r="E56" s="30">
        <f t="shared" si="50"/>
        <v>80.400078000000008</v>
      </c>
      <c r="F56" s="30">
        <f t="shared" si="40"/>
        <v>80.400078000000008</v>
      </c>
      <c r="G56" s="30">
        <f t="shared" si="40"/>
        <v>0</v>
      </c>
      <c r="H56" s="30">
        <f t="shared" si="51"/>
        <v>83.342720854800007</v>
      </c>
      <c r="I56" s="30">
        <f t="shared" si="51"/>
        <v>83.342720854800007</v>
      </c>
      <c r="J56" s="30">
        <f t="shared" si="51"/>
        <v>0</v>
      </c>
      <c r="K56" s="30">
        <f>H56*(1+$D$5)-0.01</f>
        <v>88.975023056669968</v>
      </c>
      <c r="L56" s="30">
        <f>I56*(1+$D$5)-0.01</f>
        <v>88.975023056669968</v>
      </c>
      <c r="M56" s="30">
        <f t="shared" si="52"/>
        <v>0</v>
      </c>
      <c r="N56" s="31">
        <f t="shared" si="42"/>
        <v>94.091086882428499</v>
      </c>
      <c r="O56" s="31">
        <f t="shared" si="42"/>
        <v>94.091086882428499</v>
      </c>
      <c r="P56" s="468">
        <f t="shared" si="42"/>
        <v>0</v>
      </c>
      <c r="Q56" s="470">
        <f t="shared" si="43"/>
        <v>97.939412335919812</v>
      </c>
      <c r="R56" s="32">
        <f t="shared" si="43"/>
        <v>97.939412335919812</v>
      </c>
      <c r="S56" s="471">
        <f t="shared" si="43"/>
        <v>0</v>
      </c>
      <c r="T56" s="469">
        <f t="shared" si="44"/>
        <v>101.05388564820207</v>
      </c>
      <c r="U56" s="33">
        <f t="shared" si="44"/>
        <v>101.05388564820207</v>
      </c>
      <c r="V56" s="459">
        <f t="shared" si="44"/>
        <v>0</v>
      </c>
      <c r="W56" s="463">
        <f t="shared" si="45"/>
        <v>104.89393330283374</v>
      </c>
      <c r="X56" s="33">
        <f t="shared" si="45"/>
        <v>104.89393330283374</v>
      </c>
      <c r="Y56" s="464">
        <f t="shared" si="45"/>
        <v>0</v>
      </c>
      <c r="Z56" s="460">
        <f>W56*(1+$I$5)+0.01</f>
        <v>106.59272562900938</v>
      </c>
      <c r="AA56" s="445">
        <f>X56*(1+$I$5)+0.01</f>
        <v>106.59272562900938</v>
      </c>
      <c r="AB56" s="445">
        <f t="shared" si="46"/>
        <v>0</v>
      </c>
      <c r="AC56" s="647">
        <f t="shared" si="47"/>
        <v>111.2188499213084</v>
      </c>
      <c r="AD56" s="643">
        <f t="shared" si="48"/>
        <v>111.2188499213084</v>
      </c>
      <c r="AE56" s="643">
        <f t="shared" si="49"/>
        <v>0</v>
      </c>
      <c r="AG56" s="21" t="s">
        <v>91</v>
      </c>
    </row>
    <row r="57" spans="1:44" ht="15" thickBot="1" x14ac:dyDescent="0.4">
      <c r="A57" s="21" t="s">
        <v>92</v>
      </c>
      <c r="B57" s="36"/>
      <c r="C57" s="36"/>
      <c r="D57" s="36"/>
      <c r="E57" s="30"/>
      <c r="F57" s="30"/>
      <c r="G57" s="30"/>
      <c r="H57" s="30"/>
      <c r="I57" s="30"/>
      <c r="J57" s="30"/>
      <c r="K57" s="30">
        <v>88.98</v>
      </c>
      <c r="L57" s="30">
        <v>88.98</v>
      </c>
      <c r="M57" s="30">
        <v>88.98</v>
      </c>
      <c r="N57" s="31">
        <f t="shared" si="42"/>
        <v>94.096350000000015</v>
      </c>
      <c r="O57" s="31">
        <f t="shared" si="42"/>
        <v>94.096350000000015</v>
      </c>
      <c r="P57" s="468">
        <f t="shared" si="42"/>
        <v>94.096350000000015</v>
      </c>
      <c r="Q57" s="472">
        <f t="shared" si="43"/>
        <v>97.944890715000014</v>
      </c>
      <c r="R57" s="473">
        <f t="shared" si="43"/>
        <v>97.944890715000014</v>
      </c>
      <c r="S57" s="474">
        <f t="shared" si="43"/>
        <v>97.944890715000014</v>
      </c>
      <c r="T57" s="469">
        <f>Q57*(1+$G$5)-0.01</f>
        <v>101.04953823973702</v>
      </c>
      <c r="U57" s="33">
        <f>R57*(1+$G$5)-0.01</f>
        <v>101.04953823973702</v>
      </c>
      <c r="V57" s="459">
        <f>S57*(1+$G$5)-0.01</f>
        <v>101.04953823973702</v>
      </c>
      <c r="W57" s="465">
        <f>T57*(1+$H$5)</f>
        <v>104.88942069284703</v>
      </c>
      <c r="X57" s="466">
        <f>U57*(1+$H$5)</f>
        <v>104.88942069284703</v>
      </c>
      <c r="Y57" s="467">
        <f>V57*(1+$H$5)</f>
        <v>104.88942069284703</v>
      </c>
      <c r="Z57" s="460">
        <f>W57*(1+$I$5)+0.01</f>
        <v>106.58814036600187</v>
      </c>
      <c r="AA57" s="445">
        <f>X57*(1+$I$5)+0.01</f>
        <v>106.58814036600187</v>
      </c>
      <c r="AB57" s="445">
        <f>Y57*(1+$I$5)+0.01</f>
        <v>106.58814036600187</v>
      </c>
      <c r="AC57" s="647">
        <f t="shared" si="47"/>
        <v>111.21406565788637</v>
      </c>
      <c r="AD57" s="643">
        <f t="shared" si="48"/>
        <v>111.21406565788637</v>
      </c>
      <c r="AE57" s="643">
        <f t="shared" si="49"/>
        <v>111.21406565788637</v>
      </c>
      <c r="AG57" s="21" t="s">
        <v>92</v>
      </c>
    </row>
    <row r="59" spans="1:44" x14ac:dyDescent="0.35">
      <c r="A59" s="19" t="s">
        <v>101</v>
      </c>
    </row>
    <row r="61" spans="1:44" x14ac:dyDescent="0.35">
      <c r="A61" s="770" t="s">
        <v>80</v>
      </c>
      <c r="B61" s="749">
        <v>2013</v>
      </c>
      <c r="C61" s="749"/>
      <c r="D61" s="749"/>
      <c r="E61" s="749">
        <v>2014</v>
      </c>
      <c r="F61" s="749"/>
      <c r="G61" s="749"/>
      <c r="H61" s="749">
        <v>2015</v>
      </c>
      <c r="I61" s="749"/>
      <c r="J61" s="749"/>
      <c r="K61" s="749">
        <v>2016</v>
      </c>
      <c r="L61" s="749"/>
      <c r="M61" s="749"/>
      <c r="N61" s="749">
        <v>2017</v>
      </c>
      <c r="O61" s="749"/>
      <c r="P61" s="749"/>
      <c r="Q61" s="749">
        <v>2018</v>
      </c>
      <c r="R61" s="749"/>
      <c r="S61" s="749"/>
    </row>
    <row r="62" spans="1:44" ht="29" x14ac:dyDescent="0.35">
      <c r="A62" s="770"/>
      <c r="B62" s="28" t="s">
        <v>81</v>
      </c>
      <c r="C62" s="28" t="s">
        <v>82</v>
      </c>
      <c r="D62" s="28" t="s">
        <v>83</v>
      </c>
      <c r="E62" s="28" t="s">
        <v>81</v>
      </c>
      <c r="F62" s="28" t="s">
        <v>82</v>
      </c>
      <c r="G62" s="28" t="s">
        <v>83</v>
      </c>
      <c r="H62" s="28" t="s">
        <v>81</v>
      </c>
      <c r="I62" s="28" t="s">
        <v>82</v>
      </c>
      <c r="J62" s="28" t="s">
        <v>83</v>
      </c>
      <c r="K62" s="28" t="s">
        <v>81</v>
      </c>
      <c r="L62" s="28" t="s">
        <v>82</v>
      </c>
      <c r="M62" s="28" t="s">
        <v>83</v>
      </c>
      <c r="N62" s="28" t="s">
        <v>81</v>
      </c>
      <c r="O62" s="28" t="s">
        <v>82</v>
      </c>
      <c r="P62" s="28" t="s">
        <v>83</v>
      </c>
      <c r="Q62" s="28" t="s">
        <v>81</v>
      </c>
      <c r="R62" s="28" t="s">
        <v>82</v>
      </c>
      <c r="S62" s="28" t="s">
        <v>83</v>
      </c>
    </row>
    <row r="63" spans="1:44" x14ac:dyDescent="0.35">
      <c r="A63" s="21" t="s">
        <v>84</v>
      </c>
      <c r="B63" s="37" t="s">
        <v>102</v>
      </c>
      <c r="C63" s="37" t="s">
        <v>102</v>
      </c>
      <c r="D63" s="37">
        <v>0</v>
      </c>
      <c r="E63" s="38" t="s">
        <v>102</v>
      </c>
      <c r="F63" s="38" t="s">
        <v>102</v>
      </c>
      <c r="G63" s="38">
        <f t="shared" ref="G63:G70" si="53">D63*(1+$B$5)</f>
        <v>0</v>
      </c>
      <c r="H63" s="39" t="s">
        <v>102</v>
      </c>
      <c r="I63" s="38" t="s">
        <v>102</v>
      </c>
      <c r="J63" s="38">
        <f>G63*(1+$B$5)</f>
        <v>0</v>
      </c>
      <c r="K63" s="39" t="s">
        <v>102</v>
      </c>
      <c r="L63" s="38" t="s">
        <v>102</v>
      </c>
      <c r="M63" s="39">
        <f t="shared" ref="M63:M70" si="54">J63*(1+$D$5)</f>
        <v>0</v>
      </c>
      <c r="N63" s="40" t="s">
        <v>102</v>
      </c>
      <c r="O63" s="41" t="s">
        <v>102</v>
      </c>
      <c r="P63" s="40">
        <f>M63*(1+$E$5)</f>
        <v>0</v>
      </c>
      <c r="Q63" s="42" t="s">
        <v>102</v>
      </c>
      <c r="R63" s="43" t="s">
        <v>102</v>
      </c>
      <c r="S63" s="42">
        <f t="shared" ref="S63:S71" si="55">P63*(1+$F$5)</f>
        <v>0</v>
      </c>
    </row>
    <row r="64" spans="1:44" x14ac:dyDescent="0.35">
      <c r="A64" s="21" t="s">
        <v>85</v>
      </c>
      <c r="B64" s="37">
        <v>240</v>
      </c>
      <c r="C64" s="37" t="s">
        <v>102</v>
      </c>
      <c r="D64" s="37">
        <v>0</v>
      </c>
      <c r="E64" s="39">
        <f>B64*(1+$B$5)</f>
        <v>244.65600000000001</v>
      </c>
      <c r="F64" s="38" t="s">
        <v>102</v>
      </c>
      <c r="G64" s="38">
        <f t="shared" si="53"/>
        <v>0</v>
      </c>
      <c r="H64" s="39">
        <f>E64*(1+$C$5)</f>
        <v>253.6104096</v>
      </c>
      <c r="I64" s="38" t="s">
        <v>102</v>
      </c>
      <c r="J64" s="38">
        <f>G64*(1+$B$5)</f>
        <v>0</v>
      </c>
      <c r="K64" s="39">
        <f>H64*(1+$D$5)</f>
        <v>270.77983432991999</v>
      </c>
      <c r="L64" s="38" t="s">
        <v>102</v>
      </c>
      <c r="M64" s="39">
        <f t="shared" si="54"/>
        <v>0</v>
      </c>
      <c r="N64" s="40">
        <f>K64*(1+$E$5)</f>
        <v>286.34967480389042</v>
      </c>
      <c r="O64" s="41" t="s">
        <v>102</v>
      </c>
      <c r="P64" s="40">
        <f t="shared" ref="P64:P71" si="56">M64*(1+$E$5)</f>
        <v>0</v>
      </c>
      <c r="Q64" s="42">
        <f>N64*(1+$F$5)</f>
        <v>298.0613765033695</v>
      </c>
      <c r="R64" s="43" t="s">
        <v>102</v>
      </c>
      <c r="S64" s="42">
        <f t="shared" si="55"/>
        <v>0</v>
      </c>
    </row>
    <row r="65" spans="1:19" x14ac:dyDescent="0.35">
      <c r="A65" s="21" t="s">
        <v>86</v>
      </c>
      <c r="B65" s="37" t="s">
        <v>102</v>
      </c>
      <c r="C65" s="37" t="s">
        <v>102</v>
      </c>
      <c r="D65" s="37">
        <v>0</v>
      </c>
      <c r="E65" s="38" t="s">
        <v>102</v>
      </c>
      <c r="F65" s="38" t="s">
        <v>102</v>
      </c>
      <c r="G65" s="38">
        <f t="shared" si="53"/>
        <v>0</v>
      </c>
      <c r="H65" s="38" t="s">
        <v>102</v>
      </c>
      <c r="I65" s="38" t="s">
        <v>102</v>
      </c>
      <c r="J65" s="38">
        <f>G65*(1+$B$5)</f>
        <v>0</v>
      </c>
      <c r="K65" s="38" t="s">
        <v>102</v>
      </c>
      <c r="L65" s="38" t="s">
        <v>102</v>
      </c>
      <c r="M65" s="39">
        <f t="shared" si="54"/>
        <v>0</v>
      </c>
      <c r="N65" s="41" t="s">
        <v>102</v>
      </c>
      <c r="O65" s="41" t="s">
        <v>102</v>
      </c>
      <c r="P65" s="40">
        <f t="shared" si="56"/>
        <v>0</v>
      </c>
      <c r="Q65" s="43" t="s">
        <v>102</v>
      </c>
      <c r="R65" s="43" t="s">
        <v>102</v>
      </c>
      <c r="S65" s="42">
        <f t="shared" si="55"/>
        <v>0</v>
      </c>
    </row>
    <row r="66" spans="1:19" x14ac:dyDescent="0.35">
      <c r="A66" s="21" t="s">
        <v>87</v>
      </c>
      <c r="B66" s="37">
        <v>240</v>
      </c>
      <c r="C66" s="37" t="s">
        <v>102</v>
      </c>
      <c r="D66" s="37">
        <v>0</v>
      </c>
      <c r="E66" s="39">
        <f>B66*(1+$B$5)</f>
        <v>244.65600000000001</v>
      </c>
      <c r="F66" s="38" t="s">
        <v>102</v>
      </c>
      <c r="G66" s="38">
        <f t="shared" si="53"/>
        <v>0</v>
      </c>
      <c r="H66" s="39">
        <f>E66*(1+$C$5)</f>
        <v>253.6104096</v>
      </c>
      <c r="I66" s="38" t="s">
        <v>102</v>
      </c>
      <c r="J66" s="38">
        <f>G66*(1+$B$5)</f>
        <v>0</v>
      </c>
      <c r="K66" s="39">
        <f>H66*(1+$D$5)</f>
        <v>270.77983432991999</v>
      </c>
      <c r="L66" s="38" t="s">
        <v>102</v>
      </c>
      <c r="M66" s="39">
        <f t="shared" si="54"/>
        <v>0</v>
      </c>
      <c r="N66" s="40">
        <f>K66*(1+$E$5)</f>
        <v>286.34967480389042</v>
      </c>
      <c r="O66" s="41" t="s">
        <v>102</v>
      </c>
      <c r="P66" s="40">
        <f t="shared" si="56"/>
        <v>0</v>
      </c>
      <c r="Q66" s="42">
        <f>N66*(1+$F$5)</f>
        <v>298.0613765033695</v>
      </c>
      <c r="R66" s="43" t="s">
        <v>102</v>
      </c>
      <c r="S66" s="42">
        <f t="shared" si="55"/>
        <v>0</v>
      </c>
    </row>
    <row r="67" spans="1:19" x14ac:dyDescent="0.35">
      <c r="A67" s="21" t="s">
        <v>88</v>
      </c>
      <c r="B67" s="37">
        <v>240</v>
      </c>
      <c r="C67" s="37" t="s">
        <v>102</v>
      </c>
      <c r="D67" s="37">
        <v>240</v>
      </c>
      <c r="E67" s="39">
        <v>326.39999999999998</v>
      </c>
      <c r="F67" s="38" t="s">
        <v>102</v>
      </c>
      <c r="G67" s="39">
        <v>326.39999999999998</v>
      </c>
      <c r="H67" s="39">
        <f>E67*(1+$C$5)</f>
        <v>338.34623999999997</v>
      </c>
      <c r="I67" s="38" t="s">
        <v>102</v>
      </c>
      <c r="J67" s="39">
        <f>G67*(1+$C$5)</f>
        <v>338.34623999999997</v>
      </c>
      <c r="K67" s="39">
        <f>H67*(1+$D$5)</f>
        <v>361.25228044800002</v>
      </c>
      <c r="L67" s="38" t="s">
        <v>102</v>
      </c>
      <c r="M67" s="39">
        <f t="shared" si="54"/>
        <v>361.25228044800002</v>
      </c>
      <c r="N67" s="40">
        <f>K67*(1+$E$5)</f>
        <v>382.02428657376004</v>
      </c>
      <c r="O67" s="41" t="s">
        <v>102</v>
      </c>
      <c r="P67" s="40">
        <f t="shared" si="56"/>
        <v>382.02428657376004</v>
      </c>
      <c r="Q67" s="42">
        <f>N67*(1+$F$5)</f>
        <v>397.64907989462682</v>
      </c>
      <c r="R67" s="43" t="s">
        <v>102</v>
      </c>
      <c r="S67" s="42">
        <f t="shared" si="55"/>
        <v>397.64907989462682</v>
      </c>
    </row>
    <row r="68" spans="1:19" x14ac:dyDescent="0.35">
      <c r="A68" s="21" t="s">
        <v>89</v>
      </c>
      <c r="B68" s="37" t="s">
        <v>102</v>
      </c>
      <c r="C68" s="37" t="s">
        <v>102</v>
      </c>
      <c r="D68" s="37">
        <v>0</v>
      </c>
      <c r="E68" s="38" t="s">
        <v>102</v>
      </c>
      <c r="F68" s="38" t="s">
        <v>102</v>
      </c>
      <c r="G68" s="38">
        <f t="shared" si="53"/>
        <v>0</v>
      </c>
      <c r="H68" s="38" t="s">
        <v>102</v>
      </c>
      <c r="I68" s="38" t="s">
        <v>102</v>
      </c>
      <c r="J68" s="38">
        <f>G68*(1+$B$5)</f>
        <v>0</v>
      </c>
      <c r="K68" s="38" t="s">
        <v>102</v>
      </c>
      <c r="L68" s="38" t="s">
        <v>102</v>
      </c>
      <c r="M68" s="39">
        <f t="shared" si="54"/>
        <v>0</v>
      </c>
      <c r="N68" s="41" t="s">
        <v>102</v>
      </c>
      <c r="O68" s="41" t="s">
        <v>102</v>
      </c>
      <c r="P68" s="40">
        <f t="shared" si="56"/>
        <v>0</v>
      </c>
      <c r="Q68" s="43" t="s">
        <v>102</v>
      </c>
      <c r="R68" s="43" t="s">
        <v>102</v>
      </c>
      <c r="S68" s="42">
        <f t="shared" si="55"/>
        <v>0</v>
      </c>
    </row>
    <row r="69" spans="1:19" x14ac:dyDescent="0.35">
      <c r="A69" s="21" t="s">
        <v>90</v>
      </c>
      <c r="B69" s="37" t="s">
        <v>102</v>
      </c>
      <c r="C69" s="37" t="s">
        <v>102</v>
      </c>
      <c r="D69" s="37">
        <v>0</v>
      </c>
      <c r="E69" s="38" t="s">
        <v>102</v>
      </c>
      <c r="F69" s="38" t="s">
        <v>102</v>
      </c>
      <c r="G69" s="38">
        <f t="shared" si="53"/>
        <v>0</v>
      </c>
      <c r="H69" s="38" t="s">
        <v>102</v>
      </c>
      <c r="I69" s="38" t="s">
        <v>102</v>
      </c>
      <c r="J69" s="38">
        <f>G69*(1+$B$5)</f>
        <v>0</v>
      </c>
      <c r="K69" s="38" t="s">
        <v>102</v>
      </c>
      <c r="L69" s="38" t="s">
        <v>102</v>
      </c>
      <c r="M69" s="39">
        <f t="shared" si="54"/>
        <v>0</v>
      </c>
      <c r="N69" s="41" t="s">
        <v>102</v>
      </c>
      <c r="O69" s="41" t="s">
        <v>102</v>
      </c>
      <c r="P69" s="40">
        <f t="shared" si="56"/>
        <v>0</v>
      </c>
      <c r="Q69" s="43" t="s">
        <v>102</v>
      </c>
      <c r="R69" s="43" t="s">
        <v>102</v>
      </c>
      <c r="S69" s="42">
        <f t="shared" si="55"/>
        <v>0</v>
      </c>
    </row>
    <row r="70" spans="1:19" x14ac:dyDescent="0.35">
      <c r="A70" s="21" t="s">
        <v>91</v>
      </c>
      <c r="B70" s="37">
        <v>240</v>
      </c>
      <c r="C70" s="37" t="s">
        <v>102</v>
      </c>
      <c r="D70" s="37">
        <v>0</v>
      </c>
      <c r="E70" s="39">
        <f>B70*(1+$B$5)</f>
        <v>244.65600000000001</v>
      </c>
      <c r="F70" s="38" t="s">
        <v>102</v>
      </c>
      <c r="G70" s="38">
        <f t="shared" si="53"/>
        <v>0</v>
      </c>
      <c r="H70" s="39">
        <f>E70*(1+$C$5)</f>
        <v>253.6104096</v>
      </c>
      <c r="I70" s="38" t="s">
        <v>102</v>
      </c>
      <c r="J70" s="38">
        <f>G70*(1+$B$5)</f>
        <v>0</v>
      </c>
      <c r="K70" s="39">
        <f>H70*(1+$D$5)</f>
        <v>270.77983432991999</v>
      </c>
      <c r="L70" s="38" t="s">
        <v>102</v>
      </c>
      <c r="M70" s="39">
        <f t="shared" si="54"/>
        <v>0</v>
      </c>
      <c r="N70" s="40">
        <f>K70*(1+$E$5)</f>
        <v>286.34967480389042</v>
      </c>
      <c r="O70" s="41" t="s">
        <v>102</v>
      </c>
      <c r="P70" s="40">
        <f t="shared" si="56"/>
        <v>0</v>
      </c>
      <c r="Q70" s="42">
        <f>N70*(1+$F$5)</f>
        <v>298.0613765033695</v>
      </c>
      <c r="R70" s="43" t="s">
        <v>102</v>
      </c>
      <c r="S70" s="42">
        <f t="shared" si="55"/>
        <v>0</v>
      </c>
    </row>
    <row r="71" spans="1:19" x14ac:dyDescent="0.35">
      <c r="A71" s="21" t="s">
        <v>92</v>
      </c>
      <c r="B71" s="36"/>
      <c r="C71" s="36"/>
      <c r="D71" s="36"/>
      <c r="E71" s="30"/>
      <c r="F71" s="30"/>
      <c r="G71" s="30"/>
      <c r="H71" s="30"/>
      <c r="I71" s="30"/>
      <c r="J71" s="30"/>
      <c r="K71" s="39">
        <f>285*(1+D6)</f>
        <v>307.60049999999995</v>
      </c>
      <c r="L71" s="38" t="s">
        <v>102</v>
      </c>
      <c r="M71" s="39">
        <v>0</v>
      </c>
      <c r="N71" s="40">
        <f>K71*(1+$E$5)</f>
        <v>325.28752874999998</v>
      </c>
      <c r="O71" s="41" t="s">
        <v>102</v>
      </c>
      <c r="P71" s="40">
        <f t="shared" si="56"/>
        <v>0</v>
      </c>
      <c r="Q71" s="42">
        <f>N71*(1+$F$5)</f>
        <v>338.59178867587497</v>
      </c>
      <c r="R71" s="43" t="s">
        <v>102</v>
      </c>
      <c r="S71" s="42">
        <f t="shared" si="55"/>
        <v>0</v>
      </c>
    </row>
    <row r="73" spans="1:19" x14ac:dyDescent="0.35">
      <c r="A73" t="s">
        <v>103</v>
      </c>
    </row>
    <row r="76" spans="1:19" x14ac:dyDescent="0.35">
      <c r="A76" s="19" t="s">
        <v>104</v>
      </c>
    </row>
    <row r="78" spans="1:19" x14ac:dyDescent="0.35">
      <c r="A78" s="770" t="s">
        <v>80</v>
      </c>
      <c r="B78" s="749">
        <v>2013</v>
      </c>
      <c r="C78" s="749"/>
      <c r="D78" s="749"/>
      <c r="E78" s="749">
        <v>2014</v>
      </c>
      <c r="F78" s="749"/>
      <c r="G78" s="749"/>
      <c r="H78" s="749">
        <v>2015</v>
      </c>
      <c r="I78" s="749"/>
      <c r="J78" s="749"/>
      <c r="K78" s="749">
        <v>2016</v>
      </c>
      <c r="L78" s="749"/>
      <c r="M78" s="749"/>
      <c r="N78" s="749">
        <v>2017</v>
      </c>
      <c r="O78" s="749"/>
      <c r="P78" s="749"/>
      <c r="Q78" s="749">
        <v>2018</v>
      </c>
      <c r="R78" s="749"/>
      <c r="S78" s="749"/>
    </row>
    <row r="79" spans="1:19" ht="29" x14ac:dyDescent="0.35">
      <c r="A79" s="770"/>
      <c r="B79" s="28" t="s">
        <v>81</v>
      </c>
      <c r="C79" s="28" t="s">
        <v>82</v>
      </c>
      <c r="D79" s="28" t="s">
        <v>83</v>
      </c>
      <c r="E79" s="28" t="s">
        <v>81</v>
      </c>
      <c r="F79" s="28" t="s">
        <v>82</v>
      </c>
      <c r="G79" s="28" t="s">
        <v>83</v>
      </c>
      <c r="H79" s="28" t="s">
        <v>81</v>
      </c>
      <c r="I79" s="28" t="s">
        <v>82</v>
      </c>
      <c r="J79" s="28" t="s">
        <v>83</v>
      </c>
      <c r="K79" s="28" t="s">
        <v>81</v>
      </c>
      <c r="L79" s="28" t="s">
        <v>82</v>
      </c>
      <c r="M79" s="28" t="s">
        <v>83</v>
      </c>
      <c r="N79" s="28" t="s">
        <v>81</v>
      </c>
      <c r="O79" s="28" t="s">
        <v>82</v>
      </c>
      <c r="P79" s="28" t="s">
        <v>83</v>
      </c>
      <c r="Q79" s="28" t="s">
        <v>81</v>
      </c>
      <c r="R79" s="28" t="s">
        <v>82</v>
      </c>
      <c r="S79" s="28" t="s">
        <v>83</v>
      </c>
    </row>
    <row r="80" spans="1:19" x14ac:dyDescent="0.35">
      <c r="A80" s="21" t="s">
        <v>84</v>
      </c>
      <c r="B80" s="37" t="s">
        <v>102</v>
      </c>
      <c r="C80" s="37" t="s">
        <v>102</v>
      </c>
      <c r="D80" s="37">
        <v>0</v>
      </c>
      <c r="E80" s="38" t="s">
        <v>102</v>
      </c>
      <c r="F80" s="38" t="s">
        <v>102</v>
      </c>
      <c r="G80" s="38">
        <f t="shared" ref="G80:G87" si="57">D80*(1+$B$5)</f>
        <v>0</v>
      </c>
      <c r="H80" s="38" t="s">
        <v>102</v>
      </c>
      <c r="I80" s="38" t="s">
        <v>102</v>
      </c>
      <c r="J80" s="38">
        <f t="shared" ref="J80:J87" si="58">G80*(1+$B$5)</f>
        <v>0</v>
      </c>
      <c r="K80" s="38" t="s">
        <v>102</v>
      </c>
      <c r="L80" s="38" t="s">
        <v>102</v>
      </c>
      <c r="M80" s="39">
        <f t="shared" ref="M80:M87" si="59">J80*(1+$D$5)</f>
        <v>0</v>
      </c>
      <c r="N80" s="41" t="s">
        <v>102</v>
      </c>
      <c r="O80" s="41" t="s">
        <v>102</v>
      </c>
      <c r="P80" s="40">
        <f>M80*(1+$E$5)</f>
        <v>0</v>
      </c>
      <c r="Q80" s="41" t="s">
        <v>102</v>
      </c>
      <c r="R80" s="41" t="s">
        <v>102</v>
      </c>
      <c r="S80" s="40">
        <f t="shared" ref="S80:S88" si="60">P80*(1+$F$5)</f>
        <v>0</v>
      </c>
    </row>
    <row r="81" spans="1:19" x14ac:dyDescent="0.35">
      <c r="A81" s="21" t="s">
        <v>85</v>
      </c>
      <c r="B81" s="37">
        <v>400</v>
      </c>
      <c r="C81" s="37" t="s">
        <v>102</v>
      </c>
      <c r="D81" s="37">
        <v>0</v>
      </c>
      <c r="E81" s="38">
        <f>B81*(1+$B$5)</f>
        <v>407.76000000000005</v>
      </c>
      <c r="F81" s="38" t="s">
        <v>102</v>
      </c>
      <c r="G81" s="38">
        <f t="shared" si="57"/>
        <v>0</v>
      </c>
      <c r="H81" s="39">
        <f>E81*(1+$C$5)</f>
        <v>422.68401600000004</v>
      </c>
      <c r="I81" s="39" t="s">
        <v>102</v>
      </c>
      <c r="J81" s="38">
        <f t="shared" si="58"/>
        <v>0</v>
      </c>
      <c r="K81" s="39">
        <f>H81*(1+$D$5)</f>
        <v>451.2997238832001</v>
      </c>
      <c r="L81" s="39" t="s">
        <v>102</v>
      </c>
      <c r="M81" s="39">
        <f t="shared" si="59"/>
        <v>0</v>
      </c>
      <c r="N81" s="40">
        <f>K81*(1+$E$5)</f>
        <v>477.24945800648413</v>
      </c>
      <c r="O81" s="40" t="s">
        <v>102</v>
      </c>
      <c r="P81" s="40">
        <f t="shared" ref="P81:P88" si="61">M81*(1+$E$5)</f>
        <v>0</v>
      </c>
      <c r="Q81" s="40">
        <f>N81*(1+$F$5)</f>
        <v>496.76896083894928</v>
      </c>
      <c r="R81" s="40" t="s">
        <v>102</v>
      </c>
      <c r="S81" s="40">
        <f t="shared" si="60"/>
        <v>0</v>
      </c>
    </row>
    <row r="82" spans="1:19" x14ac:dyDescent="0.35">
      <c r="A82" s="21" t="s">
        <v>86</v>
      </c>
      <c r="B82" s="37" t="s">
        <v>102</v>
      </c>
      <c r="C82" s="37" t="s">
        <v>102</v>
      </c>
      <c r="D82" s="37">
        <v>0</v>
      </c>
      <c r="E82" s="38" t="s">
        <v>102</v>
      </c>
      <c r="F82" s="38" t="s">
        <v>102</v>
      </c>
      <c r="G82" s="38">
        <f t="shared" si="57"/>
        <v>0</v>
      </c>
      <c r="H82" s="39" t="s">
        <v>102</v>
      </c>
      <c r="I82" s="39" t="s">
        <v>102</v>
      </c>
      <c r="J82" s="38">
        <f t="shared" si="58"/>
        <v>0</v>
      </c>
      <c r="K82" s="39" t="s">
        <v>102</v>
      </c>
      <c r="L82" s="39" t="s">
        <v>102</v>
      </c>
      <c r="M82" s="39">
        <f t="shared" si="59"/>
        <v>0</v>
      </c>
      <c r="N82" s="40" t="s">
        <v>102</v>
      </c>
      <c r="O82" s="40" t="s">
        <v>102</v>
      </c>
      <c r="P82" s="40">
        <f t="shared" si="61"/>
        <v>0</v>
      </c>
      <c r="Q82" s="40" t="s">
        <v>102</v>
      </c>
      <c r="R82" s="40" t="s">
        <v>102</v>
      </c>
      <c r="S82" s="40">
        <f t="shared" si="60"/>
        <v>0</v>
      </c>
    </row>
    <row r="83" spans="1:19" x14ac:dyDescent="0.35">
      <c r="A83" s="21" t="s">
        <v>87</v>
      </c>
      <c r="B83" s="37">
        <v>400</v>
      </c>
      <c r="C83" s="37" t="s">
        <v>102</v>
      </c>
      <c r="D83" s="37">
        <v>0</v>
      </c>
      <c r="E83" s="38">
        <f>B83*(1+$B$5)</f>
        <v>407.76000000000005</v>
      </c>
      <c r="F83" s="38" t="s">
        <v>102</v>
      </c>
      <c r="G83" s="38">
        <f t="shared" si="57"/>
        <v>0</v>
      </c>
      <c r="H83" s="39">
        <f>E83*(1+$C$5)</f>
        <v>422.68401600000004</v>
      </c>
      <c r="I83" s="39" t="s">
        <v>102</v>
      </c>
      <c r="J83" s="38">
        <f t="shared" si="58"/>
        <v>0</v>
      </c>
      <c r="K83" s="39">
        <f>H83*(1+$D$5)</f>
        <v>451.2997238832001</v>
      </c>
      <c r="L83" s="39" t="s">
        <v>102</v>
      </c>
      <c r="M83" s="39">
        <f t="shared" si="59"/>
        <v>0</v>
      </c>
      <c r="N83" s="40">
        <f>K83*(1+$E$5)</f>
        <v>477.24945800648413</v>
      </c>
      <c r="O83" s="40" t="s">
        <v>102</v>
      </c>
      <c r="P83" s="40">
        <f t="shared" si="61"/>
        <v>0</v>
      </c>
      <c r="Q83" s="40">
        <f>N83*(1+$F$5)</f>
        <v>496.76896083894928</v>
      </c>
      <c r="R83" s="40" t="s">
        <v>102</v>
      </c>
      <c r="S83" s="40">
        <f t="shared" si="60"/>
        <v>0</v>
      </c>
    </row>
    <row r="84" spans="1:19" x14ac:dyDescent="0.35">
      <c r="A84" s="21" t="s">
        <v>88</v>
      </c>
      <c r="B84" s="37">
        <v>400</v>
      </c>
      <c r="C84" s="37" t="s">
        <v>102</v>
      </c>
      <c r="D84" s="37">
        <v>400</v>
      </c>
      <c r="E84" s="38">
        <f>B84*(1+$B$5)</f>
        <v>407.76000000000005</v>
      </c>
      <c r="F84" s="38" t="s">
        <v>102</v>
      </c>
      <c r="G84" s="38">
        <f t="shared" si="57"/>
        <v>407.76000000000005</v>
      </c>
      <c r="H84" s="39">
        <f>E84*(1+$C$5)</f>
        <v>422.68401600000004</v>
      </c>
      <c r="I84" s="39" t="s">
        <v>102</v>
      </c>
      <c r="J84" s="39">
        <f>G84*(1+$C$5)</f>
        <v>422.68401600000004</v>
      </c>
      <c r="K84" s="39">
        <f>H84*(1+$D$5)</f>
        <v>451.2997238832001</v>
      </c>
      <c r="L84" s="39" t="s">
        <v>102</v>
      </c>
      <c r="M84" s="39">
        <f t="shared" si="59"/>
        <v>451.2997238832001</v>
      </c>
      <c r="N84" s="40">
        <f>K84*(1+$E$5)</f>
        <v>477.24945800648413</v>
      </c>
      <c r="O84" s="40" t="s">
        <v>102</v>
      </c>
      <c r="P84" s="40">
        <f t="shared" si="61"/>
        <v>477.24945800648413</v>
      </c>
      <c r="Q84" s="40">
        <f>N84*(1+$F$5)</f>
        <v>496.76896083894928</v>
      </c>
      <c r="R84" s="40" t="s">
        <v>102</v>
      </c>
      <c r="S84" s="40">
        <f t="shared" si="60"/>
        <v>496.76896083894928</v>
      </c>
    </row>
    <row r="85" spans="1:19" x14ac:dyDescent="0.35">
      <c r="A85" s="21" t="s">
        <v>89</v>
      </c>
      <c r="B85" s="37" t="s">
        <v>102</v>
      </c>
      <c r="C85" s="37" t="s">
        <v>102</v>
      </c>
      <c r="D85" s="37">
        <v>0</v>
      </c>
      <c r="E85" s="38" t="s">
        <v>102</v>
      </c>
      <c r="F85" s="38" t="s">
        <v>102</v>
      </c>
      <c r="G85" s="38">
        <f t="shared" si="57"/>
        <v>0</v>
      </c>
      <c r="H85" s="39" t="s">
        <v>102</v>
      </c>
      <c r="I85" s="39" t="s">
        <v>102</v>
      </c>
      <c r="J85" s="38">
        <f t="shared" si="58"/>
        <v>0</v>
      </c>
      <c r="K85" s="39" t="s">
        <v>102</v>
      </c>
      <c r="L85" s="39" t="s">
        <v>102</v>
      </c>
      <c r="M85" s="39">
        <f t="shared" si="59"/>
        <v>0</v>
      </c>
      <c r="N85" s="40" t="s">
        <v>102</v>
      </c>
      <c r="O85" s="40" t="s">
        <v>102</v>
      </c>
      <c r="P85" s="40">
        <f t="shared" si="61"/>
        <v>0</v>
      </c>
      <c r="Q85" s="40" t="s">
        <v>102</v>
      </c>
      <c r="R85" s="40" t="s">
        <v>102</v>
      </c>
      <c r="S85" s="40">
        <f t="shared" si="60"/>
        <v>0</v>
      </c>
    </row>
    <row r="86" spans="1:19" x14ac:dyDescent="0.35">
      <c r="A86" s="21" t="s">
        <v>90</v>
      </c>
      <c r="B86" s="37" t="s">
        <v>102</v>
      </c>
      <c r="C86" s="37" t="s">
        <v>102</v>
      </c>
      <c r="D86" s="37">
        <v>0</v>
      </c>
      <c r="E86" s="38" t="s">
        <v>102</v>
      </c>
      <c r="F86" s="38" t="s">
        <v>102</v>
      </c>
      <c r="G86" s="38">
        <f t="shared" si="57"/>
        <v>0</v>
      </c>
      <c r="H86" s="39" t="s">
        <v>102</v>
      </c>
      <c r="I86" s="39" t="s">
        <v>102</v>
      </c>
      <c r="J86" s="38">
        <f t="shared" si="58"/>
        <v>0</v>
      </c>
      <c r="K86" s="39" t="s">
        <v>102</v>
      </c>
      <c r="L86" s="39" t="s">
        <v>102</v>
      </c>
      <c r="M86" s="39">
        <f t="shared" si="59"/>
        <v>0</v>
      </c>
      <c r="N86" s="40" t="s">
        <v>102</v>
      </c>
      <c r="O86" s="40" t="s">
        <v>102</v>
      </c>
      <c r="P86" s="40">
        <f t="shared" si="61"/>
        <v>0</v>
      </c>
      <c r="Q86" s="40" t="s">
        <v>102</v>
      </c>
      <c r="R86" s="40" t="s">
        <v>102</v>
      </c>
      <c r="S86" s="40">
        <f t="shared" si="60"/>
        <v>0</v>
      </c>
    </row>
    <row r="87" spans="1:19" x14ac:dyDescent="0.35">
      <c r="A87" s="21" t="s">
        <v>91</v>
      </c>
      <c r="B87" s="37">
        <v>400</v>
      </c>
      <c r="C87" s="37" t="s">
        <v>102</v>
      </c>
      <c r="D87" s="37">
        <v>0</v>
      </c>
      <c r="E87" s="38">
        <f>B87*(1+$B$5)</f>
        <v>407.76000000000005</v>
      </c>
      <c r="F87" s="38" t="s">
        <v>102</v>
      </c>
      <c r="G87" s="38">
        <f t="shared" si="57"/>
        <v>0</v>
      </c>
      <c r="H87" s="39">
        <f>E87*(1+$C$5)</f>
        <v>422.68401600000004</v>
      </c>
      <c r="I87" s="39" t="s">
        <v>102</v>
      </c>
      <c r="J87" s="38">
        <f t="shared" si="58"/>
        <v>0</v>
      </c>
      <c r="K87" s="39">
        <f>H87*(1+$D$5)</f>
        <v>451.2997238832001</v>
      </c>
      <c r="L87" s="39" t="s">
        <v>102</v>
      </c>
      <c r="M87" s="39">
        <f t="shared" si="59"/>
        <v>0</v>
      </c>
      <c r="N87" s="40">
        <f>K87*(1+$E$5)</f>
        <v>477.24945800648413</v>
      </c>
      <c r="O87" s="40" t="s">
        <v>102</v>
      </c>
      <c r="P87" s="40">
        <f t="shared" si="61"/>
        <v>0</v>
      </c>
      <c r="Q87" s="40">
        <f>N87*(1+$F$5)</f>
        <v>496.76896083894928</v>
      </c>
      <c r="R87" s="40" t="s">
        <v>102</v>
      </c>
      <c r="S87" s="40">
        <f t="shared" si="60"/>
        <v>0</v>
      </c>
    </row>
    <row r="88" spans="1:19" x14ac:dyDescent="0.35">
      <c r="A88" s="21" t="s">
        <v>92</v>
      </c>
      <c r="B88" s="36"/>
      <c r="C88" s="36"/>
      <c r="D88" s="36"/>
      <c r="E88" s="30"/>
      <c r="F88" s="30"/>
      <c r="G88" s="30"/>
      <c r="H88" s="30"/>
      <c r="I88" s="30"/>
      <c r="J88" s="30"/>
      <c r="K88" s="39">
        <v>543.25</v>
      </c>
      <c r="L88" s="38" t="s">
        <v>102</v>
      </c>
      <c r="M88" s="39">
        <v>0</v>
      </c>
      <c r="N88" s="40">
        <f>K88*(1+$E$5)</f>
        <v>574.48687500000005</v>
      </c>
      <c r="O88" s="41" t="s">
        <v>102</v>
      </c>
      <c r="P88" s="40">
        <f t="shared" si="61"/>
        <v>0</v>
      </c>
      <c r="Q88" s="40">
        <f>N88*(1+$F$5)</f>
        <v>597.98338818750005</v>
      </c>
      <c r="R88" s="41" t="s">
        <v>102</v>
      </c>
      <c r="S88" s="40">
        <f t="shared" si="60"/>
        <v>0</v>
      </c>
    </row>
    <row r="90" spans="1:19" x14ac:dyDescent="0.35">
      <c r="A90" t="s">
        <v>105</v>
      </c>
    </row>
  </sheetData>
  <mergeCells count="117">
    <mergeCell ref="Q61:S61"/>
    <mergeCell ref="A78:A79"/>
    <mergeCell ref="B78:D78"/>
    <mergeCell ref="E78:G78"/>
    <mergeCell ref="H78:J78"/>
    <mergeCell ref="K78:M78"/>
    <mergeCell ref="N78:P78"/>
    <mergeCell ref="Q78:S78"/>
    <mergeCell ref="A61:A62"/>
    <mergeCell ref="B61:D61"/>
    <mergeCell ref="E61:G61"/>
    <mergeCell ref="H61:J61"/>
    <mergeCell ref="K61:M61"/>
    <mergeCell ref="N61:P61"/>
    <mergeCell ref="A47:A48"/>
    <mergeCell ref="B47:D47"/>
    <mergeCell ref="E47:G47"/>
    <mergeCell ref="H47:J47"/>
    <mergeCell ref="K47:M47"/>
    <mergeCell ref="N47:P47"/>
    <mergeCell ref="Q47:S47"/>
    <mergeCell ref="T47:V47"/>
    <mergeCell ref="Z37:Z38"/>
    <mergeCell ref="P37:P38"/>
    <mergeCell ref="W47:Y47"/>
    <mergeCell ref="A36:A38"/>
    <mergeCell ref="B36:F36"/>
    <mergeCell ref="G36:K36"/>
    <mergeCell ref="L36:P36"/>
    <mergeCell ref="Q36:U36"/>
    <mergeCell ref="B37:C37"/>
    <mergeCell ref="D37:E37"/>
    <mergeCell ref="F37:F38"/>
    <mergeCell ref="G37:H37"/>
    <mergeCell ref="I37:J37"/>
    <mergeCell ref="K37:K38"/>
    <mergeCell ref="L37:M37"/>
    <mergeCell ref="N37:O37"/>
    <mergeCell ref="Q37:R37"/>
    <mergeCell ref="S37:T37"/>
    <mergeCell ref="U37:U38"/>
    <mergeCell ref="B11:D11"/>
    <mergeCell ref="E11:G11"/>
    <mergeCell ref="H11:J11"/>
    <mergeCell ref="K11:M11"/>
    <mergeCell ref="N11:P11"/>
    <mergeCell ref="Q11:S11"/>
    <mergeCell ref="B26:C26"/>
    <mergeCell ref="D26:E26"/>
    <mergeCell ref="F26:F27"/>
    <mergeCell ref="G26:H26"/>
    <mergeCell ref="I26:J26"/>
    <mergeCell ref="K26:K27"/>
    <mergeCell ref="L26:M26"/>
    <mergeCell ref="N26:O26"/>
    <mergeCell ref="A25:A27"/>
    <mergeCell ref="B25:F25"/>
    <mergeCell ref="G25:K25"/>
    <mergeCell ref="L25:P25"/>
    <mergeCell ref="Q25:U25"/>
    <mergeCell ref="V25:Z25"/>
    <mergeCell ref="P26:P27"/>
    <mergeCell ref="Q26:R26"/>
    <mergeCell ref="S26:T26"/>
    <mergeCell ref="U26:U27"/>
    <mergeCell ref="V26:W26"/>
    <mergeCell ref="X26:Y26"/>
    <mergeCell ref="Z26:Z27"/>
    <mergeCell ref="V37:W37"/>
    <mergeCell ref="X37:Y37"/>
    <mergeCell ref="AJ37:AJ38"/>
    <mergeCell ref="AC37:AD37"/>
    <mergeCell ref="AE37:AE38"/>
    <mergeCell ref="AF37:AG37"/>
    <mergeCell ref="AH37:AI37"/>
    <mergeCell ref="AA37:AB37"/>
    <mergeCell ref="W11:Y11"/>
    <mergeCell ref="AA25:AE25"/>
    <mergeCell ref="AF25:AJ25"/>
    <mergeCell ref="AH26:AI26"/>
    <mergeCell ref="AJ26:AJ27"/>
    <mergeCell ref="Z11:AB11"/>
    <mergeCell ref="AE26:AE27"/>
    <mergeCell ref="AF26:AG26"/>
    <mergeCell ref="AA26:AB26"/>
    <mergeCell ref="AC26:AD26"/>
    <mergeCell ref="T11:V11"/>
    <mergeCell ref="V36:Z36"/>
    <mergeCell ref="AC11:AE11"/>
    <mergeCell ref="Z47:AB47"/>
    <mergeCell ref="AP25:AT25"/>
    <mergeCell ref="AP26:AQ26"/>
    <mergeCell ref="AR26:AS26"/>
    <mergeCell ref="AT26:AT27"/>
    <mergeCell ref="AP36:AT36"/>
    <mergeCell ref="AK36:AO36"/>
    <mergeCell ref="AK37:AL37"/>
    <mergeCell ref="AM37:AN37"/>
    <mergeCell ref="AO37:AO38"/>
    <mergeCell ref="AA36:AE36"/>
    <mergeCell ref="AF36:AJ36"/>
    <mergeCell ref="AK25:AO25"/>
    <mergeCell ref="AK26:AL26"/>
    <mergeCell ref="AM26:AN26"/>
    <mergeCell ref="AO26:AO27"/>
    <mergeCell ref="AU25:AY25"/>
    <mergeCell ref="AU26:AV26"/>
    <mergeCell ref="AW26:AX26"/>
    <mergeCell ref="AY26:AY27"/>
    <mergeCell ref="AU36:AY36"/>
    <mergeCell ref="AU37:AV37"/>
    <mergeCell ref="AW37:AX37"/>
    <mergeCell ref="AY37:AY38"/>
    <mergeCell ref="AC47:AE47"/>
    <mergeCell ref="AP37:AQ37"/>
    <mergeCell ref="AR37:AS37"/>
    <mergeCell ref="AT37:AT38"/>
  </mergeCells>
  <pageMargins left="0.7" right="0.7" top="0.75" bottom="0.75" header="0.3" footer="0.3"/>
  <pageSetup orientation="portrait" r:id="rId1"/>
  <ignoredErrors>
    <ignoredError sqref="Z49 Z51 Z53 Z55"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rgb="FFFFFF00"/>
  </sheetPr>
  <dimension ref="A1:M41"/>
  <sheetViews>
    <sheetView zoomScale="80" zoomScaleNormal="80" workbookViewId="0">
      <selection activeCell="E8" sqref="E8"/>
    </sheetView>
  </sheetViews>
  <sheetFormatPr baseColWidth="10" defaultRowHeight="14.5" x14ac:dyDescent="0.35"/>
  <cols>
    <col min="2" max="2" width="44.81640625" customWidth="1"/>
    <col min="3" max="3" width="12.36328125" customWidth="1"/>
    <col min="4" max="4" width="15.81640625" customWidth="1"/>
    <col min="5" max="5" width="13.6328125" customWidth="1"/>
    <col min="6" max="6" width="14.90625" hidden="1" customWidth="1"/>
    <col min="7" max="7" width="18.81640625" customWidth="1"/>
    <col min="8" max="8" width="17.36328125" customWidth="1"/>
  </cols>
  <sheetData>
    <row r="1" spans="1:11" x14ac:dyDescent="0.35">
      <c r="A1" s="138"/>
      <c r="B1" s="138" t="str">
        <f>+AMAZONAS!C1</f>
        <v>Vigencia: 01 de enero de 2022; 00:00 horas</v>
      </c>
    </row>
    <row r="2" spans="1:11" ht="15" thickBot="1" x14ac:dyDescent="0.4">
      <c r="A2" s="165" t="s">
        <v>179</v>
      </c>
      <c r="B2" s="165"/>
    </row>
    <row r="3" spans="1:11" ht="15.9" customHeight="1" thickTop="1" x14ac:dyDescent="0.35">
      <c r="A3" s="195"/>
      <c r="B3" s="196" t="s">
        <v>249</v>
      </c>
      <c r="C3" s="846" t="s">
        <v>180</v>
      </c>
      <c r="D3" s="847"/>
      <c r="E3" s="847"/>
      <c r="F3" s="848"/>
      <c r="G3" s="852" t="s">
        <v>250</v>
      </c>
      <c r="H3" s="853"/>
    </row>
    <row r="4" spans="1:11" x14ac:dyDescent="0.35">
      <c r="A4" s="140"/>
      <c r="B4" s="197" t="s">
        <v>320</v>
      </c>
      <c r="C4" s="849"/>
      <c r="D4" s="850"/>
      <c r="E4" s="850"/>
      <c r="F4" s="851"/>
      <c r="G4" s="854"/>
      <c r="H4" s="855"/>
    </row>
    <row r="5" spans="1:11" ht="38.25" customHeight="1" x14ac:dyDescent="0.35">
      <c r="A5" s="840" t="s">
        <v>181</v>
      </c>
      <c r="B5" s="842" t="s">
        <v>182</v>
      </c>
      <c r="C5" s="826" t="s">
        <v>241</v>
      </c>
      <c r="D5" s="171" t="s">
        <v>96</v>
      </c>
      <c r="E5" s="171" t="s">
        <v>504</v>
      </c>
      <c r="F5" s="171" t="str">
        <f>+AMAZONAS!G5</f>
        <v>Biodiesel B11</v>
      </c>
      <c r="G5" s="171" t="s">
        <v>96</v>
      </c>
      <c r="H5" s="142" t="str">
        <f>+E5</f>
        <v xml:space="preserve">Biodiesel B5 con destino a mezcla </v>
      </c>
    </row>
    <row r="6" spans="1:11" x14ac:dyDescent="0.35">
      <c r="A6" s="840"/>
      <c r="B6" s="842"/>
      <c r="C6" s="827"/>
      <c r="D6" s="582" t="s">
        <v>508</v>
      </c>
      <c r="E6" s="189">
        <v>0.05</v>
      </c>
      <c r="F6" s="397">
        <f>+AMAZONAS!G6</f>
        <v>0.11</v>
      </c>
      <c r="G6" s="560" t="str">
        <f>+D6</f>
        <v>Oxigenada 0%</v>
      </c>
      <c r="H6" s="172">
        <f>+E6</f>
        <v>0.05</v>
      </c>
    </row>
    <row r="7" spans="1:11" x14ac:dyDescent="0.35">
      <c r="A7" s="841"/>
      <c r="B7" s="843"/>
      <c r="C7" s="141" t="s">
        <v>183</v>
      </c>
      <c r="D7" s="171" t="s">
        <v>183</v>
      </c>
      <c r="E7" s="171" t="s">
        <v>183</v>
      </c>
      <c r="F7" s="171" t="s">
        <v>183</v>
      </c>
      <c r="G7" s="141" t="s">
        <v>183</v>
      </c>
      <c r="H7" s="142" t="s">
        <v>183</v>
      </c>
      <c r="K7" s="429"/>
    </row>
    <row r="8" spans="1:11" x14ac:dyDescent="0.35">
      <c r="A8" s="143" t="s">
        <v>184</v>
      </c>
      <c r="B8" s="149" t="s">
        <v>185</v>
      </c>
      <c r="C8" s="213">
        <f>+'Calculo IP ZDF'!B29</f>
        <v>4987.8190699999996</v>
      </c>
      <c r="D8" s="219">
        <f>+'Calculo IP ZDF'!B29</f>
        <v>4987.8190699999996</v>
      </c>
      <c r="E8" s="221">
        <f>+'Calculo IP ZDF'!O29</f>
        <v>4745.7162318000001</v>
      </c>
      <c r="F8" s="220">
        <f>+'Calculo IP ZDF'!J29</f>
        <v>5549.2422195999998</v>
      </c>
      <c r="G8" s="198">
        <f>+'GAS CTE'!C6</f>
        <v>5108.8999999999996</v>
      </c>
      <c r="H8" s="223">
        <f>+BIODIESEL!G9</f>
        <v>5257.3765000000003</v>
      </c>
    </row>
    <row r="9" spans="1:11" x14ac:dyDescent="0.35">
      <c r="A9" s="143" t="s">
        <v>186</v>
      </c>
      <c r="B9" s="149" t="s">
        <v>187</v>
      </c>
      <c r="C9" s="199" t="str">
        <f t="shared" ref="C9:C12" si="0">+D9</f>
        <v>------------------</v>
      </c>
      <c r="D9" s="174" t="s">
        <v>188</v>
      </c>
      <c r="E9" s="200" t="s">
        <v>188</v>
      </c>
      <c r="F9" s="146" t="s">
        <v>188</v>
      </c>
      <c r="G9" s="198">
        <f>+'GAS CTE'!C10</f>
        <v>555.04999999999995</v>
      </c>
      <c r="H9" s="224">
        <f>+BIODIESEL!G10</f>
        <v>504.70649999999995</v>
      </c>
    </row>
    <row r="10" spans="1:11" x14ac:dyDescent="0.35">
      <c r="A10" s="143"/>
      <c r="B10" s="149" t="s">
        <v>132</v>
      </c>
      <c r="C10" s="199" t="str">
        <f>+D10</f>
        <v>------------------</v>
      </c>
      <c r="D10" s="174" t="s">
        <v>188</v>
      </c>
      <c r="E10" s="200" t="s">
        <v>188</v>
      </c>
      <c r="F10" s="146" t="s">
        <v>188</v>
      </c>
      <c r="G10" s="214" t="str">
        <f>+COMBUSTIBLES!B12</f>
        <v>(3)</v>
      </c>
      <c r="H10" s="224" t="str">
        <f>+BIODIESEL!H11</f>
        <v>(3)</v>
      </c>
    </row>
    <row r="11" spans="1:11" x14ac:dyDescent="0.35">
      <c r="A11" s="143"/>
      <c r="B11" s="149" t="s">
        <v>134</v>
      </c>
      <c r="C11" s="199">
        <f>+'GAS CTE'!C12</f>
        <v>159</v>
      </c>
      <c r="D11" s="174">
        <f>+'GAS CTE'!C12</f>
        <v>159</v>
      </c>
      <c r="E11" s="200">
        <f>+BIODIESEL!G12</f>
        <v>170.04999999999998</v>
      </c>
      <c r="F11" s="146">
        <f>+BIODIESEL!H12</f>
        <v>161.1</v>
      </c>
      <c r="G11" s="198">
        <f>+D11</f>
        <v>159</v>
      </c>
      <c r="H11" s="220">
        <f>+BIODIESEL!G12</f>
        <v>170.04999999999998</v>
      </c>
    </row>
    <row r="12" spans="1:11" x14ac:dyDescent="0.35">
      <c r="A12" s="143" t="s">
        <v>189</v>
      </c>
      <c r="B12" s="149" t="s">
        <v>319</v>
      </c>
      <c r="C12" s="199" t="str">
        <f t="shared" si="0"/>
        <v>(2)</v>
      </c>
      <c r="D12" s="173" t="s">
        <v>217</v>
      </c>
      <c r="E12" s="147" t="s">
        <v>217</v>
      </c>
      <c r="F12" s="146" t="s">
        <v>217</v>
      </c>
      <c r="G12" s="198" t="str">
        <f>+F12</f>
        <v>(2)</v>
      </c>
      <c r="H12" s="223" t="s">
        <v>217</v>
      </c>
    </row>
    <row r="13" spans="1:11" x14ac:dyDescent="0.35">
      <c r="A13" s="143" t="s">
        <v>191</v>
      </c>
      <c r="B13" s="149" t="s">
        <v>192</v>
      </c>
      <c r="C13" s="199">
        <f>+RUBROS!Z14</f>
        <v>10.288613527118255</v>
      </c>
      <c r="D13" s="173">
        <f>+C13</f>
        <v>10.288613527118255</v>
      </c>
      <c r="E13" s="147">
        <f>+D13</f>
        <v>10.288613527118255</v>
      </c>
      <c r="F13" s="146">
        <f>+E13</f>
        <v>10.288613527118255</v>
      </c>
      <c r="G13" s="198">
        <f>+RUBROS!AA14</f>
        <v>22.249601678692599</v>
      </c>
      <c r="H13" s="223">
        <f>+G13</f>
        <v>22.249601678692599</v>
      </c>
    </row>
    <row r="14" spans="1:11" x14ac:dyDescent="0.35">
      <c r="A14" s="143" t="s">
        <v>193</v>
      </c>
      <c r="B14" s="149" t="s">
        <v>194</v>
      </c>
      <c r="C14" s="199">
        <f>+RUBROS!Z50</f>
        <v>106.59272562900938</v>
      </c>
      <c r="D14" s="173">
        <f>+C14</f>
        <v>106.59272562900938</v>
      </c>
      <c r="E14" s="147">
        <f>+C14</f>
        <v>106.59272562900938</v>
      </c>
      <c r="F14" s="146">
        <f>+C14</f>
        <v>106.59272562900938</v>
      </c>
      <c r="G14" s="198">
        <f>+RUBROS!AA50</f>
        <v>106.59272562900938</v>
      </c>
      <c r="H14" s="223">
        <f>+G14</f>
        <v>106.59272562900938</v>
      </c>
    </row>
    <row r="15" spans="1:11" x14ac:dyDescent="0.35">
      <c r="A15" s="143" t="s">
        <v>195</v>
      </c>
      <c r="B15" s="218" t="s">
        <v>196</v>
      </c>
      <c r="C15" s="199">
        <f>+RUBROS!AU28</f>
        <v>13.326421256197724</v>
      </c>
      <c r="D15" s="173">
        <f>+C15</f>
        <v>13.326421256197724</v>
      </c>
      <c r="E15" s="201">
        <f>+C15</f>
        <v>13.326421256197724</v>
      </c>
      <c r="F15" s="146">
        <f>+C15</f>
        <v>13.326421256197724</v>
      </c>
      <c r="G15" s="198">
        <f>+C15</f>
        <v>13.326421256197724</v>
      </c>
      <c r="H15" s="223">
        <f>+G15</f>
        <v>13.326421256197724</v>
      </c>
    </row>
    <row r="16" spans="1:11" hidden="1" x14ac:dyDescent="0.35">
      <c r="A16" s="143"/>
      <c r="B16" s="149" t="s">
        <v>197</v>
      </c>
      <c r="C16" s="199"/>
      <c r="D16" s="332"/>
      <c r="E16" s="203"/>
      <c r="F16" s="146"/>
      <c r="G16" s="198"/>
      <c r="H16" s="225"/>
    </row>
    <row r="17" spans="1:13" x14ac:dyDescent="0.35">
      <c r="A17" s="150" t="s">
        <v>198</v>
      </c>
      <c r="B17" s="180" t="s">
        <v>199</v>
      </c>
      <c r="C17" s="204">
        <f t="shared" ref="C17:H17" si="1">SUM(C8:C16)</f>
        <v>5277.0268304123256</v>
      </c>
      <c r="D17" s="333">
        <f t="shared" si="1"/>
        <v>5277.0268304123256</v>
      </c>
      <c r="E17" s="205">
        <f t="shared" si="1"/>
        <v>5045.9739922123263</v>
      </c>
      <c r="F17" s="206">
        <f t="shared" si="1"/>
        <v>5840.5499800123262</v>
      </c>
      <c r="G17" s="207">
        <f t="shared" si="1"/>
        <v>5965.1187485639002</v>
      </c>
      <c r="H17" s="226">
        <f t="shared" si="1"/>
        <v>6074.3017485639011</v>
      </c>
    </row>
    <row r="18" spans="1:13" x14ac:dyDescent="0.35">
      <c r="A18" s="143" t="s">
        <v>200</v>
      </c>
      <c r="B18" s="149" t="s">
        <v>201</v>
      </c>
      <c r="C18" s="199" t="s">
        <v>232</v>
      </c>
      <c r="D18" s="334" t="str">
        <f>+C18</f>
        <v>***</v>
      </c>
      <c r="E18" s="208" t="str">
        <f>+C18</f>
        <v>***</v>
      </c>
      <c r="F18" s="146" t="str">
        <f>+C18</f>
        <v>***</v>
      </c>
      <c r="G18" s="201" t="str">
        <f>+H18</f>
        <v>***</v>
      </c>
      <c r="H18" s="227" t="s">
        <v>232</v>
      </c>
      <c r="J18" s="19"/>
    </row>
    <row r="19" spans="1:13" x14ac:dyDescent="0.35">
      <c r="A19" s="143" t="s">
        <v>202</v>
      </c>
      <c r="B19" s="149" t="s">
        <v>203</v>
      </c>
      <c r="C19" s="199" t="str">
        <f>+D19</f>
        <v>**</v>
      </c>
      <c r="D19" s="179" t="s">
        <v>230</v>
      </c>
      <c r="E19" s="209" t="s">
        <v>230</v>
      </c>
      <c r="F19" s="146" t="s">
        <v>230</v>
      </c>
      <c r="G19" s="201" t="str">
        <f>+H19</f>
        <v>**</v>
      </c>
      <c r="H19" s="220" t="s">
        <v>230</v>
      </c>
    </row>
    <row r="20" spans="1:13" x14ac:dyDescent="0.35">
      <c r="A20" s="143" t="s">
        <v>204</v>
      </c>
      <c r="B20" s="149" t="s">
        <v>205</v>
      </c>
      <c r="C20" s="199" t="str">
        <f>+D20</f>
        <v>****</v>
      </c>
      <c r="D20" s="173" t="s">
        <v>234</v>
      </c>
      <c r="E20" s="147" t="str">
        <f>+D20</f>
        <v>****</v>
      </c>
      <c r="F20" s="146" t="str">
        <f>+E20</f>
        <v>****</v>
      </c>
      <c r="G20" s="201" t="str">
        <f>+F20</f>
        <v>****</v>
      </c>
      <c r="H20" s="223" t="str">
        <f>+F20</f>
        <v>****</v>
      </c>
    </row>
    <row r="21" spans="1:13" x14ac:dyDescent="0.35">
      <c r="A21" s="150" t="s">
        <v>206</v>
      </c>
      <c r="B21" s="180" t="s">
        <v>207</v>
      </c>
      <c r="C21" s="204">
        <f t="shared" ref="C21:H21" si="2">+C17</f>
        <v>5277.0268304123256</v>
      </c>
      <c r="D21" s="335">
        <f t="shared" si="2"/>
        <v>5277.0268304123256</v>
      </c>
      <c r="E21" s="204">
        <f t="shared" si="2"/>
        <v>5045.9739922123263</v>
      </c>
      <c r="F21" s="222">
        <f t="shared" si="2"/>
        <v>5840.5499800123262</v>
      </c>
      <c r="G21" s="204">
        <f t="shared" si="2"/>
        <v>5965.1187485639002</v>
      </c>
      <c r="H21" s="222">
        <f t="shared" si="2"/>
        <v>6074.3017485639011</v>
      </c>
    </row>
    <row r="22" spans="1:13" x14ac:dyDescent="0.35">
      <c r="A22" s="143" t="s">
        <v>208</v>
      </c>
      <c r="B22" s="149" t="s">
        <v>160</v>
      </c>
      <c r="C22" s="199" t="s">
        <v>232</v>
      </c>
      <c r="D22" s="173" t="str">
        <f>+C22</f>
        <v>***</v>
      </c>
      <c r="E22" s="147" t="str">
        <f>+D22</f>
        <v>***</v>
      </c>
      <c r="F22" s="146" t="str">
        <f>+E22</f>
        <v>***</v>
      </c>
      <c r="G22" s="201" t="str">
        <f>+H22</f>
        <v>***</v>
      </c>
      <c r="H22" s="223" t="s">
        <v>232</v>
      </c>
    </row>
    <row r="23" spans="1:13" x14ac:dyDescent="0.35">
      <c r="A23" s="143" t="s">
        <v>209</v>
      </c>
      <c r="B23" s="144" t="s">
        <v>210</v>
      </c>
      <c r="C23" s="199" t="str">
        <f>+D23</f>
        <v>*****</v>
      </c>
      <c r="D23" s="173" t="s">
        <v>236</v>
      </c>
      <c r="E23" s="147" t="s">
        <v>254</v>
      </c>
      <c r="F23" s="146" t="s">
        <v>211</v>
      </c>
      <c r="G23" s="201" t="str">
        <f>+D23</f>
        <v>*****</v>
      </c>
      <c r="H23" s="223" t="s">
        <v>255</v>
      </c>
    </row>
    <row r="24" spans="1:13" x14ac:dyDescent="0.35">
      <c r="A24" s="143" t="s">
        <v>212</v>
      </c>
      <c r="B24" s="149" t="s">
        <v>213</v>
      </c>
      <c r="C24" s="199" t="str">
        <f>+D24</f>
        <v>******</v>
      </c>
      <c r="D24" s="209" t="s">
        <v>237</v>
      </c>
      <c r="E24" s="209" t="str">
        <f>+D24</f>
        <v>******</v>
      </c>
      <c r="F24" s="148" t="str">
        <f>+E24</f>
        <v>******</v>
      </c>
      <c r="G24" s="201" t="str">
        <f>+F24</f>
        <v>******</v>
      </c>
      <c r="H24" s="220" t="str">
        <f>+G24</f>
        <v>******</v>
      </c>
    </row>
    <row r="25" spans="1:13" ht="15" thickBot="1" x14ac:dyDescent="0.4">
      <c r="A25" s="154" t="s">
        <v>214</v>
      </c>
      <c r="B25" s="155" t="s">
        <v>215</v>
      </c>
      <c r="C25" s="210"/>
      <c r="D25" s="158"/>
      <c r="E25" s="211"/>
      <c r="F25" s="157"/>
      <c r="G25" s="211"/>
      <c r="H25" s="228"/>
    </row>
    <row r="26" spans="1:13" ht="15" thickTop="1" x14ac:dyDescent="0.35"/>
    <row r="27" spans="1:13" x14ac:dyDescent="0.35">
      <c r="A27" s="162"/>
      <c r="B27" s="266" t="s">
        <v>228</v>
      </c>
      <c r="C27" s="215"/>
      <c r="D27" s="215"/>
      <c r="E27" s="215"/>
      <c r="F27" s="215"/>
      <c r="G27" s="194"/>
      <c r="H27" s="194"/>
      <c r="I27" s="194"/>
      <c r="J27" s="194"/>
      <c r="K27" s="194"/>
      <c r="L27" s="194"/>
      <c r="M27" s="194"/>
    </row>
    <row r="28" spans="1:13" x14ac:dyDescent="0.35">
      <c r="A28" s="162"/>
      <c r="B28" s="184"/>
      <c r="C28" s="215"/>
      <c r="D28" s="215"/>
      <c r="E28" s="215"/>
      <c r="F28" s="215"/>
      <c r="G28" s="194"/>
      <c r="H28" s="194"/>
      <c r="I28" s="194"/>
      <c r="J28" s="194"/>
      <c r="K28" s="194"/>
      <c r="L28" s="194"/>
      <c r="M28" s="194"/>
    </row>
    <row r="29" spans="1:13" ht="15" customHeight="1" x14ac:dyDescent="0.35">
      <c r="A29" s="162" t="s">
        <v>190</v>
      </c>
      <c r="B29" s="839" t="str">
        <f>+AMAZONAS!B29</f>
        <v>De acuerdo con lo establecido en la Resolución MME 91349 de 2014</v>
      </c>
      <c r="C29" s="839"/>
      <c r="D29" s="839"/>
      <c r="E29" s="839"/>
      <c r="F29" s="839"/>
      <c r="G29" s="839"/>
      <c r="H29" s="839"/>
      <c r="I29" s="839"/>
      <c r="J29" s="216"/>
      <c r="K29" s="216"/>
      <c r="L29" s="216"/>
      <c r="M29" s="216"/>
    </row>
    <row r="30" spans="1:13" ht="25.5" customHeight="1" x14ac:dyDescent="0.35">
      <c r="A30" s="162" t="s">
        <v>217</v>
      </c>
      <c r="B30" s="839" t="s">
        <v>271</v>
      </c>
      <c r="C30" s="839"/>
      <c r="D30" s="839"/>
      <c r="E30" s="839"/>
      <c r="F30" s="839"/>
      <c r="G30" s="839"/>
      <c r="H30" s="839"/>
      <c r="I30" s="839"/>
      <c r="J30" s="194"/>
      <c r="K30" s="194"/>
      <c r="L30" s="194"/>
      <c r="M30" s="194"/>
    </row>
    <row r="31" spans="1:13" ht="51.9" customHeight="1" x14ac:dyDescent="0.35">
      <c r="A31" s="162" t="s">
        <v>133</v>
      </c>
      <c r="B31" s="839" t="s">
        <v>335</v>
      </c>
      <c r="C31" s="839"/>
      <c r="D31" s="839"/>
      <c r="E31" s="839"/>
      <c r="F31" s="839"/>
      <c r="G31" s="839"/>
      <c r="H31" s="839"/>
      <c r="I31" s="839"/>
      <c r="J31" s="194"/>
      <c r="K31" s="194"/>
      <c r="L31" s="194"/>
      <c r="M31" s="194"/>
    </row>
    <row r="32" spans="1:13" x14ac:dyDescent="0.35">
      <c r="A32" s="162"/>
      <c r="B32" s="184"/>
      <c r="C32" s="215"/>
      <c r="D32" s="215"/>
      <c r="E32" s="215"/>
      <c r="F32" s="215"/>
      <c r="G32" s="194"/>
      <c r="H32" s="194"/>
      <c r="I32" s="194"/>
      <c r="J32" s="194"/>
      <c r="K32" s="194"/>
      <c r="L32" s="194"/>
      <c r="M32" s="194"/>
    </row>
    <row r="33" spans="1:13" ht="15" customHeight="1" x14ac:dyDescent="0.35">
      <c r="A33" s="185" t="s">
        <v>102</v>
      </c>
      <c r="B33" s="825" t="s">
        <v>229</v>
      </c>
      <c r="C33" s="825"/>
      <c r="D33" s="825"/>
      <c r="E33" s="825"/>
      <c r="F33" s="825"/>
      <c r="G33" s="825"/>
      <c r="H33" s="825"/>
      <c r="I33" s="825"/>
      <c r="J33" s="194"/>
      <c r="K33" s="194"/>
      <c r="L33" s="194"/>
      <c r="M33" s="194"/>
    </row>
    <row r="34" spans="1:13" ht="15" customHeight="1" x14ac:dyDescent="0.35">
      <c r="A34" s="185" t="s">
        <v>230</v>
      </c>
      <c r="B34" s="839" t="s">
        <v>258</v>
      </c>
      <c r="C34" s="839"/>
      <c r="D34" s="839"/>
      <c r="E34" s="839"/>
      <c r="F34" s="839"/>
      <c r="G34" s="839"/>
      <c r="H34" s="839"/>
      <c r="I34" s="839"/>
      <c r="J34" s="194"/>
      <c r="K34" s="194"/>
      <c r="L34" s="194"/>
      <c r="M34" s="194"/>
    </row>
    <row r="35" spans="1:13" ht="15" customHeight="1" x14ac:dyDescent="0.35">
      <c r="A35" s="162" t="s">
        <v>232</v>
      </c>
      <c r="B35" s="839" t="s">
        <v>233</v>
      </c>
      <c r="C35" s="839"/>
      <c r="D35" s="839"/>
      <c r="E35" s="839"/>
      <c r="F35" s="839"/>
      <c r="G35" s="839"/>
      <c r="H35" s="839"/>
      <c r="I35" s="162"/>
      <c r="J35" s="825"/>
      <c r="K35" s="825"/>
      <c r="L35" s="825"/>
      <c r="M35" s="825"/>
    </row>
    <row r="36" spans="1:13" ht="19.649999999999999" customHeight="1" x14ac:dyDescent="0.35">
      <c r="A36" s="162" t="s">
        <v>234</v>
      </c>
      <c r="B36" s="825" t="s">
        <v>473</v>
      </c>
      <c r="C36" s="825"/>
      <c r="D36" s="825"/>
      <c r="E36" s="825"/>
      <c r="F36" s="825"/>
      <c r="G36" s="825"/>
      <c r="H36" s="825"/>
      <c r="I36" s="162"/>
      <c r="J36" s="163"/>
      <c r="K36" s="163"/>
      <c r="L36" s="163"/>
      <c r="M36" s="163"/>
    </row>
    <row r="37" spans="1:13" ht="24" customHeight="1" x14ac:dyDescent="0.35">
      <c r="A37" s="185" t="s">
        <v>236</v>
      </c>
      <c r="B37" s="839" t="s">
        <v>238</v>
      </c>
      <c r="C37" s="839"/>
      <c r="D37" s="839"/>
      <c r="E37" s="839"/>
      <c r="F37" s="839"/>
      <c r="G37" s="839"/>
      <c r="H37" s="839"/>
      <c r="I37" s="839"/>
      <c r="J37" s="194"/>
      <c r="K37" s="194"/>
      <c r="L37" s="194"/>
      <c r="M37" s="194"/>
    </row>
    <row r="38" spans="1:13" ht="26.25" customHeight="1" x14ac:dyDescent="0.35">
      <c r="A38" s="185" t="s">
        <v>237</v>
      </c>
      <c r="B38" s="839" t="s">
        <v>256</v>
      </c>
      <c r="C38" s="839"/>
      <c r="D38" s="839"/>
      <c r="E38" s="839"/>
      <c r="F38" s="839"/>
      <c r="G38" s="839"/>
      <c r="H38" s="839"/>
      <c r="I38" s="839"/>
      <c r="J38" s="194"/>
      <c r="K38" s="194"/>
      <c r="L38" s="194"/>
      <c r="M38" s="194"/>
    </row>
    <row r="39" spans="1:13" ht="27.5" customHeight="1" x14ac:dyDescent="0.35">
      <c r="A39" s="185"/>
      <c r="B39" s="825" t="s">
        <v>477</v>
      </c>
      <c r="C39" s="825"/>
      <c r="D39" s="825"/>
      <c r="E39" s="825"/>
      <c r="F39" s="825"/>
      <c r="G39" s="825"/>
      <c r="H39" s="825"/>
      <c r="I39" s="825"/>
      <c r="J39" s="194"/>
      <c r="K39" s="194"/>
      <c r="L39" s="194"/>
      <c r="M39" s="194"/>
    </row>
    <row r="41" spans="1:13" ht="87.9" customHeight="1" x14ac:dyDescent="0.35">
      <c r="A41" s="845" t="s">
        <v>147</v>
      </c>
      <c r="B41" s="845"/>
      <c r="C41" s="845"/>
      <c r="D41" s="845"/>
      <c r="E41" s="845"/>
      <c r="F41" s="845"/>
      <c r="G41" s="845"/>
      <c r="H41" s="845"/>
      <c r="I41" s="845"/>
    </row>
  </sheetData>
  <sheetProtection algorithmName="SHA-512" hashValue="cPysDUQkcf2Js+Zs5v9LjyxrxzNxc40/a7iy27+MqjvSTgCA44XpZTUqJIhQCYNG35oq5PxxYylcu+7breOS7A==" saltValue="qlkgYrL9RX4EMuihxHoNIw==" spinCount="100000" sheet="1" objects="1" scenarios="1"/>
  <mergeCells count="17">
    <mergeCell ref="A5:A7"/>
    <mergeCell ref="B5:B7"/>
    <mergeCell ref="C5:C6"/>
    <mergeCell ref="J35:M35"/>
    <mergeCell ref="B30:I30"/>
    <mergeCell ref="C3:F4"/>
    <mergeCell ref="G3:H4"/>
    <mergeCell ref="B31:I31"/>
    <mergeCell ref="B29:I29"/>
    <mergeCell ref="B36:H36"/>
    <mergeCell ref="A41:I41"/>
    <mergeCell ref="B33:I33"/>
    <mergeCell ref="B34:I34"/>
    <mergeCell ref="B37:I37"/>
    <mergeCell ref="B38:I38"/>
    <mergeCell ref="B35:H35"/>
    <mergeCell ref="B39:I39"/>
  </mergeCells>
  <hyperlinks>
    <hyperlink ref="B27" location="ARAUCA!A42" display="Ver Nota Informativa" xr:uid="{00000000-0004-0000-0900-000000000000}"/>
  </hyperlinks>
  <pageMargins left="0.7" right="0.7" top="0.75" bottom="0.75" header="0.3" footer="0.3"/>
  <pageSetup orientation="portrait" r:id="rId1"/>
  <ignoredErrors>
    <ignoredError sqref="C11 C22:H25 C12 C17:C21 F11" formula="1"/>
    <ignoredError sqref="D12:H12 D15:H15 D13:F13 H13 D14:F14 H14 D17:H21" numberStoredAsText="1" 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dimension ref="A1:R41"/>
  <sheetViews>
    <sheetView zoomScale="85" zoomScaleNormal="85" workbookViewId="0">
      <selection activeCell="E8" sqref="E8"/>
    </sheetView>
  </sheetViews>
  <sheetFormatPr baseColWidth="10" defaultRowHeight="14.5" x14ac:dyDescent="0.35"/>
  <cols>
    <col min="1" max="1" width="6.08984375" customWidth="1"/>
    <col min="2" max="2" width="57.36328125" customWidth="1"/>
    <col min="3" max="3" width="12.90625" customWidth="1"/>
    <col min="4" max="4" width="12.90625" hidden="1" customWidth="1"/>
    <col min="5" max="5" width="12.90625" style="693" customWidth="1"/>
    <col min="6" max="6" width="13.36328125" hidden="1" customWidth="1"/>
    <col min="7" max="7" width="12.90625" customWidth="1"/>
    <col min="8" max="8" width="13.6328125" hidden="1" customWidth="1"/>
    <col min="9" max="9" width="13.6328125" style="693" customWidth="1"/>
    <col min="10" max="10" width="12.90625" customWidth="1"/>
    <col min="11" max="11" width="14.36328125" customWidth="1"/>
    <col min="12" max="12" width="0" hidden="1" customWidth="1"/>
  </cols>
  <sheetData>
    <row r="1" spans="1:12" x14ac:dyDescent="0.35">
      <c r="A1" s="138"/>
      <c r="B1" s="139" t="str">
        <f>+AMAZONAS!C1</f>
        <v>Vigencia: 01 de enero de 2022; 00:00 horas</v>
      </c>
      <c r="C1" s="139"/>
      <c r="D1" s="139"/>
      <c r="E1" s="139"/>
      <c r="F1" s="139"/>
      <c r="G1" s="139"/>
      <c r="H1" s="139"/>
      <c r="I1" s="139"/>
      <c r="J1" s="139"/>
    </row>
    <row r="2" spans="1:12" ht="15" thickBot="1" x14ac:dyDescent="0.4">
      <c r="A2" s="229" t="s">
        <v>179</v>
      </c>
      <c r="B2" s="230"/>
      <c r="C2" s="230"/>
      <c r="D2" s="230"/>
      <c r="E2" s="230"/>
      <c r="F2" s="230"/>
      <c r="G2" s="230"/>
      <c r="H2" s="230"/>
      <c r="I2" s="230"/>
      <c r="J2" s="230"/>
    </row>
    <row r="3" spans="1:12" ht="15.9" customHeight="1" thickTop="1" x14ac:dyDescent="0.35">
      <c r="A3" s="195"/>
      <c r="B3" s="168" t="s">
        <v>259</v>
      </c>
      <c r="C3" s="846" t="s">
        <v>180</v>
      </c>
      <c r="D3" s="847"/>
      <c r="E3" s="847"/>
      <c r="F3" s="847"/>
      <c r="G3" s="848"/>
      <c r="H3" s="856" t="s">
        <v>250</v>
      </c>
      <c r="I3" s="857"/>
      <c r="J3" s="858"/>
    </row>
    <row r="4" spans="1:12" x14ac:dyDescent="0.35">
      <c r="A4" s="140"/>
      <c r="B4" s="170" t="s">
        <v>260</v>
      </c>
      <c r="C4" s="849"/>
      <c r="D4" s="850"/>
      <c r="E4" s="850"/>
      <c r="F4" s="850"/>
      <c r="G4" s="851"/>
      <c r="H4" s="859"/>
      <c r="I4" s="860"/>
      <c r="J4" s="861"/>
    </row>
    <row r="5" spans="1:12" ht="39" x14ac:dyDescent="0.35">
      <c r="A5" s="840" t="s">
        <v>181</v>
      </c>
      <c r="B5" s="842" t="s">
        <v>182</v>
      </c>
      <c r="C5" s="826" t="s">
        <v>241</v>
      </c>
      <c r="D5" s="171" t="s">
        <v>96</v>
      </c>
      <c r="E5" s="702" t="s">
        <v>96</v>
      </c>
      <c r="F5" s="171" t="s">
        <v>172</v>
      </c>
      <c r="G5" s="171" t="s">
        <v>524</v>
      </c>
      <c r="H5" s="171" t="s">
        <v>96</v>
      </c>
      <c r="I5" s="702" t="s">
        <v>96</v>
      </c>
      <c r="J5" s="142" t="str">
        <f>+G5</f>
        <v>Biodiesel B11</v>
      </c>
    </row>
    <row r="6" spans="1:12" x14ac:dyDescent="0.35">
      <c r="A6" s="840"/>
      <c r="B6" s="842"/>
      <c r="C6" s="827"/>
      <c r="D6" s="582" t="s">
        <v>512</v>
      </c>
      <c r="E6" s="582" t="s">
        <v>522</v>
      </c>
      <c r="F6" s="189">
        <v>0.02</v>
      </c>
      <c r="G6" s="397">
        <v>0.11</v>
      </c>
      <c r="H6" s="558" t="str">
        <f>+D6</f>
        <v>Oxigena 5%</v>
      </c>
      <c r="I6" s="558" t="str">
        <f>+E6</f>
        <v>Oxigena 6%</v>
      </c>
      <c r="J6" s="172">
        <f>+G6</f>
        <v>0.11</v>
      </c>
    </row>
    <row r="7" spans="1:12" x14ac:dyDescent="0.35">
      <c r="A7" s="841"/>
      <c r="B7" s="843"/>
      <c r="C7" s="141" t="s">
        <v>183</v>
      </c>
      <c r="D7" s="171" t="s">
        <v>183</v>
      </c>
      <c r="E7" s="702" t="s">
        <v>183</v>
      </c>
      <c r="F7" s="171" t="s">
        <v>183</v>
      </c>
      <c r="G7" s="171" t="s">
        <v>183</v>
      </c>
      <c r="H7" s="141" t="s">
        <v>183</v>
      </c>
      <c r="I7" s="701" t="s">
        <v>183</v>
      </c>
      <c r="J7" s="142" t="s">
        <v>183</v>
      </c>
    </row>
    <row r="8" spans="1:12" x14ac:dyDescent="0.35">
      <c r="A8" s="143" t="s">
        <v>184</v>
      </c>
      <c r="B8" s="149" t="s">
        <v>185</v>
      </c>
      <c r="C8" s="213">
        <f>+'Calculo IP ZDF'!B30</f>
        <v>5099.7039799999993</v>
      </c>
      <c r="D8" s="219">
        <f>+'Calculo IP ZDF'!H30</f>
        <v>5349.7812809999996</v>
      </c>
      <c r="E8" s="219">
        <f>+'Calculo IP ZDF'!I30</f>
        <v>5399.7967411999989</v>
      </c>
      <c r="F8" s="221">
        <f>+'Calculo IP ZDF'!F30</f>
        <v>4617.5284897600004</v>
      </c>
      <c r="G8" s="220">
        <f>+'Calculo IP ZDF'!J30</f>
        <v>6031.3715896800004</v>
      </c>
      <c r="H8" s="198">
        <f>+'GAS CTE'!E9</f>
        <v>5358.517499999999</v>
      </c>
      <c r="I8" s="198">
        <f>+'GAS CTE'!F9</f>
        <v>5408.45</v>
      </c>
      <c r="J8" s="223">
        <f>+BIODIESEL!I9</f>
        <v>6189.2880000000005</v>
      </c>
    </row>
    <row r="9" spans="1:12" x14ac:dyDescent="0.35">
      <c r="A9" s="143" t="s">
        <v>186</v>
      </c>
      <c r="B9" s="149" t="s">
        <v>187</v>
      </c>
      <c r="C9" s="199" t="str">
        <f t="shared" ref="C9:C13" si="0">+D9</f>
        <v>------------------</v>
      </c>
      <c r="D9" s="200" t="s">
        <v>188</v>
      </c>
      <c r="E9" s="684" t="s">
        <v>188</v>
      </c>
      <c r="F9" s="684" t="s">
        <v>188</v>
      </c>
      <c r="G9" s="148" t="s">
        <v>188</v>
      </c>
      <c r="H9" s="198">
        <f>+'GAS CTE'!E10</f>
        <v>527.2974999999999</v>
      </c>
      <c r="I9" s="198">
        <f>+'GAS CTE'!F10</f>
        <v>521.74699999999996</v>
      </c>
      <c r="J9" s="224">
        <f>+BIODIESEL!I10</f>
        <v>472.83</v>
      </c>
    </row>
    <row r="10" spans="1:12" x14ac:dyDescent="0.35">
      <c r="A10" s="143"/>
      <c r="B10" s="149" t="s">
        <v>132</v>
      </c>
      <c r="C10" s="199" t="str">
        <f>+D10</f>
        <v>------------------</v>
      </c>
      <c r="D10" s="200" t="s">
        <v>188</v>
      </c>
      <c r="E10" s="684" t="s">
        <v>188</v>
      </c>
      <c r="F10" s="684" t="s">
        <v>188</v>
      </c>
      <c r="G10" s="148" t="s">
        <v>188</v>
      </c>
      <c r="H10" s="214" t="str">
        <f>+COMBUSTIBLES!B12</f>
        <v>(3)</v>
      </c>
      <c r="I10" s="214" t="str">
        <f>+H10</f>
        <v>(3)</v>
      </c>
      <c r="J10" s="224" t="str">
        <f>+BIODIESEL!H11</f>
        <v>(3)</v>
      </c>
    </row>
    <row r="11" spans="1:12" x14ac:dyDescent="0.35">
      <c r="A11" s="143"/>
      <c r="B11" s="149" t="s">
        <v>134</v>
      </c>
      <c r="C11" s="199">
        <f>+'GAS CTE'!C12</f>
        <v>159</v>
      </c>
      <c r="D11" s="200">
        <f>+'GAS CTE'!E12</f>
        <v>151.04999999999998</v>
      </c>
      <c r="E11" s="684">
        <f>+'GAS CTE'!F12</f>
        <v>149.45999999999998</v>
      </c>
      <c r="F11" s="684">
        <f>+BIODIESEL!E12</f>
        <v>175.42</v>
      </c>
      <c r="G11" s="148">
        <f>+BIODIESEL!I12</f>
        <v>159.31</v>
      </c>
      <c r="H11" s="198">
        <f>+'GAS CTE'!E12</f>
        <v>151.04999999999998</v>
      </c>
      <c r="I11" s="198">
        <f>+'GAS CTE'!F12</f>
        <v>149.45999999999998</v>
      </c>
      <c r="J11" s="220">
        <f>+G11</f>
        <v>159.31</v>
      </c>
      <c r="L11" s="446" t="s">
        <v>428</v>
      </c>
    </row>
    <row r="12" spans="1:12" x14ac:dyDescent="0.35">
      <c r="A12" s="143" t="s">
        <v>189</v>
      </c>
      <c r="B12" s="149" t="s">
        <v>251</v>
      </c>
      <c r="C12" s="199" t="str">
        <f t="shared" si="0"/>
        <v>(2)</v>
      </c>
      <c r="D12" s="147" t="s">
        <v>217</v>
      </c>
      <c r="E12" s="209" t="s">
        <v>217</v>
      </c>
      <c r="F12" s="209" t="s">
        <v>217</v>
      </c>
      <c r="G12" s="148" t="s">
        <v>217</v>
      </c>
      <c r="H12" s="198" t="str">
        <f>+G12</f>
        <v>(2)</v>
      </c>
      <c r="I12" s="198" t="str">
        <f>+H12</f>
        <v>(2)</v>
      </c>
      <c r="J12" s="223" t="s">
        <v>217</v>
      </c>
    </row>
    <row r="13" spans="1:12" x14ac:dyDescent="0.35">
      <c r="A13" s="143" t="s">
        <v>252</v>
      </c>
      <c r="B13" s="149" t="s">
        <v>253</v>
      </c>
      <c r="C13" s="199" t="str">
        <f t="shared" si="0"/>
        <v>N.A.</v>
      </c>
      <c r="D13" s="147" t="s">
        <v>254</v>
      </c>
      <c r="E13" s="209" t="s">
        <v>254</v>
      </c>
      <c r="F13" s="684" t="s">
        <v>218</v>
      </c>
      <c r="G13" s="148" t="str">
        <f>+F13</f>
        <v>(4)</v>
      </c>
      <c r="H13" s="198" t="s">
        <v>254</v>
      </c>
      <c r="I13" s="198" t="s">
        <v>254</v>
      </c>
      <c r="J13" s="220" t="str">
        <f>+G13</f>
        <v>(4)</v>
      </c>
    </row>
    <row r="14" spans="1:12" x14ac:dyDescent="0.35">
      <c r="A14" s="143" t="s">
        <v>191</v>
      </c>
      <c r="B14" s="149" t="s">
        <v>192</v>
      </c>
      <c r="C14" s="199">
        <f>+RUBROS!Z15</f>
        <v>22.249601678692599</v>
      </c>
      <c r="D14" s="147">
        <f>+C14</f>
        <v>22.249601678692599</v>
      </c>
      <c r="E14" s="209">
        <f>+D14</f>
        <v>22.249601678692599</v>
      </c>
      <c r="F14" s="209">
        <f>+D14</f>
        <v>22.249601678692599</v>
      </c>
      <c r="G14" s="148">
        <f>+F14</f>
        <v>22.249601678692599</v>
      </c>
      <c r="H14" s="198">
        <f>+RUBROS!AA14</f>
        <v>22.249601678692599</v>
      </c>
      <c r="I14" s="198">
        <f>+H14</f>
        <v>22.249601678692599</v>
      </c>
      <c r="J14" s="223">
        <f>+H14</f>
        <v>22.249601678692599</v>
      </c>
      <c r="L14" s="446" t="s">
        <v>428</v>
      </c>
    </row>
    <row r="15" spans="1:12" x14ac:dyDescent="0.35">
      <c r="A15" s="143" t="s">
        <v>195</v>
      </c>
      <c r="B15" s="218" t="s">
        <v>196</v>
      </c>
      <c r="C15" s="199">
        <f>+RUBROS!AU29</f>
        <v>13.326421256197724</v>
      </c>
      <c r="D15" s="147">
        <f>+C15</f>
        <v>13.326421256197724</v>
      </c>
      <c r="E15" s="147">
        <f>+D15</f>
        <v>13.326421256197724</v>
      </c>
      <c r="F15" s="201">
        <f>+C15</f>
        <v>13.326421256197724</v>
      </c>
      <c r="G15" s="146">
        <f>+C15</f>
        <v>13.326421256197724</v>
      </c>
      <c r="H15" s="198">
        <f>+C15</f>
        <v>13.326421256197724</v>
      </c>
      <c r="I15" s="198">
        <f>+H15</f>
        <v>13.326421256197724</v>
      </c>
      <c r="J15" s="223">
        <f>+H15</f>
        <v>13.326421256197724</v>
      </c>
      <c r="L15" s="446" t="s">
        <v>427</v>
      </c>
    </row>
    <row r="16" spans="1:12" ht="20.25" hidden="1" customHeight="1" x14ac:dyDescent="0.35">
      <c r="A16" s="143"/>
      <c r="B16" s="149" t="s">
        <v>197</v>
      </c>
      <c r="C16" s="199"/>
      <c r="D16" s="202"/>
      <c r="E16" s="203"/>
      <c r="F16" s="203"/>
      <c r="G16" s="146"/>
      <c r="H16" s="198"/>
      <c r="I16" s="657"/>
      <c r="J16" s="225"/>
    </row>
    <row r="17" spans="1:18" x14ac:dyDescent="0.35">
      <c r="A17" s="150" t="s">
        <v>198</v>
      </c>
      <c r="B17" s="180" t="s">
        <v>199</v>
      </c>
      <c r="C17" s="204">
        <f t="shared" ref="C17:J17" si="1">SUM(C8:C16)</f>
        <v>5294.28000293489</v>
      </c>
      <c r="D17" s="205">
        <f t="shared" si="1"/>
        <v>5536.4073039348905</v>
      </c>
      <c r="E17" s="205">
        <f t="shared" si="1"/>
        <v>5584.8327641348897</v>
      </c>
      <c r="F17" s="205">
        <f t="shared" si="1"/>
        <v>4828.5245126948912</v>
      </c>
      <c r="G17" s="206">
        <f t="shared" si="1"/>
        <v>6226.2576126148915</v>
      </c>
      <c r="H17" s="207">
        <f t="shared" si="1"/>
        <v>6072.4410229348896</v>
      </c>
      <c r="I17" s="207">
        <f t="shared" si="1"/>
        <v>6115.2330229348909</v>
      </c>
      <c r="J17" s="226">
        <f t="shared" si="1"/>
        <v>6857.0040229348915</v>
      </c>
    </row>
    <row r="18" spans="1:18" x14ac:dyDescent="0.35">
      <c r="A18" s="143" t="s">
        <v>200</v>
      </c>
      <c r="B18" s="149" t="s">
        <v>201</v>
      </c>
      <c r="C18" s="199" t="s">
        <v>232</v>
      </c>
      <c r="D18" s="208" t="str">
        <f>+C18</f>
        <v>***</v>
      </c>
      <c r="E18" s="208" t="str">
        <f>+D18</f>
        <v>***</v>
      </c>
      <c r="F18" s="208" t="str">
        <f>+C18</f>
        <v>***</v>
      </c>
      <c r="G18" s="146" t="str">
        <f>+C18</f>
        <v>***</v>
      </c>
      <c r="H18" s="201" t="str">
        <f>+J18</f>
        <v>***</v>
      </c>
      <c r="I18" s="201" t="str">
        <f>+H18</f>
        <v>***</v>
      </c>
      <c r="J18" s="227" t="s">
        <v>232</v>
      </c>
    </row>
    <row r="19" spans="1:18" x14ac:dyDescent="0.35">
      <c r="A19" s="143" t="s">
        <v>202</v>
      </c>
      <c r="B19" s="149" t="s">
        <v>203</v>
      </c>
      <c r="C19" s="199" t="str">
        <f>+D19</f>
        <v>**</v>
      </c>
      <c r="D19" s="209" t="s">
        <v>230</v>
      </c>
      <c r="E19" s="209" t="s">
        <v>230</v>
      </c>
      <c r="F19" s="209" t="s">
        <v>230</v>
      </c>
      <c r="G19" s="146" t="s">
        <v>230</v>
      </c>
      <c r="H19" s="201" t="str">
        <f>+J19</f>
        <v>**</v>
      </c>
      <c r="I19" s="201" t="str">
        <f>+H19</f>
        <v>**</v>
      </c>
      <c r="J19" s="220" t="s">
        <v>230</v>
      </c>
    </row>
    <row r="20" spans="1:18" x14ac:dyDescent="0.35">
      <c r="A20" s="143" t="s">
        <v>204</v>
      </c>
      <c r="B20" s="149" t="s">
        <v>205</v>
      </c>
      <c r="C20" s="199" t="str">
        <f>+D20</f>
        <v>****</v>
      </c>
      <c r="D20" s="147" t="s">
        <v>234</v>
      </c>
      <c r="E20" s="147" t="s">
        <v>234</v>
      </c>
      <c r="F20" s="147" t="str">
        <f>+D20</f>
        <v>****</v>
      </c>
      <c r="G20" s="146" t="str">
        <f>+F20</f>
        <v>****</v>
      </c>
      <c r="H20" s="201" t="str">
        <f>+G20</f>
        <v>****</v>
      </c>
      <c r="I20" s="201" t="str">
        <f>+H20</f>
        <v>****</v>
      </c>
      <c r="J20" s="223" t="str">
        <f>+G20</f>
        <v>****</v>
      </c>
    </row>
    <row r="21" spans="1:18" x14ac:dyDescent="0.35">
      <c r="A21" s="150" t="s">
        <v>206</v>
      </c>
      <c r="B21" s="180" t="s">
        <v>207</v>
      </c>
      <c r="C21" s="204">
        <f t="shared" ref="C21:J21" si="2">+C17</f>
        <v>5294.28000293489</v>
      </c>
      <c r="D21" s="204">
        <f t="shared" si="2"/>
        <v>5536.4073039348905</v>
      </c>
      <c r="E21" s="204">
        <f t="shared" ref="E21" si="3">+E17</f>
        <v>5584.8327641348897</v>
      </c>
      <c r="F21" s="204">
        <f t="shared" si="2"/>
        <v>4828.5245126948912</v>
      </c>
      <c r="G21" s="222">
        <f t="shared" si="2"/>
        <v>6226.2576126148915</v>
      </c>
      <c r="H21" s="204">
        <f t="shared" si="2"/>
        <v>6072.4410229348896</v>
      </c>
      <c r="I21" s="204">
        <f t="shared" ref="I21" si="4">+I17</f>
        <v>6115.2330229348909</v>
      </c>
      <c r="J21" s="222">
        <f t="shared" si="2"/>
        <v>6857.0040229348915</v>
      </c>
    </row>
    <row r="22" spans="1:18" x14ac:dyDescent="0.35">
      <c r="A22" s="143" t="s">
        <v>208</v>
      </c>
      <c r="B22" s="149" t="s">
        <v>160</v>
      </c>
      <c r="C22" s="199" t="s">
        <v>232</v>
      </c>
      <c r="D22" s="147" t="str">
        <f>+C22</f>
        <v>***</v>
      </c>
      <c r="E22" s="147" t="str">
        <f>+D22</f>
        <v>***</v>
      </c>
      <c r="F22" s="147" t="str">
        <f>+D22</f>
        <v>***</v>
      </c>
      <c r="G22" s="146" t="str">
        <f>+F22</f>
        <v>***</v>
      </c>
      <c r="H22" s="201" t="str">
        <f>+J22</f>
        <v>***</v>
      </c>
      <c r="I22" s="201">
        <f>+K22</f>
        <v>0</v>
      </c>
      <c r="J22" s="223" t="s">
        <v>232</v>
      </c>
    </row>
    <row r="23" spans="1:18" x14ac:dyDescent="0.35">
      <c r="A23" s="143" t="s">
        <v>209</v>
      </c>
      <c r="B23" s="144" t="s">
        <v>210</v>
      </c>
      <c r="C23" s="199" t="str">
        <f>+D23</f>
        <v>*****</v>
      </c>
      <c r="D23" s="147" t="s">
        <v>236</v>
      </c>
      <c r="E23" s="147" t="s">
        <v>236</v>
      </c>
      <c r="F23" s="147" t="s">
        <v>254</v>
      </c>
      <c r="G23" s="146" t="s">
        <v>211</v>
      </c>
      <c r="H23" s="201" t="str">
        <f>+D23</f>
        <v>*****</v>
      </c>
      <c r="I23" s="201" t="str">
        <f>+E23</f>
        <v>*****</v>
      </c>
      <c r="J23" s="223" t="s">
        <v>255</v>
      </c>
    </row>
    <row r="24" spans="1:18" x14ac:dyDescent="0.35">
      <c r="A24" s="143" t="s">
        <v>212</v>
      </c>
      <c r="B24" s="149" t="s">
        <v>213</v>
      </c>
      <c r="C24" s="199" t="str">
        <f>+D24</f>
        <v>******</v>
      </c>
      <c r="D24" s="209" t="s">
        <v>237</v>
      </c>
      <c r="E24" s="209" t="s">
        <v>237</v>
      </c>
      <c r="F24" s="209" t="str">
        <f>+D24</f>
        <v>******</v>
      </c>
      <c r="G24" s="148" t="str">
        <f>+F24</f>
        <v>******</v>
      </c>
      <c r="H24" s="201" t="str">
        <f>+G24</f>
        <v>******</v>
      </c>
      <c r="I24" s="201" t="str">
        <f>+H24</f>
        <v>******</v>
      </c>
      <c r="J24" s="220" t="str">
        <f>+H24</f>
        <v>******</v>
      </c>
    </row>
    <row r="25" spans="1:18" ht="15" thickBot="1" x14ac:dyDescent="0.4">
      <c r="A25" s="154" t="s">
        <v>214</v>
      </c>
      <c r="B25" s="155" t="s">
        <v>215</v>
      </c>
      <c r="C25" s="210"/>
      <c r="D25" s="158"/>
      <c r="E25" s="211"/>
      <c r="F25" s="211"/>
      <c r="G25" s="157"/>
      <c r="H25" s="211"/>
      <c r="I25" s="211"/>
      <c r="J25" s="228"/>
    </row>
    <row r="26" spans="1:18" ht="15" thickTop="1" x14ac:dyDescent="0.35"/>
    <row r="27" spans="1:18" x14ac:dyDescent="0.35">
      <c r="A27" s="162"/>
      <c r="B27" s="266" t="s">
        <v>228</v>
      </c>
      <c r="C27" s="215"/>
      <c r="D27" s="215"/>
      <c r="E27" s="215"/>
      <c r="F27" s="215"/>
      <c r="G27" s="215"/>
      <c r="H27" s="194"/>
      <c r="I27" s="194"/>
      <c r="J27" s="194"/>
      <c r="K27" s="194"/>
      <c r="L27" s="194"/>
      <c r="M27" s="194"/>
      <c r="N27" s="194"/>
      <c r="O27" s="194"/>
      <c r="P27" s="194"/>
      <c r="Q27" s="194"/>
      <c r="R27" s="194"/>
    </row>
    <row r="28" spans="1:18" x14ac:dyDescent="0.35">
      <c r="A28" s="162"/>
      <c r="B28" s="184"/>
      <c r="C28" s="215"/>
      <c r="D28" s="215"/>
      <c r="E28" s="215"/>
      <c r="F28" s="215"/>
      <c r="G28" s="215"/>
      <c r="H28" s="194"/>
      <c r="I28" s="194"/>
      <c r="J28" s="194"/>
      <c r="K28" s="194"/>
      <c r="L28" s="194"/>
      <c r="M28" s="194"/>
      <c r="N28" s="194"/>
      <c r="O28" s="194"/>
      <c r="P28" s="194"/>
      <c r="Q28" s="194"/>
      <c r="R28" s="194"/>
    </row>
    <row r="29" spans="1:18" x14ac:dyDescent="0.35">
      <c r="A29" s="162" t="s">
        <v>190</v>
      </c>
      <c r="B29" s="839" t="str">
        <f>+ARAUCA!B29</f>
        <v>De acuerdo con lo establecido en la Resolución MME 91349 de 2014</v>
      </c>
      <c r="C29" s="839"/>
      <c r="D29" s="839"/>
      <c r="E29" s="839"/>
      <c r="F29" s="839"/>
      <c r="G29" s="839"/>
      <c r="H29" s="839"/>
      <c r="I29" s="839"/>
      <c r="J29" s="839"/>
      <c r="K29" s="839"/>
      <c r="L29" s="839"/>
      <c r="M29" s="216"/>
      <c r="N29" s="216"/>
      <c r="O29" s="216"/>
      <c r="P29" s="216"/>
      <c r="Q29" s="216"/>
      <c r="R29" s="216"/>
    </row>
    <row r="30" spans="1:18" x14ac:dyDescent="0.35">
      <c r="A30" s="162" t="s">
        <v>217</v>
      </c>
      <c r="B30" s="190" t="s">
        <v>216</v>
      </c>
      <c r="C30" s="215"/>
      <c r="D30" s="215"/>
      <c r="E30" s="215"/>
      <c r="F30" s="215"/>
      <c r="G30" s="215"/>
      <c r="H30" s="194"/>
      <c r="I30" s="194"/>
      <c r="J30" s="194"/>
      <c r="K30" s="194"/>
      <c r="L30" s="194"/>
      <c r="M30" s="194"/>
      <c r="N30" s="194"/>
      <c r="O30" s="194"/>
      <c r="P30" s="194"/>
      <c r="Q30" s="194"/>
      <c r="R30" s="194"/>
    </row>
    <row r="31" spans="1:18" ht="53.4" customHeight="1" x14ac:dyDescent="0.35">
      <c r="A31" s="162" t="s">
        <v>133</v>
      </c>
      <c r="B31" s="839" t="s">
        <v>335</v>
      </c>
      <c r="C31" s="839"/>
      <c r="D31" s="839"/>
      <c r="E31" s="839"/>
      <c r="F31" s="839"/>
      <c r="G31" s="839"/>
      <c r="H31" s="839"/>
      <c r="I31" s="839"/>
      <c r="J31" s="839"/>
      <c r="K31" s="839"/>
      <c r="L31" s="839"/>
      <c r="M31" s="194"/>
      <c r="N31" s="194"/>
      <c r="O31" s="194"/>
      <c r="P31" s="194"/>
      <c r="Q31" s="194"/>
      <c r="R31" s="194"/>
    </row>
    <row r="32" spans="1:18" ht="24.75" customHeight="1" x14ac:dyDescent="0.35">
      <c r="A32" s="162" t="s">
        <v>218</v>
      </c>
      <c r="B32" s="839" t="s">
        <v>257</v>
      </c>
      <c r="C32" s="839"/>
      <c r="D32" s="839"/>
      <c r="E32" s="839"/>
      <c r="F32" s="839"/>
      <c r="G32" s="839"/>
      <c r="H32" s="839"/>
      <c r="I32" s="839"/>
      <c r="J32" s="839"/>
      <c r="K32" s="839"/>
      <c r="L32" s="839"/>
      <c r="M32" s="194"/>
      <c r="N32" s="194"/>
      <c r="O32" s="194"/>
      <c r="P32" s="194"/>
      <c r="Q32" s="194"/>
      <c r="R32" s="194"/>
    </row>
    <row r="33" spans="1:18" x14ac:dyDescent="0.35">
      <c r="A33" s="162"/>
      <c r="B33" s="184"/>
      <c r="C33" s="215"/>
      <c r="D33" s="215"/>
      <c r="E33" s="215"/>
      <c r="F33" s="215"/>
      <c r="G33" s="215"/>
      <c r="H33" s="194"/>
      <c r="I33" s="194"/>
      <c r="J33" s="194"/>
      <c r="K33" s="194"/>
      <c r="L33" s="194"/>
      <c r="M33" s="194"/>
      <c r="N33" s="194"/>
      <c r="O33" s="194"/>
      <c r="P33" s="194"/>
      <c r="Q33" s="194"/>
      <c r="R33" s="194"/>
    </row>
    <row r="34" spans="1:18" x14ac:dyDescent="0.35">
      <c r="A34" s="185" t="s">
        <v>102</v>
      </c>
      <c r="B34" s="825" t="s">
        <v>229</v>
      </c>
      <c r="C34" s="825"/>
      <c r="D34" s="825"/>
      <c r="E34" s="825"/>
      <c r="F34" s="825"/>
      <c r="G34" s="825"/>
      <c r="H34" s="825"/>
      <c r="I34" s="825"/>
      <c r="J34" s="825"/>
      <c r="K34" s="825"/>
      <c r="L34" s="825"/>
      <c r="M34" s="194"/>
      <c r="N34" s="194"/>
      <c r="O34" s="194"/>
      <c r="P34" s="194"/>
      <c r="Q34" s="194"/>
      <c r="R34" s="194"/>
    </row>
    <row r="35" spans="1:18" x14ac:dyDescent="0.35">
      <c r="A35" s="185" t="s">
        <v>230</v>
      </c>
      <c r="B35" s="839" t="s">
        <v>262</v>
      </c>
      <c r="C35" s="839"/>
      <c r="D35" s="839"/>
      <c r="E35" s="839"/>
      <c r="F35" s="839"/>
      <c r="G35" s="839"/>
      <c r="H35" s="839"/>
      <c r="I35" s="839"/>
      <c r="J35" s="839"/>
      <c r="K35" s="839"/>
      <c r="L35" s="839"/>
      <c r="M35" s="194"/>
      <c r="N35" s="194"/>
      <c r="O35" s="194"/>
      <c r="P35" s="194"/>
      <c r="Q35" s="194"/>
      <c r="R35" s="194"/>
    </row>
    <row r="36" spans="1:18" x14ac:dyDescent="0.35">
      <c r="A36" s="162" t="s">
        <v>232</v>
      </c>
      <c r="B36" s="839" t="s">
        <v>233</v>
      </c>
      <c r="C36" s="839"/>
      <c r="D36" s="839"/>
      <c r="E36" s="839"/>
      <c r="F36" s="839"/>
      <c r="G36" s="839"/>
      <c r="H36" s="839"/>
      <c r="I36" s="839"/>
      <c r="J36" s="839"/>
      <c r="K36" s="162"/>
      <c r="L36" s="825"/>
      <c r="M36" s="825"/>
      <c r="N36" s="825"/>
      <c r="O36" s="825"/>
      <c r="P36" s="825"/>
      <c r="Q36" s="825"/>
      <c r="R36" s="825"/>
    </row>
    <row r="37" spans="1:18" x14ac:dyDescent="0.35">
      <c r="A37" s="162" t="s">
        <v>234</v>
      </c>
      <c r="B37" s="825" t="s">
        <v>473</v>
      </c>
      <c r="C37" s="825"/>
      <c r="D37" s="825"/>
      <c r="E37" s="825"/>
      <c r="F37" s="825"/>
      <c r="G37" s="825"/>
      <c r="H37" s="825"/>
      <c r="I37" s="825"/>
      <c r="J37" s="825"/>
      <c r="K37" s="162"/>
      <c r="L37" s="190"/>
      <c r="M37" s="190"/>
      <c r="N37" s="190"/>
      <c r="O37" s="190"/>
      <c r="P37" s="190"/>
      <c r="Q37" s="190"/>
      <c r="R37" s="190"/>
    </row>
    <row r="38" spans="1:18" x14ac:dyDescent="0.35">
      <c r="A38" s="185" t="s">
        <v>236</v>
      </c>
      <c r="B38" s="839" t="s">
        <v>238</v>
      </c>
      <c r="C38" s="839"/>
      <c r="D38" s="839"/>
      <c r="E38" s="839"/>
      <c r="F38" s="839"/>
      <c r="G38" s="839"/>
      <c r="H38" s="839"/>
      <c r="I38" s="839"/>
      <c r="J38" s="839"/>
      <c r="K38" s="839"/>
      <c r="L38" s="839"/>
      <c r="M38" s="194"/>
      <c r="N38" s="194"/>
      <c r="O38" s="194"/>
      <c r="P38" s="194"/>
      <c r="Q38" s="194"/>
      <c r="R38" s="194"/>
    </row>
    <row r="39" spans="1:18" ht="28.5" customHeight="1" x14ac:dyDescent="0.35">
      <c r="A39" s="185" t="s">
        <v>237</v>
      </c>
      <c r="B39" s="839" t="s">
        <v>256</v>
      </c>
      <c r="C39" s="839"/>
      <c r="D39" s="839"/>
      <c r="E39" s="839"/>
      <c r="F39" s="839"/>
      <c r="G39" s="839"/>
      <c r="H39" s="839"/>
      <c r="I39" s="839"/>
      <c r="J39" s="839"/>
      <c r="K39" s="839"/>
      <c r="L39" s="839"/>
      <c r="M39" s="194"/>
      <c r="N39" s="194"/>
      <c r="O39" s="194"/>
      <c r="P39" s="194"/>
      <c r="Q39" s="194"/>
      <c r="R39" s="194"/>
    </row>
    <row r="41" spans="1:18" ht="92.25" customHeight="1" x14ac:dyDescent="0.35">
      <c r="A41" s="845" t="s">
        <v>147</v>
      </c>
      <c r="B41" s="845"/>
      <c r="C41" s="845"/>
      <c r="D41" s="845"/>
      <c r="E41" s="845"/>
      <c r="F41" s="845"/>
      <c r="G41" s="845"/>
      <c r="H41" s="845"/>
      <c r="I41" s="845"/>
      <c r="J41" s="845"/>
      <c r="K41" s="845"/>
      <c r="L41" s="845"/>
    </row>
  </sheetData>
  <sheetProtection algorithmName="SHA-512" hashValue="dUwgFCZI8mm+q1DsCz7tvt6176IkQ7fYaBxR66CZmKG/Gt4vrr9CI9vO9i1EQhHMsW4NgJIBb1ljEaqb//VJ0A==" saltValue="JRMg+/+oMqVB37ZmaKVpgQ==" spinCount="100000" sheet="1" objects="1" scenarios="1"/>
  <mergeCells count="16">
    <mergeCell ref="A41:L41"/>
    <mergeCell ref="B36:J36"/>
    <mergeCell ref="L36:R36"/>
    <mergeCell ref="B37:J37"/>
    <mergeCell ref="B38:L38"/>
    <mergeCell ref="B39:L39"/>
    <mergeCell ref="B29:L29"/>
    <mergeCell ref="B31:L31"/>
    <mergeCell ref="B32:L32"/>
    <mergeCell ref="B34:L34"/>
    <mergeCell ref="B35:L35"/>
    <mergeCell ref="H3:J4"/>
    <mergeCell ref="A5:A7"/>
    <mergeCell ref="B5:B7"/>
    <mergeCell ref="C3:G4"/>
    <mergeCell ref="C5:C6"/>
  </mergeCells>
  <hyperlinks>
    <hyperlink ref="B27" location="BOYACA!A41" display="Ver Nota Informativa" xr:uid="{00000000-0004-0000-0A00-000000000000}"/>
  </hyperlinks>
  <pageMargins left="0.7" right="0.7" top="0.75" bottom="0.75" header="0.3" footer="0.3"/>
  <ignoredErrors>
    <ignoredError sqref="C11 C12:C13 C17:C24 J11 F11" formula="1"/>
    <ignoredError sqref="F14:G14 J12:J15 J17:J24 D17:D24 D12:D15 F17:H24 F15:H15 F12:H13" numberStoredAsText="1" formula="1"/>
    <ignoredError sqref="J25:K25 K16:K24 D25 F25:H25"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4" tint="0.59999389629810485"/>
  </sheetPr>
  <dimension ref="A1:P117"/>
  <sheetViews>
    <sheetView zoomScale="70" zoomScaleNormal="70" workbookViewId="0">
      <selection activeCell="E8" sqref="E8"/>
    </sheetView>
  </sheetViews>
  <sheetFormatPr baseColWidth="10" defaultColWidth="45" defaultRowHeight="14.5" x14ac:dyDescent="0.35"/>
  <cols>
    <col min="1" max="1" width="7" customWidth="1"/>
    <col min="2" max="2" width="60.90625" customWidth="1"/>
    <col min="3" max="4" width="15.36328125" bestFit="1" customWidth="1"/>
    <col min="5" max="5" width="14.08984375" hidden="1" customWidth="1"/>
    <col min="6" max="6" width="12.90625" customWidth="1"/>
    <col min="7" max="7" width="17" customWidth="1"/>
    <col min="8" max="8" width="20" customWidth="1"/>
    <col min="9" max="9" width="19.36328125" customWidth="1"/>
    <col min="10" max="10" width="19.1796875" hidden="1" customWidth="1"/>
    <col min="11" max="11" width="17" hidden="1" customWidth="1"/>
    <col min="12" max="12" width="15.81640625" hidden="1" customWidth="1"/>
    <col min="13" max="13" width="21.08984375" hidden="1" customWidth="1"/>
    <col min="14" max="14" width="25.6328125" hidden="1" customWidth="1"/>
    <col min="15" max="15" width="18.08984375" hidden="1" customWidth="1"/>
  </cols>
  <sheetData>
    <row r="1" spans="1:13" x14ac:dyDescent="0.35">
      <c r="A1" s="243" t="s">
        <v>158</v>
      </c>
      <c r="B1" s="139" t="str">
        <f>+AMAZONAS!C1</f>
        <v>Vigencia: 01 de enero de 2022; 00:00 horas</v>
      </c>
      <c r="C1" s="139"/>
      <c r="D1" s="244"/>
      <c r="E1" s="244"/>
      <c r="F1" s="244"/>
      <c r="G1" s="244"/>
      <c r="H1" s="244"/>
      <c r="I1" s="244"/>
      <c r="J1" s="244"/>
      <c r="K1" s="244"/>
    </row>
    <row r="2" spans="1:13" ht="15" thickBot="1" x14ac:dyDescent="0.4">
      <c r="A2" s="165" t="s">
        <v>179</v>
      </c>
      <c r="B2" s="166"/>
      <c r="C2" s="166"/>
      <c r="D2" s="166"/>
      <c r="E2" s="166"/>
      <c r="F2" s="166"/>
      <c r="G2" s="166"/>
      <c r="H2" s="166"/>
      <c r="I2" s="245"/>
      <c r="J2" s="166"/>
      <c r="K2" s="166"/>
    </row>
    <row r="3" spans="1:13" ht="15" thickTop="1" x14ac:dyDescent="0.35">
      <c r="A3" s="195"/>
      <c r="B3" s="168" t="s">
        <v>263</v>
      </c>
      <c r="C3" s="828" t="s">
        <v>180</v>
      </c>
      <c r="D3" s="829"/>
      <c r="E3" s="829"/>
      <c r="F3" s="829"/>
      <c r="G3" s="866"/>
      <c r="H3" s="864" t="s">
        <v>250</v>
      </c>
      <c r="I3" s="868"/>
      <c r="J3" s="869"/>
    </row>
    <row r="4" spans="1:13" ht="63.5" customHeight="1" x14ac:dyDescent="0.35">
      <c r="A4" s="169"/>
      <c r="B4" s="272" t="s">
        <v>273</v>
      </c>
      <c r="C4" s="830"/>
      <c r="D4" s="831"/>
      <c r="E4" s="831"/>
      <c r="F4" s="831"/>
      <c r="G4" s="867"/>
      <c r="H4" s="865"/>
      <c r="I4" s="870"/>
      <c r="J4" s="871"/>
    </row>
    <row r="5" spans="1:13" ht="38.25" customHeight="1" x14ac:dyDescent="0.35">
      <c r="A5" s="840" t="s">
        <v>181</v>
      </c>
      <c r="B5" s="842" t="s">
        <v>182</v>
      </c>
      <c r="C5" s="826" t="s">
        <v>241</v>
      </c>
      <c r="D5" s="171" t="s">
        <v>96</v>
      </c>
      <c r="E5" s="171" t="s">
        <v>172</v>
      </c>
      <c r="F5" s="171" t="s">
        <v>524</v>
      </c>
      <c r="G5" s="862" t="s">
        <v>407</v>
      </c>
      <c r="H5" s="405" t="s">
        <v>96</v>
      </c>
      <c r="I5" s="404" t="str">
        <f>+F5</f>
        <v>Biodiesel B11</v>
      </c>
      <c r="J5" s="404" t="s">
        <v>124</v>
      </c>
    </row>
    <row r="6" spans="1:13" ht="21.75" customHeight="1" x14ac:dyDescent="0.35">
      <c r="A6" s="840"/>
      <c r="B6" s="842"/>
      <c r="C6" s="827"/>
      <c r="D6" s="582" t="s">
        <v>522</v>
      </c>
      <c r="E6" s="189">
        <v>0.02</v>
      </c>
      <c r="F6" s="397">
        <v>0.11</v>
      </c>
      <c r="G6" s="863"/>
      <c r="H6" s="558" t="str">
        <f>+D6</f>
        <v>Oxigena 6%</v>
      </c>
      <c r="I6" s="398">
        <f>+F6</f>
        <v>0.11</v>
      </c>
      <c r="J6" s="274" t="s">
        <v>264</v>
      </c>
    </row>
    <row r="7" spans="1:13" x14ac:dyDescent="0.35">
      <c r="A7" s="841"/>
      <c r="B7" s="843"/>
      <c r="C7" s="141" t="s">
        <v>183</v>
      </c>
      <c r="D7" s="171" t="s">
        <v>183</v>
      </c>
      <c r="E7" s="171" t="s">
        <v>183</v>
      </c>
      <c r="F7" s="171" t="s">
        <v>183</v>
      </c>
      <c r="G7" s="171" t="s">
        <v>183</v>
      </c>
      <c r="H7" s="405" t="s">
        <v>183</v>
      </c>
      <c r="I7" s="404" t="s">
        <v>183</v>
      </c>
      <c r="J7" s="263" t="s">
        <v>183</v>
      </c>
    </row>
    <row r="8" spans="1:13" x14ac:dyDescent="0.35">
      <c r="A8" s="143" t="s">
        <v>184</v>
      </c>
      <c r="B8" s="149" t="s">
        <v>185</v>
      </c>
      <c r="C8" s="264">
        <f>+'Calculo IP ZDF'!B31</f>
        <v>5107.8782199999996</v>
      </c>
      <c r="D8" s="264">
        <f>+'Calculo IP ZDF'!I31</f>
        <v>5407.4805267999991</v>
      </c>
      <c r="E8" s="264">
        <f>+'Calculo IP ZDF'!F31</f>
        <v>4791.4142000000002</v>
      </c>
      <c r="F8" s="264">
        <f>+'Calculo IP ZDF'!J31</f>
        <v>6189.2921999999999</v>
      </c>
      <c r="G8" s="179">
        <f>+'Calculo IP ZDF'!C31</f>
        <v>4480.78</v>
      </c>
      <c r="H8" s="247">
        <f>+'GAS CTE'!F9</f>
        <v>5408.45</v>
      </c>
      <c r="I8" s="201">
        <f>+BIODIESEL!I9</f>
        <v>6189.2880000000005</v>
      </c>
      <c r="J8" s="223" t="e">
        <f>+#REF!</f>
        <v>#REF!</v>
      </c>
    </row>
    <row r="9" spans="1:13" x14ac:dyDescent="0.35">
      <c r="A9" s="143" t="s">
        <v>186</v>
      </c>
      <c r="B9" s="149" t="s">
        <v>187</v>
      </c>
      <c r="C9" s="199" t="str">
        <f>+E9</f>
        <v>------------------</v>
      </c>
      <c r="D9" s="199" t="s">
        <v>188</v>
      </c>
      <c r="E9" s="199" t="s">
        <v>188</v>
      </c>
      <c r="F9" s="199" t="s">
        <v>188</v>
      </c>
      <c r="G9" s="174" t="s">
        <v>188</v>
      </c>
      <c r="H9" s="249">
        <f>+'GAS CTE'!F10</f>
        <v>521.74699999999996</v>
      </c>
      <c r="I9" s="198">
        <f>+BIODIESEL!I10</f>
        <v>472.83</v>
      </c>
      <c r="J9" s="220">
        <f>+'GAS EXTRA'!D10</f>
        <v>933.1</v>
      </c>
    </row>
    <row r="10" spans="1:13" x14ac:dyDescent="0.35">
      <c r="A10" s="143"/>
      <c r="B10" s="149" t="s">
        <v>132</v>
      </c>
      <c r="C10" s="199" t="str">
        <f>+E10</f>
        <v>------------------</v>
      </c>
      <c r="D10" s="199" t="s">
        <v>188</v>
      </c>
      <c r="E10" s="199" t="s">
        <v>188</v>
      </c>
      <c r="F10" s="199" t="s">
        <v>188</v>
      </c>
      <c r="G10" s="174" t="s">
        <v>188</v>
      </c>
      <c r="H10" s="249" t="s">
        <v>133</v>
      </c>
      <c r="I10" s="198" t="s">
        <v>133</v>
      </c>
      <c r="J10" s="220" t="str">
        <f>'[6]CORRIENTE OXIGENADA'!D12</f>
        <v>(3)</v>
      </c>
    </row>
    <row r="11" spans="1:13" x14ac:dyDescent="0.35">
      <c r="A11" s="143"/>
      <c r="B11" s="149" t="s">
        <v>134</v>
      </c>
      <c r="C11" s="250">
        <f>+'GAS CTE'!C12</f>
        <v>159</v>
      </c>
      <c r="D11" s="250">
        <f>+'GAS CTE'!F12</f>
        <v>149.45999999999998</v>
      </c>
      <c r="E11" s="250">
        <f>+BIODIESEL!E12</f>
        <v>175.42</v>
      </c>
      <c r="F11" s="250">
        <f>+BIODIESEL!I12</f>
        <v>159.31</v>
      </c>
      <c r="G11" s="179">
        <f>+BIODIESEL!C12</f>
        <v>179</v>
      </c>
      <c r="H11" s="249">
        <f>+'GAS CTE'!F12</f>
        <v>149.45999999999998</v>
      </c>
      <c r="I11" s="198">
        <f>+F11</f>
        <v>159.31</v>
      </c>
      <c r="J11" s="220" t="e">
        <f>+#REF!</f>
        <v>#REF!</v>
      </c>
      <c r="L11" s="446" t="s">
        <v>428</v>
      </c>
    </row>
    <row r="12" spans="1:13" x14ac:dyDescent="0.35">
      <c r="A12" s="143" t="s">
        <v>189</v>
      </c>
      <c r="B12" s="149" t="s">
        <v>270</v>
      </c>
      <c r="C12" s="267" t="s">
        <v>217</v>
      </c>
      <c r="D12" s="199" t="str">
        <f>+C12</f>
        <v>(2)</v>
      </c>
      <c r="E12" s="199" t="str">
        <f>+C12</f>
        <v>(2)</v>
      </c>
      <c r="F12" s="199" t="str">
        <f>+C12</f>
        <v>(2)</v>
      </c>
      <c r="G12" s="173" t="str">
        <f>+C12</f>
        <v>(2)</v>
      </c>
      <c r="H12" s="249" t="str">
        <f>+J12</f>
        <v>(2)</v>
      </c>
      <c r="I12" s="198" t="str">
        <f>+D12</f>
        <v>(2)</v>
      </c>
      <c r="J12" s="220" t="str">
        <f>+E12</f>
        <v>(2)</v>
      </c>
    </row>
    <row r="13" spans="1:13" x14ac:dyDescent="0.35">
      <c r="A13" s="143" t="s">
        <v>191</v>
      </c>
      <c r="B13" s="149" t="s">
        <v>192</v>
      </c>
      <c r="C13" s="250">
        <f>+RUBROS!Z13</f>
        <v>22.249601678692599</v>
      </c>
      <c r="D13" s="173">
        <f>+C13</f>
        <v>22.249601678692599</v>
      </c>
      <c r="E13" s="173">
        <f>+C13</f>
        <v>22.249601678692599</v>
      </c>
      <c r="F13" s="173">
        <f>+C13</f>
        <v>22.249601678692599</v>
      </c>
      <c r="G13" s="173">
        <f>+C13</f>
        <v>22.249601678692599</v>
      </c>
      <c r="H13" s="247">
        <f>+D13</f>
        <v>22.249601678692599</v>
      </c>
      <c r="I13" s="173">
        <f>+D13</f>
        <v>22.249601678692599</v>
      </c>
      <c r="J13" s="146" t="e">
        <f>+#REF!</f>
        <v>#REF!</v>
      </c>
      <c r="L13" s="446" t="s">
        <v>428</v>
      </c>
      <c r="M13" s="446" t="s">
        <v>427</v>
      </c>
    </row>
    <row r="14" spans="1:13" x14ac:dyDescent="0.35">
      <c r="A14" s="143" t="s">
        <v>195</v>
      </c>
      <c r="B14" s="149" t="s">
        <v>196</v>
      </c>
      <c r="C14" s="250">
        <f>+RUBROS!AU42</f>
        <v>13.326421256197724</v>
      </c>
      <c r="D14" s="173">
        <f>+C14</f>
        <v>13.326421256197724</v>
      </c>
      <c r="E14" s="173">
        <f>+C14</f>
        <v>13.326421256197724</v>
      </c>
      <c r="F14" s="173">
        <f>+C14</f>
        <v>13.326421256197724</v>
      </c>
      <c r="G14" s="173">
        <f>+C14</f>
        <v>13.326421256197724</v>
      </c>
      <c r="H14" s="247">
        <f>+C14</f>
        <v>13.326421256197724</v>
      </c>
      <c r="I14" s="173">
        <f>+H14</f>
        <v>13.326421256197724</v>
      </c>
      <c r="J14" s="146">
        <f>+H14</f>
        <v>13.326421256197724</v>
      </c>
      <c r="L14" s="446" t="s">
        <v>427</v>
      </c>
    </row>
    <row r="15" spans="1:13" hidden="1" x14ac:dyDescent="0.35">
      <c r="A15" s="143"/>
      <c r="B15" s="149" t="s">
        <v>197</v>
      </c>
      <c r="C15" s="250"/>
      <c r="D15" s="173"/>
      <c r="E15" s="173"/>
      <c r="F15" s="173"/>
      <c r="G15" s="173"/>
      <c r="H15" s="247"/>
      <c r="I15" s="173"/>
      <c r="J15" s="146">
        <f>+C15</f>
        <v>0</v>
      </c>
      <c r="L15" s="450" t="s">
        <v>429</v>
      </c>
    </row>
    <row r="16" spans="1:13" x14ac:dyDescent="0.35">
      <c r="A16" s="150" t="s">
        <v>198</v>
      </c>
      <c r="B16" s="180" t="s">
        <v>199</v>
      </c>
      <c r="C16" s="251">
        <f>SUM(C8:C15)</f>
        <v>5302.4542429348903</v>
      </c>
      <c r="D16" s="251">
        <f t="shared" ref="D16:J16" si="0">SUM(D8:D15)</f>
        <v>5592.5165497348898</v>
      </c>
      <c r="E16" s="251">
        <f t="shared" si="0"/>
        <v>5002.410222934891</v>
      </c>
      <c r="F16" s="251">
        <f>SUM(F8:F15)</f>
        <v>6384.178222934891</v>
      </c>
      <c r="G16" s="251">
        <f t="shared" si="0"/>
        <v>4695.3560229348905</v>
      </c>
      <c r="H16" s="253">
        <f t="shared" si="0"/>
        <v>6115.2330229348909</v>
      </c>
      <c r="I16" s="251">
        <f t="shared" si="0"/>
        <v>6857.0040229348915</v>
      </c>
      <c r="J16" s="254" t="e">
        <f t="shared" si="0"/>
        <v>#REF!</v>
      </c>
    </row>
    <row r="17" spans="1:16" x14ac:dyDescent="0.35">
      <c r="A17" s="143" t="s">
        <v>200</v>
      </c>
      <c r="B17" s="149" t="s">
        <v>265</v>
      </c>
      <c r="C17" s="268" t="s">
        <v>232</v>
      </c>
      <c r="D17" s="173" t="str">
        <f>+C17</f>
        <v>***</v>
      </c>
      <c r="E17" s="173" t="str">
        <f>+C17</f>
        <v>***</v>
      </c>
      <c r="F17" s="173" t="str">
        <f>+E17</f>
        <v>***</v>
      </c>
      <c r="G17" s="173" t="str">
        <f>+E17</f>
        <v>***</v>
      </c>
      <c r="H17" s="247" t="str">
        <f>J17</f>
        <v>***</v>
      </c>
      <c r="I17" s="173" t="str">
        <f>+J17</f>
        <v>***</v>
      </c>
      <c r="J17" s="146" t="str">
        <f>+E17</f>
        <v>***</v>
      </c>
    </row>
    <row r="18" spans="1:16" x14ac:dyDescent="0.35">
      <c r="A18" s="143" t="s">
        <v>202</v>
      </c>
      <c r="B18" s="149" t="s">
        <v>203</v>
      </c>
      <c r="C18" s="267" t="s">
        <v>230</v>
      </c>
      <c r="D18" s="173" t="str">
        <f>+C18</f>
        <v>**</v>
      </c>
      <c r="E18" s="173" t="str">
        <f>+C18</f>
        <v>**</v>
      </c>
      <c r="F18" s="173" t="str">
        <f>+C18</f>
        <v>**</v>
      </c>
      <c r="G18" s="173" t="str">
        <f>+C18</f>
        <v>**</v>
      </c>
      <c r="H18" s="247" t="str">
        <f>+F18</f>
        <v>**</v>
      </c>
      <c r="I18" s="173" t="str">
        <f>+H18</f>
        <v>**</v>
      </c>
      <c r="J18" s="146" t="str">
        <f>+I18</f>
        <v>**</v>
      </c>
    </row>
    <row r="19" spans="1:16" x14ac:dyDescent="0.35">
      <c r="A19" s="143" t="s">
        <v>204</v>
      </c>
      <c r="B19" s="218" t="s">
        <v>139</v>
      </c>
      <c r="C19" s="255" t="str">
        <f>+E19</f>
        <v>****</v>
      </c>
      <c r="D19" s="173" t="str">
        <f t="shared" ref="D19:D21" si="1">+E19</f>
        <v>****</v>
      </c>
      <c r="E19" s="179" t="str">
        <f>+A112</f>
        <v>****</v>
      </c>
      <c r="F19" s="179" t="str">
        <f>+E19</f>
        <v>****</v>
      </c>
      <c r="G19" s="179" t="str">
        <f>+A112</f>
        <v>****</v>
      </c>
      <c r="H19" s="270" t="str">
        <f>C19</f>
        <v>****</v>
      </c>
      <c r="I19" s="173" t="str">
        <f>+J19</f>
        <v>****</v>
      </c>
      <c r="J19" s="148" t="str">
        <f>H19</f>
        <v>****</v>
      </c>
    </row>
    <row r="20" spans="1:16" x14ac:dyDescent="0.35">
      <c r="A20" s="150" t="s">
        <v>206</v>
      </c>
      <c r="B20" s="180" t="s">
        <v>207</v>
      </c>
      <c r="C20" s="256">
        <f t="shared" ref="C20:J20" si="2">+C16</f>
        <v>5302.4542429348903</v>
      </c>
      <c r="D20" s="181">
        <f t="shared" si="2"/>
        <v>5592.5165497348898</v>
      </c>
      <c r="E20" s="181">
        <f t="shared" si="2"/>
        <v>5002.410222934891</v>
      </c>
      <c r="F20" s="181">
        <f t="shared" si="2"/>
        <v>6384.178222934891</v>
      </c>
      <c r="G20" s="181">
        <f t="shared" si="2"/>
        <v>4695.3560229348905</v>
      </c>
      <c r="H20" s="253">
        <f t="shared" si="2"/>
        <v>6115.2330229348909</v>
      </c>
      <c r="I20" s="181">
        <f t="shared" si="2"/>
        <v>6857.0040229348915</v>
      </c>
      <c r="J20" s="152" t="e">
        <f t="shared" si="2"/>
        <v>#REF!</v>
      </c>
    </row>
    <row r="21" spans="1:16" x14ac:dyDescent="0.35">
      <c r="A21" s="143" t="s">
        <v>208</v>
      </c>
      <c r="B21" s="149" t="s">
        <v>160</v>
      </c>
      <c r="C21" s="250" t="str">
        <f>+E21</f>
        <v>***</v>
      </c>
      <c r="D21" s="173" t="str">
        <f t="shared" si="1"/>
        <v>***</v>
      </c>
      <c r="E21" s="173" t="str">
        <f t="shared" ref="E21" si="3">+E17</f>
        <v>***</v>
      </c>
      <c r="F21" s="173" t="str">
        <f>+E21</f>
        <v>***</v>
      </c>
      <c r="G21" s="173" t="str">
        <f>+G17</f>
        <v>***</v>
      </c>
      <c r="H21" s="247" t="str">
        <f>J21</f>
        <v>***</v>
      </c>
      <c r="I21" s="173" t="str">
        <f>+J21</f>
        <v>***</v>
      </c>
      <c r="J21" s="146" t="str">
        <f>+J17</f>
        <v>***</v>
      </c>
    </row>
    <row r="22" spans="1:16" x14ac:dyDescent="0.35">
      <c r="A22" s="143" t="s">
        <v>209</v>
      </c>
      <c r="B22" s="144" t="s">
        <v>210</v>
      </c>
      <c r="C22" s="257" t="s">
        <v>236</v>
      </c>
      <c r="D22" s="173" t="str">
        <f>+C22</f>
        <v>*****</v>
      </c>
      <c r="E22" s="173" t="s">
        <v>211</v>
      </c>
      <c r="F22" s="173" t="str">
        <f>+E22</f>
        <v>N.A</v>
      </c>
      <c r="G22" s="173" t="s">
        <v>211</v>
      </c>
      <c r="H22" s="247" t="str">
        <f>+D22</f>
        <v>*****</v>
      </c>
      <c r="I22" s="173" t="s">
        <v>254</v>
      </c>
      <c r="J22" s="146" t="e">
        <f>+#REF!</f>
        <v>#REF!</v>
      </c>
    </row>
    <row r="23" spans="1:16" ht="24.75" customHeight="1" x14ac:dyDescent="0.35">
      <c r="A23" s="143" t="s">
        <v>212</v>
      </c>
      <c r="B23" s="144" t="s">
        <v>213</v>
      </c>
      <c r="C23" s="257" t="s">
        <v>237</v>
      </c>
      <c r="D23" s="173" t="str">
        <f>+C23</f>
        <v>******</v>
      </c>
      <c r="E23" s="173" t="str">
        <f>+C23</f>
        <v>******</v>
      </c>
      <c r="F23" s="173" t="str">
        <f>+C23</f>
        <v>******</v>
      </c>
      <c r="G23" s="173" t="str">
        <f>+C23</f>
        <v>******</v>
      </c>
      <c r="H23" s="247" t="str">
        <f>+C23</f>
        <v>******</v>
      </c>
      <c r="I23" s="173" t="str">
        <f>+C23</f>
        <v>******</v>
      </c>
      <c r="J23" s="146" t="str">
        <f>+C23</f>
        <v>******</v>
      </c>
    </row>
    <row r="24" spans="1:16" ht="15" thickBot="1" x14ac:dyDescent="0.4">
      <c r="A24" s="154" t="s">
        <v>214</v>
      </c>
      <c r="B24" s="155" t="s">
        <v>215</v>
      </c>
      <c r="C24" s="258"/>
      <c r="D24" s="183"/>
      <c r="E24" s="183"/>
      <c r="F24" s="183"/>
      <c r="G24" s="183"/>
      <c r="H24" s="407"/>
      <c r="I24" s="408"/>
      <c r="J24" s="409"/>
    </row>
    <row r="25" spans="1:16" ht="15" thickTop="1" x14ac:dyDescent="0.35">
      <c r="A25" s="159"/>
      <c r="B25" s="160"/>
      <c r="C25" s="160"/>
      <c r="D25" s="161"/>
      <c r="E25" s="161"/>
      <c r="F25" s="161"/>
      <c r="G25" s="161"/>
      <c r="H25" s="161"/>
      <c r="I25" s="161"/>
      <c r="J25" s="161"/>
      <c r="K25" s="161"/>
    </row>
    <row r="26" spans="1:16" ht="15" thickBot="1" x14ac:dyDescent="0.4">
      <c r="A26" s="159"/>
      <c r="B26" s="160"/>
      <c r="C26" s="160"/>
      <c r="D26" s="161"/>
      <c r="E26" s="161"/>
      <c r="F26" s="161"/>
      <c r="G26" s="161"/>
      <c r="H26" s="161"/>
      <c r="I26" s="161"/>
      <c r="J26" s="161"/>
      <c r="K26" s="161"/>
      <c r="P26" t="s">
        <v>490</v>
      </c>
    </row>
    <row r="27" spans="1:16" ht="26.25" customHeight="1" thickTop="1" x14ac:dyDescent="0.35">
      <c r="A27" s="195"/>
      <c r="B27" s="168" t="s">
        <v>502</v>
      </c>
      <c r="C27" s="828" t="s">
        <v>180</v>
      </c>
      <c r="D27" s="829"/>
      <c r="E27" s="829"/>
      <c r="F27" s="829"/>
      <c r="G27" s="866"/>
      <c r="H27" s="864" t="s">
        <v>250</v>
      </c>
      <c r="K27" s="487"/>
      <c r="L27" s="484"/>
      <c r="O27" s="486"/>
    </row>
    <row r="28" spans="1:16" ht="46.5" customHeight="1" x14ac:dyDescent="0.35">
      <c r="A28" s="169"/>
      <c r="B28" s="272" t="s">
        <v>274</v>
      </c>
      <c r="C28" s="830"/>
      <c r="D28" s="831"/>
      <c r="E28" s="831"/>
      <c r="F28" s="831"/>
      <c r="G28" s="867"/>
      <c r="H28" s="865"/>
      <c r="K28" s="489"/>
      <c r="L28" s="485"/>
      <c r="O28" s="488"/>
    </row>
    <row r="29" spans="1:16" ht="38.25" customHeight="1" x14ac:dyDescent="0.35">
      <c r="A29" s="840" t="s">
        <v>181</v>
      </c>
      <c r="B29" s="842" t="s">
        <v>182</v>
      </c>
      <c r="C29" s="826" t="s">
        <v>241</v>
      </c>
      <c r="D29" s="171" t="s">
        <v>96</v>
      </c>
      <c r="F29" s="171" t="s">
        <v>172</v>
      </c>
      <c r="G29" s="872" t="s">
        <v>406</v>
      </c>
      <c r="H29" s="141" t="s">
        <v>96</v>
      </c>
      <c r="K29" s="191" t="s">
        <v>124</v>
      </c>
      <c r="L29" s="171" t="str">
        <f>+F5</f>
        <v>Biodiesel B11</v>
      </c>
      <c r="O29" s="191" t="str">
        <f>+I5</f>
        <v>Biodiesel B11</v>
      </c>
    </row>
    <row r="30" spans="1:16" x14ac:dyDescent="0.35">
      <c r="A30" s="840"/>
      <c r="B30" s="842"/>
      <c r="C30" s="827"/>
      <c r="D30" s="560">
        <v>0.08</v>
      </c>
      <c r="F30" s="189">
        <v>0.02</v>
      </c>
      <c r="G30" s="873"/>
      <c r="H30" s="560">
        <v>0.08</v>
      </c>
      <c r="K30" s="274" t="s">
        <v>264</v>
      </c>
      <c r="L30" s="397">
        <f>+F6</f>
        <v>0.11</v>
      </c>
      <c r="O30" s="398">
        <f>+I6</f>
        <v>0.11</v>
      </c>
    </row>
    <row r="31" spans="1:16" x14ac:dyDescent="0.35">
      <c r="A31" s="841"/>
      <c r="B31" s="843"/>
      <c r="C31" s="141" t="s">
        <v>183</v>
      </c>
      <c r="D31" s="171" t="s">
        <v>183</v>
      </c>
      <c r="F31" s="171" t="s">
        <v>183</v>
      </c>
      <c r="G31" s="480" t="s">
        <v>183</v>
      </c>
      <c r="H31" s="141" t="s">
        <v>183</v>
      </c>
      <c r="K31" s="263" t="s">
        <v>183</v>
      </c>
      <c r="L31" s="171" t="s">
        <v>183</v>
      </c>
      <c r="O31" s="191" t="s">
        <v>183</v>
      </c>
    </row>
    <row r="32" spans="1:16" x14ac:dyDescent="0.35">
      <c r="A32" s="143" t="s">
        <v>184</v>
      </c>
      <c r="B32" s="149" t="s">
        <v>185</v>
      </c>
      <c r="C32" s="264">
        <f>+'Calculo IP ZDF'!B32</f>
        <v>5108.8999999999996</v>
      </c>
      <c r="D32" s="264">
        <f>+'Calculo IP ZDF'!B32</f>
        <v>5108.8999999999996</v>
      </c>
      <c r="F32" s="264">
        <f>+'Calculo IP ZDF'!F32</f>
        <v>4791.4142000000002</v>
      </c>
      <c r="G32" s="179">
        <f>+'Calculo IP ZDF'!C32</f>
        <v>4480.78</v>
      </c>
      <c r="H32" s="247">
        <f>+'GAS CTE'!C6</f>
        <v>5108.8999999999996</v>
      </c>
      <c r="K32" s="223" t="e">
        <f>+#REF!</f>
        <v>#REF!</v>
      </c>
      <c r="L32" s="265">
        <f>+'Calculo IP ZDF'!J32</f>
        <v>6189.2921999999999</v>
      </c>
      <c r="O32" s="201">
        <f>+BIODIESEL!H9</f>
        <v>6033.973</v>
      </c>
    </row>
    <row r="33" spans="1:16" x14ac:dyDescent="0.35">
      <c r="A33" s="143" t="s">
        <v>186</v>
      </c>
      <c r="B33" s="149" t="s">
        <v>187</v>
      </c>
      <c r="C33" s="199" t="str">
        <f>+F33</f>
        <v>------------------</v>
      </c>
      <c r="D33" s="199" t="s">
        <v>188</v>
      </c>
      <c r="F33" s="199" t="s">
        <v>188</v>
      </c>
      <c r="G33" s="174" t="s">
        <v>188</v>
      </c>
      <c r="H33" s="249">
        <f>+'GAS CTE'!C10</f>
        <v>555.04999999999995</v>
      </c>
      <c r="K33" s="220">
        <f>+'GAS EXTRA'!D10</f>
        <v>933.1</v>
      </c>
      <c r="L33" s="199" t="s">
        <v>188</v>
      </c>
      <c r="O33" s="198">
        <f>+BIODIESEL!H10</f>
        <v>478.14299999999997</v>
      </c>
    </row>
    <row r="34" spans="1:16" x14ac:dyDescent="0.35">
      <c r="A34" s="143"/>
      <c r="B34" s="149" t="s">
        <v>132</v>
      </c>
      <c r="C34" s="199" t="str">
        <f>+F34</f>
        <v>------------------</v>
      </c>
      <c r="D34" s="199" t="s">
        <v>188</v>
      </c>
      <c r="F34" s="199" t="s">
        <v>188</v>
      </c>
      <c r="G34" s="174" t="s">
        <v>188</v>
      </c>
      <c r="H34" s="249" t="str">
        <f>+H10</f>
        <v>(3)</v>
      </c>
      <c r="K34" s="220" t="str">
        <f>+H34</f>
        <v>(3)</v>
      </c>
      <c r="L34" s="199" t="s">
        <v>188</v>
      </c>
      <c r="O34" s="198" t="str">
        <f>+H34</f>
        <v>(3)</v>
      </c>
    </row>
    <row r="35" spans="1:16" x14ac:dyDescent="0.35">
      <c r="A35" s="143"/>
      <c r="B35" s="149" t="s">
        <v>134</v>
      </c>
      <c r="C35" s="250">
        <f>'GAS CTE'!C12</f>
        <v>159</v>
      </c>
      <c r="D35" s="250">
        <f>+'GAS CTE'!C12</f>
        <v>159</v>
      </c>
      <c r="F35" s="250">
        <f>+BIODIESEL!E12</f>
        <v>175.42</v>
      </c>
      <c r="G35" s="179">
        <f>+BIODIESEL!C12</f>
        <v>179</v>
      </c>
      <c r="H35" s="249">
        <f>+D35</f>
        <v>159</v>
      </c>
      <c r="K35" s="220" t="e">
        <f>+#REF!</f>
        <v>#REF!</v>
      </c>
      <c r="L35" s="250">
        <f>+BIODIESEL!H12</f>
        <v>161.1</v>
      </c>
      <c r="O35" s="198">
        <f>+L35</f>
        <v>161.1</v>
      </c>
    </row>
    <row r="36" spans="1:16" x14ac:dyDescent="0.35">
      <c r="A36" s="143" t="s">
        <v>189</v>
      </c>
      <c r="B36" s="149" t="s">
        <v>270</v>
      </c>
      <c r="C36" s="199" t="str">
        <f>+C12</f>
        <v>(2)</v>
      </c>
      <c r="D36" s="199" t="str">
        <f>+C36</f>
        <v>(2)</v>
      </c>
      <c r="F36" s="199" t="str">
        <f>+C36</f>
        <v>(2)</v>
      </c>
      <c r="G36" s="173" t="str">
        <f>+C36</f>
        <v>(2)</v>
      </c>
      <c r="H36" s="249" t="str">
        <f>+K36</f>
        <v>(2)</v>
      </c>
      <c r="K36" s="220" t="str">
        <f>+F36</f>
        <v>(2)</v>
      </c>
      <c r="L36" s="199" t="str">
        <f>+C36</f>
        <v>(2)</v>
      </c>
      <c r="O36" s="198" t="str">
        <f>+D36</f>
        <v>(2)</v>
      </c>
    </row>
    <row r="37" spans="1:16" x14ac:dyDescent="0.35">
      <c r="A37" s="143" t="s">
        <v>193</v>
      </c>
      <c r="B37" s="149" t="s">
        <v>194</v>
      </c>
      <c r="C37" s="199">
        <f>+RUBROS!Z50</f>
        <v>106.59272562900938</v>
      </c>
      <c r="D37" s="199">
        <f>+C37</f>
        <v>106.59272562900938</v>
      </c>
      <c r="F37" s="199">
        <f>+C37</f>
        <v>106.59272562900938</v>
      </c>
      <c r="G37" s="173">
        <f>+C37</f>
        <v>106.59272562900938</v>
      </c>
      <c r="H37" s="249">
        <f>+C37</f>
        <v>106.59272562900938</v>
      </c>
      <c r="K37" s="220">
        <f>+O37</f>
        <v>106.59272562900938</v>
      </c>
      <c r="L37" s="199">
        <f>+C37</f>
        <v>106.59272562900938</v>
      </c>
      <c r="M37" s="429" t="s">
        <v>430</v>
      </c>
      <c r="N37" s="446" t="s">
        <v>427</v>
      </c>
      <c r="O37" s="198">
        <f>+H37</f>
        <v>106.59272562900938</v>
      </c>
    </row>
    <row r="38" spans="1:16" x14ac:dyDescent="0.35">
      <c r="A38" s="143" t="s">
        <v>191</v>
      </c>
      <c r="B38" s="149" t="s">
        <v>192</v>
      </c>
      <c r="C38" s="250">
        <f>+RUBROS!Z21</f>
        <v>22.249601678692599</v>
      </c>
      <c r="D38" s="173">
        <f>+C38</f>
        <v>22.249601678692599</v>
      </c>
      <c r="F38" s="173">
        <f>+C38</f>
        <v>22.249601678692599</v>
      </c>
      <c r="G38" s="173">
        <f>+C38</f>
        <v>22.249601678692599</v>
      </c>
      <c r="H38" s="247">
        <f>+C38</f>
        <v>22.249601678692599</v>
      </c>
      <c r="K38" s="146" t="e">
        <f>+#REF!</f>
        <v>#REF!</v>
      </c>
      <c r="L38" s="173">
        <f>+C38</f>
        <v>22.249601678692599</v>
      </c>
      <c r="M38" s="429" t="s">
        <v>430</v>
      </c>
      <c r="N38" s="446" t="s">
        <v>427</v>
      </c>
      <c r="O38" s="173" t="e">
        <f>+#REF!</f>
        <v>#REF!</v>
      </c>
    </row>
    <row r="39" spans="1:16" x14ac:dyDescent="0.35">
      <c r="A39" s="143" t="s">
        <v>195</v>
      </c>
      <c r="B39" s="149" t="s">
        <v>196</v>
      </c>
      <c r="C39" s="250">
        <f>+C14</f>
        <v>13.326421256197724</v>
      </c>
      <c r="D39" s="173">
        <f>+C39</f>
        <v>13.326421256197724</v>
      </c>
      <c r="F39" s="173">
        <f>+C39</f>
        <v>13.326421256197724</v>
      </c>
      <c r="G39" s="173">
        <f>+C39</f>
        <v>13.326421256197724</v>
      </c>
      <c r="H39" s="247">
        <f>+C39</f>
        <v>13.326421256197724</v>
      </c>
      <c r="K39" s="146">
        <f>+H39</f>
        <v>13.326421256197724</v>
      </c>
      <c r="L39" s="173">
        <f>+C39</f>
        <v>13.326421256197724</v>
      </c>
      <c r="M39" s="446" t="s">
        <v>427</v>
      </c>
      <c r="O39" s="173">
        <f>+H39</f>
        <v>13.326421256197724</v>
      </c>
    </row>
    <row r="40" spans="1:16" x14ac:dyDescent="0.35">
      <c r="A40" s="150" t="s">
        <v>198</v>
      </c>
      <c r="B40" s="180" t="s">
        <v>199</v>
      </c>
      <c r="C40" s="251">
        <f>SUM(C32:C39)</f>
        <v>5410.0687485639</v>
      </c>
      <c r="D40" s="251">
        <f>SUM(D32:D39)</f>
        <v>5410.0687485639</v>
      </c>
      <c r="F40" s="251">
        <f>SUM(F32:F39)</f>
        <v>5109.0029485639006</v>
      </c>
      <c r="G40" s="251">
        <f>SUM(G32:G39)</f>
        <v>4801.9487485639002</v>
      </c>
      <c r="H40" s="253">
        <f>SUM(H32:H39)</f>
        <v>5965.1187485639002</v>
      </c>
      <c r="K40" s="254" t="e">
        <f>SUM(K32:K39)</f>
        <v>#REF!</v>
      </c>
      <c r="L40" s="251">
        <f>SUM(L32:L39)</f>
        <v>6492.5609485639006</v>
      </c>
      <c r="O40" s="251" t="e">
        <f>SUM(O32:O39)</f>
        <v>#REF!</v>
      </c>
      <c r="P40" s="19"/>
    </row>
    <row r="41" spans="1:16" x14ac:dyDescent="0.35">
      <c r="A41" s="143" t="s">
        <v>200</v>
      </c>
      <c r="B41" s="149" t="s">
        <v>265</v>
      </c>
      <c r="C41" s="267" t="s">
        <v>232</v>
      </c>
      <c r="D41" s="173" t="str">
        <f>+C41</f>
        <v>***</v>
      </c>
      <c r="F41" s="173" t="str">
        <f>+C41</f>
        <v>***</v>
      </c>
      <c r="G41" s="173" t="str">
        <f>+F41</f>
        <v>***</v>
      </c>
      <c r="H41" s="247" t="str">
        <f>K41</f>
        <v>***</v>
      </c>
      <c r="K41" s="146" t="str">
        <f>+F41</f>
        <v>***</v>
      </c>
      <c r="L41" s="173" t="str">
        <f>+F41</f>
        <v>***</v>
      </c>
      <c r="O41" s="173" t="str">
        <f>+K41</f>
        <v>***</v>
      </c>
    </row>
    <row r="42" spans="1:16" x14ac:dyDescent="0.35">
      <c r="A42" s="143" t="s">
        <v>202</v>
      </c>
      <c r="B42" s="149" t="s">
        <v>203</v>
      </c>
      <c r="C42" s="267" t="s">
        <v>230</v>
      </c>
      <c r="D42" s="173" t="str">
        <f>+C42</f>
        <v>**</v>
      </c>
      <c r="F42" s="173" t="str">
        <f>+C42</f>
        <v>**</v>
      </c>
      <c r="G42" s="173" t="str">
        <f>+C42</f>
        <v>**</v>
      </c>
      <c r="H42" s="247" t="str">
        <f>+D42</f>
        <v>**</v>
      </c>
      <c r="K42" s="146" t="str">
        <f>+O42</f>
        <v>**</v>
      </c>
      <c r="L42" s="173" t="str">
        <f>+C42</f>
        <v>**</v>
      </c>
      <c r="O42" s="173" t="str">
        <f>+H42</f>
        <v>**</v>
      </c>
    </row>
    <row r="43" spans="1:16" x14ac:dyDescent="0.35">
      <c r="A43" s="143" t="s">
        <v>204</v>
      </c>
      <c r="B43" s="218" t="s">
        <v>139</v>
      </c>
      <c r="C43" s="271" t="str">
        <f>+C19</f>
        <v>****</v>
      </c>
      <c r="D43" s="173" t="str">
        <f>+C43</f>
        <v>****</v>
      </c>
      <c r="F43" s="179" t="str">
        <f>+C43</f>
        <v>****</v>
      </c>
      <c r="G43" s="179" t="str">
        <f>+C43</f>
        <v>****</v>
      </c>
      <c r="H43" s="270" t="str">
        <f>C43</f>
        <v>****</v>
      </c>
      <c r="K43" s="148" t="str">
        <f>H43</f>
        <v>****</v>
      </c>
      <c r="L43" s="179" t="str">
        <f>+F43</f>
        <v>****</v>
      </c>
      <c r="O43" s="173" t="str">
        <f>+K43</f>
        <v>****</v>
      </c>
    </row>
    <row r="44" spans="1:16" x14ac:dyDescent="0.35">
      <c r="A44" s="150" t="s">
        <v>206</v>
      </c>
      <c r="B44" s="180" t="s">
        <v>207</v>
      </c>
      <c r="C44" s="256">
        <f t="shared" ref="C44:K44" si="4">+C40</f>
        <v>5410.0687485639</v>
      </c>
      <c r="D44" s="181">
        <f t="shared" si="4"/>
        <v>5410.0687485639</v>
      </c>
      <c r="F44" s="181">
        <f>+F40</f>
        <v>5109.0029485639006</v>
      </c>
      <c r="G44" s="181">
        <f>+G40</f>
        <v>4801.9487485639002</v>
      </c>
      <c r="H44" s="253">
        <f>+H40</f>
        <v>5965.1187485639002</v>
      </c>
      <c r="K44" s="152" t="e">
        <f t="shared" si="4"/>
        <v>#REF!</v>
      </c>
      <c r="L44" s="181">
        <f>+L40</f>
        <v>6492.5609485639006</v>
      </c>
      <c r="O44" s="181" t="e">
        <f>+O40</f>
        <v>#REF!</v>
      </c>
    </row>
    <row r="45" spans="1:16" x14ac:dyDescent="0.35">
      <c r="A45" s="143" t="s">
        <v>208</v>
      </c>
      <c r="B45" s="149" t="s">
        <v>160</v>
      </c>
      <c r="C45" s="269" t="str">
        <f>+C41</f>
        <v>***</v>
      </c>
      <c r="D45" s="173" t="str">
        <f>+F45</f>
        <v>***</v>
      </c>
      <c r="F45" s="173" t="str">
        <f>+F41</f>
        <v>***</v>
      </c>
      <c r="G45" s="173" t="str">
        <f>+G41</f>
        <v>***</v>
      </c>
      <c r="H45" s="247" t="str">
        <f>K45</f>
        <v>***</v>
      </c>
      <c r="K45" s="146" t="str">
        <f>+K41</f>
        <v>***</v>
      </c>
      <c r="L45" s="173" t="str">
        <f>+F45</f>
        <v>***</v>
      </c>
      <c r="O45" s="173" t="str">
        <f>+K45</f>
        <v>***</v>
      </c>
    </row>
    <row r="46" spans="1:16" x14ac:dyDescent="0.35">
      <c r="A46" s="143" t="s">
        <v>209</v>
      </c>
      <c r="B46" s="144" t="s">
        <v>210</v>
      </c>
      <c r="C46" s="201" t="str">
        <f>+C22</f>
        <v>*****</v>
      </c>
      <c r="D46" s="201" t="str">
        <f>+D22</f>
        <v>*****</v>
      </c>
      <c r="F46" s="201" t="str">
        <f>+E22</f>
        <v>N.A</v>
      </c>
      <c r="G46" s="201" t="str">
        <f>+G22</f>
        <v>N.A</v>
      </c>
      <c r="H46" s="247" t="str">
        <f>+H22</f>
        <v>*****</v>
      </c>
      <c r="K46" s="223" t="e">
        <f>+J22</f>
        <v>#REF!</v>
      </c>
      <c r="L46" s="201" t="str">
        <f>+F22</f>
        <v>N.A</v>
      </c>
      <c r="O46" s="201" t="str">
        <f>+I22</f>
        <v>N.A.</v>
      </c>
    </row>
    <row r="47" spans="1:16" x14ac:dyDescent="0.35">
      <c r="A47" s="143" t="s">
        <v>212</v>
      </c>
      <c r="B47" s="144" t="s">
        <v>213</v>
      </c>
      <c r="C47" s="201" t="str">
        <f>+C23</f>
        <v>******</v>
      </c>
      <c r="D47" s="201" t="str">
        <f>+D23</f>
        <v>******</v>
      </c>
      <c r="F47" s="201" t="str">
        <f>+E23</f>
        <v>******</v>
      </c>
      <c r="G47" s="201" t="str">
        <f>+G23</f>
        <v>******</v>
      </c>
      <c r="H47" s="247" t="str">
        <f>+H23</f>
        <v>******</v>
      </c>
      <c r="K47" s="223" t="str">
        <f>+J23</f>
        <v>******</v>
      </c>
      <c r="L47" s="201" t="str">
        <f>+F23</f>
        <v>******</v>
      </c>
      <c r="O47" s="201" t="str">
        <f>+I23</f>
        <v>******</v>
      </c>
    </row>
    <row r="48" spans="1:16" ht="15" thickBot="1" x14ac:dyDescent="0.4">
      <c r="A48" s="154" t="s">
        <v>214</v>
      </c>
      <c r="B48" s="155" t="s">
        <v>215</v>
      </c>
      <c r="C48" s="258"/>
      <c r="D48" s="183"/>
      <c r="F48" s="183"/>
      <c r="G48" s="183"/>
      <c r="H48" s="259"/>
      <c r="K48" s="157"/>
      <c r="L48" s="183"/>
      <c r="O48" s="183"/>
    </row>
    <row r="49" spans="1:14" ht="15" hidden="1" thickTop="1" x14ac:dyDescent="0.35">
      <c r="A49" s="159"/>
      <c r="B49" s="160"/>
      <c r="C49" s="160"/>
      <c r="D49" s="161"/>
      <c r="E49" s="161"/>
      <c r="F49" s="161"/>
      <c r="G49" s="161"/>
      <c r="H49" s="161"/>
      <c r="I49" s="161"/>
      <c r="J49" s="161"/>
      <c r="K49" s="161"/>
    </row>
    <row r="50" spans="1:14" ht="15" hidden="1" thickTop="1" x14ac:dyDescent="0.35">
      <c r="A50" s="195"/>
      <c r="B50" s="168" t="s">
        <v>469</v>
      </c>
      <c r="C50" s="828" t="s">
        <v>180</v>
      </c>
      <c r="D50" s="829"/>
      <c r="E50" s="829"/>
      <c r="F50" s="829"/>
      <c r="G50" s="829"/>
      <c r="H50" s="829"/>
      <c r="I50" s="864" t="s">
        <v>250</v>
      </c>
      <c r="J50" s="868"/>
      <c r="K50" s="869"/>
    </row>
    <row r="51" spans="1:14" ht="63.5" hidden="1" customHeight="1" thickTop="1" x14ac:dyDescent="0.35">
      <c r="A51" s="169"/>
      <c r="B51" s="272" t="s">
        <v>273</v>
      </c>
      <c r="C51" s="830"/>
      <c r="D51" s="831"/>
      <c r="E51" s="831"/>
      <c r="F51" s="831"/>
      <c r="G51" s="831"/>
      <c r="H51" s="831"/>
      <c r="I51" s="865"/>
      <c r="J51" s="870"/>
      <c r="K51" s="871"/>
    </row>
    <row r="52" spans="1:14" ht="38.25" hidden="1" customHeight="1" thickTop="1" x14ac:dyDescent="0.35">
      <c r="A52" s="840" t="s">
        <v>181</v>
      </c>
      <c r="B52" s="842" t="s">
        <v>182</v>
      </c>
      <c r="C52" s="826" t="s">
        <v>241</v>
      </c>
      <c r="D52" s="514" t="s">
        <v>96</v>
      </c>
      <c r="E52" s="514" t="s">
        <v>172</v>
      </c>
      <c r="F52" s="557"/>
      <c r="G52" s="514" t="s">
        <v>438</v>
      </c>
      <c r="H52" s="862" t="s">
        <v>407</v>
      </c>
      <c r="I52" s="513" t="s">
        <v>96</v>
      </c>
      <c r="J52" s="512" t="str">
        <f>+G52</f>
        <v>Biodiesel B12</v>
      </c>
      <c r="K52" s="512" t="s">
        <v>124</v>
      </c>
    </row>
    <row r="53" spans="1:14" ht="21.75" hidden="1" customHeight="1" thickTop="1" x14ac:dyDescent="0.35">
      <c r="A53" s="840"/>
      <c r="B53" s="842"/>
      <c r="C53" s="827"/>
      <c r="D53" s="511">
        <v>0.08</v>
      </c>
      <c r="E53" s="189">
        <v>0.02</v>
      </c>
      <c r="F53" s="189"/>
      <c r="G53" s="397">
        <f>+BOYACA!G54</f>
        <v>0</v>
      </c>
      <c r="H53" s="863"/>
      <c r="I53" s="273">
        <v>0.04</v>
      </c>
      <c r="J53" s="398">
        <f>+G53</f>
        <v>0</v>
      </c>
      <c r="K53" s="274" t="s">
        <v>264</v>
      </c>
    </row>
    <row r="54" spans="1:14" ht="15" hidden="1" thickTop="1" x14ac:dyDescent="0.35">
      <c r="A54" s="841"/>
      <c r="B54" s="843"/>
      <c r="C54" s="513" t="s">
        <v>183</v>
      </c>
      <c r="D54" s="514" t="s">
        <v>183</v>
      </c>
      <c r="E54" s="514" t="s">
        <v>183</v>
      </c>
      <c r="F54" s="557"/>
      <c r="G54" s="514" t="s">
        <v>183</v>
      </c>
      <c r="H54" s="514" t="s">
        <v>183</v>
      </c>
      <c r="I54" s="513" t="s">
        <v>183</v>
      </c>
      <c r="J54" s="512" t="s">
        <v>183</v>
      </c>
      <c r="K54" s="263" t="s">
        <v>183</v>
      </c>
    </row>
    <row r="55" spans="1:14" ht="15" hidden="1" thickTop="1" x14ac:dyDescent="0.35">
      <c r="A55" s="143" t="s">
        <v>184</v>
      </c>
      <c r="B55" s="149" t="s">
        <v>185</v>
      </c>
      <c r="C55" s="264">
        <f>+'Calculo IP ZDF'!$B$42</f>
        <v>5108.8999999999996</v>
      </c>
      <c r="D55" s="264">
        <f>+'Calculo IP ZDF'!$G$42</f>
        <v>5308.5940000000001</v>
      </c>
      <c r="E55" s="264">
        <f>+'Calculo IP ZDF'!$F$42</f>
        <v>4791.4142000000002</v>
      </c>
      <c r="F55" s="264"/>
      <c r="G55" s="264">
        <f>+'Calculo IP ZDF'!$L$42</f>
        <v>6344.6115999999993</v>
      </c>
      <c r="H55" s="179">
        <f>+'Calculo IP ZDF'!$C$42</f>
        <v>4480.78</v>
      </c>
      <c r="I55" s="247">
        <f>+'GAS CTE'!$D$9</f>
        <v>5308.5940000000001</v>
      </c>
      <c r="J55" s="201">
        <f>+BIODIESEL!$J$9</f>
        <v>6344.6115999999993</v>
      </c>
      <c r="K55" s="223" t="e">
        <f>+#REF!</f>
        <v>#REF!</v>
      </c>
    </row>
    <row r="56" spans="1:14" ht="15" hidden="1" thickTop="1" x14ac:dyDescent="0.35">
      <c r="A56" s="143" t="s">
        <v>186</v>
      </c>
      <c r="B56" s="149" t="s">
        <v>187</v>
      </c>
      <c r="C56" s="199" t="str">
        <f>+E56</f>
        <v>------------------</v>
      </c>
      <c r="D56" s="199" t="s">
        <v>188</v>
      </c>
      <c r="E56" s="199" t="s">
        <v>188</v>
      </c>
      <c r="F56" s="199"/>
      <c r="G56" s="199" t="s">
        <v>188</v>
      </c>
      <c r="H56" s="174" t="s">
        <v>188</v>
      </c>
      <c r="I56" s="249">
        <f>+'GAS CTE'!$D$10</f>
        <v>532.84799999999996</v>
      </c>
      <c r="J56" s="198">
        <f>+BIODIESEL!$H$10</f>
        <v>478.14299999999997</v>
      </c>
      <c r="K56" s="220">
        <f>+'GAS EXTRA'!D58</f>
        <v>0</v>
      </c>
    </row>
    <row r="57" spans="1:14" ht="15" hidden="1" thickTop="1" x14ac:dyDescent="0.35">
      <c r="A57" s="143"/>
      <c r="B57" s="149" t="s">
        <v>132</v>
      </c>
      <c r="C57" s="199" t="str">
        <f>+E57</f>
        <v>------------------</v>
      </c>
      <c r="D57" s="199" t="s">
        <v>188</v>
      </c>
      <c r="E57" s="199" t="s">
        <v>188</v>
      </c>
      <c r="F57" s="199"/>
      <c r="G57" s="199" t="s">
        <v>188</v>
      </c>
      <c r="H57" s="174" t="s">
        <v>188</v>
      </c>
      <c r="I57" s="249" t="str">
        <f>+H10</f>
        <v>(3)</v>
      </c>
      <c r="J57" s="249" t="str">
        <f>+I10</f>
        <v>(3)</v>
      </c>
      <c r="K57" s="220">
        <f>'[6]CORRIENTE OXIGENADA'!D60</f>
        <v>0</v>
      </c>
    </row>
    <row r="58" spans="1:14" ht="15" hidden="1" thickTop="1" x14ac:dyDescent="0.35">
      <c r="A58" s="143"/>
      <c r="B58" s="149" t="s">
        <v>134</v>
      </c>
      <c r="C58" s="250">
        <f>+'GAS CTE'!$C$12</f>
        <v>159</v>
      </c>
      <c r="D58" s="250">
        <f>+'GAS CTE'!$D$12</f>
        <v>152.63999999999999</v>
      </c>
      <c r="E58" s="250">
        <f>+BIODIESEL!$E$12</f>
        <v>175.42</v>
      </c>
      <c r="F58" s="250"/>
      <c r="G58" s="250">
        <f>+BIODIESEL!$H$12</f>
        <v>161.1</v>
      </c>
      <c r="H58" s="179">
        <f>+BIODIESEL!$C$12</f>
        <v>179</v>
      </c>
      <c r="I58" s="249">
        <f>+'GAS CTE'!$D$12</f>
        <v>152.63999999999999</v>
      </c>
      <c r="J58" s="198">
        <f>+G58</f>
        <v>161.1</v>
      </c>
      <c r="K58" s="220" t="e">
        <f>+#REF!</f>
        <v>#REF!</v>
      </c>
      <c r="M58" s="446" t="s">
        <v>428</v>
      </c>
    </row>
    <row r="59" spans="1:14" ht="15" hidden="1" thickTop="1" x14ac:dyDescent="0.35">
      <c r="A59" s="143" t="s">
        <v>189</v>
      </c>
      <c r="B59" s="149" t="s">
        <v>270</v>
      </c>
      <c r="C59" s="267" t="s">
        <v>217</v>
      </c>
      <c r="D59" s="199" t="str">
        <f>+C59</f>
        <v>(2)</v>
      </c>
      <c r="E59" s="199" t="str">
        <f>+C59</f>
        <v>(2)</v>
      </c>
      <c r="F59" s="199"/>
      <c r="G59" s="199" t="str">
        <f>+C59</f>
        <v>(2)</v>
      </c>
      <c r="H59" s="173" t="str">
        <f>+C59</f>
        <v>(2)</v>
      </c>
      <c r="I59" s="249" t="str">
        <f>+K59</f>
        <v>(2)</v>
      </c>
      <c r="J59" s="198" t="str">
        <f>+D59</f>
        <v>(2)</v>
      </c>
      <c r="K59" s="220" t="str">
        <f>+E59</f>
        <v>(2)</v>
      </c>
    </row>
    <row r="60" spans="1:14" ht="15" hidden="1" thickTop="1" x14ac:dyDescent="0.35">
      <c r="A60" s="143" t="s">
        <v>191</v>
      </c>
      <c r="B60" s="149" t="s">
        <v>192</v>
      </c>
      <c r="C60" s="250">
        <f>+RUBROS!$Z$13</f>
        <v>22.249601678692599</v>
      </c>
      <c r="D60" s="173">
        <f>+C60</f>
        <v>22.249601678692599</v>
      </c>
      <c r="E60" s="173">
        <f>+C60</f>
        <v>22.249601678692599</v>
      </c>
      <c r="F60" s="173"/>
      <c r="G60" s="173">
        <f>+C60</f>
        <v>22.249601678692599</v>
      </c>
      <c r="H60" s="173">
        <f>+C60</f>
        <v>22.249601678692599</v>
      </c>
      <c r="I60" s="247" t="e">
        <f>+#REF!</f>
        <v>#REF!</v>
      </c>
      <c r="J60" s="173" t="e">
        <f>+#REF!</f>
        <v>#REF!</v>
      </c>
      <c r="K60" s="146" t="e">
        <f>+#REF!</f>
        <v>#REF!</v>
      </c>
      <c r="M60" s="446" t="s">
        <v>428</v>
      </c>
      <c r="N60" s="446" t="s">
        <v>427</v>
      </c>
    </row>
    <row r="61" spans="1:14" ht="15" hidden="1" thickTop="1" x14ac:dyDescent="0.35">
      <c r="A61" s="143" t="s">
        <v>195</v>
      </c>
      <c r="B61" s="149" t="s">
        <v>196</v>
      </c>
      <c r="C61" s="250">
        <f>+RUBROS!$AP$42</f>
        <v>12.938273064269636</v>
      </c>
      <c r="D61" s="173">
        <f>+C61</f>
        <v>12.938273064269636</v>
      </c>
      <c r="E61" s="173">
        <f>+C61</f>
        <v>12.938273064269636</v>
      </c>
      <c r="F61" s="173"/>
      <c r="G61" s="173">
        <f>+C61</f>
        <v>12.938273064269636</v>
      </c>
      <c r="H61" s="173">
        <f>+C61</f>
        <v>12.938273064269636</v>
      </c>
      <c r="I61" s="247">
        <f>+C61</f>
        <v>12.938273064269636</v>
      </c>
      <c r="J61" s="173">
        <f>+I61</f>
        <v>12.938273064269636</v>
      </c>
      <c r="K61" s="146">
        <f>+I61</f>
        <v>12.938273064269636</v>
      </c>
      <c r="M61" s="446" t="s">
        <v>427</v>
      </c>
    </row>
    <row r="62" spans="1:14" ht="15" hidden="1" thickTop="1" x14ac:dyDescent="0.35">
      <c r="A62" s="143"/>
      <c r="B62" s="149" t="s">
        <v>197</v>
      </c>
      <c r="C62" s="250"/>
      <c r="D62" s="173"/>
      <c r="E62" s="173"/>
      <c r="F62" s="173"/>
      <c r="G62" s="173"/>
      <c r="H62" s="173"/>
      <c r="I62" s="247"/>
      <c r="J62" s="173"/>
      <c r="K62" s="146">
        <f>+C62</f>
        <v>0</v>
      </c>
      <c r="M62" s="450" t="s">
        <v>429</v>
      </c>
    </row>
    <row r="63" spans="1:14" ht="15" hidden="1" thickTop="1" x14ac:dyDescent="0.35">
      <c r="A63" s="150" t="s">
        <v>198</v>
      </c>
      <c r="B63" s="180" t="s">
        <v>199</v>
      </c>
      <c r="C63" s="251">
        <f>SUM(C55:C62)</f>
        <v>5303.0878747429615</v>
      </c>
      <c r="D63" s="251">
        <f t="shared" ref="D63:K63" si="5">SUM(D55:D62)</f>
        <v>5496.4218747429622</v>
      </c>
      <c r="E63" s="251">
        <f t="shared" si="5"/>
        <v>5002.0220747429621</v>
      </c>
      <c r="F63" s="251"/>
      <c r="G63" s="251">
        <f t="shared" si="5"/>
        <v>6540.8994747429615</v>
      </c>
      <c r="H63" s="251">
        <f t="shared" si="5"/>
        <v>4694.9678747429616</v>
      </c>
      <c r="I63" s="253" t="e">
        <f t="shared" si="5"/>
        <v>#REF!</v>
      </c>
      <c r="J63" s="251" t="e">
        <f t="shared" si="5"/>
        <v>#REF!</v>
      </c>
      <c r="K63" s="254" t="e">
        <f t="shared" si="5"/>
        <v>#REF!</v>
      </c>
    </row>
    <row r="64" spans="1:14" ht="15" hidden="1" thickTop="1" x14ac:dyDescent="0.35">
      <c r="A64" s="143" t="s">
        <v>200</v>
      </c>
      <c r="B64" s="149" t="s">
        <v>265</v>
      </c>
      <c r="C64" s="268" t="s">
        <v>232</v>
      </c>
      <c r="D64" s="173" t="str">
        <f>+C64</f>
        <v>***</v>
      </c>
      <c r="E64" s="173" t="str">
        <f>+C64</f>
        <v>***</v>
      </c>
      <c r="F64" s="173"/>
      <c r="G64" s="173" t="str">
        <f>+E64</f>
        <v>***</v>
      </c>
      <c r="H64" s="173" t="str">
        <f>+E64</f>
        <v>***</v>
      </c>
      <c r="I64" s="247" t="str">
        <f>K64</f>
        <v>***</v>
      </c>
      <c r="J64" s="173" t="str">
        <f>+K64</f>
        <v>***</v>
      </c>
      <c r="K64" s="146" t="str">
        <f>+E64</f>
        <v>***</v>
      </c>
    </row>
    <row r="65" spans="1:11" ht="15" hidden="1" thickTop="1" x14ac:dyDescent="0.35">
      <c r="A65" s="143" t="s">
        <v>202</v>
      </c>
      <c r="B65" s="149" t="s">
        <v>203</v>
      </c>
      <c r="C65" s="267" t="s">
        <v>230</v>
      </c>
      <c r="D65" s="173" t="str">
        <f>+C65</f>
        <v>**</v>
      </c>
      <c r="E65" s="173" t="str">
        <f>+C65</f>
        <v>**</v>
      </c>
      <c r="F65" s="173"/>
      <c r="G65" s="173" t="str">
        <f>+C65</f>
        <v>**</v>
      </c>
      <c r="H65" s="173" t="str">
        <f>+C65</f>
        <v>**</v>
      </c>
      <c r="I65" s="247" t="e">
        <f>+#REF!</f>
        <v>#REF!</v>
      </c>
      <c r="J65" s="173" t="e">
        <f>+I65</f>
        <v>#REF!</v>
      </c>
      <c r="K65" s="146" t="e">
        <f>+J65</f>
        <v>#REF!</v>
      </c>
    </row>
    <row r="66" spans="1:11" ht="15" hidden="1" thickTop="1" x14ac:dyDescent="0.35">
      <c r="A66" s="143" t="s">
        <v>204</v>
      </c>
      <c r="B66" s="218" t="s">
        <v>139</v>
      </c>
      <c r="C66" s="255">
        <f>+E66</f>
        <v>0</v>
      </c>
      <c r="D66" s="173">
        <f t="shared" ref="D66" si="6">+E66</f>
        <v>0</v>
      </c>
      <c r="E66" s="179">
        <f>+A161</f>
        <v>0</v>
      </c>
      <c r="F66" s="179"/>
      <c r="G66" s="179">
        <f>+E66</f>
        <v>0</v>
      </c>
      <c r="H66" s="179">
        <f>+A161</f>
        <v>0</v>
      </c>
      <c r="I66" s="270">
        <f>C66</f>
        <v>0</v>
      </c>
      <c r="J66" s="173">
        <f>+K66</f>
        <v>0</v>
      </c>
      <c r="K66" s="148">
        <f>I66</f>
        <v>0</v>
      </c>
    </row>
    <row r="67" spans="1:11" ht="15" hidden="1" thickTop="1" x14ac:dyDescent="0.35">
      <c r="A67" s="150" t="s">
        <v>206</v>
      </c>
      <c r="B67" s="180" t="s">
        <v>207</v>
      </c>
      <c r="C67" s="256">
        <f t="shared" ref="C67:K68" si="7">+C63</f>
        <v>5303.0878747429615</v>
      </c>
      <c r="D67" s="181">
        <f t="shared" si="7"/>
        <v>5496.4218747429622</v>
      </c>
      <c r="E67" s="181">
        <f t="shared" si="7"/>
        <v>5002.0220747429621</v>
      </c>
      <c r="F67" s="181"/>
      <c r="G67" s="181">
        <f t="shared" si="7"/>
        <v>6540.8994747429615</v>
      </c>
      <c r="H67" s="181">
        <f t="shared" si="7"/>
        <v>4694.9678747429616</v>
      </c>
      <c r="I67" s="253" t="e">
        <f t="shared" si="7"/>
        <v>#REF!</v>
      </c>
      <c r="J67" s="181" t="e">
        <f t="shared" si="7"/>
        <v>#REF!</v>
      </c>
      <c r="K67" s="152" t="e">
        <f t="shared" si="7"/>
        <v>#REF!</v>
      </c>
    </row>
    <row r="68" spans="1:11" ht="15" hidden="1" thickTop="1" x14ac:dyDescent="0.35">
      <c r="A68" s="143" t="s">
        <v>208</v>
      </c>
      <c r="B68" s="149" t="s">
        <v>160</v>
      </c>
      <c r="C68" s="250" t="str">
        <f>+E68</f>
        <v>***</v>
      </c>
      <c r="D68" s="173" t="str">
        <f t="shared" ref="D68" si="8">+E68</f>
        <v>***</v>
      </c>
      <c r="E68" s="173" t="str">
        <f t="shared" si="7"/>
        <v>***</v>
      </c>
      <c r="F68" s="173"/>
      <c r="G68" s="173" t="str">
        <f>+E68</f>
        <v>***</v>
      </c>
      <c r="H68" s="173" t="str">
        <f>+H64</f>
        <v>***</v>
      </c>
      <c r="I68" s="247" t="str">
        <f>K68</f>
        <v>***</v>
      </c>
      <c r="J68" s="173" t="str">
        <f>+K68</f>
        <v>***</v>
      </c>
      <c r="K68" s="146" t="str">
        <f>+K64</f>
        <v>***</v>
      </c>
    </row>
    <row r="69" spans="1:11" ht="15" hidden="1" thickTop="1" x14ac:dyDescent="0.35">
      <c r="A69" s="143" t="s">
        <v>209</v>
      </c>
      <c r="B69" s="144" t="s">
        <v>210</v>
      </c>
      <c r="C69" s="257" t="s">
        <v>236</v>
      </c>
      <c r="D69" s="173" t="str">
        <f>+C69</f>
        <v>*****</v>
      </c>
      <c r="E69" s="173" t="s">
        <v>211</v>
      </c>
      <c r="F69" s="173"/>
      <c r="G69" s="173" t="str">
        <f>+E69</f>
        <v>N.A</v>
      </c>
      <c r="H69" s="173" t="s">
        <v>211</v>
      </c>
      <c r="I69" s="247" t="e">
        <f>+#REF!</f>
        <v>#REF!</v>
      </c>
      <c r="J69" s="173" t="s">
        <v>254</v>
      </c>
      <c r="K69" s="146" t="e">
        <f>+#REF!</f>
        <v>#REF!</v>
      </c>
    </row>
    <row r="70" spans="1:11" ht="24.75" hidden="1" customHeight="1" thickTop="1" x14ac:dyDescent="0.35">
      <c r="A70" s="143" t="s">
        <v>212</v>
      </c>
      <c r="B70" s="144" t="s">
        <v>213</v>
      </c>
      <c r="C70" s="257" t="s">
        <v>237</v>
      </c>
      <c r="D70" s="173" t="str">
        <f>+C70</f>
        <v>******</v>
      </c>
      <c r="E70" s="173" t="str">
        <f>+C70</f>
        <v>******</v>
      </c>
      <c r="F70" s="173"/>
      <c r="G70" s="173" t="str">
        <f>+C70</f>
        <v>******</v>
      </c>
      <c r="H70" s="173" t="str">
        <f>+C70</f>
        <v>******</v>
      </c>
      <c r="I70" s="247" t="str">
        <f>+C70</f>
        <v>******</v>
      </c>
      <c r="J70" s="173" t="str">
        <f>+C70</f>
        <v>******</v>
      </c>
      <c r="K70" s="146" t="str">
        <f>+C70</f>
        <v>******</v>
      </c>
    </row>
    <row r="71" spans="1:11" ht="15.5" hidden="1" thickTop="1" thickBot="1" x14ac:dyDescent="0.4">
      <c r="A71" s="154" t="s">
        <v>214</v>
      </c>
      <c r="B71" s="155" t="s">
        <v>215</v>
      </c>
      <c r="C71" s="258"/>
      <c r="D71" s="183"/>
      <c r="E71" s="183"/>
      <c r="F71" s="183"/>
      <c r="G71" s="183"/>
      <c r="H71" s="183"/>
      <c r="I71" s="407"/>
      <c r="J71" s="408"/>
      <c r="K71" s="409"/>
    </row>
    <row r="72" spans="1:11" ht="15" hidden="1" thickTop="1" x14ac:dyDescent="0.35">
      <c r="A72" s="159"/>
      <c r="B72" s="160"/>
      <c r="C72" s="160"/>
      <c r="D72" s="161"/>
      <c r="E72" s="161"/>
      <c r="F72" s="161"/>
      <c r="G72" s="161"/>
      <c r="H72" s="161"/>
      <c r="I72" s="161"/>
      <c r="J72" s="161"/>
      <c r="K72" s="161"/>
    </row>
    <row r="73" spans="1:11" ht="15" hidden="1" thickTop="1" x14ac:dyDescent="0.35">
      <c r="A73" s="159"/>
      <c r="B73" s="160"/>
      <c r="C73" s="160"/>
      <c r="D73" s="161"/>
      <c r="E73" s="161"/>
      <c r="F73" s="161"/>
      <c r="G73" s="161"/>
      <c r="H73" s="161"/>
      <c r="I73" s="161"/>
      <c r="J73" s="161"/>
      <c r="K73" s="161"/>
    </row>
    <row r="74" spans="1:11" ht="15" hidden="1" thickTop="1" x14ac:dyDescent="0.35">
      <c r="A74" s="195"/>
      <c r="B74" s="168" t="s">
        <v>470</v>
      </c>
      <c r="C74" s="828" t="s">
        <v>180</v>
      </c>
      <c r="D74" s="829"/>
      <c r="E74" s="829"/>
      <c r="F74" s="829"/>
      <c r="G74" s="829"/>
      <c r="H74" s="829"/>
      <c r="I74" s="864" t="s">
        <v>250</v>
      </c>
      <c r="J74" s="868"/>
      <c r="K74" s="869"/>
    </row>
    <row r="75" spans="1:11" ht="41" hidden="1" thickTop="1" x14ac:dyDescent="0.35">
      <c r="A75" s="169"/>
      <c r="B75" s="272" t="s">
        <v>273</v>
      </c>
      <c r="C75" s="830"/>
      <c r="D75" s="831"/>
      <c r="E75" s="831"/>
      <c r="F75" s="831"/>
      <c r="G75" s="831"/>
      <c r="H75" s="831"/>
      <c r="I75" s="865"/>
      <c r="J75" s="870"/>
      <c r="K75" s="871"/>
    </row>
    <row r="76" spans="1:11" ht="26.5" hidden="1" thickTop="1" x14ac:dyDescent="0.35">
      <c r="A76" s="840" t="s">
        <v>181</v>
      </c>
      <c r="B76" s="842" t="s">
        <v>182</v>
      </c>
      <c r="C76" s="826" t="s">
        <v>241</v>
      </c>
      <c r="D76" s="514" t="s">
        <v>96</v>
      </c>
      <c r="E76" s="514" t="s">
        <v>172</v>
      </c>
      <c r="F76" s="557"/>
      <c r="G76" s="514" t="s">
        <v>438</v>
      </c>
      <c r="H76" s="862" t="s">
        <v>407</v>
      </c>
      <c r="I76" s="513" t="s">
        <v>96</v>
      </c>
      <c r="J76" s="512" t="str">
        <f>+G76</f>
        <v>Biodiesel B12</v>
      </c>
      <c r="K76" s="512" t="s">
        <v>124</v>
      </c>
    </row>
    <row r="77" spans="1:11" ht="15" hidden="1" thickTop="1" x14ac:dyDescent="0.35">
      <c r="A77" s="840"/>
      <c r="B77" s="842"/>
      <c r="C77" s="827"/>
      <c r="D77" s="511">
        <v>0.08</v>
      </c>
      <c r="E77" s="189">
        <v>0.02</v>
      </c>
      <c r="F77" s="189"/>
      <c r="G77" s="397">
        <f>+BOYACA!G78</f>
        <v>0</v>
      </c>
      <c r="H77" s="863"/>
      <c r="I77" s="273">
        <v>0.04</v>
      </c>
      <c r="J77" s="398">
        <f>+G77</f>
        <v>0</v>
      </c>
      <c r="K77" s="274" t="s">
        <v>264</v>
      </c>
    </row>
    <row r="78" spans="1:11" ht="15" hidden="1" thickTop="1" x14ac:dyDescent="0.35">
      <c r="A78" s="841"/>
      <c r="B78" s="843"/>
      <c r="C78" s="513" t="s">
        <v>183</v>
      </c>
      <c r="D78" s="514" t="s">
        <v>183</v>
      </c>
      <c r="E78" s="514" t="s">
        <v>183</v>
      </c>
      <c r="F78" s="557"/>
      <c r="G78" s="514" t="s">
        <v>183</v>
      </c>
      <c r="H78" s="514" t="s">
        <v>183</v>
      </c>
      <c r="I78" s="513" t="s">
        <v>183</v>
      </c>
      <c r="J78" s="512" t="s">
        <v>183</v>
      </c>
      <c r="K78" s="263" t="s">
        <v>183</v>
      </c>
    </row>
    <row r="79" spans="1:11" ht="15" hidden="1" thickTop="1" x14ac:dyDescent="0.35">
      <c r="A79" s="143" t="s">
        <v>184</v>
      </c>
      <c r="B79" s="149" t="s">
        <v>185</v>
      </c>
      <c r="C79" s="264">
        <f>+'Calculo IP ZDF'!$B$43</f>
        <v>5107.8782199999996</v>
      </c>
      <c r="D79" s="264">
        <f>+'Calculo IP ZDF'!$G$43</f>
        <v>5307.6130911999999</v>
      </c>
      <c r="E79" s="264">
        <f>+'Calculo IP ZDF'!$F$43</f>
        <v>4791.4142000000002</v>
      </c>
      <c r="F79" s="264"/>
      <c r="G79" s="264">
        <f>+'Calculo IP ZDF'!$L$43</f>
        <v>6344.6115999999993</v>
      </c>
      <c r="H79" s="179">
        <f>+'Calculo IP ZDF'!$C$43</f>
        <v>4480.78</v>
      </c>
      <c r="I79" s="247">
        <f>+'GAS CTE'!$D$9</f>
        <v>5308.5940000000001</v>
      </c>
      <c r="J79" s="201">
        <f>+BIODIESEL!$J$9</f>
        <v>6344.6115999999993</v>
      </c>
      <c r="K79" s="223" t="e">
        <f>+#REF!</f>
        <v>#REF!</v>
      </c>
    </row>
    <row r="80" spans="1:11" ht="15" hidden="1" thickTop="1" x14ac:dyDescent="0.35">
      <c r="A80" s="143" t="s">
        <v>186</v>
      </c>
      <c r="B80" s="149" t="s">
        <v>187</v>
      </c>
      <c r="C80" s="199" t="str">
        <f>+E80</f>
        <v>------------------</v>
      </c>
      <c r="D80" s="199" t="s">
        <v>188</v>
      </c>
      <c r="E80" s="199" t="s">
        <v>188</v>
      </c>
      <c r="F80" s="199"/>
      <c r="G80" s="199" t="s">
        <v>188</v>
      </c>
      <c r="H80" s="174" t="s">
        <v>188</v>
      </c>
      <c r="I80" s="249">
        <f>+'GAS CTE'!$D$10</f>
        <v>532.84799999999996</v>
      </c>
      <c r="J80" s="198">
        <f>+BIODIESEL!$H$10</f>
        <v>478.14299999999997</v>
      </c>
      <c r="K80" s="220">
        <f>+'GAS EXTRA'!D82</f>
        <v>0</v>
      </c>
    </row>
    <row r="81" spans="1:11" ht="15" hidden="1" thickTop="1" x14ac:dyDescent="0.35">
      <c r="A81" s="143"/>
      <c r="B81" s="149" t="s">
        <v>132</v>
      </c>
      <c r="C81" s="199" t="str">
        <f>+E81</f>
        <v>------------------</v>
      </c>
      <c r="D81" s="199" t="s">
        <v>188</v>
      </c>
      <c r="E81" s="199" t="s">
        <v>188</v>
      </c>
      <c r="F81" s="199"/>
      <c r="G81" s="199" t="s">
        <v>188</v>
      </c>
      <c r="H81" s="174" t="s">
        <v>188</v>
      </c>
      <c r="I81" s="249">
        <f>+I34</f>
        <v>0</v>
      </c>
      <c r="J81" s="249">
        <f>+J34</f>
        <v>0</v>
      </c>
      <c r="K81" s="220">
        <f>'[6]CORRIENTE OXIGENADA'!D84</f>
        <v>0</v>
      </c>
    </row>
    <row r="82" spans="1:11" ht="15" hidden="1" thickTop="1" x14ac:dyDescent="0.35">
      <c r="A82" s="143"/>
      <c r="B82" s="149" t="s">
        <v>134</v>
      </c>
      <c r="C82" s="250">
        <f>+'GAS CTE'!$C$12</f>
        <v>159</v>
      </c>
      <c r="D82" s="250">
        <f>+'GAS CTE'!$D$12</f>
        <v>152.63999999999999</v>
      </c>
      <c r="E82" s="250">
        <f>+BIODIESEL!$E$12</f>
        <v>175.42</v>
      </c>
      <c r="F82" s="250"/>
      <c r="G82" s="250">
        <f>+BIODIESEL!$H$12</f>
        <v>161.1</v>
      </c>
      <c r="H82" s="179">
        <f>+BIODIESEL!$C$12</f>
        <v>179</v>
      </c>
      <c r="I82" s="249">
        <f>+'GAS CTE'!$D$12</f>
        <v>152.63999999999999</v>
      </c>
      <c r="J82" s="198">
        <f>+G82</f>
        <v>161.1</v>
      </c>
      <c r="K82" s="220" t="e">
        <f>+#REF!</f>
        <v>#REF!</v>
      </c>
    </row>
    <row r="83" spans="1:11" ht="15" hidden="1" thickTop="1" x14ac:dyDescent="0.35">
      <c r="A83" s="143" t="s">
        <v>189</v>
      </c>
      <c r="B83" s="149" t="s">
        <v>270</v>
      </c>
      <c r="C83" s="267" t="s">
        <v>217</v>
      </c>
      <c r="D83" s="199" t="str">
        <f>+C83</f>
        <v>(2)</v>
      </c>
      <c r="E83" s="199" t="str">
        <f>+C83</f>
        <v>(2)</v>
      </c>
      <c r="F83" s="199"/>
      <c r="G83" s="199" t="str">
        <f>+C83</f>
        <v>(2)</v>
      </c>
      <c r="H83" s="173" t="str">
        <f>+C83</f>
        <v>(2)</v>
      </c>
      <c r="I83" s="249" t="str">
        <f>+K83</f>
        <v>(2)</v>
      </c>
      <c r="J83" s="198" t="str">
        <f>+D83</f>
        <v>(2)</v>
      </c>
      <c r="K83" s="220" t="str">
        <f>+E83</f>
        <v>(2)</v>
      </c>
    </row>
    <row r="84" spans="1:11" ht="15" hidden="1" thickTop="1" x14ac:dyDescent="0.35">
      <c r="A84" s="143" t="s">
        <v>191</v>
      </c>
      <c r="B84" s="149" t="s">
        <v>192</v>
      </c>
      <c r="C84" s="250">
        <f>+RUBROS!$Z$13</f>
        <v>22.249601678692599</v>
      </c>
      <c r="D84" s="173">
        <f>+C84</f>
        <v>22.249601678692599</v>
      </c>
      <c r="E84" s="173">
        <f>+C84</f>
        <v>22.249601678692599</v>
      </c>
      <c r="F84" s="173"/>
      <c r="G84" s="173">
        <f>+C84</f>
        <v>22.249601678692599</v>
      </c>
      <c r="H84" s="173">
        <f>+C84</f>
        <v>22.249601678692599</v>
      </c>
      <c r="I84" s="247" t="e">
        <f>+#REF!</f>
        <v>#REF!</v>
      </c>
      <c r="J84" s="173" t="e">
        <f>+#REF!</f>
        <v>#REF!</v>
      </c>
      <c r="K84" s="146" t="e">
        <f>+#REF!</f>
        <v>#REF!</v>
      </c>
    </row>
    <row r="85" spans="1:11" ht="15" hidden="1" thickTop="1" x14ac:dyDescent="0.35">
      <c r="A85" s="143" t="s">
        <v>195</v>
      </c>
      <c r="B85" s="149" t="s">
        <v>196</v>
      </c>
      <c r="C85" s="250">
        <f>+RUBROS!$AP$42</f>
        <v>12.938273064269636</v>
      </c>
      <c r="D85" s="173">
        <f>+C85</f>
        <v>12.938273064269636</v>
      </c>
      <c r="E85" s="173">
        <f>+C85</f>
        <v>12.938273064269636</v>
      </c>
      <c r="F85" s="173"/>
      <c r="G85" s="173">
        <f>+C85</f>
        <v>12.938273064269636</v>
      </c>
      <c r="H85" s="173">
        <f>+C85</f>
        <v>12.938273064269636</v>
      </c>
      <c r="I85" s="247">
        <f>+C85</f>
        <v>12.938273064269636</v>
      </c>
      <c r="J85" s="173">
        <f>+I85</f>
        <v>12.938273064269636</v>
      </c>
      <c r="K85" s="146">
        <f>+I85</f>
        <v>12.938273064269636</v>
      </c>
    </row>
    <row r="86" spans="1:11" ht="15" hidden="1" thickTop="1" x14ac:dyDescent="0.35">
      <c r="A86" s="143"/>
      <c r="B86" s="149" t="s">
        <v>197</v>
      </c>
      <c r="C86" s="250"/>
      <c r="D86" s="173"/>
      <c r="E86" s="173"/>
      <c r="F86" s="173"/>
      <c r="G86" s="173"/>
      <c r="H86" s="173"/>
      <c r="I86" s="247"/>
      <c r="J86" s="173"/>
      <c r="K86" s="146">
        <f>+C86</f>
        <v>0</v>
      </c>
    </row>
    <row r="87" spans="1:11" ht="15" hidden="1" thickTop="1" x14ac:dyDescent="0.35">
      <c r="A87" s="150" t="s">
        <v>198</v>
      </c>
      <c r="B87" s="180" t="s">
        <v>199</v>
      </c>
      <c r="C87" s="251">
        <f>SUM(C79:C86)</f>
        <v>5302.0660947429615</v>
      </c>
      <c r="D87" s="251">
        <f t="shared" ref="D87:K87" si="9">SUM(D79:D86)</f>
        <v>5495.4409659429621</v>
      </c>
      <c r="E87" s="251">
        <f t="shared" si="9"/>
        <v>5002.0220747429621</v>
      </c>
      <c r="F87" s="251"/>
      <c r="G87" s="251">
        <f t="shared" si="9"/>
        <v>6540.8994747429615</v>
      </c>
      <c r="H87" s="251">
        <f t="shared" si="9"/>
        <v>4694.9678747429616</v>
      </c>
      <c r="I87" s="253" t="e">
        <f t="shared" si="9"/>
        <v>#REF!</v>
      </c>
      <c r="J87" s="251" t="e">
        <f t="shared" si="9"/>
        <v>#REF!</v>
      </c>
      <c r="K87" s="254" t="e">
        <f t="shared" si="9"/>
        <v>#REF!</v>
      </c>
    </row>
    <row r="88" spans="1:11" ht="15" hidden="1" thickTop="1" x14ac:dyDescent="0.35">
      <c r="A88" s="143" t="s">
        <v>200</v>
      </c>
      <c r="B88" s="149" t="s">
        <v>265</v>
      </c>
      <c r="C88" s="268" t="s">
        <v>232</v>
      </c>
      <c r="D88" s="173" t="str">
        <f>+C88</f>
        <v>***</v>
      </c>
      <c r="E88" s="173" t="str">
        <f>+C88</f>
        <v>***</v>
      </c>
      <c r="F88" s="173"/>
      <c r="G88" s="173" t="str">
        <f>+E88</f>
        <v>***</v>
      </c>
      <c r="H88" s="173" t="str">
        <f>+E88</f>
        <v>***</v>
      </c>
      <c r="I88" s="247" t="str">
        <f>K88</f>
        <v>***</v>
      </c>
      <c r="J88" s="173" t="str">
        <f>+K88</f>
        <v>***</v>
      </c>
      <c r="K88" s="146" t="str">
        <f>+E88</f>
        <v>***</v>
      </c>
    </row>
    <row r="89" spans="1:11" ht="15" hidden="1" thickTop="1" x14ac:dyDescent="0.35">
      <c r="A89" s="143" t="s">
        <v>202</v>
      </c>
      <c r="B89" s="149" t="s">
        <v>203</v>
      </c>
      <c r="C89" s="267" t="s">
        <v>230</v>
      </c>
      <c r="D89" s="173" t="str">
        <f>+C89</f>
        <v>**</v>
      </c>
      <c r="E89" s="173" t="str">
        <f>+C89</f>
        <v>**</v>
      </c>
      <c r="F89" s="173"/>
      <c r="G89" s="173" t="str">
        <f>+C89</f>
        <v>**</v>
      </c>
      <c r="H89" s="173" t="str">
        <f>+C89</f>
        <v>**</v>
      </c>
      <c r="I89" s="247" t="e">
        <f>+#REF!</f>
        <v>#REF!</v>
      </c>
      <c r="J89" s="173" t="e">
        <f>+I89</f>
        <v>#REF!</v>
      </c>
      <c r="K89" s="146" t="e">
        <f>+J89</f>
        <v>#REF!</v>
      </c>
    </row>
    <row r="90" spans="1:11" ht="15" hidden="1" thickTop="1" x14ac:dyDescent="0.35">
      <c r="A90" s="143" t="s">
        <v>204</v>
      </c>
      <c r="B90" s="218" t="s">
        <v>139</v>
      </c>
      <c r="C90" s="255">
        <f>+E90</f>
        <v>0</v>
      </c>
      <c r="D90" s="173">
        <f t="shared" ref="D90" si="10">+E90</f>
        <v>0</v>
      </c>
      <c r="E90" s="179">
        <f>+A185</f>
        <v>0</v>
      </c>
      <c r="F90" s="179"/>
      <c r="G90" s="179">
        <f>+E90</f>
        <v>0</v>
      </c>
      <c r="H90" s="179">
        <f>+A185</f>
        <v>0</v>
      </c>
      <c r="I90" s="270">
        <f>C90</f>
        <v>0</v>
      </c>
      <c r="J90" s="173">
        <f>+K90</f>
        <v>0</v>
      </c>
      <c r="K90" s="148">
        <f>I90</f>
        <v>0</v>
      </c>
    </row>
    <row r="91" spans="1:11" ht="15" hidden="1" thickTop="1" x14ac:dyDescent="0.35">
      <c r="A91" s="150" t="s">
        <v>206</v>
      </c>
      <c r="B91" s="180" t="s">
        <v>207</v>
      </c>
      <c r="C91" s="256">
        <f t="shared" ref="C91:K91" si="11">+C87</f>
        <v>5302.0660947429615</v>
      </c>
      <c r="D91" s="181">
        <f t="shared" si="11"/>
        <v>5495.4409659429621</v>
      </c>
      <c r="E91" s="181">
        <f t="shared" si="11"/>
        <v>5002.0220747429621</v>
      </c>
      <c r="F91" s="181"/>
      <c r="G91" s="181">
        <f t="shared" si="11"/>
        <v>6540.8994747429615</v>
      </c>
      <c r="H91" s="181">
        <f t="shared" si="11"/>
        <v>4694.9678747429616</v>
      </c>
      <c r="I91" s="253" t="e">
        <f t="shared" si="11"/>
        <v>#REF!</v>
      </c>
      <c r="J91" s="181" t="e">
        <f t="shared" si="11"/>
        <v>#REF!</v>
      </c>
      <c r="K91" s="152" t="e">
        <f t="shared" si="11"/>
        <v>#REF!</v>
      </c>
    </row>
    <row r="92" spans="1:11" ht="15" hidden="1" thickTop="1" x14ac:dyDescent="0.35">
      <c r="A92" s="143" t="s">
        <v>208</v>
      </c>
      <c r="B92" s="149" t="s">
        <v>160</v>
      </c>
      <c r="C92" s="250" t="str">
        <f>+E92</f>
        <v>***</v>
      </c>
      <c r="D92" s="173" t="str">
        <f t="shared" ref="D92" si="12">+E92</f>
        <v>***</v>
      </c>
      <c r="E92" s="173" t="str">
        <f t="shared" ref="E92" si="13">+E88</f>
        <v>***</v>
      </c>
      <c r="F92" s="173"/>
      <c r="G92" s="173" t="str">
        <f>+E92</f>
        <v>***</v>
      </c>
      <c r="H92" s="173" t="str">
        <f>+H88</f>
        <v>***</v>
      </c>
      <c r="I92" s="247" t="str">
        <f>K92</f>
        <v>***</v>
      </c>
      <c r="J92" s="173" t="str">
        <f>+K92</f>
        <v>***</v>
      </c>
      <c r="K92" s="146" t="str">
        <f>+K88</f>
        <v>***</v>
      </c>
    </row>
    <row r="93" spans="1:11" ht="15" hidden="1" thickTop="1" x14ac:dyDescent="0.35">
      <c r="A93" s="143" t="s">
        <v>209</v>
      </c>
      <c r="B93" s="144" t="s">
        <v>210</v>
      </c>
      <c r="C93" s="257" t="s">
        <v>236</v>
      </c>
      <c r="D93" s="173" t="str">
        <f>+C93</f>
        <v>*****</v>
      </c>
      <c r="E93" s="173" t="s">
        <v>211</v>
      </c>
      <c r="F93" s="173"/>
      <c r="G93" s="173" t="str">
        <f>+E93</f>
        <v>N.A</v>
      </c>
      <c r="H93" s="173" t="s">
        <v>211</v>
      </c>
      <c r="I93" s="247" t="e">
        <f>+#REF!</f>
        <v>#REF!</v>
      </c>
      <c r="J93" s="173" t="s">
        <v>254</v>
      </c>
      <c r="K93" s="146" t="e">
        <f>+#REF!</f>
        <v>#REF!</v>
      </c>
    </row>
    <row r="94" spans="1:11" ht="15" hidden="1" thickTop="1" x14ac:dyDescent="0.35">
      <c r="A94" s="143" t="s">
        <v>212</v>
      </c>
      <c r="B94" s="144" t="s">
        <v>213</v>
      </c>
      <c r="C94" s="257" t="s">
        <v>237</v>
      </c>
      <c r="D94" s="173" t="str">
        <f>+C94</f>
        <v>******</v>
      </c>
      <c r="E94" s="173" t="str">
        <f>+C94</f>
        <v>******</v>
      </c>
      <c r="F94" s="173"/>
      <c r="G94" s="173" t="str">
        <f>+C94</f>
        <v>******</v>
      </c>
      <c r="H94" s="173" t="str">
        <f>+C94</f>
        <v>******</v>
      </c>
      <c r="I94" s="247" t="str">
        <f>+C94</f>
        <v>******</v>
      </c>
      <c r="J94" s="173" t="str">
        <f>+C94</f>
        <v>******</v>
      </c>
      <c r="K94" s="146" t="str">
        <f>+C94</f>
        <v>******</v>
      </c>
    </row>
    <row r="95" spans="1:11" ht="15.5" hidden="1" thickTop="1" thickBot="1" x14ac:dyDescent="0.4">
      <c r="A95" s="154" t="s">
        <v>214</v>
      </c>
      <c r="B95" s="155" t="s">
        <v>215</v>
      </c>
      <c r="C95" s="258"/>
      <c r="D95" s="183"/>
      <c r="E95" s="183"/>
      <c r="F95" s="183"/>
      <c r="G95" s="183"/>
      <c r="H95" s="183"/>
      <c r="I95" s="407"/>
      <c r="J95" s="408"/>
      <c r="K95" s="409"/>
    </row>
    <row r="96" spans="1:11" ht="15" hidden="1" thickTop="1" x14ac:dyDescent="0.35">
      <c r="A96" s="159"/>
      <c r="B96" s="160"/>
      <c r="C96" s="160"/>
      <c r="D96" s="161"/>
      <c r="E96" s="161"/>
      <c r="F96" s="161"/>
      <c r="G96" s="161"/>
      <c r="H96" s="161"/>
      <c r="I96" s="161"/>
      <c r="J96" s="161"/>
      <c r="K96" s="161"/>
    </row>
    <row r="97" spans="1:11" ht="15" hidden="1" thickTop="1" x14ac:dyDescent="0.35">
      <c r="A97" s="159"/>
      <c r="B97" s="160"/>
      <c r="C97" s="160"/>
      <c r="D97" s="161"/>
      <c r="E97" s="161"/>
      <c r="F97" s="161"/>
      <c r="G97" s="161"/>
      <c r="H97" s="161"/>
      <c r="I97" s="161"/>
      <c r="J97" s="161"/>
      <c r="K97" s="161"/>
    </row>
    <row r="98" spans="1:11" ht="15" hidden="1" thickTop="1" x14ac:dyDescent="0.35">
      <c r="A98" s="159"/>
      <c r="B98" s="160"/>
      <c r="C98" s="160"/>
      <c r="D98" s="161"/>
      <c r="E98" s="161"/>
      <c r="F98" s="161"/>
      <c r="G98" s="161"/>
      <c r="H98" s="161"/>
      <c r="I98" s="161"/>
      <c r="J98" s="161"/>
      <c r="K98" s="161"/>
    </row>
    <row r="99" spans="1:11" ht="15" thickTop="1" x14ac:dyDescent="0.35">
      <c r="A99" s="159"/>
      <c r="B99" s="160"/>
      <c r="C99" s="160"/>
      <c r="D99" s="161"/>
      <c r="E99" s="161"/>
      <c r="F99" s="161"/>
      <c r="G99" s="161"/>
      <c r="H99" s="161"/>
      <c r="I99" s="161"/>
      <c r="J99" s="161"/>
      <c r="K99" s="161"/>
    </row>
    <row r="100" spans="1:11" x14ac:dyDescent="0.35">
      <c r="A100" s="159"/>
      <c r="B100" s="160"/>
      <c r="C100" s="160"/>
      <c r="D100" s="161"/>
      <c r="E100" s="161"/>
      <c r="F100" s="161"/>
      <c r="G100" s="161"/>
      <c r="H100" s="161"/>
      <c r="I100" s="161"/>
      <c r="J100" s="161"/>
      <c r="K100" s="161"/>
    </row>
    <row r="101" spans="1:11" x14ac:dyDescent="0.35">
      <c r="A101" s="159"/>
      <c r="B101" s="266" t="s">
        <v>228</v>
      </c>
      <c r="C101" s="160"/>
      <c r="D101" s="161"/>
      <c r="E101" s="161"/>
      <c r="F101" s="161"/>
      <c r="G101" s="161"/>
      <c r="H101" s="161"/>
      <c r="I101" s="161"/>
      <c r="J101" s="161"/>
      <c r="K101" s="161"/>
    </row>
    <row r="102" spans="1:11" x14ac:dyDescent="0.35">
      <c r="A102" s="159"/>
      <c r="B102" s="160"/>
      <c r="C102" s="160"/>
      <c r="D102" s="161"/>
      <c r="E102" s="161"/>
      <c r="F102" s="161"/>
      <c r="G102" s="161"/>
      <c r="H102" s="161"/>
      <c r="I102" s="161"/>
      <c r="J102" s="161"/>
      <c r="K102" s="161"/>
    </row>
    <row r="103" spans="1:11" ht="19.649999999999999" customHeight="1" x14ac:dyDescent="0.35">
      <c r="A103" s="162" t="s">
        <v>190</v>
      </c>
      <c r="B103" s="839" t="str">
        <f>+BOYACA!B29</f>
        <v>De acuerdo con lo establecido en la Resolución MME 91349 de 2014</v>
      </c>
      <c r="C103" s="839"/>
      <c r="D103" s="839"/>
      <c r="E103" s="839"/>
      <c r="F103" s="839"/>
      <c r="G103" s="839"/>
      <c r="H103" s="839"/>
      <c r="I103" s="839"/>
      <c r="J103" s="161"/>
      <c r="K103" s="161"/>
    </row>
    <row r="104" spans="1:11" ht="24.75" customHeight="1" x14ac:dyDescent="0.35">
      <c r="A104" s="162" t="s">
        <v>217</v>
      </c>
      <c r="B104" s="824" t="s">
        <v>271</v>
      </c>
      <c r="C104" s="824"/>
      <c r="D104" s="824"/>
      <c r="E104" s="824"/>
      <c r="F104" s="824"/>
      <c r="G104" s="824"/>
      <c r="H104" s="824"/>
      <c r="I104" s="824"/>
      <c r="J104" s="161"/>
      <c r="K104" s="161"/>
    </row>
    <row r="105" spans="1:11" ht="39.15" customHeight="1" x14ac:dyDescent="0.35">
      <c r="A105" s="162" t="s">
        <v>133</v>
      </c>
      <c r="B105" s="839" t="s">
        <v>335</v>
      </c>
      <c r="C105" s="839"/>
      <c r="D105" s="839"/>
      <c r="E105" s="839"/>
      <c r="F105" s="839"/>
      <c r="G105" s="839"/>
      <c r="H105" s="839"/>
      <c r="I105" s="839"/>
      <c r="J105" s="161"/>
      <c r="K105" s="161"/>
    </row>
    <row r="106" spans="1:11" ht="7.5" customHeight="1" x14ac:dyDescent="0.35">
      <c r="A106" s="162"/>
      <c r="B106" s="217"/>
      <c r="C106" s="217"/>
      <c r="D106" s="217"/>
      <c r="E106" s="217"/>
      <c r="F106" s="556"/>
      <c r="G106" s="217"/>
      <c r="H106" s="217"/>
      <c r="I106" s="217"/>
      <c r="J106" s="161"/>
      <c r="K106" s="161"/>
    </row>
    <row r="107" spans="1:11" ht="25.5" customHeight="1" x14ac:dyDescent="0.35">
      <c r="A107" s="260">
        <v>2</v>
      </c>
      <c r="B107" s="874" t="s">
        <v>266</v>
      </c>
      <c r="C107" s="874"/>
      <c r="D107" s="874"/>
      <c r="E107" s="874"/>
      <c r="F107" s="874"/>
      <c r="G107" s="874"/>
      <c r="H107" s="874"/>
      <c r="I107" s="874"/>
      <c r="J107" s="874"/>
      <c r="K107" s="874"/>
    </row>
    <row r="108" spans="1:11" x14ac:dyDescent="0.35">
      <c r="A108" s="162"/>
      <c r="B108" s="184" t="s">
        <v>158</v>
      </c>
      <c r="C108" s="184"/>
      <c r="D108" s="215"/>
      <c r="E108" s="215"/>
      <c r="F108" s="215"/>
      <c r="G108" s="215"/>
      <c r="H108" s="215"/>
      <c r="I108" s="215"/>
      <c r="J108" s="215"/>
      <c r="K108" s="215"/>
    </row>
    <row r="109" spans="1:11" x14ac:dyDescent="0.35">
      <c r="A109" s="185" t="s">
        <v>102</v>
      </c>
      <c r="B109" s="825" t="s">
        <v>229</v>
      </c>
      <c r="C109" s="825"/>
      <c r="D109" s="825"/>
      <c r="E109" s="825"/>
      <c r="F109" s="825"/>
      <c r="G109" s="825"/>
      <c r="H109" s="825"/>
      <c r="I109" s="825"/>
      <c r="J109" s="261"/>
      <c r="K109" s="261"/>
    </row>
    <row r="110" spans="1:11" x14ac:dyDescent="0.35">
      <c r="A110" s="185" t="s">
        <v>230</v>
      </c>
      <c r="B110" s="825" t="s">
        <v>262</v>
      </c>
      <c r="C110" s="825"/>
      <c r="D110" s="825"/>
      <c r="E110" s="825"/>
      <c r="F110" s="825"/>
      <c r="G110" s="825"/>
      <c r="H110" s="825"/>
      <c r="I110" s="825"/>
      <c r="J110" s="825"/>
      <c r="K110" s="825"/>
    </row>
    <row r="111" spans="1:11" x14ac:dyDescent="0.35">
      <c r="A111" s="185" t="s">
        <v>232</v>
      </c>
      <c r="B111" s="825" t="s">
        <v>272</v>
      </c>
      <c r="C111" s="825"/>
      <c r="D111" s="825"/>
      <c r="E111" s="825"/>
      <c r="F111" s="825"/>
      <c r="G111" s="825"/>
      <c r="H111" s="825"/>
      <c r="I111" s="825"/>
      <c r="J111" s="825"/>
      <c r="K111" s="825"/>
    </row>
    <row r="112" spans="1:11" ht="17.75" customHeight="1" x14ac:dyDescent="0.35">
      <c r="A112" s="185" t="s">
        <v>234</v>
      </c>
      <c r="B112" s="825" t="s">
        <v>473</v>
      </c>
      <c r="C112" s="825"/>
      <c r="D112" s="825"/>
      <c r="E112" s="825"/>
      <c r="F112" s="825"/>
      <c r="G112" s="825"/>
      <c r="H112" s="825"/>
      <c r="I112" s="825"/>
      <c r="J112" s="825"/>
      <c r="K112" s="825"/>
    </row>
    <row r="113" spans="1:11" x14ac:dyDescent="0.35">
      <c r="A113" s="185" t="s">
        <v>236</v>
      </c>
      <c r="B113" s="825" t="s">
        <v>238</v>
      </c>
      <c r="C113" s="825"/>
      <c r="D113" s="825"/>
      <c r="E113" s="825"/>
      <c r="F113" s="825"/>
      <c r="G113" s="825"/>
      <c r="H113" s="825"/>
      <c r="I113" s="190"/>
      <c r="J113" s="262"/>
      <c r="K113" s="262"/>
    </row>
    <row r="114" spans="1:11" x14ac:dyDescent="0.35">
      <c r="A114" s="185" t="s">
        <v>237</v>
      </c>
      <c r="B114" s="825" t="s">
        <v>268</v>
      </c>
      <c r="C114" s="825"/>
      <c r="D114" s="825"/>
      <c r="E114" s="825"/>
      <c r="F114" s="825"/>
      <c r="G114" s="825"/>
      <c r="H114" s="825"/>
      <c r="I114" s="825"/>
      <c r="J114" s="825"/>
      <c r="K114" s="825"/>
    </row>
    <row r="115" spans="1:11" ht="38.75" customHeight="1" x14ac:dyDescent="0.35">
      <c r="A115" s="243"/>
      <c r="B115" s="825" t="s">
        <v>478</v>
      </c>
      <c r="C115" s="825"/>
      <c r="D115" s="825"/>
      <c r="E115" s="825"/>
      <c r="F115" s="825"/>
      <c r="G115" s="825"/>
      <c r="H115" s="825"/>
      <c r="I115" s="244"/>
      <c r="J115" s="244"/>
      <c r="K115" s="244"/>
    </row>
    <row r="116" spans="1:11" ht="45.9" customHeight="1" x14ac:dyDescent="0.35">
      <c r="A116" s="243"/>
      <c r="B116" s="517"/>
      <c r="C116" s="517"/>
      <c r="D116" s="517"/>
      <c r="E116" s="517"/>
      <c r="F116" s="555"/>
      <c r="G116" s="517"/>
      <c r="H116" s="517"/>
      <c r="I116" s="244"/>
      <c r="J116" s="244"/>
      <c r="K116" s="244"/>
    </row>
    <row r="117" spans="1:11" ht="87.9" customHeight="1" x14ac:dyDescent="0.35">
      <c r="A117" s="845" t="s">
        <v>147</v>
      </c>
      <c r="B117" s="845"/>
      <c r="C117" s="845"/>
      <c r="D117" s="845"/>
      <c r="E117" s="845"/>
      <c r="F117" s="845"/>
      <c r="G117" s="845"/>
      <c r="H117" s="845"/>
      <c r="I117" s="845"/>
    </row>
  </sheetData>
  <sheetProtection algorithmName="SHA-512" hashValue="hPZ6IXKKZR8P0I/Zk1wXzkMQcYXnZFVbSbKCLF1vB4e+12Q6vKXpKCFKIWSaYL+C8xvAFZR4Qo+B8SjjAx99LA==" saltValue="SR5hGaC508YBvDBbZV6Utw==" spinCount="100000" sheet="1" objects="1" scenarios="1"/>
  <mergeCells count="36">
    <mergeCell ref="A29:A31"/>
    <mergeCell ref="B29:B31"/>
    <mergeCell ref="C29:C30"/>
    <mergeCell ref="G29:G30"/>
    <mergeCell ref="B107:K107"/>
    <mergeCell ref="B104:I104"/>
    <mergeCell ref="C50:H51"/>
    <mergeCell ref="I50:K51"/>
    <mergeCell ref="A52:A54"/>
    <mergeCell ref="B52:B54"/>
    <mergeCell ref="C52:C53"/>
    <mergeCell ref="H52:H53"/>
    <mergeCell ref="C74:H75"/>
    <mergeCell ref="I74:K75"/>
    <mergeCell ref="A76:A78"/>
    <mergeCell ref="B76:B78"/>
    <mergeCell ref="A117:I117"/>
    <mergeCell ref="B103:I103"/>
    <mergeCell ref="B105:I105"/>
    <mergeCell ref="B114:K114"/>
    <mergeCell ref="B110:K110"/>
    <mergeCell ref="B111:K111"/>
    <mergeCell ref="B112:K112"/>
    <mergeCell ref="B113:H113"/>
    <mergeCell ref="B115:H115"/>
    <mergeCell ref="H3:J4"/>
    <mergeCell ref="A5:A7"/>
    <mergeCell ref="B5:B7"/>
    <mergeCell ref="C5:C6"/>
    <mergeCell ref="G5:G6"/>
    <mergeCell ref="C3:G4"/>
    <mergeCell ref="C76:C77"/>
    <mergeCell ref="H76:H77"/>
    <mergeCell ref="B109:I109"/>
    <mergeCell ref="H27:H28"/>
    <mergeCell ref="C27:G28"/>
  </mergeCells>
  <hyperlinks>
    <hyperlink ref="B108" location="Nota" display="Ver Nota Informativa" xr:uid="{00000000-0004-0000-0B00-000000000000}"/>
    <hyperlink ref="B101" location="CESAR!A66" display="Ver Nota Informativa" xr:uid="{00000000-0004-0000-0B00-000001000000}"/>
  </hyperlinks>
  <pageMargins left="0.7" right="0.7" top="0.75" bottom="0.75" header="0.3" footer="0.3"/>
  <pageSetup orientation="portrait" r:id="rId1"/>
  <ignoredErrors>
    <ignoredError sqref="C17:C19 J15 F12:G12 D13:E14 C12:E12 F14:G14 F13:G13 J13 H12:J12 H14:J14" numberStoredAsText="1"/>
    <ignoredError sqref="D40:D47 F20:G20 K40:K47 C20:E20 H20:J20" formula="1"/>
    <ignoredError sqref="F17:G17 F21:G21 G16 C21:E23 D16:E19 F19:G19 F18:G18 I18:J18 F23:G23 F22:G22 I22:J22 H17:J17 H21:J21 H16:J16 H19:J19 H23:J23" numberStoredAsText="1" 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dimension ref="A1:M41"/>
  <sheetViews>
    <sheetView zoomScale="80" zoomScaleNormal="80" workbookViewId="0">
      <selection activeCell="J12" sqref="J12"/>
    </sheetView>
  </sheetViews>
  <sheetFormatPr baseColWidth="10" defaultColWidth="45" defaultRowHeight="14.5" x14ac:dyDescent="0.35"/>
  <cols>
    <col min="1" max="1" width="7" customWidth="1"/>
    <col min="2" max="2" width="48" customWidth="1"/>
    <col min="3" max="3" width="15.36328125" bestFit="1" customWidth="1"/>
    <col min="4" max="4" width="15.36328125" hidden="1" customWidth="1"/>
    <col min="5" max="5" width="15.36328125" style="693" customWidth="1"/>
    <col min="6" max="6" width="16.54296875" hidden="1" customWidth="1"/>
    <col min="7" max="7" width="15.08984375" customWidth="1"/>
    <col min="8" max="8" width="15" customWidth="1"/>
    <col min="9" max="9" width="17.1796875" hidden="1" customWidth="1"/>
    <col min="10" max="10" width="17.1796875" style="693" customWidth="1"/>
    <col min="11" max="11" width="19.08984375" customWidth="1"/>
    <col min="12" max="12" width="33.08984375" customWidth="1"/>
    <col min="13" max="13" width="17.36328125" hidden="1" customWidth="1"/>
  </cols>
  <sheetData>
    <row r="1" spans="1:13" x14ac:dyDescent="0.35">
      <c r="A1" s="243" t="s">
        <v>158</v>
      </c>
      <c r="B1" s="139" t="str">
        <f>+AMAZONAS!C1</f>
        <v>Vigencia: 01 de enero de 2022; 00:00 horas</v>
      </c>
      <c r="C1" s="139"/>
      <c r="D1" s="244"/>
      <c r="E1" s="244"/>
      <c r="F1" s="244"/>
      <c r="G1" s="244"/>
      <c r="H1" s="244"/>
      <c r="I1" s="244"/>
      <c r="J1" s="244"/>
      <c r="K1" s="244"/>
    </row>
    <row r="2" spans="1:13" ht="15" thickBot="1" x14ac:dyDescent="0.4">
      <c r="A2" s="165" t="s">
        <v>179</v>
      </c>
      <c r="B2" s="166"/>
      <c r="C2" s="166"/>
      <c r="D2" s="166"/>
      <c r="E2" s="166"/>
      <c r="F2" s="166"/>
      <c r="G2" s="166"/>
      <c r="H2" s="166"/>
      <c r="I2" s="245"/>
      <c r="J2" s="245"/>
      <c r="K2" s="166"/>
    </row>
    <row r="3" spans="1:13" ht="15" thickTop="1" x14ac:dyDescent="0.35">
      <c r="A3" s="195"/>
      <c r="B3" s="168" t="s">
        <v>275</v>
      </c>
      <c r="C3" s="828" t="s">
        <v>180</v>
      </c>
      <c r="D3" s="829"/>
      <c r="E3" s="829"/>
      <c r="F3" s="829"/>
      <c r="G3" s="829"/>
      <c r="H3" s="829"/>
      <c r="I3" s="864" t="s">
        <v>250</v>
      </c>
      <c r="J3" s="868"/>
      <c r="K3" s="869"/>
    </row>
    <row r="4" spans="1:13" ht="67.5" customHeight="1" x14ac:dyDescent="0.35">
      <c r="A4" s="169"/>
      <c r="B4" s="272" t="s">
        <v>479</v>
      </c>
      <c r="C4" s="830"/>
      <c r="D4" s="831"/>
      <c r="E4" s="831"/>
      <c r="F4" s="831"/>
      <c r="G4" s="831"/>
      <c r="H4" s="831"/>
      <c r="I4" s="875"/>
      <c r="J4" s="876"/>
      <c r="K4" s="877"/>
    </row>
    <row r="5" spans="1:13" ht="38.25" customHeight="1" x14ac:dyDescent="0.35">
      <c r="A5" s="840" t="s">
        <v>181</v>
      </c>
      <c r="B5" s="842" t="s">
        <v>182</v>
      </c>
      <c r="C5" s="826" t="s">
        <v>241</v>
      </c>
      <c r="D5" s="171" t="s">
        <v>96</v>
      </c>
      <c r="E5" s="702" t="s">
        <v>96</v>
      </c>
      <c r="F5" s="171" t="s">
        <v>172</v>
      </c>
      <c r="G5" s="171" t="s">
        <v>524</v>
      </c>
      <c r="H5" s="878" t="s">
        <v>269</v>
      </c>
      <c r="I5" s="279" t="s">
        <v>96</v>
      </c>
      <c r="J5" s="279" t="s">
        <v>96</v>
      </c>
      <c r="K5" s="280" t="str">
        <f>+G5</f>
        <v>Biodiesel B11</v>
      </c>
    </row>
    <row r="6" spans="1:13" x14ac:dyDescent="0.35">
      <c r="A6" s="840"/>
      <c r="B6" s="842"/>
      <c r="C6" s="827"/>
      <c r="D6" s="582" t="s">
        <v>512</v>
      </c>
      <c r="E6" s="582" t="s">
        <v>522</v>
      </c>
      <c r="F6" s="189">
        <v>0.02</v>
      </c>
      <c r="G6" s="397">
        <v>0.11</v>
      </c>
      <c r="H6" s="879"/>
      <c r="I6" s="558" t="str">
        <f>+D6</f>
        <v>Oxigena 5%</v>
      </c>
      <c r="J6" s="558" t="str">
        <f>+E6</f>
        <v>Oxigena 6%</v>
      </c>
      <c r="K6" s="281">
        <f>+G6</f>
        <v>0.11</v>
      </c>
    </row>
    <row r="7" spans="1:13" x14ac:dyDescent="0.35">
      <c r="A7" s="841"/>
      <c r="B7" s="843"/>
      <c r="C7" s="141" t="s">
        <v>183</v>
      </c>
      <c r="D7" s="171" t="s">
        <v>183</v>
      </c>
      <c r="E7" s="702" t="s">
        <v>183</v>
      </c>
      <c r="F7" s="171" t="s">
        <v>183</v>
      </c>
      <c r="G7" s="171" t="s">
        <v>183</v>
      </c>
      <c r="H7" s="246" t="s">
        <v>183</v>
      </c>
      <c r="I7" s="279" t="s">
        <v>183</v>
      </c>
      <c r="J7" s="279" t="s">
        <v>183</v>
      </c>
      <c r="K7" s="280" t="s">
        <v>183</v>
      </c>
    </row>
    <row r="8" spans="1:13" x14ac:dyDescent="0.35">
      <c r="A8" s="143" t="s">
        <v>184</v>
      </c>
      <c r="B8" s="149" t="s">
        <v>185</v>
      </c>
      <c r="C8" s="264">
        <f>+'Calculo IP ZDF'!B33</f>
        <v>5102.2584299999999</v>
      </c>
      <c r="D8" s="264">
        <f>+'Calculo IP ZDF'!H33</f>
        <v>5352.2080084999998</v>
      </c>
      <c r="E8" s="712">
        <f>+'Calculo IP ZDF'!I33</f>
        <v>5402.1979241999998</v>
      </c>
      <c r="F8" s="264">
        <f>+'Calculo IP ZDF'!F33</f>
        <v>4525.3142000000007</v>
      </c>
      <c r="G8" s="264">
        <f>+'Calculo IP ZDF'!J33</f>
        <v>5947.6258114800003</v>
      </c>
      <c r="H8" s="219">
        <f>+'Calculo IP ZDF'!C33</f>
        <v>4209.2447320000001</v>
      </c>
      <c r="I8" s="284">
        <f>+'GAS CTE'!E9</f>
        <v>5358.517499999999</v>
      </c>
      <c r="J8" s="716">
        <f>+'GAS CTE'!F9</f>
        <v>5408.45</v>
      </c>
      <c r="K8" s="227">
        <f>+BIODIESEL!I9</f>
        <v>6189.2880000000005</v>
      </c>
    </row>
    <row r="9" spans="1:13" x14ac:dyDescent="0.35">
      <c r="A9" s="143" t="s">
        <v>186</v>
      </c>
      <c r="B9" s="149" t="s">
        <v>187</v>
      </c>
      <c r="C9" s="199" t="str">
        <f>+F9</f>
        <v>------------------</v>
      </c>
      <c r="D9" s="199" t="s">
        <v>188</v>
      </c>
      <c r="E9" s="713" t="s">
        <v>188</v>
      </c>
      <c r="F9" s="199" t="s">
        <v>188</v>
      </c>
      <c r="G9" s="199" t="s">
        <v>188</v>
      </c>
      <c r="H9" s="248" t="s">
        <v>188</v>
      </c>
      <c r="I9" s="249">
        <f>+'GAS CTE'!E10</f>
        <v>527.2974999999999</v>
      </c>
      <c r="J9" s="717">
        <f>+'GAS CTE'!F10</f>
        <v>521.74699999999996</v>
      </c>
      <c r="K9" s="220">
        <f>+BIODIESEL!I10</f>
        <v>472.83</v>
      </c>
    </row>
    <row r="10" spans="1:13" x14ac:dyDescent="0.35">
      <c r="A10" s="143"/>
      <c r="B10" s="149" t="s">
        <v>132</v>
      </c>
      <c r="C10" s="199" t="str">
        <f>+F10</f>
        <v>------------------</v>
      </c>
      <c r="D10" s="199" t="s">
        <v>188</v>
      </c>
      <c r="E10" s="713" t="s">
        <v>188</v>
      </c>
      <c r="F10" s="199" t="s">
        <v>188</v>
      </c>
      <c r="G10" s="199" t="s">
        <v>188</v>
      </c>
      <c r="H10" s="248" t="s">
        <v>188</v>
      </c>
      <c r="I10" s="249" t="s">
        <v>133</v>
      </c>
      <c r="J10" s="717" t="s">
        <v>133</v>
      </c>
      <c r="K10" s="220" t="s">
        <v>133</v>
      </c>
    </row>
    <row r="11" spans="1:13" x14ac:dyDescent="0.35">
      <c r="A11" s="143"/>
      <c r="B11" s="149" t="s">
        <v>134</v>
      </c>
      <c r="C11" s="250" t="str">
        <f>+VAUPES!C11</f>
        <v>(4)</v>
      </c>
      <c r="D11" s="250" t="str">
        <f t="shared" ref="D11:E14" si="0">+C11</f>
        <v>(4)</v>
      </c>
      <c r="E11" s="714" t="str">
        <f t="shared" si="0"/>
        <v>(4)</v>
      </c>
      <c r="F11" s="250" t="str">
        <f>+C11</f>
        <v>(4)</v>
      </c>
      <c r="G11" s="250" t="str">
        <f>+C11</f>
        <v>(4)</v>
      </c>
      <c r="H11" s="219" t="str">
        <f>+C11</f>
        <v>(4)</v>
      </c>
      <c r="I11" s="249" t="str">
        <f>+C11</f>
        <v>(4)</v>
      </c>
      <c r="J11" s="717" t="str">
        <f>+D11</f>
        <v>(4)</v>
      </c>
      <c r="K11" s="220" t="str">
        <f>+D11</f>
        <v>(4)</v>
      </c>
    </row>
    <row r="12" spans="1:13" x14ac:dyDescent="0.35">
      <c r="A12" s="143" t="s">
        <v>189</v>
      </c>
      <c r="B12" s="149" t="s">
        <v>270</v>
      </c>
      <c r="C12" s="267" t="s">
        <v>217</v>
      </c>
      <c r="D12" s="199" t="str">
        <f t="shared" si="0"/>
        <v>(2)</v>
      </c>
      <c r="E12" s="713" t="str">
        <f t="shared" si="0"/>
        <v>(2)</v>
      </c>
      <c r="F12" s="199" t="str">
        <f>+C12</f>
        <v>(2)</v>
      </c>
      <c r="G12" s="199" t="str">
        <f>+C12</f>
        <v>(2)</v>
      </c>
      <c r="H12" s="231" t="str">
        <f>+C12</f>
        <v>(2)</v>
      </c>
      <c r="I12" s="249" t="str">
        <f>+C12</f>
        <v>(2)</v>
      </c>
      <c r="J12" s="717" t="str">
        <f>+D12</f>
        <v>(2)</v>
      </c>
      <c r="K12" s="220" t="str">
        <f>+D12</f>
        <v>(2)</v>
      </c>
    </row>
    <row r="13" spans="1:13" x14ac:dyDescent="0.35">
      <c r="A13" s="143" t="s">
        <v>191</v>
      </c>
      <c r="B13" s="149" t="s">
        <v>192</v>
      </c>
      <c r="C13" s="250">
        <f>+RUBROS!Z13</f>
        <v>22.249601678692599</v>
      </c>
      <c r="D13" s="173">
        <f t="shared" si="0"/>
        <v>22.249601678692599</v>
      </c>
      <c r="E13" s="706">
        <f t="shared" si="0"/>
        <v>22.249601678692599</v>
      </c>
      <c r="F13" s="173">
        <f>+C13</f>
        <v>22.249601678692599</v>
      </c>
      <c r="G13" s="173">
        <f>+C13</f>
        <v>22.249601678692599</v>
      </c>
      <c r="H13" s="231">
        <f>+C13</f>
        <v>22.249601678692599</v>
      </c>
      <c r="I13" s="247">
        <f>+C13</f>
        <v>22.249601678692599</v>
      </c>
      <c r="J13" s="708">
        <f>+I13</f>
        <v>22.249601678692599</v>
      </c>
      <c r="K13" s="146">
        <f>+C13</f>
        <v>22.249601678692599</v>
      </c>
      <c r="M13" s="446" t="s">
        <v>427</v>
      </c>
    </row>
    <row r="14" spans="1:13" x14ac:dyDescent="0.35">
      <c r="A14" s="143" t="s">
        <v>195</v>
      </c>
      <c r="B14" s="149" t="s">
        <v>196</v>
      </c>
      <c r="C14" s="250">
        <f>+RUBROS!AU43</f>
        <v>13.326421256197724</v>
      </c>
      <c r="D14" s="173">
        <f t="shared" si="0"/>
        <v>13.326421256197724</v>
      </c>
      <c r="E14" s="706">
        <f t="shared" si="0"/>
        <v>13.326421256197724</v>
      </c>
      <c r="F14" s="173">
        <f>+C14</f>
        <v>13.326421256197724</v>
      </c>
      <c r="G14" s="173">
        <f>+C14</f>
        <v>13.326421256197724</v>
      </c>
      <c r="H14" s="231">
        <f>+C14</f>
        <v>13.326421256197724</v>
      </c>
      <c r="I14" s="247">
        <f>+C14</f>
        <v>13.326421256197724</v>
      </c>
      <c r="J14" s="201">
        <f>+I14</f>
        <v>13.326421256197724</v>
      </c>
      <c r="K14" s="146">
        <f>+I14</f>
        <v>13.326421256197724</v>
      </c>
      <c r="M14" s="446" t="s">
        <v>427</v>
      </c>
    </row>
    <row r="15" spans="1:13" ht="14.25" hidden="1" customHeight="1" x14ac:dyDescent="0.35">
      <c r="A15" s="143"/>
      <c r="B15" s="149" t="s">
        <v>197</v>
      </c>
      <c r="C15" s="250"/>
      <c r="D15" s="173"/>
      <c r="E15" s="173"/>
      <c r="F15" s="173"/>
      <c r="G15" s="173"/>
      <c r="H15" s="231"/>
      <c r="I15" s="247"/>
      <c r="J15" s="201"/>
      <c r="K15" s="146"/>
      <c r="M15" t="s">
        <v>429</v>
      </c>
    </row>
    <row r="16" spans="1:13" x14ac:dyDescent="0.35">
      <c r="A16" s="150" t="s">
        <v>198</v>
      </c>
      <c r="B16" s="180" t="s">
        <v>199</v>
      </c>
      <c r="C16" s="251">
        <f>SUM(C8:C15)</f>
        <v>5137.8344529348906</v>
      </c>
      <c r="D16" s="251">
        <f t="shared" ref="D16:K16" si="1">SUM(D8:D15)</f>
        <v>5387.7840314348905</v>
      </c>
      <c r="E16" s="251">
        <f t="shared" si="1"/>
        <v>5437.7739471348905</v>
      </c>
      <c r="F16" s="251">
        <f t="shared" si="1"/>
        <v>4560.8902229348914</v>
      </c>
      <c r="G16" s="251">
        <f t="shared" si="1"/>
        <v>5983.201834414891</v>
      </c>
      <c r="H16" s="252">
        <f t="shared" si="1"/>
        <v>4244.8207549348908</v>
      </c>
      <c r="I16" s="253">
        <f t="shared" si="1"/>
        <v>5921.3910229348894</v>
      </c>
      <c r="J16" s="253">
        <f t="shared" si="1"/>
        <v>5965.7730229348908</v>
      </c>
      <c r="K16" s="254">
        <f t="shared" si="1"/>
        <v>6697.6940229348911</v>
      </c>
    </row>
    <row r="17" spans="1:11" x14ac:dyDescent="0.35">
      <c r="A17" s="143" t="s">
        <v>200</v>
      </c>
      <c r="B17" s="149" t="s">
        <v>265</v>
      </c>
      <c r="C17" s="268" t="s">
        <v>232</v>
      </c>
      <c r="D17" s="173" t="str">
        <f>+C17</f>
        <v>***</v>
      </c>
      <c r="E17" s="173" t="str">
        <f>+D17</f>
        <v>***</v>
      </c>
      <c r="F17" s="173" t="str">
        <f>+C17</f>
        <v>***</v>
      </c>
      <c r="G17" s="173" t="str">
        <f>+F17</f>
        <v>***</v>
      </c>
      <c r="H17" s="231" t="str">
        <f>+F17</f>
        <v>***</v>
      </c>
      <c r="I17" s="247" t="str">
        <f>+H17</f>
        <v>***</v>
      </c>
      <c r="J17" s="247" t="str">
        <f>+I17</f>
        <v>***</v>
      </c>
      <c r="K17" s="146" t="str">
        <f>+H17</f>
        <v>***</v>
      </c>
    </row>
    <row r="18" spans="1:11" x14ac:dyDescent="0.35">
      <c r="A18" s="143" t="s">
        <v>202</v>
      </c>
      <c r="B18" s="149" t="s">
        <v>203</v>
      </c>
      <c r="C18" s="267" t="s">
        <v>230</v>
      </c>
      <c r="D18" s="173" t="str">
        <f>+C18</f>
        <v>**</v>
      </c>
      <c r="E18" s="173" t="str">
        <f>+D18</f>
        <v>**</v>
      </c>
      <c r="F18" s="173" t="str">
        <f>+C18</f>
        <v>**</v>
      </c>
      <c r="G18" s="173" t="str">
        <f>+C18</f>
        <v>**</v>
      </c>
      <c r="H18" s="231" t="str">
        <f>+C18</f>
        <v>**</v>
      </c>
      <c r="I18" s="247" t="str">
        <f>+C18</f>
        <v>**</v>
      </c>
      <c r="J18" s="247" t="str">
        <f>+D18</f>
        <v>**</v>
      </c>
      <c r="K18" s="146" t="str">
        <f>+I18</f>
        <v>**</v>
      </c>
    </row>
    <row r="19" spans="1:11" x14ac:dyDescent="0.35">
      <c r="A19" s="143" t="s">
        <v>204</v>
      </c>
      <c r="B19" s="218" t="s">
        <v>139</v>
      </c>
      <c r="C19" s="255" t="str">
        <f>+F19</f>
        <v>****</v>
      </c>
      <c r="D19" s="173" t="str">
        <f t="shared" ref="D19:E21" si="2">+F19</f>
        <v>****</v>
      </c>
      <c r="E19" s="173" t="str">
        <f>+D19</f>
        <v>****</v>
      </c>
      <c r="F19" s="179" t="str">
        <f>+A37</f>
        <v>****</v>
      </c>
      <c r="G19" s="179" t="str">
        <f>+F19</f>
        <v>****</v>
      </c>
      <c r="H19" s="219" t="str">
        <f>+A37</f>
        <v>****</v>
      </c>
      <c r="I19" s="270" t="str">
        <f>C19</f>
        <v>****</v>
      </c>
      <c r="J19" s="270" t="str">
        <f>D19</f>
        <v>****</v>
      </c>
      <c r="K19" s="146" t="str">
        <f>+I19</f>
        <v>****</v>
      </c>
    </row>
    <row r="20" spans="1:11" x14ac:dyDescent="0.35">
      <c r="A20" s="150" t="s">
        <v>206</v>
      </c>
      <c r="B20" s="180" t="s">
        <v>207</v>
      </c>
      <c r="C20" s="256">
        <f t="shared" ref="C20:K20" si="3">+C16</f>
        <v>5137.8344529348906</v>
      </c>
      <c r="D20" s="181">
        <f t="shared" si="3"/>
        <v>5387.7840314348905</v>
      </c>
      <c r="E20" s="181">
        <f t="shared" si="3"/>
        <v>5437.7739471348905</v>
      </c>
      <c r="F20" s="181">
        <f t="shared" si="3"/>
        <v>4560.8902229348914</v>
      </c>
      <c r="G20" s="181">
        <f t="shared" si="3"/>
        <v>5983.201834414891</v>
      </c>
      <c r="H20" s="232">
        <f t="shared" si="3"/>
        <v>4244.8207549348908</v>
      </c>
      <c r="I20" s="253">
        <f t="shared" si="3"/>
        <v>5921.3910229348894</v>
      </c>
      <c r="J20" s="253">
        <f t="shared" ref="J20" si="4">+J16</f>
        <v>5965.7730229348908</v>
      </c>
      <c r="K20" s="152">
        <f t="shared" si="3"/>
        <v>6697.6940229348911</v>
      </c>
    </row>
    <row r="21" spans="1:11" x14ac:dyDescent="0.35">
      <c r="A21" s="143" t="s">
        <v>208</v>
      </c>
      <c r="B21" s="149" t="s">
        <v>160</v>
      </c>
      <c r="C21" s="250" t="str">
        <f>+F21</f>
        <v>***</v>
      </c>
      <c r="D21" s="173" t="str">
        <f t="shared" si="2"/>
        <v>***</v>
      </c>
      <c r="E21" s="173" t="str">
        <f t="shared" si="2"/>
        <v>***</v>
      </c>
      <c r="F21" s="173" t="str">
        <f t="shared" ref="F21" si="5">+F17</f>
        <v>***</v>
      </c>
      <c r="G21" s="173" t="str">
        <f>+F21</f>
        <v>***</v>
      </c>
      <c r="H21" s="231" t="str">
        <f>+H17</f>
        <v>***</v>
      </c>
      <c r="I21" s="247" t="str">
        <f>+H21</f>
        <v>***</v>
      </c>
      <c r="J21" s="247" t="str">
        <f>+I21</f>
        <v>***</v>
      </c>
      <c r="K21" s="146" t="str">
        <f>+C21</f>
        <v>***</v>
      </c>
    </row>
    <row r="22" spans="1:11" x14ac:dyDescent="0.35">
      <c r="A22" s="143" t="s">
        <v>209</v>
      </c>
      <c r="B22" s="144" t="s">
        <v>210</v>
      </c>
      <c r="C22" s="257" t="s">
        <v>236</v>
      </c>
      <c r="D22" s="173" t="str">
        <f>+C22</f>
        <v>*****</v>
      </c>
      <c r="E22" s="173" t="str">
        <f>+D22</f>
        <v>*****</v>
      </c>
      <c r="F22" s="173" t="s">
        <v>211</v>
      </c>
      <c r="G22" s="173" t="str">
        <f>+F22</f>
        <v>N.A</v>
      </c>
      <c r="H22" s="231" t="s">
        <v>211</v>
      </c>
      <c r="I22" s="247" t="str">
        <f>+D22</f>
        <v>*****</v>
      </c>
      <c r="J22" s="247" t="str">
        <f>+E22</f>
        <v>*****</v>
      </c>
      <c r="K22" s="146" t="s">
        <v>254</v>
      </c>
    </row>
    <row r="23" spans="1:11" ht="24.75" customHeight="1" x14ac:dyDescent="0.35">
      <c r="A23" s="143" t="s">
        <v>212</v>
      </c>
      <c r="B23" s="144" t="s">
        <v>213</v>
      </c>
      <c r="C23" s="257" t="s">
        <v>237</v>
      </c>
      <c r="D23" s="173" t="str">
        <f>+C23</f>
        <v>******</v>
      </c>
      <c r="E23" s="173" t="str">
        <f>+D23</f>
        <v>******</v>
      </c>
      <c r="F23" s="173" t="str">
        <f>+C23</f>
        <v>******</v>
      </c>
      <c r="G23" s="173" t="str">
        <f>+C23</f>
        <v>******</v>
      </c>
      <c r="H23" s="231" t="str">
        <f>+C23</f>
        <v>******</v>
      </c>
      <c r="I23" s="285" t="str">
        <f>+C23</f>
        <v>******</v>
      </c>
      <c r="J23" s="285" t="str">
        <f>+D23</f>
        <v>******</v>
      </c>
      <c r="K23" s="286" t="str">
        <f>+C23</f>
        <v>******</v>
      </c>
    </row>
    <row r="24" spans="1:11" ht="15" thickBot="1" x14ac:dyDescent="0.4">
      <c r="A24" s="154" t="s">
        <v>214</v>
      </c>
      <c r="B24" s="155" t="s">
        <v>215</v>
      </c>
      <c r="C24" s="258"/>
      <c r="D24" s="183"/>
      <c r="E24" s="183"/>
      <c r="F24" s="183"/>
      <c r="G24" s="183"/>
      <c r="H24" s="233"/>
      <c r="I24" s="282"/>
      <c r="J24" s="715"/>
      <c r="K24" s="283"/>
    </row>
    <row r="25" spans="1:11" ht="15" thickTop="1" x14ac:dyDescent="0.35">
      <c r="A25" s="159"/>
      <c r="B25" s="160"/>
      <c r="C25" s="160"/>
      <c r="D25" s="161"/>
      <c r="E25" s="161"/>
      <c r="F25" s="161"/>
      <c r="G25" s="161"/>
      <c r="H25" s="161"/>
      <c r="I25" s="161"/>
      <c r="J25" s="161"/>
      <c r="K25" s="161"/>
    </row>
    <row r="26" spans="1:11" x14ac:dyDescent="0.35">
      <c r="A26" s="159"/>
      <c r="B26" s="160"/>
      <c r="C26" s="160"/>
      <c r="D26" s="161"/>
      <c r="E26" s="161"/>
      <c r="F26" s="161"/>
      <c r="G26" s="161"/>
      <c r="H26" s="161"/>
      <c r="I26" s="161"/>
      <c r="J26" s="161"/>
      <c r="K26" s="161"/>
    </row>
    <row r="27" spans="1:11" ht="15" customHeight="1" x14ac:dyDescent="0.35">
      <c r="A27" s="159"/>
      <c r="B27" s="266" t="s">
        <v>228</v>
      </c>
      <c r="C27" s="160"/>
      <c r="D27" s="161"/>
      <c r="E27" s="161"/>
      <c r="F27" s="161"/>
      <c r="G27" s="161"/>
      <c r="H27" s="161"/>
      <c r="I27" s="161"/>
      <c r="J27" s="161"/>
      <c r="K27" s="161"/>
    </row>
    <row r="28" spans="1:11" x14ac:dyDescent="0.35">
      <c r="A28" s="159"/>
      <c r="B28" s="160"/>
      <c r="C28" s="160"/>
      <c r="D28" s="161"/>
      <c r="E28" s="161"/>
      <c r="F28" s="161"/>
      <c r="G28" s="161"/>
      <c r="H28" s="161"/>
      <c r="I28" s="161"/>
      <c r="J28" s="161"/>
      <c r="K28" s="161"/>
    </row>
    <row r="29" spans="1:11" ht="19.649999999999999" customHeight="1" x14ac:dyDescent="0.35">
      <c r="A29" s="162" t="s">
        <v>190</v>
      </c>
      <c r="B29" s="839" t="str">
        <f>+CESAR!B103</f>
        <v>De acuerdo con lo establecido en la Resolución MME 91349 de 2014</v>
      </c>
      <c r="C29" s="839"/>
      <c r="D29" s="839"/>
      <c r="E29" s="839"/>
      <c r="F29" s="839"/>
      <c r="G29" s="839"/>
      <c r="H29" s="839"/>
      <c r="I29" s="839"/>
      <c r="J29" s="697"/>
      <c r="K29" s="161"/>
    </row>
    <row r="30" spans="1:11" ht="24.75" customHeight="1" x14ac:dyDescent="0.35">
      <c r="A30" s="162" t="s">
        <v>217</v>
      </c>
      <c r="B30" s="824" t="s">
        <v>271</v>
      </c>
      <c r="C30" s="824"/>
      <c r="D30" s="824"/>
      <c r="E30" s="824"/>
      <c r="F30" s="824"/>
      <c r="G30" s="824"/>
      <c r="H30" s="824"/>
      <c r="I30" s="824"/>
      <c r="J30" s="824"/>
      <c r="K30" s="824"/>
    </row>
    <row r="31" spans="1:11" ht="52.5" customHeight="1" x14ac:dyDescent="0.35">
      <c r="A31" s="162" t="s">
        <v>133</v>
      </c>
      <c r="B31" s="824" t="s">
        <v>335</v>
      </c>
      <c r="C31" s="824"/>
      <c r="D31" s="824"/>
      <c r="E31" s="824"/>
      <c r="F31" s="824"/>
      <c r="G31" s="824"/>
      <c r="H31" s="824"/>
      <c r="I31" s="824"/>
      <c r="J31" s="824"/>
      <c r="K31" s="824"/>
    </row>
    <row r="32" spans="1:11" ht="52.5" customHeight="1" x14ac:dyDescent="0.35">
      <c r="A32" s="187" t="s">
        <v>218</v>
      </c>
      <c r="B32" s="838" t="s">
        <v>410</v>
      </c>
      <c r="C32" s="838"/>
      <c r="D32" s="838"/>
      <c r="E32" s="838"/>
      <c r="F32" s="838"/>
      <c r="G32" s="838"/>
      <c r="H32" s="838"/>
      <c r="I32" s="838"/>
      <c r="J32" s="838"/>
      <c r="K32" s="838"/>
    </row>
    <row r="33" spans="1:12" x14ac:dyDescent="0.35">
      <c r="A33" s="162"/>
      <c r="B33" s="184" t="s">
        <v>158</v>
      </c>
      <c r="C33" s="184"/>
      <c r="D33" s="215"/>
      <c r="E33" s="215"/>
      <c r="F33" s="215"/>
      <c r="G33" s="215"/>
      <c r="H33" s="215"/>
      <c r="I33" s="215"/>
      <c r="J33" s="215"/>
      <c r="K33" s="215"/>
    </row>
    <row r="34" spans="1:12" x14ac:dyDescent="0.35">
      <c r="A34" s="185" t="s">
        <v>102</v>
      </c>
      <c r="B34" s="825" t="s">
        <v>229</v>
      </c>
      <c r="C34" s="825"/>
      <c r="D34" s="825"/>
      <c r="E34" s="825"/>
      <c r="F34" s="825"/>
      <c r="G34" s="825"/>
      <c r="H34" s="825"/>
      <c r="I34" s="825"/>
      <c r="J34" s="694"/>
      <c r="K34" s="261"/>
    </row>
    <row r="35" spans="1:12" ht="15" customHeight="1" x14ac:dyDescent="0.35">
      <c r="A35" s="185" t="s">
        <v>230</v>
      </c>
      <c r="B35" s="825" t="s">
        <v>262</v>
      </c>
      <c r="C35" s="825"/>
      <c r="D35" s="825"/>
      <c r="E35" s="825"/>
      <c r="F35" s="825"/>
      <c r="G35" s="825"/>
      <c r="H35" s="825"/>
      <c r="I35" s="825"/>
      <c r="J35" s="825"/>
      <c r="K35" s="825"/>
    </row>
    <row r="36" spans="1:12" ht="26.25" customHeight="1" x14ac:dyDescent="0.35">
      <c r="A36" s="185" t="s">
        <v>232</v>
      </c>
      <c r="B36" s="824" t="s">
        <v>272</v>
      </c>
      <c r="C36" s="824"/>
      <c r="D36" s="824"/>
      <c r="E36" s="824"/>
      <c r="F36" s="824"/>
      <c r="G36" s="824"/>
      <c r="H36" s="824"/>
      <c r="I36" s="824"/>
      <c r="J36" s="824"/>
      <c r="K36" s="824"/>
    </row>
    <row r="37" spans="1:12" x14ac:dyDescent="0.35">
      <c r="A37" s="185" t="s">
        <v>234</v>
      </c>
      <c r="B37" s="825" t="s">
        <v>473</v>
      </c>
      <c r="C37" s="825"/>
      <c r="D37" s="825"/>
      <c r="E37" s="825"/>
      <c r="F37" s="825"/>
      <c r="G37" s="825"/>
      <c r="H37" s="825"/>
      <c r="I37" s="825"/>
      <c r="J37" s="825"/>
      <c r="K37" s="825"/>
    </row>
    <row r="38" spans="1:12" x14ac:dyDescent="0.35">
      <c r="A38" s="185" t="s">
        <v>236</v>
      </c>
      <c r="B38" s="824" t="s">
        <v>238</v>
      </c>
      <c r="C38" s="824"/>
      <c r="D38" s="824"/>
      <c r="E38" s="824"/>
      <c r="F38" s="824"/>
      <c r="G38" s="824"/>
      <c r="H38" s="824"/>
      <c r="I38" s="824"/>
      <c r="J38" s="824"/>
      <c r="K38" s="824"/>
    </row>
    <row r="39" spans="1:12" x14ac:dyDescent="0.35">
      <c r="A39" s="185" t="s">
        <v>237</v>
      </c>
      <c r="B39" s="825" t="s">
        <v>268</v>
      </c>
      <c r="C39" s="825"/>
      <c r="D39" s="825"/>
      <c r="E39" s="825"/>
      <c r="F39" s="825"/>
      <c r="G39" s="825"/>
      <c r="H39" s="825"/>
      <c r="I39" s="825"/>
      <c r="J39" s="825"/>
      <c r="K39" s="825"/>
    </row>
    <row r="40" spans="1:12" x14ac:dyDescent="0.35">
      <c r="A40" s="243"/>
      <c r="B40" s="244"/>
      <c r="C40" s="244"/>
      <c r="D40" s="244"/>
      <c r="E40" s="244"/>
      <c r="F40" s="244"/>
      <c r="G40" s="244"/>
      <c r="H40" s="244"/>
      <c r="I40" s="244"/>
      <c r="J40" s="244"/>
      <c r="K40" s="244"/>
    </row>
    <row r="41" spans="1:12" ht="88.5" customHeight="1" x14ac:dyDescent="0.35">
      <c r="A41" s="845" t="s">
        <v>147</v>
      </c>
      <c r="B41" s="845"/>
      <c r="C41" s="845"/>
      <c r="D41" s="845"/>
      <c r="E41" s="845"/>
      <c r="F41" s="845"/>
      <c r="G41" s="845"/>
      <c r="H41" s="845"/>
      <c r="I41" s="845"/>
      <c r="J41" s="845"/>
      <c r="K41" s="845"/>
      <c r="L41" s="845"/>
    </row>
  </sheetData>
  <sheetProtection algorithmName="SHA-512" hashValue="KHbuWfozarP4orF8bceF75nHvpFtviFg+bFET+fDLdFGN2NosQQMtx0fhEouiBsoC4IQx5ALgJhBmJ1O+tnWkQ==" saltValue="Me7cGf2uoEh6G/YzuofKoA==" spinCount="100000" sheet="1" objects="1" scenarios="1"/>
  <mergeCells count="17">
    <mergeCell ref="C3:H4"/>
    <mergeCell ref="I3:K4"/>
    <mergeCell ref="B31:K31"/>
    <mergeCell ref="A5:A7"/>
    <mergeCell ref="B5:B7"/>
    <mergeCell ref="C5:C6"/>
    <mergeCell ref="H5:H6"/>
    <mergeCell ref="B30:K30"/>
    <mergeCell ref="B29:I29"/>
    <mergeCell ref="B38:K38"/>
    <mergeCell ref="B32:K32"/>
    <mergeCell ref="A41:L41"/>
    <mergeCell ref="B36:K36"/>
    <mergeCell ref="B37:K37"/>
    <mergeCell ref="B39:K39"/>
    <mergeCell ref="B34:I34"/>
    <mergeCell ref="B35:K35"/>
  </mergeCells>
  <hyperlinks>
    <hyperlink ref="B33" location="Nota" display="Ver Nota Informativa" xr:uid="{00000000-0004-0000-0C00-000000000000}"/>
    <hyperlink ref="B27" location="CHOCO!A40" display="Ver Nota Informativa" xr:uid="{00000000-0004-0000-0C00-000001000000}"/>
  </hyperlinks>
  <pageMargins left="0.7" right="0.7" top="0.75" bottom="0.75" header="0.3" footer="0.3"/>
  <pageSetup orientation="portrait" r:id="rId1"/>
  <ignoredErrors>
    <ignoredError sqref="K22 C21:D22 F22:I22" numberStoredAsText="1"/>
    <ignoredError sqref="K12:K14 F12:I14 K16 D13:D14 C16:D19 C12:D12 F16:I16" numberStoredAsText="1" formula="1"/>
    <ignoredError sqref="F10:H10 K17:K21 I11 G8:H9 C20:D20 C10:D10 F17:I20 G21:I21"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rgb="FFFFFF00"/>
  </sheetPr>
  <dimension ref="A1:P42"/>
  <sheetViews>
    <sheetView zoomScale="85" zoomScaleNormal="85" workbookViewId="0">
      <selection activeCell="C16" sqref="C16"/>
    </sheetView>
  </sheetViews>
  <sheetFormatPr baseColWidth="10" defaultRowHeight="14.5" x14ac:dyDescent="0.35"/>
  <cols>
    <col min="2" max="2" width="44.81640625" customWidth="1"/>
    <col min="3" max="3" width="12.36328125" customWidth="1"/>
    <col min="4" max="4" width="14.6328125" customWidth="1"/>
    <col min="5" max="5" width="12.54296875" hidden="1" customWidth="1"/>
    <col min="6" max="6" width="13.6328125" customWidth="1"/>
    <col min="7" max="7" width="16.08984375" hidden="1" customWidth="1"/>
    <col min="8" max="8" width="16.1796875" hidden="1" customWidth="1"/>
    <col min="9" max="9" width="16.08984375" customWidth="1"/>
    <col min="10" max="10" width="15.6328125" customWidth="1"/>
    <col min="11" max="11" width="15.1796875" customWidth="1"/>
  </cols>
  <sheetData>
    <row r="1" spans="1:10" x14ac:dyDescent="0.35">
      <c r="A1" s="138"/>
      <c r="B1" s="138" t="str">
        <f>+AMAZONAS!C1</f>
        <v>Vigencia: 01 de enero de 2022; 00:00 horas</v>
      </c>
    </row>
    <row r="2" spans="1:10" ht="15" thickBot="1" x14ac:dyDescent="0.4">
      <c r="A2" s="165" t="s">
        <v>179</v>
      </c>
      <c r="B2" s="165"/>
    </row>
    <row r="3" spans="1:10" ht="15.9" customHeight="1" thickTop="1" x14ac:dyDescent="0.35">
      <c r="A3" s="195"/>
      <c r="B3" s="196" t="s">
        <v>276</v>
      </c>
      <c r="C3" s="846" t="s">
        <v>180</v>
      </c>
      <c r="D3" s="847"/>
      <c r="E3" s="847"/>
      <c r="F3" s="847"/>
      <c r="G3" s="848"/>
      <c r="H3" s="852" t="s">
        <v>250</v>
      </c>
      <c r="I3" s="880"/>
      <c r="J3" s="853"/>
    </row>
    <row r="4" spans="1:10" x14ac:dyDescent="0.35">
      <c r="A4" s="140"/>
      <c r="B4" s="287" t="s">
        <v>277</v>
      </c>
      <c r="C4" s="849"/>
      <c r="D4" s="850"/>
      <c r="E4" s="850"/>
      <c r="F4" s="850"/>
      <c r="G4" s="851"/>
      <c r="H4" s="854"/>
      <c r="I4" s="881"/>
      <c r="J4" s="855"/>
    </row>
    <row r="5" spans="1:10" ht="38.25" customHeight="1" x14ac:dyDescent="0.35">
      <c r="A5" s="840" t="s">
        <v>181</v>
      </c>
      <c r="B5" s="842" t="s">
        <v>182</v>
      </c>
      <c r="C5" s="826" t="s">
        <v>241</v>
      </c>
      <c r="D5" s="650" t="s">
        <v>96</v>
      </c>
      <c r="E5" s="171" t="s">
        <v>96</v>
      </c>
      <c r="F5" s="171" t="s">
        <v>504</v>
      </c>
      <c r="G5" s="171" t="str">
        <f>+CHOCO!G5</f>
        <v>Biodiesel B11</v>
      </c>
      <c r="H5" s="171" t="s">
        <v>96</v>
      </c>
      <c r="I5" s="650" t="s">
        <v>96</v>
      </c>
      <c r="J5" s="235" t="str">
        <f>+F5</f>
        <v xml:space="preserve">Biodiesel B5 con destino a mezcla </v>
      </c>
    </row>
    <row r="6" spans="1:10" x14ac:dyDescent="0.35">
      <c r="A6" s="840"/>
      <c r="B6" s="842"/>
      <c r="C6" s="827"/>
      <c r="D6" s="582" t="s">
        <v>508</v>
      </c>
      <c r="E6" s="582" t="s">
        <v>503</v>
      </c>
      <c r="F6" s="582" t="s">
        <v>503</v>
      </c>
      <c r="G6" s="397">
        <f>+CHOCO!G6</f>
        <v>0.11</v>
      </c>
      <c r="H6" s="560" t="str">
        <f>+E6</f>
        <v>Oxigenada 5%</v>
      </c>
      <c r="I6" s="560">
        <v>0</v>
      </c>
      <c r="J6" s="172" t="str">
        <f>+F6</f>
        <v>Oxigenada 5%</v>
      </c>
    </row>
    <row r="7" spans="1:10" x14ac:dyDescent="0.35">
      <c r="A7" s="841"/>
      <c r="B7" s="843"/>
      <c r="C7" s="141" t="s">
        <v>183</v>
      </c>
      <c r="D7" s="650" t="s">
        <v>183</v>
      </c>
      <c r="E7" s="171" t="s">
        <v>183</v>
      </c>
      <c r="F7" s="171" t="s">
        <v>183</v>
      </c>
      <c r="G7" s="171" t="s">
        <v>183</v>
      </c>
      <c r="H7" s="141" t="s">
        <v>183</v>
      </c>
      <c r="I7" s="649" t="s">
        <v>183</v>
      </c>
      <c r="J7" s="235" t="s">
        <v>183</v>
      </c>
    </row>
    <row r="8" spans="1:10" x14ac:dyDescent="0.35">
      <c r="A8" s="143" t="s">
        <v>184</v>
      </c>
      <c r="B8" s="149" t="s">
        <v>185</v>
      </c>
      <c r="C8" s="213">
        <f>+'Calculo IP ZDF'!B34</f>
        <v>5108.8999999999996</v>
      </c>
      <c r="D8" s="219">
        <f>+'Calculo IP ZDF'!B34</f>
        <v>5108.8999999999996</v>
      </c>
      <c r="E8" s="232">
        <f>+'Calculo IP ZDF'!N34</f>
        <v>5358.517499999999</v>
      </c>
      <c r="F8" s="221">
        <f>+'Calculo IP ZDF'!O34</f>
        <v>5028.7895082999994</v>
      </c>
      <c r="G8" s="220">
        <f>+'Calculo IP ZDF'!J34</f>
        <v>5817.4169026</v>
      </c>
      <c r="H8" s="207">
        <f>+'GAS CTE'!E9</f>
        <v>5358.517499999999</v>
      </c>
      <c r="I8" s="198">
        <f>+'GAS CTE'!C6</f>
        <v>5108.8999999999996</v>
      </c>
      <c r="J8" s="223">
        <f>+BIODIESEL!G9</f>
        <v>5257.3765000000003</v>
      </c>
    </row>
    <row r="9" spans="1:10" x14ac:dyDescent="0.35">
      <c r="A9" s="143" t="s">
        <v>186</v>
      </c>
      <c r="B9" s="149" t="s">
        <v>187</v>
      </c>
      <c r="C9" s="199" t="str">
        <f t="shared" ref="C9:C13" si="0">+E9</f>
        <v>------------------</v>
      </c>
      <c r="D9" s="200" t="s">
        <v>188</v>
      </c>
      <c r="E9" s="653" t="s">
        <v>188</v>
      </c>
      <c r="F9" s="200" t="s">
        <v>188</v>
      </c>
      <c r="G9" s="146" t="s">
        <v>188</v>
      </c>
      <c r="H9" s="207">
        <f>+'GAS CTE'!E10</f>
        <v>527.2974999999999</v>
      </c>
      <c r="I9" s="198">
        <f>+'GAS CTE'!C10</f>
        <v>555.04999999999995</v>
      </c>
      <c r="J9" s="224">
        <f>+BIODIESEL!G10</f>
        <v>504.70649999999995</v>
      </c>
    </row>
    <row r="10" spans="1:10" x14ac:dyDescent="0.35">
      <c r="A10" s="143"/>
      <c r="B10" s="149" t="s">
        <v>132</v>
      </c>
      <c r="C10" s="199" t="str">
        <f>+E10</f>
        <v>------------------</v>
      </c>
      <c r="D10" s="200" t="s">
        <v>188</v>
      </c>
      <c r="E10" s="653" t="s">
        <v>188</v>
      </c>
      <c r="F10" s="200" t="s">
        <v>188</v>
      </c>
      <c r="G10" s="146" t="s">
        <v>188</v>
      </c>
      <c r="H10" s="659" t="str">
        <f>+COMBUSTIBLES!B12</f>
        <v>(3)</v>
      </c>
      <c r="I10" s="214">
        <f>+COMBUSTIBLES!C12</f>
        <v>0</v>
      </c>
      <c r="J10" s="224" t="str">
        <f>+BIODIESEL!H11</f>
        <v>(3)</v>
      </c>
    </row>
    <row r="11" spans="1:10" x14ac:dyDescent="0.35">
      <c r="A11" s="143"/>
      <c r="B11" s="149" t="s">
        <v>134</v>
      </c>
      <c r="C11" s="267" t="s">
        <v>218</v>
      </c>
      <c r="D11" s="200" t="str">
        <f>+C11</f>
        <v>(4)</v>
      </c>
      <c r="E11" s="653" t="str">
        <f>+C11</f>
        <v>(4)</v>
      </c>
      <c r="F11" s="200" t="str">
        <f>+C11</f>
        <v>(4)</v>
      </c>
      <c r="G11" s="146" t="str">
        <f>+C11</f>
        <v>(4)</v>
      </c>
      <c r="H11" s="207" t="str">
        <f>+E11</f>
        <v>(4)</v>
      </c>
      <c r="I11" s="198" t="str">
        <f>+F11</f>
        <v>(4)</v>
      </c>
      <c r="J11" s="220" t="str">
        <f>+G11</f>
        <v>(4)</v>
      </c>
    </row>
    <row r="12" spans="1:10" ht="19.649999999999999" customHeight="1" x14ac:dyDescent="0.35">
      <c r="A12" s="143" t="s">
        <v>189</v>
      </c>
      <c r="B12" s="149" t="s">
        <v>270</v>
      </c>
      <c r="C12" s="199" t="str">
        <f>+AMAZONAS!C12</f>
        <v>(2)</v>
      </c>
      <c r="D12" s="147" t="s">
        <v>217</v>
      </c>
      <c r="E12" s="654" t="s">
        <v>217</v>
      </c>
      <c r="F12" s="147" t="s">
        <v>217</v>
      </c>
      <c r="G12" s="146" t="s">
        <v>217</v>
      </c>
      <c r="H12" s="207" t="str">
        <f>+G12</f>
        <v>(2)</v>
      </c>
      <c r="I12" s="198" t="str">
        <f>+H12</f>
        <v>(2)</v>
      </c>
      <c r="J12" s="223" t="s">
        <v>217</v>
      </c>
    </row>
    <row r="13" spans="1:10" x14ac:dyDescent="0.35">
      <c r="A13" s="143" t="s">
        <v>252</v>
      </c>
      <c r="B13" s="149" t="s">
        <v>253</v>
      </c>
      <c r="C13" s="199" t="str">
        <f t="shared" si="0"/>
        <v>N.A.</v>
      </c>
      <c r="D13" s="147" t="s">
        <v>254</v>
      </c>
      <c r="E13" s="654" t="s">
        <v>254</v>
      </c>
      <c r="F13" s="200" t="s">
        <v>218</v>
      </c>
      <c r="G13" s="148" t="str">
        <f>+F13</f>
        <v>(4)</v>
      </c>
      <c r="H13" s="207" t="s">
        <v>254</v>
      </c>
      <c r="I13" s="198" t="s">
        <v>254</v>
      </c>
      <c r="J13" s="220" t="str">
        <f>+G13</f>
        <v>(4)</v>
      </c>
    </row>
    <row r="14" spans="1:10" x14ac:dyDescent="0.35">
      <c r="A14" s="143" t="s">
        <v>191</v>
      </c>
      <c r="B14" s="149" t="s">
        <v>192</v>
      </c>
      <c r="C14" s="199">
        <f>+RUBROS!Z16</f>
        <v>10.288613527118255</v>
      </c>
      <c r="D14" s="147">
        <f>+C14</f>
        <v>10.288613527118255</v>
      </c>
      <c r="E14" s="654">
        <f>+C14</f>
        <v>10.288613527118255</v>
      </c>
      <c r="F14" s="147">
        <f>+C14</f>
        <v>10.288613527118255</v>
      </c>
      <c r="G14" s="146">
        <f>+C14</f>
        <v>10.288613527118255</v>
      </c>
      <c r="H14" s="207">
        <f>+RUBROS!AA16</f>
        <v>22.249601678692599</v>
      </c>
      <c r="I14" s="198">
        <f>+RUBROS!AA16</f>
        <v>22.249601678692599</v>
      </c>
      <c r="J14" s="223">
        <f>+H14</f>
        <v>22.249601678692599</v>
      </c>
    </row>
    <row r="15" spans="1:10" x14ac:dyDescent="0.35">
      <c r="A15" s="143" t="s">
        <v>193</v>
      </c>
      <c r="B15" s="149" t="s">
        <v>194</v>
      </c>
      <c r="C15" s="199">
        <f>+RUBROS!Z52</f>
        <v>106.59272562900938</v>
      </c>
      <c r="D15" s="147">
        <f>+C15</f>
        <v>106.59272562900938</v>
      </c>
      <c r="E15" s="654">
        <f>+C15</f>
        <v>106.59272562900938</v>
      </c>
      <c r="F15" s="147">
        <f>+C15</f>
        <v>106.59272562900938</v>
      </c>
      <c r="G15" s="146">
        <f>+C15</f>
        <v>106.59272562900938</v>
      </c>
      <c r="H15" s="207">
        <f>+C15</f>
        <v>106.59272562900938</v>
      </c>
      <c r="I15" s="198">
        <f>+C15</f>
        <v>106.59272562900938</v>
      </c>
      <c r="J15" s="223">
        <f>+C15</f>
        <v>106.59272562900938</v>
      </c>
    </row>
    <row r="16" spans="1:10" x14ac:dyDescent="0.35">
      <c r="A16" s="143" t="s">
        <v>195</v>
      </c>
      <c r="B16" s="218" t="s">
        <v>196</v>
      </c>
      <c r="C16" s="199">
        <f>+RUBROS!AU30</f>
        <v>13.326421256197724</v>
      </c>
      <c r="D16" s="147">
        <f>+C16</f>
        <v>13.326421256197724</v>
      </c>
      <c r="E16" s="654">
        <f>+C16</f>
        <v>13.326421256197724</v>
      </c>
      <c r="F16" s="201">
        <f>+C16</f>
        <v>13.326421256197724</v>
      </c>
      <c r="G16" s="146">
        <f>+C16</f>
        <v>13.326421256197724</v>
      </c>
      <c r="H16" s="207">
        <f>+C16</f>
        <v>13.326421256197724</v>
      </c>
      <c r="I16" s="198">
        <f>+C16</f>
        <v>13.326421256197724</v>
      </c>
      <c r="J16" s="223">
        <f>+C16</f>
        <v>13.326421256197724</v>
      </c>
    </row>
    <row r="17" spans="1:16" hidden="1" x14ac:dyDescent="0.35">
      <c r="A17" s="143"/>
      <c r="B17" s="149" t="s">
        <v>197</v>
      </c>
      <c r="C17" s="199"/>
      <c r="D17" s="202"/>
      <c r="E17" s="655"/>
      <c r="F17" s="203"/>
      <c r="G17" s="146"/>
      <c r="H17" s="207"/>
      <c r="I17" s="198"/>
      <c r="J17" s="225"/>
    </row>
    <row r="18" spans="1:16" x14ac:dyDescent="0.35">
      <c r="A18" s="150" t="s">
        <v>198</v>
      </c>
      <c r="B18" s="180" t="s">
        <v>199</v>
      </c>
      <c r="C18" s="204">
        <f t="shared" ref="C18:J18" si="1">SUM(C8:C17)</f>
        <v>5239.1077604123257</v>
      </c>
      <c r="D18" s="205">
        <f>SUM(D8:D17)</f>
        <v>5239.1077604123257</v>
      </c>
      <c r="E18" s="205">
        <f>SUM(E8:E17)</f>
        <v>5488.725260412325</v>
      </c>
      <c r="F18" s="205">
        <f t="shared" si="1"/>
        <v>5158.9972687123254</v>
      </c>
      <c r="G18" s="206">
        <f t="shared" si="1"/>
        <v>5947.624663012326</v>
      </c>
      <c r="H18" s="207">
        <f t="shared" si="1"/>
        <v>6027.9837485638991</v>
      </c>
      <c r="I18" s="207">
        <f t="shared" ref="I18" si="2">SUM(I8:I17)</f>
        <v>5806.1187485639002</v>
      </c>
      <c r="J18" s="226">
        <f t="shared" si="1"/>
        <v>5904.2517485639009</v>
      </c>
    </row>
    <row r="19" spans="1:16" x14ac:dyDescent="0.35">
      <c r="A19" s="143" t="s">
        <v>200</v>
      </c>
      <c r="B19" s="149" t="s">
        <v>201</v>
      </c>
      <c r="C19" s="199" t="s">
        <v>232</v>
      </c>
      <c r="D19" s="208" t="str">
        <f>+C19</f>
        <v>***</v>
      </c>
      <c r="E19" s="656" t="str">
        <f>+C19</f>
        <v>***</v>
      </c>
      <c r="F19" s="208" t="str">
        <f>+C19</f>
        <v>***</v>
      </c>
      <c r="G19" s="146" t="str">
        <f>+C19</f>
        <v>***</v>
      </c>
      <c r="H19" s="207" t="str">
        <f>+J19</f>
        <v>***</v>
      </c>
      <c r="I19" s="201" t="s">
        <v>232</v>
      </c>
      <c r="J19" s="227" t="s">
        <v>232</v>
      </c>
    </row>
    <row r="20" spans="1:16" x14ac:dyDescent="0.35">
      <c r="A20" s="143" t="s">
        <v>202</v>
      </c>
      <c r="B20" s="149" t="s">
        <v>203</v>
      </c>
      <c r="C20" s="199" t="str">
        <f>+E20</f>
        <v>**</v>
      </c>
      <c r="D20" s="209" t="s">
        <v>230</v>
      </c>
      <c r="E20" s="654" t="s">
        <v>230</v>
      </c>
      <c r="F20" s="209" t="s">
        <v>230</v>
      </c>
      <c r="G20" s="146" t="s">
        <v>230</v>
      </c>
      <c r="H20" s="207" t="str">
        <f>+J20</f>
        <v>**</v>
      </c>
      <c r="I20" s="201" t="str">
        <f>+J20</f>
        <v>**</v>
      </c>
      <c r="J20" s="220" t="s">
        <v>230</v>
      </c>
    </row>
    <row r="21" spans="1:16" x14ac:dyDescent="0.35">
      <c r="A21" s="143" t="s">
        <v>204</v>
      </c>
      <c r="B21" s="149" t="s">
        <v>205</v>
      </c>
      <c r="C21" s="199" t="str">
        <f>+E21</f>
        <v>****</v>
      </c>
      <c r="D21" s="147" t="s">
        <v>234</v>
      </c>
      <c r="E21" s="654" t="s">
        <v>234</v>
      </c>
      <c r="F21" s="147" t="str">
        <f>+E21</f>
        <v>****</v>
      </c>
      <c r="G21" s="146" t="str">
        <f>+F21</f>
        <v>****</v>
      </c>
      <c r="H21" s="207" t="str">
        <f>+G21</f>
        <v>****</v>
      </c>
      <c r="I21" s="201" t="s">
        <v>234</v>
      </c>
      <c r="J21" s="223" t="str">
        <f>+G21</f>
        <v>****</v>
      </c>
      <c r="L21" s="19"/>
    </row>
    <row r="22" spans="1:16" x14ac:dyDescent="0.35">
      <c r="A22" s="150" t="s">
        <v>206</v>
      </c>
      <c r="B22" s="180" t="s">
        <v>207</v>
      </c>
      <c r="C22" s="204">
        <f>+C18</f>
        <v>5239.1077604123257</v>
      </c>
      <c r="D22" s="204">
        <f t="shared" ref="D22" si="3">+D18</f>
        <v>5239.1077604123257</v>
      </c>
      <c r="E22" s="204">
        <f t="shared" ref="E22:J22" si="4">+E18</f>
        <v>5488.725260412325</v>
      </c>
      <c r="F22" s="204">
        <f t="shared" si="4"/>
        <v>5158.9972687123254</v>
      </c>
      <c r="G22" s="222">
        <f t="shared" si="4"/>
        <v>5947.624663012326</v>
      </c>
      <c r="H22" s="204">
        <f t="shared" si="4"/>
        <v>6027.9837485638991</v>
      </c>
      <c r="I22" s="204">
        <f t="shared" ref="I22" si="5">+I18</f>
        <v>5806.1187485639002</v>
      </c>
      <c r="J22" s="222">
        <f t="shared" si="4"/>
        <v>5904.2517485639009</v>
      </c>
    </row>
    <row r="23" spans="1:16" x14ac:dyDescent="0.35">
      <c r="A23" s="143" t="s">
        <v>208</v>
      </c>
      <c r="B23" s="149" t="s">
        <v>160</v>
      </c>
      <c r="C23" s="199" t="s">
        <v>232</v>
      </c>
      <c r="D23" s="147" t="str">
        <f>+C23</f>
        <v>***</v>
      </c>
      <c r="E23" s="654" t="str">
        <f>+C23</f>
        <v>***</v>
      </c>
      <c r="F23" s="147" t="str">
        <f>+E23</f>
        <v>***</v>
      </c>
      <c r="G23" s="146" t="str">
        <f>+F23</f>
        <v>***</v>
      </c>
      <c r="H23" s="207" t="str">
        <f>+J23</f>
        <v>***</v>
      </c>
      <c r="I23" s="201" t="str">
        <f>+J23</f>
        <v>***</v>
      </c>
      <c r="J23" s="223" t="s">
        <v>232</v>
      </c>
    </row>
    <row r="24" spans="1:16" x14ac:dyDescent="0.35">
      <c r="A24" s="143" t="s">
        <v>209</v>
      </c>
      <c r="B24" s="144" t="s">
        <v>210</v>
      </c>
      <c r="C24" s="199" t="str">
        <f>+E24</f>
        <v>*****</v>
      </c>
      <c r="D24" s="147" t="s">
        <v>236</v>
      </c>
      <c r="E24" s="654" t="s">
        <v>236</v>
      </c>
      <c r="F24" s="147" t="s">
        <v>254</v>
      </c>
      <c r="G24" s="146" t="s">
        <v>211</v>
      </c>
      <c r="H24" s="207" t="str">
        <f>+E24</f>
        <v>*****</v>
      </c>
      <c r="I24" s="201" t="str">
        <f>+E24</f>
        <v>*****</v>
      </c>
      <c r="J24" s="223" t="s">
        <v>255</v>
      </c>
    </row>
    <row r="25" spans="1:16" x14ac:dyDescent="0.35">
      <c r="A25" s="143" t="s">
        <v>212</v>
      </c>
      <c r="B25" s="149" t="s">
        <v>213</v>
      </c>
      <c r="C25" s="199" t="str">
        <f>+E25</f>
        <v>******</v>
      </c>
      <c r="D25" s="209" t="s">
        <v>237</v>
      </c>
      <c r="E25" s="654" t="s">
        <v>237</v>
      </c>
      <c r="F25" s="209" t="str">
        <f>+E25</f>
        <v>******</v>
      </c>
      <c r="G25" s="148" t="str">
        <f>+F25</f>
        <v>******</v>
      </c>
      <c r="H25" s="207" t="str">
        <f>+G25</f>
        <v>******</v>
      </c>
      <c r="I25" s="201" t="str">
        <f>+H25</f>
        <v>******</v>
      </c>
      <c r="J25" s="220" t="str">
        <f>+H25</f>
        <v>******</v>
      </c>
    </row>
    <row r="26" spans="1:16" ht="15" thickBot="1" x14ac:dyDescent="0.4">
      <c r="A26" s="154" t="s">
        <v>214</v>
      </c>
      <c r="B26" s="155" t="s">
        <v>215</v>
      </c>
      <c r="C26" s="210"/>
      <c r="D26" s="210"/>
      <c r="E26" s="158"/>
      <c r="F26" s="211"/>
      <c r="G26" s="157"/>
      <c r="H26" s="211"/>
      <c r="I26" s="211"/>
      <c r="J26" s="228"/>
    </row>
    <row r="27" spans="1:16" ht="15" thickTop="1" x14ac:dyDescent="0.35"/>
    <row r="28" spans="1:16" x14ac:dyDescent="0.35">
      <c r="A28" s="162"/>
      <c r="B28" s="266" t="s">
        <v>228</v>
      </c>
      <c r="C28" s="215"/>
      <c r="D28" s="215"/>
      <c r="E28" s="215"/>
      <c r="F28" s="215"/>
      <c r="G28" s="215"/>
      <c r="H28" s="194"/>
      <c r="I28" s="194"/>
      <c r="J28" s="194"/>
      <c r="K28" s="194"/>
      <c r="L28" s="194"/>
      <c r="M28" s="194"/>
      <c r="N28" s="194"/>
      <c r="O28" s="194"/>
      <c r="P28" s="194"/>
    </row>
    <row r="29" spans="1:16" x14ac:dyDescent="0.35">
      <c r="A29" s="162"/>
      <c r="B29" s="184"/>
      <c r="C29" s="215"/>
      <c r="D29" s="215"/>
      <c r="E29" s="215"/>
      <c r="F29" s="215"/>
      <c r="G29" s="215"/>
      <c r="H29" s="194"/>
      <c r="I29" s="194"/>
      <c r="J29" s="194"/>
      <c r="K29" s="194"/>
      <c r="L29" s="194"/>
      <c r="M29" s="194"/>
      <c r="N29" s="194"/>
      <c r="O29" s="194"/>
      <c r="P29" s="194"/>
    </row>
    <row r="30" spans="1:16" ht="15" customHeight="1" x14ac:dyDescent="0.35">
      <c r="A30" s="162" t="s">
        <v>190</v>
      </c>
      <c r="B30" s="839" t="str">
        <f>+CHOCO!B29</f>
        <v>De acuerdo con lo establecido en la Resolución MME 91349 de 2014</v>
      </c>
      <c r="C30" s="839"/>
      <c r="D30" s="839"/>
      <c r="E30" s="839"/>
      <c r="F30" s="839"/>
      <c r="G30" s="839"/>
      <c r="H30" s="839"/>
      <c r="I30" s="839"/>
      <c r="J30" s="839"/>
      <c r="K30" s="839"/>
      <c r="L30" s="216"/>
      <c r="M30" s="216"/>
      <c r="N30" s="216"/>
      <c r="O30" s="216"/>
      <c r="P30" s="216"/>
    </row>
    <row r="31" spans="1:16" ht="27.15" customHeight="1" x14ac:dyDescent="0.35">
      <c r="A31" s="162" t="s">
        <v>217</v>
      </c>
      <c r="B31" s="824" t="s">
        <v>271</v>
      </c>
      <c r="C31" s="824"/>
      <c r="D31" s="824"/>
      <c r="E31" s="824"/>
      <c r="F31" s="824"/>
      <c r="G31" s="824"/>
      <c r="H31" s="824"/>
      <c r="I31" s="824"/>
      <c r="J31" s="824"/>
      <c r="K31" s="824"/>
      <c r="L31" s="194"/>
      <c r="M31" s="194"/>
      <c r="N31" s="194"/>
      <c r="O31" s="194"/>
      <c r="P31" s="194"/>
    </row>
    <row r="32" spans="1:16" ht="53.4" customHeight="1" x14ac:dyDescent="0.35">
      <c r="A32" s="162" t="s">
        <v>133</v>
      </c>
      <c r="B32" s="839" t="s">
        <v>335</v>
      </c>
      <c r="C32" s="839"/>
      <c r="D32" s="839"/>
      <c r="E32" s="839"/>
      <c r="F32" s="839"/>
      <c r="G32" s="839"/>
      <c r="H32" s="839"/>
      <c r="I32" s="839"/>
      <c r="J32" s="839"/>
      <c r="K32" s="839"/>
      <c r="L32" s="194"/>
      <c r="M32" s="194"/>
      <c r="N32" s="194"/>
      <c r="O32" s="194"/>
      <c r="P32" s="194"/>
    </row>
    <row r="33" spans="1:16" ht="53.4" customHeight="1" x14ac:dyDescent="0.35">
      <c r="A33" s="162" t="s">
        <v>218</v>
      </c>
      <c r="B33" s="838" t="s">
        <v>410</v>
      </c>
      <c r="C33" s="838"/>
      <c r="D33" s="838"/>
      <c r="E33" s="838"/>
      <c r="F33" s="838"/>
      <c r="G33" s="838"/>
      <c r="H33" s="838"/>
      <c r="I33" s="838"/>
      <c r="J33" s="838"/>
      <c r="K33" s="838"/>
      <c r="L33" s="194"/>
      <c r="M33" s="194"/>
      <c r="N33" s="194"/>
      <c r="O33" s="194"/>
      <c r="P33" s="194"/>
    </row>
    <row r="34" spans="1:16" x14ac:dyDescent="0.35">
      <c r="A34" s="162"/>
      <c r="B34" s="184"/>
      <c r="C34" s="215"/>
      <c r="D34" s="215"/>
      <c r="E34" s="215"/>
      <c r="F34" s="215"/>
      <c r="G34" s="215"/>
      <c r="H34" s="194"/>
      <c r="I34" s="194"/>
      <c r="J34" s="194"/>
      <c r="K34" s="194"/>
      <c r="L34" s="194"/>
      <c r="M34" s="194"/>
      <c r="N34" s="194"/>
      <c r="O34" s="194"/>
      <c r="P34" s="194"/>
    </row>
    <row r="35" spans="1:16" ht="15" customHeight="1" x14ac:dyDescent="0.35">
      <c r="A35" s="185" t="s">
        <v>102</v>
      </c>
      <c r="B35" s="825" t="s">
        <v>229</v>
      </c>
      <c r="C35" s="825"/>
      <c r="D35" s="825"/>
      <c r="E35" s="825"/>
      <c r="F35" s="825"/>
      <c r="G35" s="825"/>
      <c r="H35" s="825"/>
      <c r="I35" s="825"/>
      <c r="J35" s="825"/>
      <c r="K35" s="825"/>
      <c r="L35" s="194"/>
      <c r="M35" s="194"/>
      <c r="N35" s="194"/>
      <c r="O35" s="194"/>
      <c r="P35" s="194"/>
    </row>
    <row r="36" spans="1:16" ht="15" customHeight="1" x14ac:dyDescent="0.35">
      <c r="A36" s="185" t="s">
        <v>230</v>
      </c>
      <c r="B36" s="839" t="s">
        <v>321</v>
      </c>
      <c r="C36" s="839"/>
      <c r="D36" s="839"/>
      <c r="E36" s="839"/>
      <c r="F36" s="839"/>
      <c r="G36" s="839"/>
      <c r="H36" s="839"/>
      <c r="I36" s="839"/>
      <c r="J36" s="839"/>
      <c r="K36" s="839"/>
      <c r="L36" s="194"/>
      <c r="M36" s="194"/>
      <c r="N36" s="194"/>
      <c r="O36" s="194"/>
      <c r="P36" s="194"/>
    </row>
    <row r="37" spans="1:16" ht="15" customHeight="1" x14ac:dyDescent="0.35">
      <c r="A37" s="162" t="s">
        <v>232</v>
      </c>
      <c r="B37" s="839" t="s">
        <v>233</v>
      </c>
      <c r="C37" s="839"/>
      <c r="D37" s="839"/>
      <c r="E37" s="839"/>
      <c r="F37" s="839"/>
      <c r="G37" s="839"/>
      <c r="H37" s="839"/>
      <c r="I37" s="839"/>
      <c r="J37" s="839"/>
      <c r="K37" s="162"/>
      <c r="L37" s="825"/>
      <c r="M37" s="825"/>
      <c r="N37" s="825"/>
      <c r="O37" s="825"/>
      <c r="P37" s="825"/>
    </row>
    <row r="38" spans="1:16" ht="15" customHeight="1" x14ac:dyDescent="0.35">
      <c r="A38" s="162" t="s">
        <v>234</v>
      </c>
      <c r="B38" s="825" t="s">
        <v>473</v>
      </c>
      <c r="C38" s="825"/>
      <c r="D38" s="825"/>
      <c r="E38" s="825"/>
      <c r="F38" s="825"/>
      <c r="G38" s="825"/>
      <c r="H38" s="825"/>
      <c r="I38" s="825"/>
      <c r="J38" s="825"/>
      <c r="K38" s="162"/>
      <c r="L38" s="234"/>
      <c r="M38" s="234"/>
      <c r="N38" s="234"/>
      <c r="O38" s="234"/>
      <c r="P38" s="234"/>
    </row>
    <row r="39" spans="1:16" ht="24" customHeight="1" x14ac:dyDescent="0.35">
      <c r="A39" s="185" t="s">
        <v>236</v>
      </c>
      <c r="B39" s="839" t="s">
        <v>238</v>
      </c>
      <c r="C39" s="839"/>
      <c r="D39" s="839"/>
      <c r="E39" s="839"/>
      <c r="F39" s="839"/>
      <c r="G39" s="839"/>
      <c r="H39" s="839"/>
      <c r="I39" s="839"/>
      <c r="J39" s="839"/>
      <c r="K39" s="839"/>
      <c r="L39" s="194"/>
      <c r="M39" s="194"/>
      <c r="N39" s="194"/>
      <c r="O39" s="194"/>
      <c r="P39" s="194"/>
    </row>
    <row r="40" spans="1:16" x14ac:dyDescent="0.35">
      <c r="A40" s="185" t="s">
        <v>237</v>
      </c>
      <c r="B40" s="839" t="s">
        <v>278</v>
      </c>
      <c r="C40" s="839"/>
      <c r="D40" s="839"/>
      <c r="E40" s="839"/>
      <c r="F40" s="839"/>
      <c r="G40" s="839"/>
      <c r="H40" s="839"/>
      <c r="I40" s="839"/>
      <c r="J40" s="839"/>
      <c r="K40" s="839"/>
      <c r="L40" s="194"/>
      <c r="M40" s="194"/>
      <c r="N40" s="194"/>
      <c r="O40" s="194"/>
      <c r="P40" s="194"/>
    </row>
    <row r="41" spans="1:16" x14ac:dyDescent="0.35">
      <c r="B41" s="825" t="s">
        <v>480</v>
      </c>
      <c r="C41" s="825"/>
      <c r="D41" s="825"/>
      <c r="E41" s="825"/>
      <c r="F41" s="825"/>
      <c r="G41" s="825"/>
      <c r="H41" s="825"/>
      <c r="I41" s="825"/>
      <c r="J41" s="825"/>
      <c r="K41" s="825"/>
    </row>
    <row r="42" spans="1:16" ht="87.9" customHeight="1" x14ac:dyDescent="0.35">
      <c r="A42" s="845" t="s">
        <v>147</v>
      </c>
      <c r="B42" s="845"/>
      <c r="C42" s="845"/>
      <c r="D42" s="845"/>
      <c r="E42" s="845"/>
      <c r="F42" s="845"/>
      <c r="G42" s="845"/>
      <c r="H42" s="845"/>
      <c r="I42" s="845"/>
      <c r="J42" s="845"/>
      <c r="K42" s="845"/>
    </row>
  </sheetData>
  <sheetProtection algorithmName="SHA-512" hashValue="vAVIDAer3dqafnPU5y03yTmbWwRiAKWr+XT8L2DeNPwaVF07rLS4xmtnVEV0qyWjlFQfwI/kXvrF2sAuM8kepw==" saltValue="NY4EvEXds4OLq1fCG2KOPA==" spinCount="100000" sheet="1" objects="1" scenarios="1"/>
  <mergeCells count="18">
    <mergeCell ref="B30:K30"/>
    <mergeCell ref="C3:G4"/>
    <mergeCell ref="H3:J4"/>
    <mergeCell ref="A5:A7"/>
    <mergeCell ref="B5:B7"/>
    <mergeCell ref="C5:C6"/>
    <mergeCell ref="A42:K42"/>
    <mergeCell ref="B31:K31"/>
    <mergeCell ref="B32:K32"/>
    <mergeCell ref="B35:K35"/>
    <mergeCell ref="B36:K36"/>
    <mergeCell ref="B37:J37"/>
    <mergeCell ref="L37:P37"/>
    <mergeCell ref="B33:K33"/>
    <mergeCell ref="B41:K41"/>
    <mergeCell ref="B38:J38"/>
    <mergeCell ref="B39:K39"/>
    <mergeCell ref="B40:K40"/>
  </mergeCells>
  <hyperlinks>
    <hyperlink ref="B28" location="GUAINIA!A41" display="Ver Nota Informativa" xr:uid="{00000000-0004-0000-0D00-000000000000}"/>
  </hyperlinks>
  <pageMargins left="0.7" right="0.7" top="0.75" bottom="0.75" header="0.3" footer="0.3"/>
  <pageSetup orientation="portrait" r:id="rId1"/>
  <ignoredErrors>
    <ignoredError sqref="J11:J12 H11 G12:H12" numberStoredAsText="1"/>
    <ignoredError sqref="E12:F12 F13" numberStoredAsText="1" formula="1"/>
    <ignoredError sqref="E18:F22 G22 E13 E14:F16 C13 C18:C22"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4">
    <tabColor rgb="FFFFFF00"/>
  </sheetPr>
  <dimension ref="A1:M90"/>
  <sheetViews>
    <sheetView topLeftCell="A5" zoomScale="85" zoomScaleNormal="85" workbookViewId="0">
      <selection activeCell="F57" sqref="F57"/>
    </sheetView>
  </sheetViews>
  <sheetFormatPr baseColWidth="10" defaultColWidth="45" defaultRowHeight="14.5" x14ac:dyDescent="0.35"/>
  <cols>
    <col min="1" max="1" width="7" customWidth="1"/>
    <col min="2" max="2" width="51.453125" customWidth="1"/>
    <col min="3" max="3" width="15.36328125" bestFit="1" customWidth="1"/>
    <col min="4" max="4" width="15.36328125" hidden="1" customWidth="1"/>
    <col min="5" max="5" width="15.36328125" bestFit="1" customWidth="1"/>
    <col min="6" max="6" width="14.54296875" customWidth="1"/>
    <col min="7" max="7" width="15.36328125" bestFit="1" customWidth="1"/>
    <col min="8" max="8" width="17.1796875" hidden="1" customWidth="1"/>
    <col min="9" max="9" width="16.6328125" customWidth="1"/>
    <col min="10" max="10" width="17.6328125" customWidth="1"/>
    <col min="11" max="11" width="25" customWidth="1"/>
  </cols>
  <sheetData>
    <row r="1" spans="1:10" x14ac:dyDescent="0.35">
      <c r="A1" s="243" t="s">
        <v>158</v>
      </c>
      <c r="B1" s="139" t="str">
        <f>+AMAZONAS!C1</f>
        <v>Vigencia: 01 de enero de 2022; 00:00 horas</v>
      </c>
      <c r="C1" s="139"/>
      <c r="D1" s="244"/>
      <c r="E1" s="244"/>
      <c r="F1" s="244"/>
      <c r="G1" s="244"/>
      <c r="H1" s="244"/>
    </row>
    <row r="2" spans="1:10" ht="15" thickBot="1" x14ac:dyDescent="0.4">
      <c r="A2" s="165" t="s">
        <v>179</v>
      </c>
      <c r="B2" s="166"/>
      <c r="C2" s="166"/>
      <c r="D2" s="166"/>
      <c r="E2" s="166"/>
      <c r="F2" s="166"/>
      <c r="G2" s="245"/>
      <c r="H2" s="166"/>
    </row>
    <row r="3" spans="1:10" ht="15" customHeight="1" thickTop="1" x14ac:dyDescent="0.35">
      <c r="A3" s="195"/>
      <c r="B3" s="168" t="s">
        <v>279</v>
      </c>
      <c r="C3" s="828" t="s">
        <v>180</v>
      </c>
      <c r="D3" s="829"/>
      <c r="E3" s="829"/>
      <c r="F3" s="829"/>
      <c r="G3" s="866"/>
      <c r="H3" s="875" t="s">
        <v>250</v>
      </c>
      <c r="I3" s="876"/>
      <c r="J3" s="876"/>
    </row>
    <row r="4" spans="1:10" ht="55.25" customHeight="1" x14ac:dyDescent="0.35">
      <c r="A4" s="169"/>
      <c r="B4" s="272" t="s">
        <v>481</v>
      </c>
      <c r="C4" s="830"/>
      <c r="D4" s="831"/>
      <c r="E4" s="831"/>
      <c r="F4" s="831"/>
      <c r="G4" s="867"/>
      <c r="H4" s="865"/>
      <c r="I4" s="870"/>
      <c r="J4" s="870"/>
    </row>
    <row r="5" spans="1:10" ht="38.25" customHeight="1" x14ac:dyDescent="0.35">
      <c r="A5" s="840" t="s">
        <v>181</v>
      </c>
      <c r="B5" s="842" t="s">
        <v>182</v>
      </c>
      <c r="C5" s="826" t="s">
        <v>241</v>
      </c>
      <c r="D5" s="660" t="s">
        <v>96</v>
      </c>
      <c r="E5" s="650" t="s">
        <v>96</v>
      </c>
      <c r="F5" s="171" t="s">
        <v>499</v>
      </c>
      <c r="G5" s="396" t="str">
        <f>+GUAINIA!G5</f>
        <v>Biodiesel B11</v>
      </c>
      <c r="H5" s="666" t="s">
        <v>96</v>
      </c>
      <c r="I5" s="649" t="s">
        <v>96</v>
      </c>
      <c r="J5" s="235" t="str">
        <f>+F5</f>
        <v>Biodiesel B5</v>
      </c>
    </row>
    <row r="6" spans="1:10" ht="21.75" customHeight="1" x14ac:dyDescent="0.35">
      <c r="A6" s="840"/>
      <c r="B6" s="842"/>
      <c r="C6" s="827"/>
      <c r="D6" s="661" t="s">
        <v>503</v>
      </c>
      <c r="E6" s="560">
        <v>0</v>
      </c>
      <c r="F6" s="582" t="s">
        <v>503</v>
      </c>
      <c r="G6" s="172">
        <f>+GUAINIA!G6</f>
        <v>0.11</v>
      </c>
      <c r="H6" s="667" t="str">
        <f>+D6</f>
        <v>Oxigenada 5%</v>
      </c>
      <c r="I6" s="560">
        <v>0</v>
      </c>
      <c r="J6" s="172" t="str">
        <f>+F6</f>
        <v>Oxigenada 5%</v>
      </c>
    </row>
    <row r="7" spans="1:10" x14ac:dyDescent="0.35">
      <c r="A7" s="841"/>
      <c r="B7" s="843"/>
      <c r="C7" s="141" t="s">
        <v>183</v>
      </c>
      <c r="D7" s="660" t="s">
        <v>183</v>
      </c>
      <c r="E7" s="650" t="s">
        <v>183</v>
      </c>
      <c r="F7" s="171" t="s">
        <v>183</v>
      </c>
      <c r="G7" s="171" t="s">
        <v>183</v>
      </c>
      <c r="H7" s="666" t="s">
        <v>183</v>
      </c>
      <c r="I7" s="649" t="s">
        <v>183</v>
      </c>
      <c r="J7" s="235" t="s">
        <v>183</v>
      </c>
    </row>
    <row r="8" spans="1:10" x14ac:dyDescent="0.35">
      <c r="A8" s="143" t="s">
        <v>184</v>
      </c>
      <c r="B8" s="149" t="s">
        <v>185</v>
      </c>
      <c r="C8" s="264">
        <f>+'Calculo IP ZDF'!$B$35</f>
        <v>4763.5383599999996</v>
      </c>
      <c r="D8" s="662">
        <f>+'Calculo IP ZDF'!N35</f>
        <v>5030.4239419999994</v>
      </c>
      <c r="E8" s="264">
        <f>+'Calculo IP ZDF'!B35</f>
        <v>4763.5383599999996</v>
      </c>
      <c r="F8" s="250">
        <f>+'Calculo IP ZDF'!O35</f>
        <v>4888.7427293999999</v>
      </c>
      <c r="G8" s="179">
        <f>+'Calculo IP ZDF'!J35</f>
        <v>5684.7410067999999</v>
      </c>
      <c r="H8" s="668">
        <f>+'GAS CTE'!E9</f>
        <v>5358.517499999999</v>
      </c>
      <c r="I8" s="247">
        <f>+'GAS CTE'!C6</f>
        <v>5108.8999999999996</v>
      </c>
      <c r="J8" s="223">
        <f>+BIODIESEL!G9</f>
        <v>5257.3765000000003</v>
      </c>
    </row>
    <row r="9" spans="1:10" x14ac:dyDescent="0.35">
      <c r="A9" s="143" t="s">
        <v>186</v>
      </c>
      <c r="B9" s="149" t="s">
        <v>187</v>
      </c>
      <c r="C9" s="199" t="s">
        <v>188</v>
      </c>
      <c r="D9" s="663" t="s">
        <v>188</v>
      </c>
      <c r="E9" s="199" t="s">
        <v>188</v>
      </c>
      <c r="F9" s="199" t="s">
        <v>188</v>
      </c>
      <c r="G9" s="174" t="s">
        <v>188</v>
      </c>
      <c r="H9" s="668">
        <f>+'GAS CTE'!E10</f>
        <v>527.2974999999999</v>
      </c>
      <c r="I9" s="249">
        <f>+'GAS CTE'!C10</f>
        <v>555.04999999999995</v>
      </c>
      <c r="J9" s="220">
        <f>+BIODIESEL!G10</f>
        <v>504.70649999999995</v>
      </c>
    </row>
    <row r="10" spans="1:10" x14ac:dyDescent="0.35">
      <c r="A10" s="143"/>
      <c r="B10" s="149" t="s">
        <v>132</v>
      </c>
      <c r="C10" s="199" t="s">
        <v>188</v>
      </c>
      <c r="D10" s="663" t="s">
        <v>188</v>
      </c>
      <c r="E10" s="199" t="s">
        <v>188</v>
      </c>
      <c r="F10" s="199" t="s">
        <v>188</v>
      </c>
      <c r="G10" s="174" t="s">
        <v>188</v>
      </c>
      <c r="H10" s="668" t="s">
        <v>133</v>
      </c>
      <c r="I10" s="249" t="s">
        <v>133</v>
      </c>
      <c r="J10" s="220" t="s">
        <v>133</v>
      </c>
    </row>
    <row r="11" spans="1:10" x14ac:dyDescent="0.35">
      <c r="A11" s="143"/>
      <c r="B11" s="149" t="s">
        <v>134</v>
      </c>
      <c r="C11" s="250">
        <f>+'GAS CTE'!$C$12</f>
        <v>159</v>
      </c>
      <c r="D11" s="664">
        <f>+'GAS CTE'!E12</f>
        <v>151.04999999999998</v>
      </c>
      <c r="E11" s="250">
        <f>+'GAS CTE'!C12</f>
        <v>159</v>
      </c>
      <c r="F11" s="250">
        <f>+BIODIESEL!$E$12</f>
        <v>175.42</v>
      </c>
      <c r="G11" s="179">
        <f>+BIODIESEL!H12</f>
        <v>161.1</v>
      </c>
      <c r="H11" s="668">
        <f>+D11</f>
        <v>151.04999999999998</v>
      </c>
      <c r="I11" s="249">
        <f>+E11</f>
        <v>159</v>
      </c>
      <c r="J11" s="220">
        <f>+BIODIESEL!G12</f>
        <v>170.04999999999998</v>
      </c>
    </row>
    <row r="12" spans="1:10" x14ac:dyDescent="0.35">
      <c r="A12" s="143" t="s">
        <v>189</v>
      </c>
      <c r="B12" s="149" t="s">
        <v>270</v>
      </c>
      <c r="C12" s="267" t="s">
        <v>217</v>
      </c>
      <c r="D12" s="663" t="str">
        <f>+C12</f>
        <v>(2)</v>
      </c>
      <c r="E12" s="199" t="str">
        <f>+D12</f>
        <v>(2)</v>
      </c>
      <c r="F12" s="199" t="str">
        <f>+C12</f>
        <v>(2)</v>
      </c>
      <c r="G12" s="173" t="str">
        <f>+C12</f>
        <v>(2)</v>
      </c>
      <c r="H12" s="668" t="str">
        <f>+C12</f>
        <v>(2)</v>
      </c>
      <c r="I12" s="249" t="str">
        <f>+C12</f>
        <v>(2)</v>
      </c>
      <c r="J12" s="220" t="str">
        <f>+D12</f>
        <v>(2)</v>
      </c>
    </row>
    <row r="13" spans="1:10" x14ac:dyDescent="0.35">
      <c r="A13" s="143" t="s">
        <v>193</v>
      </c>
      <c r="B13" s="149" t="s">
        <v>194</v>
      </c>
      <c r="C13" s="267">
        <f>+RUBROS!$Z$53</f>
        <v>78.428942648119744</v>
      </c>
      <c r="D13" s="663">
        <f>+C13</f>
        <v>78.428942648119744</v>
      </c>
      <c r="E13" s="199">
        <f>+C13</f>
        <v>78.428942648119744</v>
      </c>
      <c r="F13" s="199">
        <f>+C13</f>
        <v>78.428942648119744</v>
      </c>
      <c r="G13" s="173">
        <f>+C13</f>
        <v>78.428942648119744</v>
      </c>
      <c r="H13" s="668">
        <f>+C13</f>
        <v>78.428942648119744</v>
      </c>
      <c r="I13" s="249">
        <f>+C13</f>
        <v>78.428942648119744</v>
      </c>
      <c r="J13" s="220">
        <f>+C13</f>
        <v>78.428942648119744</v>
      </c>
    </row>
    <row r="14" spans="1:10" x14ac:dyDescent="0.35">
      <c r="A14" s="143" t="s">
        <v>191</v>
      </c>
      <c r="B14" s="149" t="s">
        <v>192</v>
      </c>
      <c r="C14" s="250">
        <f>+RUBROS!$Z$17</f>
        <v>22.249601678692599</v>
      </c>
      <c r="D14" s="665">
        <f>+C14</f>
        <v>22.249601678692599</v>
      </c>
      <c r="E14" s="173">
        <f>+C14</f>
        <v>22.249601678692599</v>
      </c>
      <c r="F14" s="173">
        <f>+C14</f>
        <v>22.249601678692599</v>
      </c>
      <c r="G14" s="173">
        <f>+C14</f>
        <v>22.249601678692599</v>
      </c>
      <c r="H14" s="668">
        <f>+C14</f>
        <v>22.249601678692599</v>
      </c>
      <c r="I14" s="247">
        <f>+C14</f>
        <v>22.249601678692599</v>
      </c>
      <c r="J14" s="146">
        <f>+C14</f>
        <v>22.249601678692599</v>
      </c>
    </row>
    <row r="15" spans="1:10" x14ac:dyDescent="0.35">
      <c r="A15" s="143" t="s">
        <v>195</v>
      </c>
      <c r="B15" s="149" t="s">
        <v>196</v>
      </c>
      <c r="C15" s="250">
        <f>+RUBROS!$AU$42</f>
        <v>13.326421256197724</v>
      </c>
      <c r="D15" s="665">
        <f>+C15</f>
        <v>13.326421256197724</v>
      </c>
      <c r="E15" s="173">
        <f>+C15</f>
        <v>13.326421256197724</v>
      </c>
      <c r="F15" s="173">
        <f>+C15</f>
        <v>13.326421256197724</v>
      </c>
      <c r="G15" s="173">
        <f>+C15</f>
        <v>13.326421256197724</v>
      </c>
      <c r="H15" s="668">
        <f>+C15</f>
        <v>13.326421256197724</v>
      </c>
      <c r="I15" s="247">
        <f>+C15</f>
        <v>13.326421256197724</v>
      </c>
      <c r="J15" s="146">
        <f>+H15</f>
        <v>13.326421256197724</v>
      </c>
    </row>
    <row r="16" spans="1:10" hidden="1" x14ac:dyDescent="0.35">
      <c r="A16" s="143"/>
      <c r="B16" s="149" t="s">
        <v>197</v>
      </c>
      <c r="C16" s="250"/>
      <c r="D16" s="665"/>
      <c r="E16" s="173"/>
      <c r="F16" s="173"/>
      <c r="G16" s="173"/>
      <c r="H16" s="668"/>
      <c r="I16" s="247"/>
      <c r="J16" s="146"/>
    </row>
    <row r="17" spans="1:13" x14ac:dyDescent="0.35">
      <c r="A17" s="150" t="s">
        <v>198</v>
      </c>
      <c r="B17" s="180" t="s">
        <v>199</v>
      </c>
      <c r="C17" s="251">
        <f t="shared" ref="C17:I17" si="0">SUM(C8:C16)</f>
        <v>5036.5433255830103</v>
      </c>
      <c r="D17" s="665">
        <f t="shared" si="0"/>
        <v>5295.4789075830104</v>
      </c>
      <c r="E17" s="251">
        <f t="shared" ref="E17" si="1">SUM(E8:E16)</f>
        <v>5036.5433255830103</v>
      </c>
      <c r="F17" s="251">
        <f t="shared" si="0"/>
        <v>5178.1676949830107</v>
      </c>
      <c r="G17" s="251">
        <f t="shared" si="0"/>
        <v>5959.845972383011</v>
      </c>
      <c r="H17" s="668">
        <f t="shared" si="0"/>
        <v>6150.8699655830096</v>
      </c>
      <c r="I17" s="668">
        <f t="shared" si="0"/>
        <v>5936.9549655830106</v>
      </c>
      <c r="J17" s="254">
        <f>SUM(J8:J16)</f>
        <v>6046.1379655830115</v>
      </c>
    </row>
    <row r="18" spans="1:13" x14ac:dyDescent="0.35">
      <c r="A18" s="143" t="s">
        <v>200</v>
      </c>
      <c r="B18" s="149" t="s">
        <v>265</v>
      </c>
      <c r="C18" s="267" t="s">
        <v>232</v>
      </c>
      <c r="D18" s="665" t="str">
        <f>+C18</f>
        <v>***</v>
      </c>
      <c r="E18" s="173" t="str">
        <f>+C18</f>
        <v>***</v>
      </c>
      <c r="F18" s="173" t="str">
        <f>+D18</f>
        <v>***</v>
      </c>
      <c r="G18" s="173" t="str">
        <f>+F18</f>
        <v>***</v>
      </c>
      <c r="H18" s="668" t="str">
        <f>+C18</f>
        <v>***</v>
      </c>
      <c r="I18" s="247" t="str">
        <f>+C18</f>
        <v>***</v>
      </c>
      <c r="J18" s="146" t="str">
        <f>+C18</f>
        <v>***</v>
      </c>
    </row>
    <row r="19" spans="1:13" x14ac:dyDescent="0.35">
      <c r="A19" s="143" t="s">
        <v>202</v>
      </c>
      <c r="B19" s="149" t="s">
        <v>203</v>
      </c>
      <c r="C19" s="267" t="s">
        <v>230</v>
      </c>
      <c r="D19" s="665" t="str">
        <f>+C19</f>
        <v>**</v>
      </c>
      <c r="E19" s="173" t="str">
        <f>+C19</f>
        <v>**</v>
      </c>
      <c r="F19" s="173" t="str">
        <f>+C19</f>
        <v>**</v>
      </c>
      <c r="G19" s="173" t="str">
        <f>+C19</f>
        <v>**</v>
      </c>
      <c r="H19" s="668" t="str">
        <f>+C19</f>
        <v>**</v>
      </c>
      <c r="I19" s="247" t="str">
        <f>+C19</f>
        <v>**</v>
      </c>
      <c r="J19" s="146" t="str">
        <f>+C19</f>
        <v>**</v>
      </c>
    </row>
    <row r="20" spans="1:13" x14ac:dyDescent="0.35">
      <c r="A20" s="143" t="s">
        <v>204</v>
      </c>
      <c r="B20" s="218" t="s">
        <v>139</v>
      </c>
      <c r="C20" s="288" t="s">
        <v>234</v>
      </c>
      <c r="D20" s="665" t="str">
        <f>+C20</f>
        <v>****</v>
      </c>
      <c r="E20" s="173" t="str">
        <f>+C20</f>
        <v>****</v>
      </c>
      <c r="F20" s="179" t="str">
        <f>+C20</f>
        <v>****</v>
      </c>
      <c r="G20" s="179" t="str">
        <f>+C20</f>
        <v>****</v>
      </c>
      <c r="H20" s="669" t="str">
        <f>C20</f>
        <v>****</v>
      </c>
      <c r="I20" s="270" t="str">
        <f>+C20</f>
        <v>****</v>
      </c>
      <c r="J20" s="146" t="str">
        <f>+C20</f>
        <v>****</v>
      </c>
    </row>
    <row r="21" spans="1:13" x14ac:dyDescent="0.35">
      <c r="A21" s="150" t="s">
        <v>206</v>
      </c>
      <c r="B21" s="180" t="s">
        <v>207</v>
      </c>
      <c r="C21" s="256">
        <f t="shared" ref="C21:J21" si="2">+C17</f>
        <v>5036.5433255830103</v>
      </c>
      <c r="D21" s="665">
        <f t="shared" si="2"/>
        <v>5295.4789075830104</v>
      </c>
      <c r="E21" s="181">
        <f t="shared" ref="E21" si="3">+E17</f>
        <v>5036.5433255830103</v>
      </c>
      <c r="F21" s="181">
        <f t="shared" si="2"/>
        <v>5178.1676949830107</v>
      </c>
      <c r="G21" s="181">
        <f t="shared" si="2"/>
        <v>5959.845972383011</v>
      </c>
      <c r="H21" s="668">
        <f t="shared" si="2"/>
        <v>6150.8699655830096</v>
      </c>
      <c r="I21" s="668">
        <f t="shared" si="2"/>
        <v>5936.9549655830106</v>
      </c>
      <c r="J21" s="152">
        <f t="shared" si="2"/>
        <v>6046.1379655830115</v>
      </c>
    </row>
    <row r="22" spans="1:13" x14ac:dyDescent="0.35">
      <c r="A22" s="143" t="s">
        <v>208</v>
      </c>
      <c r="B22" s="149" t="s">
        <v>160</v>
      </c>
      <c r="C22" s="250" t="str">
        <f>+C18</f>
        <v>***</v>
      </c>
      <c r="D22" s="664" t="str">
        <f t="shared" ref="D22:G22" si="4">+D18</f>
        <v>***</v>
      </c>
      <c r="E22" s="250" t="str">
        <f t="shared" ref="E22" si="5">+E18</f>
        <v>***</v>
      </c>
      <c r="F22" s="250" t="str">
        <f t="shared" si="4"/>
        <v>***</v>
      </c>
      <c r="G22" s="250" t="str">
        <f t="shared" si="4"/>
        <v>***</v>
      </c>
      <c r="H22" s="668" t="str">
        <f>+H18</f>
        <v>***</v>
      </c>
      <c r="I22" s="247" t="str">
        <f>+I18</f>
        <v>***</v>
      </c>
      <c r="J22" s="146" t="str">
        <f>+J18</f>
        <v>***</v>
      </c>
    </row>
    <row r="23" spans="1:13" x14ac:dyDescent="0.35">
      <c r="A23" s="143" t="s">
        <v>209</v>
      </c>
      <c r="B23" s="144" t="s">
        <v>210</v>
      </c>
      <c r="C23" s="257" t="s">
        <v>236</v>
      </c>
      <c r="D23" s="665" t="str">
        <f>+C23</f>
        <v>*****</v>
      </c>
      <c r="E23" s="173" t="str">
        <f>+C23</f>
        <v>*****</v>
      </c>
      <c r="F23" s="173" t="s">
        <v>211</v>
      </c>
      <c r="G23" s="173" t="s">
        <v>211</v>
      </c>
      <c r="H23" s="668" t="str">
        <f>+D23</f>
        <v>*****</v>
      </c>
      <c r="I23" s="247" t="str">
        <f>+C23</f>
        <v>*****</v>
      </c>
      <c r="J23" s="146" t="s">
        <v>254</v>
      </c>
      <c r="M23" s="19"/>
    </row>
    <row r="24" spans="1:13" ht="24.75" customHeight="1" x14ac:dyDescent="0.35">
      <c r="A24" s="143" t="s">
        <v>212</v>
      </c>
      <c r="B24" s="144" t="s">
        <v>213</v>
      </c>
      <c r="C24" s="257" t="s">
        <v>237</v>
      </c>
      <c r="D24" s="665" t="str">
        <f>+C24</f>
        <v>******</v>
      </c>
      <c r="E24" s="173" t="str">
        <f>+C24</f>
        <v>******</v>
      </c>
      <c r="F24" s="173" t="str">
        <f>+C24</f>
        <v>******</v>
      </c>
      <c r="G24" s="173" t="str">
        <f>+C24</f>
        <v>******</v>
      </c>
      <c r="H24" s="668" t="str">
        <f>+C24</f>
        <v>******</v>
      </c>
      <c r="I24" s="247" t="str">
        <f>+C24</f>
        <v>******</v>
      </c>
      <c r="J24" s="146" t="str">
        <f>+C24</f>
        <v>******</v>
      </c>
    </row>
    <row r="25" spans="1:13" ht="15" thickBot="1" x14ac:dyDescent="0.4">
      <c r="A25" s="154" t="s">
        <v>214</v>
      </c>
      <c r="B25" s="155" t="s">
        <v>215</v>
      </c>
      <c r="C25" s="258"/>
      <c r="D25" s="183"/>
      <c r="E25" s="183"/>
      <c r="F25" s="183"/>
      <c r="G25" s="183"/>
      <c r="H25" s="670"/>
      <c r="I25" s="259"/>
      <c r="J25" s="157"/>
    </row>
    <row r="26" spans="1:13" ht="15" thickTop="1" x14ac:dyDescent="0.35">
      <c r="A26" s="159"/>
      <c r="B26" s="160"/>
      <c r="C26" s="160"/>
      <c r="D26" s="161"/>
      <c r="E26" s="161"/>
      <c r="F26" s="161"/>
      <c r="G26" s="161"/>
      <c r="H26" s="161"/>
    </row>
    <row r="27" spans="1:13" ht="15" hidden="1" thickTop="1" x14ac:dyDescent="0.35">
      <c r="A27" s="195"/>
      <c r="B27" s="168" t="s">
        <v>471</v>
      </c>
      <c r="C27" s="828" t="s">
        <v>180</v>
      </c>
      <c r="D27" s="829"/>
      <c r="E27" s="829"/>
      <c r="F27" s="829"/>
      <c r="G27" s="864" t="s">
        <v>250</v>
      </c>
      <c r="H27" s="869"/>
    </row>
    <row r="28" spans="1:13" ht="39" hidden="1" x14ac:dyDescent="0.35">
      <c r="A28" s="169"/>
      <c r="B28" s="272" t="s">
        <v>280</v>
      </c>
      <c r="C28" s="830"/>
      <c r="D28" s="831"/>
      <c r="E28" s="831"/>
      <c r="F28" s="831"/>
      <c r="G28" s="865"/>
      <c r="H28" s="871"/>
    </row>
    <row r="29" spans="1:13" hidden="1" x14ac:dyDescent="0.35">
      <c r="A29" s="840" t="s">
        <v>181</v>
      </c>
      <c r="B29" s="842" t="s">
        <v>182</v>
      </c>
      <c r="C29" s="826" t="s">
        <v>241</v>
      </c>
      <c r="D29" s="514" t="s">
        <v>96</v>
      </c>
      <c r="E29" s="514" t="s">
        <v>404</v>
      </c>
      <c r="F29" s="514">
        <f>+GUAINIA!G29</f>
        <v>0</v>
      </c>
      <c r="G29" s="513" t="s">
        <v>96</v>
      </c>
      <c r="H29" s="512">
        <f>+F29</f>
        <v>0</v>
      </c>
    </row>
    <row r="30" spans="1:13" hidden="1" x14ac:dyDescent="0.35">
      <c r="A30" s="840"/>
      <c r="B30" s="842"/>
      <c r="C30" s="827"/>
      <c r="D30" s="511">
        <v>0.08</v>
      </c>
      <c r="E30" s="172">
        <v>0.02</v>
      </c>
      <c r="F30" s="172">
        <f>+GUAINIA!G30</f>
        <v>0</v>
      </c>
      <c r="G30" s="273">
        <v>0.04</v>
      </c>
      <c r="H30" s="172">
        <f>+F30</f>
        <v>0</v>
      </c>
    </row>
    <row r="31" spans="1:13" hidden="1" x14ac:dyDescent="0.35">
      <c r="A31" s="841"/>
      <c r="B31" s="843"/>
      <c r="C31" s="513" t="s">
        <v>183</v>
      </c>
      <c r="D31" s="514" t="s">
        <v>183</v>
      </c>
      <c r="E31" s="514" t="s">
        <v>183</v>
      </c>
      <c r="F31" s="514" t="s">
        <v>183</v>
      </c>
      <c r="G31" s="513" t="s">
        <v>183</v>
      </c>
      <c r="H31" s="512" t="s">
        <v>183</v>
      </c>
    </row>
    <row r="32" spans="1:13" hidden="1" x14ac:dyDescent="0.35">
      <c r="A32" s="143" t="s">
        <v>184</v>
      </c>
      <c r="B32" s="149" t="s">
        <v>185</v>
      </c>
      <c r="C32" s="264">
        <f>+'Calculo IP ZDF'!$B$44</f>
        <v>4763.5383599999996</v>
      </c>
      <c r="D32" s="264">
        <f>+'Calculo IP ZDF'!$G$44</f>
        <v>4977.0468255999995</v>
      </c>
      <c r="E32" s="250">
        <f>+'Calculo IP ZDF'!$F$44</f>
        <v>4411.1441999999997</v>
      </c>
      <c r="F32" s="179">
        <f>+'Calculo IP ZDF'!I59</f>
        <v>0</v>
      </c>
      <c r="G32" s="247">
        <f>+'GAS CTE'!$D$9</f>
        <v>5308.5940000000001</v>
      </c>
      <c r="H32" s="223">
        <f>+BIODIESEL!H33</f>
        <v>0</v>
      </c>
    </row>
    <row r="33" spans="1:8" hidden="1" x14ac:dyDescent="0.35">
      <c r="A33" s="143" t="s">
        <v>186</v>
      </c>
      <c r="B33" s="149" t="s">
        <v>187</v>
      </c>
      <c r="C33" s="199" t="s">
        <v>188</v>
      </c>
      <c r="D33" s="199" t="s">
        <v>188</v>
      </c>
      <c r="E33" s="199" t="s">
        <v>188</v>
      </c>
      <c r="F33" s="174" t="s">
        <v>188</v>
      </c>
      <c r="G33" s="249">
        <f>+'GAS CTE'!$D$10</f>
        <v>532.84799999999996</v>
      </c>
      <c r="H33" s="220">
        <f>+BIODIESEL!H34</f>
        <v>0</v>
      </c>
    </row>
    <row r="34" spans="1:8" hidden="1" x14ac:dyDescent="0.35">
      <c r="A34" s="143"/>
      <c r="B34" s="149" t="s">
        <v>132</v>
      </c>
      <c r="C34" s="199" t="s">
        <v>188</v>
      </c>
      <c r="D34" s="199" t="s">
        <v>188</v>
      </c>
      <c r="E34" s="199" t="s">
        <v>188</v>
      </c>
      <c r="F34" s="174" t="s">
        <v>188</v>
      </c>
      <c r="G34" s="249" t="str">
        <f>+H10</f>
        <v>(3)</v>
      </c>
      <c r="H34" s="220">
        <f>'[6]CORRIENTE OXIGENADA'!C36</f>
        <v>0</v>
      </c>
    </row>
    <row r="35" spans="1:8" hidden="1" x14ac:dyDescent="0.35">
      <c r="A35" s="143"/>
      <c r="B35" s="149" t="s">
        <v>134</v>
      </c>
      <c r="C35" s="250">
        <f>+'GAS CTE'!$C$12</f>
        <v>159</v>
      </c>
      <c r="D35" s="250">
        <f>+'GAS CTE'!$D$12</f>
        <v>152.63999999999999</v>
      </c>
      <c r="E35" s="250">
        <f>+BIODIESEL!$E$12</f>
        <v>175.42</v>
      </c>
      <c r="F35" s="179">
        <f>+BIODIESEL!H36</f>
        <v>0</v>
      </c>
      <c r="G35" s="249">
        <f t="shared" ref="G35:G39" si="6">+C35</f>
        <v>159</v>
      </c>
      <c r="H35" s="220">
        <f>+BIODIESEL!H36</f>
        <v>0</v>
      </c>
    </row>
    <row r="36" spans="1:8" hidden="1" x14ac:dyDescent="0.35">
      <c r="A36" s="143" t="s">
        <v>189</v>
      </c>
      <c r="B36" s="149" t="s">
        <v>270</v>
      </c>
      <c r="C36" s="267" t="s">
        <v>217</v>
      </c>
      <c r="D36" s="199" t="str">
        <f>+C36</f>
        <v>(2)</v>
      </c>
      <c r="E36" s="199" t="str">
        <f>+C36</f>
        <v>(2)</v>
      </c>
      <c r="F36" s="173" t="str">
        <f>+C36</f>
        <v>(2)</v>
      </c>
      <c r="G36" s="249" t="str">
        <f t="shared" si="6"/>
        <v>(2)</v>
      </c>
      <c r="H36" s="220" t="str">
        <f>+D36</f>
        <v>(2)</v>
      </c>
    </row>
    <row r="37" spans="1:8" hidden="1" x14ac:dyDescent="0.35">
      <c r="A37" s="143" t="s">
        <v>193</v>
      </c>
      <c r="B37" s="149" t="s">
        <v>194</v>
      </c>
      <c r="C37" s="267">
        <f>+RUBROS!$Z$53</f>
        <v>78.428942648119744</v>
      </c>
      <c r="D37" s="199">
        <f>+C37</f>
        <v>78.428942648119744</v>
      </c>
      <c r="E37" s="199">
        <f>+C37</f>
        <v>78.428942648119744</v>
      </c>
      <c r="F37" s="173">
        <f>+C37</f>
        <v>78.428942648119744</v>
      </c>
      <c r="G37" s="249">
        <f t="shared" si="6"/>
        <v>78.428942648119744</v>
      </c>
      <c r="H37" s="220">
        <f>+C37</f>
        <v>78.428942648119744</v>
      </c>
    </row>
    <row r="38" spans="1:8" hidden="1" x14ac:dyDescent="0.35">
      <c r="A38" s="143" t="s">
        <v>191</v>
      </c>
      <c r="B38" s="149" t="s">
        <v>192</v>
      </c>
      <c r="C38" s="250">
        <f>+RUBROS!$Z$17</f>
        <v>22.249601678692599</v>
      </c>
      <c r="D38" s="173">
        <f>+C38</f>
        <v>22.249601678692599</v>
      </c>
      <c r="E38" s="173">
        <f>+C38</f>
        <v>22.249601678692599</v>
      </c>
      <c r="F38" s="173">
        <f>+C38</f>
        <v>22.249601678692599</v>
      </c>
      <c r="G38" s="247">
        <f t="shared" si="6"/>
        <v>22.249601678692599</v>
      </c>
      <c r="H38" s="146">
        <f>+C38</f>
        <v>22.249601678692599</v>
      </c>
    </row>
    <row r="39" spans="1:8" hidden="1" x14ac:dyDescent="0.35">
      <c r="A39" s="143" t="s">
        <v>195</v>
      </c>
      <c r="B39" s="149" t="s">
        <v>196</v>
      </c>
      <c r="C39" s="250">
        <f>+RUBROS!$AQ$42</f>
        <v>12.938273064269636</v>
      </c>
      <c r="D39" s="173">
        <f>+C39</f>
        <v>12.938273064269636</v>
      </c>
      <c r="E39" s="173">
        <f>+C39</f>
        <v>12.938273064269636</v>
      </c>
      <c r="F39" s="173">
        <f>+C39</f>
        <v>12.938273064269636</v>
      </c>
      <c r="G39" s="247">
        <f t="shared" si="6"/>
        <v>12.938273064269636</v>
      </c>
      <c r="H39" s="146">
        <f>+G39</f>
        <v>12.938273064269636</v>
      </c>
    </row>
    <row r="40" spans="1:8" hidden="1" x14ac:dyDescent="0.35">
      <c r="A40" s="143"/>
      <c r="B40" s="149" t="s">
        <v>197</v>
      </c>
      <c r="C40" s="250"/>
      <c r="D40" s="173"/>
      <c r="E40" s="173"/>
      <c r="F40" s="173"/>
      <c r="G40" s="247"/>
      <c r="H40" s="146"/>
    </row>
    <row r="41" spans="1:8" hidden="1" x14ac:dyDescent="0.35">
      <c r="A41" s="150" t="s">
        <v>198</v>
      </c>
      <c r="B41" s="180" t="s">
        <v>199</v>
      </c>
      <c r="C41" s="251">
        <f t="shared" ref="C41:G41" si="7">SUM(C32:C40)</f>
        <v>5036.1551773910815</v>
      </c>
      <c r="D41" s="251">
        <f t="shared" si="7"/>
        <v>5243.3036429910817</v>
      </c>
      <c r="E41" s="251">
        <f t="shared" si="7"/>
        <v>4700.1810173910817</v>
      </c>
      <c r="F41" s="251">
        <f t="shared" si="7"/>
        <v>113.61681739108198</v>
      </c>
      <c r="G41" s="253">
        <f t="shared" si="7"/>
        <v>6114.0588173910819</v>
      </c>
      <c r="H41" s="254">
        <f>SUM(H32:H40)</f>
        <v>113.61681739108198</v>
      </c>
    </row>
    <row r="42" spans="1:8" hidden="1" x14ac:dyDescent="0.35">
      <c r="A42" s="143" t="s">
        <v>200</v>
      </c>
      <c r="B42" s="149" t="s">
        <v>265</v>
      </c>
      <c r="C42" s="267" t="s">
        <v>232</v>
      </c>
      <c r="D42" s="173" t="str">
        <f>+C42</f>
        <v>***</v>
      </c>
      <c r="E42" s="173" t="str">
        <f>+D42</f>
        <v>***</v>
      </c>
      <c r="F42" s="173" t="str">
        <f>+E42</f>
        <v>***</v>
      </c>
      <c r="G42" s="247" t="str">
        <f>+F42</f>
        <v>***</v>
      </c>
      <c r="H42" s="146" t="str">
        <f>+C42</f>
        <v>***</v>
      </c>
    </row>
    <row r="43" spans="1:8" hidden="1" x14ac:dyDescent="0.35">
      <c r="A43" s="143" t="s">
        <v>202</v>
      </c>
      <c r="B43" s="149" t="s">
        <v>203</v>
      </c>
      <c r="C43" s="267" t="s">
        <v>230</v>
      </c>
      <c r="D43" s="173" t="str">
        <f>+C43</f>
        <v>**</v>
      </c>
      <c r="E43" s="173" t="str">
        <f>+C43</f>
        <v>**</v>
      </c>
      <c r="F43" s="173" t="str">
        <f>+C43</f>
        <v>**</v>
      </c>
      <c r="G43" s="247" t="str">
        <f>+C43</f>
        <v>**</v>
      </c>
      <c r="H43" s="146" t="str">
        <f>+C43</f>
        <v>**</v>
      </c>
    </row>
    <row r="44" spans="1:8" hidden="1" x14ac:dyDescent="0.35">
      <c r="A44" s="143" t="s">
        <v>204</v>
      </c>
      <c r="B44" s="218" t="s">
        <v>139</v>
      </c>
      <c r="C44" s="288" t="s">
        <v>234</v>
      </c>
      <c r="D44" s="173" t="str">
        <f>+C44</f>
        <v>****</v>
      </c>
      <c r="E44" s="179" t="str">
        <f>+C44</f>
        <v>****</v>
      </c>
      <c r="F44" s="179" t="str">
        <f>+C44</f>
        <v>****</v>
      </c>
      <c r="G44" s="270" t="str">
        <f>C44</f>
        <v>****</v>
      </c>
      <c r="H44" s="146" t="str">
        <f>+C44</f>
        <v>****</v>
      </c>
    </row>
    <row r="45" spans="1:8" hidden="1" x14ac:dyDescent="0.35">
      <c r="A45" s="150" t="s">
        <v>206</v>
      </c>
      <c r="B45" s="180" t="s">
        <v>207</v>
      </c>
      <c r="C45" s="256">
        <f t="shared" ref="C45:H45" si="8">+C41</f>
        <v>5036.1551773910815</v>
      </c>
      <c r="D45" s="181">
        <f t="shared" si="8"/>
        <v>5243.3036429910817</v>
      </c>
      <c r="E45" s="181">
        <f t="shared" si="8"/>
        <v>4700.1810173910817</v>
      </c>
      <c r="F45" s="181">
        <f t="shared" si="8"/>
        <v>113.61681739108198</v>
      </c>
      <c r="G45" s="253">
        <f t="shared" si="8"/>
        <v>6114.0588173910819</v>
      </c>
      <c r="H45" s="152">
        <f t="shared" si="8"/>
        <v>113.61681739108198</v>
      </c>
    </row>
    <row r="46" spans="1:8" hidden="1" x14ac:dyDescent="0.35">
      <c r="A46" s="143" t="s">
        <v>208</v>
      </c>
      <c r="B46" s="149" t="s">
        <v>160</v>
      </c>
      <c r="C46" s="250" t="str">
        <f>+C42</f>
        <v>***</v>
      </c>
      <c r="D46" s="250" t="str">
        <f t="shared" ref="D46:F46" si="9">+D42</f>
        <v>***</v>
      </c>
      <c r="E46" s="250" t="str">
        <f t="shared" si="9"/>
        <v>***</v>
      </c>
      <c r="F46" s="250" t="str">
        <f t="shared" si="9"/>
        <v>***</v>
      </c>
      <c r="G46" s="247" t="str">
        <f>+G42</f>
        <v>***</v>
      </c>
      <c r="H46" s="146" t="str">
        <f>+H42</f>
        <v>***</v>
      </c>
    </row>
    <row r="47" spans="1:8" hidden="1" x14ac:dyDescent="0.35">
      <c r="A47" s="143" t="s">
        <v>209</v>
      </c>
      <c r="B47" s="144" t="s">
        <v>210</v>
      </c>
      <c r="C47" s="257" t="s">
        <v>236</v>
      </c>
      <c r="D47" s="173" t="str">
        <f>+C47</f>
        <v>*****</v>
      </c>
      <c r="E47" s="173" t="s">
        <v>211</v>
      </c>
      <c r="F47" s="173" t="s">
        <v>211</v>
      </c>
      <c r="G47" s="247" t="str">
        <f>+D47</f>
        <v>*****</v>
      </c>
      <c r="H47" s="146" t="s">
        <v>254</v>
      </c>
    </row>
    <row r="48" spans="1:8" hidden="1" x14ac:dyDescent="0.35">
      <c r="A48" s="143" t="s">
        <v>212</v>
      </c>
      <c r="B48" s="144" t="s">
        <v>213</v>
      </c>
      <c r="C48" s="257" t="s">
        <v>237</v>
      </c>
      <c r="D48" s="173" t="str">
        <f>+C48</f>
        <v>******</v>
      </c>
      <c r="E48" s="173" t="str">
        <f>+C48</f>
        <v>******</v>
      </c>
      <c r="F48" s="173" t="str">
        <f>+C48</f>
        <v>******</v>
      </c>
      <c r="G48" s="247" t="str">
        <f>+C48</f>
        <v>******</v>
      </c>
      <c r="H48" s="146" t="str">
        <f>+C48</f>
        <v>******</v>
      </c>
    </row>
    <row r="49" spans="1:10" ht="15" hidden="1" thickBot="1" x14ac:dyDescent="0.4">
      <c r="A49" s="154" t="s">
        <v>214</v>
      </c>
      <c r="B49" s="155" t="s">
        <v>215</v>
      </c>
      <c r="C49" s="258"/>
      <c r="D49" s="183"/>
      <c r="E49" s="183"/>
      <c r="F49" s="183"/>
      <c r="G49" s="259"/>
      <c r="H49" s="157"/>
    </row>
    <row r="50" spans="1:10" x14ac:dyDescent="0.35">
      <c r="A50" s="159"/>
      <c r="B50" s="160"/>
      <c r="C50" s="160"/>
      <c r="D50" s="161"/>
      <c r="E50" s="161"/>
      <c r="F50" s="161"/>
      <c r="G50" s="161"/>
      <c r="H50" s="161"/>
    </row>
    <row r="51" spans="1:10" ht="15" thickBot="1" x14ac:dyDescent="0.4">
      <c r="A51" s="159"/>
      <c r="B51" s="160"/>
      <c r="C51" s="160"/>
      <c r="D51" s="161"/>
      <c r="E51" s="161"/>
      <c r="F51" s="161"/>
      <c r="G51" s="161"/>
      <c r="H51" s="161"/>
    </row>
    <row r="52" spans="1:10" ht="15" customHeight="1" thickTop="1" x14ac:dyDescent="0.35">
      <c r="A52" s="195"/>
      <c r="B52" s="168" t="s">
        <v>281</v>
      </c>
      <c r="C52" s="828" t="s">
        <v>180</v>
      </c>
      <c r="D52" s="829"/>
      <c r="E52" s="829"/>
      <c r="F52" s="829"/>
      <c r="G52" s="866"/>
      <c r="H52" s="854" t="s">
        <v>250</v>
      </c>
      <c r="I52" s="881"/>
      <c r="J52" s="881"/>
    </row>
    <row r="53" spans="1:10" ht="46.5" customHeight="1" x14ac:dyDescent="0.35">
      <c r="A53" s="169"/>
      <c r="B53" s="272" t="s">
        <v>495</v>
      </c>
      <c r="C53" s="830"/>
      <c r="D53" s="831"/>
      <c r="E53" s="831"/>
      <c r="F53" s="831"/>
      <c r="G53" s="867"/>
      <c r="H53" s="854"/>
      <c r="I53" s="881"/>
      <c r="J53" s="881"/>
    </row>
    <row r="54" spans="1:10" ht="38.25" customHeight="1" x14ac:dyDescent="0.35">
      <c r="A54" s="840" t="s">
        <v>181</v>
      </c>
      <c r="B54" s="842" t="s">
        <v>182</v>
      </c>
      <c r="C54" s="826" t="s">
        <v>241</v>
      </c>
      <c r="D54" s="650" t="s">
        <v>96</v>
      </c>
      <c r="E54" s="171" t="s">
        <v>96</v>
      </c>
      <c r="F54" s="171" t="str">
        <f>+F5</f>
        <v>Biodiesel B5</v>
      </c>
      <c r="G54" s="862" t="str">
        <f>+G5</f>
        <v>Biodiesel B11</v>
      </c>
      <c r="H54" s="141" t="s">
        <v>96</v>
      </c>
      <c r="I54" s="649" t="s">
        <v>96</v>
      </c>
      <c r="J54" s="235" t="str">
        <f>+G54</f>
        <v>Biodiesel B11</v>
      </c>
    </row>
    <row r="55" spans="1:10" x14ac:dyDescent="0.35">
      <c r="A55" s="840"/>
      <c r="B55" s="842"/>
      <c r="C55" s="827"/>
      <c r="D55" s="582">
        <v>0.08</v>
      </c>
      <c r="E55" s="560">
        <v>0.08</v>
      </c>
      <c r="F55" s="172" t="str">
        <f>+F6</f>
        <v>Oxigenada 5%</v>
      </c>
      <c r="G55" s="863"/>
      <c r="H55" s="273">
        <v>0.04</v>
      </c>
      <c r="I55" s="273">
        <v>0</v>
      </c>
      <c r="J55" s="172" t="str">
        <f>+J6</f>
        <v>Oxigenada 5%</v>
      </c>
    </row>
    <row r="56" spans="1:10" x14ac:dyDescent="0.35">
      <c r="A56" s="841"/>
      <c r="B56" s="843"/>
      <c r="C56" s="141" t="s">
        <v>183</v>
      </c>
      <c r="D56" s="650" t="s">
        <v>183</v>
      </c>
      <c r="E56" s="171" t="s">
        <v>183</v>
      </c>
      <c r="F56" s="171" t="s">
        <v>183</v>
      </c>
      <c r="G56" s="399">
        <f>+G6</f>
        <v>0.11</v>
      </c>
      <c r="H56" s="141" t="s">
        <v>183</v>
      </c>
      <c r="I56" s="649" t="s">
        <v>183</v>
      </c>
      <c r="J56" s="235" t="s">
        <v>183</v>
      </c>
    </row>
    <row r="57" spans="1:10" x14ac:dyDescent="0.35">
      <c r="A57" s="143" t="s">
        <v>184</v>
      </c>
      <c r="B57" s="149" t="s">
        <v>185</v>
      </c>
      <c r="C57" s="264">
        <f>+'GAS CTE'!C6</f>
        <v>5108.8999999999996</v>
      </c>
      <c r="D57" s="662">
        <f>+'GAS CTE'!D9</f>
        <v>5308.5940000000001</v>
      </c>
      <c r="E57" s="264">
        <f>+'GAS CTE'!C6</f>
        <v>5108.8999999999996</v>
      </c>
      <c r="F57" s="265">
        <f>+BIODIESEL!G9</f>
        <v>5257.3765000000003</v>
      </c>
      <c r="G57" s="179">
        <f>+BIODIESEL!G9</f>
        <v>5257.3765000000003</v>
      </c>
      <c r="H57" s="247">
        <f>+D57</f>
        <v>5308.5940000000001</v>
      </c>
      <c r="I57" s="247">
        <f>+E57</f>
        <v>5108.8999999999996</v>
      </c>
      <c r="J57" s="223">
        <f>+J8</f>
        <v>5257.3765000000003</v>
      </c>
    </row>
    <row r="58" spans="1:10" x14ac:dyDescent="0.35">
      <c r="A58" s="143" t="s">
        <v>186</v>
      </c>
      <c r="B58" s="149" t="s">
        <v>187</v>
      </c>
      <c r="C58" s="199" t="s">
        <v>188</v>
      </c>
      <c r="D58" s="663" t="s">
        <v>188</v>
      </c>
      <c r="E58" s="199" t="s">
        <v>188</v>
      </c>
      <c r="F58" s="199" t="s">
        <v>188</v>
      </c>
      <c r="G58" s="174" t="s">
        <v>188</v>
      </c>
      <c r="H58" s="668">
        <f>+'GAS CTE'!D10</f>
        <v>532.84799999999996</v>
      </c>
      <c r="I58" s="249">
        <f>+'GAS CTE'!C10</f>
        <v>555.04999999999995</v>
      </c>
      <c r="J58" s="220">
        <f>+J9</f>
        <v>504.70649999999995</v>
      </c>
    </row>
    <row r="59" spans="1:10" x14ac:dyDescent="0.35">
      <c r="A59" s="143"/>
      <c r="B59" s="149" t="s">
        <v>132</v>
      </c>
      <c r="C59" s="199" t="s">
        <v>188</v>
      </c>
      <c r="D59" s="663" t="s">
        <v>188</v>
      </c>
      <c r="E59" s="199" t="s">
        <v>188</v>
      </c>
      <c r="F59" s="199" t="s">
        <v>188</v>
      </c>
      <c r="G59" s="174" t="s">
        <v>188</v>
      </c>
      <c r="H59" s="668" t="str">
        <f>+H10</f>
        <v>(3)</v>
      </c>
      <c r="I59" s="249"/>
      <c r="J59" s="220" t="str">
        <f>+H59</f>
        <v>(3)</v>
      </c>
    </row>
    <row r="60" spans="1:10" x14ac:dyDescent="0.35">
      <c r="A60" s="143"/>
      <c r="B60" s="149" t="s">
        <v>134</v>
      </c>
      <c r="C60" s="250">
        <f>'GAS CTE'!C12</f>
        <v>159</v>
      </c>
      <c r="D60" s="664">
        <f>+'GAS CTE'!D12</f>
        <v>152.63999999999999</v>
      </c>
      <c r="E60" s="250">
        <f>+'GAS CTE'!C12</f>
        <v>159</v>
      </c>
      <c r="F60" s="250">
        <f>+BIODIESEL!G12</f>
        <v>170.04999999999998</v>
      </c>
      <c r="G60" s="179">
        <f>+BIODIESEL!G12</f>
        <v>170.04999999999998</v>
      </c>
      <c r="H60" s="668">
        <f>+D60</f>
        <v>152.63999999999999</v>
      </c>
      <c r="I60" s="249">
        <f>+E60</f>
        <v>159</v>
      </c>
      <c r="J60" s="220">
        <f>+J11</f>
        <v>170.04999999999998</v>
      </c>
    </row>
    <row r="61" spans="1:10" x14ac:dyDescent="0.35">
      <c r="A61" s="143" t="s">
        <v>189</v>
      </c>
      <c r="B61" s="149" t="s">
        <v>270</v>
      </c>
      <c r="C61" s="199" t="str">
        <f>+C12</f>
        <v>(2)</v>
      </c>
      <c r="D61" s="663" t="str">
        <f>+C61</f>
        <v>(2)</v>
      </c>
      <c r="E61" s="199" t="str">
        <f>+C61</f>
        <v>(2)</v>
      </c>
      <c r="F61" s="199" t="str">
        <f>+C61</f>
        <v>(2)</v>
      </c>
      <c r="G61" s="173" t="str">
        <f>+C61</f>
        <v>(2)</v>
      </c>
      <c r="H61" s="668" t="str">
        <f>+C61</f>
        <v>(2)</v>
      </c>
      <c r="I61" s="249" t="str">
        <f>+C61</f>
        <v>(2)</v>
      </c>
      <c r="J61" s="220" t="str">
        <f>+D61</f>
        <v>(2)</v>
      </c>
    </row>
    <row r="62" spans="1:10" x14ac:dyDescent="0.35">
      <c r="A62" s="143" t="s">
        <v>193</v>
      </c>
      <c r="B62" s="149" t="s">
        <v>194</v>
      </c>
      <c r="C62" s="199">
        <f>+C13</f>
        <v>78.428942648119744</v>
      </c>
      <c r="D62" s="663">
        <f>+C62</f>
        <v>78.428942648119744</v>
      </c>
      <c r="E62" s="199">
        <f>+C62</f>
        <v>78.428942648119744</v>
      </c>
      <c r="F62" s="199">
        <f>+C62</f>
        <v>78.428942648119744</v>
      </c>
      <c r="G62" s="173">
        <f>+C62</f>
        <v>78.428942648119744</v>
      </c>
      <c r="H62" s="668">
        <f>+C62</f>
        <v>78.428942648119744</v>
      </c>
      <c r="I62" s="249">
        <f>+C62</f>
        <v>78.428942648119744</v>
      </c>
      <c r="J62" s="220">
        <f>+H62</f>
        <v>78.428942648119744</v>
      </c>
    </row>
    <row r="63" spans="1:10" x14ac:dyDescent="0.35">
      <c r="A63" s="143" t="s">
        <v>191</v>
      </c>
      <c r="B63" s="149" t="s">
        <v>192</v>
      </c>
      <c r="C63" s="250">
        <f>C14</f>
        <v>22.249601678692599</v>
      </c>
      <c r="D63" s="665">
        <f>+C63</f>
        <v>22.249601678692599</v>
      </c>
      <c r="E63" s="173">
        <f>+C63</f>
        <v>22.249601678692599</v>
      </c>
      <c r="F63" s="173">
        <f>+C63</f>
        <v>22.249601678692599</v>
      </c>
      <c r="G63" s="173">
        <f>+C63</f>
        <v>22.249601678692599</v>
      </c>
      <c r="H63" s="668">
        <f>+C63</f>
        <v>22.249601678692599</v>
      </c>
      <c r="I63" s="247">
        <f>+C63</f>
        <v>22.249601678692599</v>
      </c>
      <c r="J63" s="146">
        <f>+C63</f>
        <v>22.249601678692599</v>
      </c>
    </row>
    <row r="64" spans="1:10" x14ac:dyDescent="0.35">
      <c r="A64" s="143" t="s">
        <v>195</v>
      </c>
      <c r="B64" s="149" t="s">
        <v>196</v>
      </c>
      <c r="C64" s="250">
        <f>+C15</f>
        <v>13.326421256197724</v>
      </c>
      <c r="D64" s="665">
        <f>+C64</f>
        <v>13.326421256197724</v>
      </c>
      <c r="E64" s="173">
        <f>+C64</f>
        <v>13.326421256197724</v>
      </c>
      <c r="F64" s="173">
        <f>+C64</f>
        <v>13.326421256197724</v>
      </c>
      <c r="G64" s="173">
        <f>+C64</f>
        <v>13.326421256197724</v>
      </c>
      <c r="H64" s="668">
        <f>+C64</f>
        <v>13.326421256197724</v>
      </c>
      <c r="I64" s="247">
        <f>+C64</f>
        <v>13.326421256197724</v>
      </c>
      <c r="J64" s="146">
        <f>+H64</f>
        <v>13.326421256197724</v>
      </c>
    </row>
    <row r="65" spans="1:10" hidden="1" x14ac:dyDescent="0.35">
      <c r="A65" s="143"/>
      <c r="B65" s="149" t="s">
        <v>197</v>
      </c>
      <c r="C65" s="250"/>
      <c r="D65" s="665"/>
      <c r="F65" s="173"/>
      <c r="G65" s="173"/>
      <c r="H65" s="668"/>
      <c r="J65" s="146"/>
    </row>
    <row r="66" spans="1:10" x14ac:dyDescent="0.35">
      <c r="A66" s="150" t="s">
        <v>198</v>
      </c>
      <c r="B66" s="180" t="s">
        <v>199</v>
      </c>
      <c r="C66" s="251">
        <f t="shared" ref="C66:I66" si="10">SUM(C57:C65)</f>
        <v>5381.9049655830104</v>
      </c>
      <c r="D66" s="665">
        <f>SUM(D57:D65)</f>
        <v>5575.2389655830111</v>
      </c>
      <c r="E66" s="251">
        <f>SUM(E57:E65)</f>
        <v>5381.9049655830104</v>
      </c>
      <c r="F66" s="251">
        <f t="shared" si="10"/>
        <v>5541.4314655830112</v>
      </c>
      <c r="G66" s="251">
        <f t="shared" si="10"/>
        <v>5541.4314655830112</v>
      </c>
      <c r="H66" s="668">
        <f t="shared" si="10"/>
        <v>6108.0869655830111</v>
      </c>
      <c r="I66" s="253">
        <f t="shared" si="10"/>
        <v>5936.9549655830106</v>
      </c>
      <c r="J66" s="254">
        <f>SUM(J57:J65)</f>
        <v>6046.1379655830115</v>
      </c>
    </row>
    <row r="67" spans="1:10" x14ac:dyDescent="0.35">
      <c r="A67" s="143" t="s">
        <v>200</v>
      </c>
      <c r="B67" s="149" t="s">
        <v>265</v>
      </c>
      <c r="C67" s="267" t="s">
        <v>232</v>
      </c>
      <c r="D67" s="665" t="str">
        <f>+C67</f>
        <v>***</v>
      </c>
      <c r="E67" s="671" t="str">
        <f>+C67</f>
        <v>***</v>
      </c>
      <c r="F67" s="173" t="str">
        <f>+D67</f>
        <v>***</v>
      </c>
      <c r="G67" s="173" t="str">
        <f>+F67</f>
        <v>***</v>
      </c>
      <c r="H67" s="668" t="str">
        <f>+C67</f>
        <v>***</v>
      </c>
      <c r="I67" s="671" t="str">
        <f>+C67</f>
        <v>***</v>
      </c>
      <c r="J67" s="146" t="str">
        <f>+H67</f>
        <v>***</v>
      </c>
    </row>
    <row r="68" spans="1:10" x14ac:dyDescent="0.35">
      <c r="A68" s="143" t="s">
        <v>202</v>
      </c>
      <c r="B68" s="149" t="s">
        <v>203</v>
      </c>
      <c r="C68" s="267" t="s">
        <v>230</v>
      </c>
      <c r="D68" s="665" t="str">
        <f>+C68</f>
        <v>**</v>
      </c>
      <c r="E68" s="671" t="str">
        <f>+C68</f>
        <v>**</v>
      </c>
      <c r="F68" s="173" t="str">
        <f>+C68</f>
        <v>**</v>
      </c>
      <c r="G68" s="173" t="str">
        <f>+C68</f>
        <v>**</v>
      </c>
      <c r="H68" s="668" t="str">
        <f>+C68</f>
        <v>**</v>
      </c>
      <c r="I68" s="671" t="str">
        <f>+C68</f>
        <v>**</v>
      </c>
      <c r="J68" s="146" t="str">
        <f>+H68</f>
        <v>**</v>
      </c>
    </row>
    <row r="69" spans="1:10" x14ac:dyDescent="0.35">
      <c r="A69" s="143" t="s">
        <v>204</v>
      </c>
      <c r="B69" s="218" t="s">
        <v>139</v>
      </c>
      <c r="C69" s="271" t="str">
        <f>+C20</f>
        <v>****</v>
      </c>
      <c r="D69" s="665" t="str">
        <f>+C69</f>
        <v>****</v>
      </c>
      <c r="E69" s="671" t="str">
        <f>+C69</f>
        <v>****</v>
      </c>
      <c r="F69" s="179" t="str">
        <f>+C69</f>
        <v>****</v>
      </c>
      <c r="G69" s="179" t="str">
        <f>+C69</f>
        <v>****</v>
      </c>
      <c r="H69" s="669" t="str">
        <f>C69</f>
        <v>****</v>
      </c>
      <c r="I69" s="671" t="str">
        <f>+C69</f>
        <v>****</v>
      </c>
      <c r="J69" s="146" t="str">
        <f>+C69</f>
        <v>****</v>
      </c>
    </row>
    <row r="70" spans="1:10" x14ac:dyDescent="0.35">
      <c r="A70" s="150" t="s">
        <v>206</v>
      </c>
      <c r="B70" s="180" t="s">
        <v>207</v>
      </c>
      <c r="C70" s="256">
        <f>SUM(C66:C69)</f>
        <v>5381.9049655830104</v>
      </c>
      <c r="D70" s="665">
        <f>SUM(D66:D69)</f>
        <v>5575.2389655830111</v>
      </c>
      <c r="E70" s="181">
        <f>SUM(E66:E69)</f>
        <v>5381.9049655830104</v>
      </c>
      <c r="F70" s="181">
        <f t="shared" ref="F70:I70" si="11">SUM(F66:F69)</f>
        <v>5541.4314655830112</v>
      </c>
      <c r="G70" s="181">
        <f t="shared" si="11"/>
        <v>5541.4314655830112</v>
      </c>
      <c r="H70" s="668">
        <f t="shared" si="11"/>
        <v>6108.0869655830111</v>
      </c>
      <c r="I70" s="253">
        <f t="shared" si="11"/>
        <v>5936.9549655830106</v>
      </c>
      <c r="J70" s="152">
        <f>SUM(J66:J69)</f>
        <v>6046.1379655830115</v>
      </c>
    </row>
    <row r="71" spans="1:10" x14ac:dyDescent="0.35">
      <c r="A71" s="143" t="s">
        <v>208</v>
      </c>
      <c r="B71" s="149" t="s">
        <v>160</v>
      </c>
      <c r="C71" s="269" t="str">
        <f>+C67</f>
        <v>***</v>
      </c>
      <c r="D71" s="665" t="str">
        <f>+C71</f>
        <v>***</v>
      </c>
      <c r="E71" s="673" t="str">
        <f>+C71</f>
        <v>***</v>
      </c>
      <c r="F71" s="173" t="str">
        <f>+C71</f>
        <v>***</v>
      </c>
      <c r="G71" s="173" t="str">
        <f>+G67</f>
        <v>***</v>
      </c>
      <c r="H71" s="668" t="str">
        <f>+C71</f>
        <v>***</v>
      </c>
      <c r="I71" s="672" t="str">
        <f>+C71</f>
        <v>***</v>
      </c>
      <c r="J71" s="146" t="str">
        <f>+C71</f>
        <v>***</v>
      </c>
    </row>
    <row r="72" spans="1:10" x14ac:dyDescent="0.35">
      <c r="A72" s="143" t="s">
        <v>209</v>
      </c>
      <c r="B72" s="144" t="s">
        <v>210</v>
      </c>
      <c r="C72" s="201" t="str">
        <f>+C23</f>
        <v>*****</v>
      </c>
      <c r="D72" s="674" t="str">
        <f>+D23</f>
        <v>*****</v>
      </c>
      <c r="E72" s="671" t="str">
        <f>+C72</f>
        <v>*****</v>
      </c>
      <c r="F72" s="201" t="str">
        <f t="shared" ref="F72:H73" si="12">+F23</f>
        <v>N.A</v>
      </c>
      <c r="G72" s="201" t="str">
        <f t="shared" si="12"/>
        <v>N.A</v>
      </c>
      <c r="H72" s="668" t="str">
        <f t="shared" si="12"/>
        <v>*****</v>
      </c>
      <c r="I72" s="192" t="str">
        <f>+C72</f>
        <v>*****</v>
      </c>
      <c r="J72" s="223" t="str">
        <f>+J23</f>
        <v>N.A.</v>
      </c>
    </row>
    <row r="73" spans="1:10" x14ac:dyDescent="0.35">
      <c r="A73" s="143" t="s">
        <v>212</v>
      </c>
      <c r="B73" s="144" t="s">
        <v>213</v>
      </c>
      <c r="C73" s="201" t="str">
        <f>+C24</f>
        <v>******</v>
      </c>
      <c r="D73" s="674" t="str">
        <f>+D24</f>
        <v>******</v>
      </c>
      <c r="E73" s="671" t="str">
        <f>+C73</f>
        <v>******</v>
      </c>
      <c r="F73" s="201" t="str">
        <f t="shared" si="12"/>
        <v>******</v>
      </c>
      <c r="G73" s="201" t="str">
        <f t="shared" si="12"/>
        <v>******</v>
      </c>
      <c r="H73" s="668" t="str">
        <f t="shared" si="12"/>
        <v>******</v>
      </c>
      <c r="I73" s="192" t="str">
        <f>+C73</f>
        <v>******</v>
      </c>
      <c r="J73" s="223" t="str">
        <f>+J24</f>
        <v>******</v>
      </c>
    </row>
    <row r="74" spans="1:10" ht="15" thickBot="1" x14ac:dyDescent="0.4">
      <c r="A74" s="154" t="s">
        <v>214</v>
      </c>
      <c r="B74" s="155" t="s">
        <v>215</v>
      </c>
      <c r="C74" s="258"/>
      <c r="D74" s="183"/>
      <c r="E74" s="183"/>
      <c r="F74" s="183"/>
      <c r="G74" s="183"/>
      <c r="H74" s="259"/>
      <c r="I74" s="259"/>
      <c r="J74" s="157"/>
    </row>
    <row r="75" spans="1:10" ht="15" thickTop="1" x14ac:dyDescent="0.35">
      <c r="A75" s="159"/>
      <c r="B75" s="160"/>
      <c r="C75" s="160"/>
      <c r="D75" s="161"/>
      <c r="E75" s="161"/>
      <c r="F75" s="161"/>
      <c r="G75" s="161"/>
      <c r="H75" s="161"/>
    </row>
    <row r="76" spans="1:10" ht="15" customHeight="1" x14ac:dyDescent="0.35">
      <c r="A76" s="159"/>
      <c r="B76" s="266" t="s">
        <v>228</v>
      </c>
      <c r="C76" s="160"/>
      <c r="D76" s="161"/>
      <c r="E76" s="161"/>
      <c r="F76" s="161"/>
      <c r="G76" s="161"/>
      <c r="H76" s="161"/>
    </row>
    <row r="77" spans="1:10" x14ac:dyDescent="0.35">
      <c r="A77" s="159"/>
      <c r="B77" s="160"/>
      <c r="C77" s="160"/>
      <c r="D77" s="161"/>
      <c r="E77" s="161"/>
      <c r="F77" s="161"/>
      <c r="G77" s="161"/>
      <c r="H77" s="161"/>
    </row>
    <row r="78" spans="1:10" ht="19.649999999999999" customHeight="1" x14ac:dyDescent="0.35">
      <c r="A78" s="162" t="s">
        <v>190</v>
      </c>
      <c r="B78" s="839" t="str">
        <f>+GUAINIA!B30</f>
        <v>De acuerdo con lo establecido en la Resolución MME 91349 de 2014</v>
      </c>
      <c r="C78" s="839"/>
      <c r="D78" s="839"/>
      <c r="E78" s="839"/>
      <c r="F78" s="839"/>
      <c r="G78" s="839"/>
      <c r="H78" s="839"/>
    </row>
    <row r="79" spans="1:10" ht="27.9" customHeight="1" x14ac:dyDescent="0.35">
      <c r="A79" s="162" t="s">
        <v>217</v>
      </c>
      <c r="B79" s="824" t="s">
        <v>271</v>
      </c>
      <c r="C79" s="824"/>
      <c r="D79" s="824"/>
      <c r="E79" s="824"/>
      <c r="F79" s="824"/>
      <c r="G79" s="824"/>
      <c r="H79" s="824"/>
    </row>
    <row r="80" spans="1:10" ht="39.15" customHeight="1" x14ac:dyDescent="0.35">
      <c r="A80" s="162" t="s">
        <v>133</v>
      </c>
      <c r="B80" s="824" t="s">
        <v>242</v>
      </c>
      <c r="C80" s="824"/>
      <c r="D80" s="824"/>
      <c r="E80" s="824"/>
      <c r="F80" s="824"/>
      <c r="G80" s="824"/>
      <c r="H80" s="824"/>
    </row>
    <row r="81" spans="1:9" ht="7.5" customHeight="1" x14ac:dyDescent="0.35">
      <c r="A81" s="162"/>
      <c r="B81" s="236"/>
      <c r="C81" s="236"/>
      <c r="D81" s="236"/>
      <c r="E81" s="236"/>
      <c r="F81" s="236"/>
      <c r="G81" s="236"/>
      <c r="H81" s="161"/>
    </row>
    <row r="82" spans="1:9" x14ac:dyDescent="0.35">
      <c r="A82" s="162"/>
      <c r="B82" s="184" t="s">
        <v>158</v>
      </c>
      <c r="C82" s="184"/>
      <c r="D82" s="215"/>
      <c r="E82" s="215"/>
      <c r="F82" s="215"/>
      <c r="G82" s="215"/>
      <c r="H82" s="215"/>
    </row>
    <row r="83" spans="1:9" ht="15" customHeight="1" x14ac:dyDescent="0.35">
      <c r="A83" s="185" t="s">
        <v>102</v>
      </c>
      <c r="B83" s="824" t="s">
        <v>229</v>
      </c>
      <c r="C83" s="824"/>
      <c r="D83" s="824"/>
      <c r="E83" s="824"/>
      <c r="F83" s="824"/>
      <c r="G83" s="824"/>
      <c r="H83" s="824"/>
    </row>
    <row r="84" spans="1:9" ht="20.25" customHeight="1" x14ac:dyDescent="0.35">
      <c r="A84" s="185" t="s">
        <v>230</v>
      </c>
      <c r="B84" s="825" t="s">
        <v>282</v>
      </c>
      <c r="C84" s="825"/>
      <c r="D84" s="825"/>
      <c r="E84" s="825"/>
      <c r="F84" s="825"/>
      <c r="G84" s="825"/>
      <c r="H84" s="825"/>
    </row>
    <row r="85" spans="1:9" ht="25.5" customHeight="1" x14ac:dyDescent="0.35">
      <c r="A85" s="185" t="s">
        <v>232</v>
      </c>
      <c r="B85" s="825" t="s">
        <v>272</v>
      </c>
      <c r="C85" s="825"/>
      <c r="D85" s="825"/>
      <c r="E85" s="825"/>
      <c r="F85" s="825"/>
      <c r="G85" s="825"/>
      <c r="H85" s="825"/>
    </row>
    <row r="86" spans="1:9" x14ac:dyDescent="0.35">
      <c r="A86" s="185" t="s">
        <v>234</v>
      </c>
      <c r="B86" s="825" t="s">
        <v>473</v>
      </c>
      <c r="C86" s="825"/>
      <c r="D86" s="825"/>
      <c r="E86" s="825"/>
      <c r="F86" s="825"/>
      <c r="G86" s="825"/>
      <c r="H86" s="825"/>
    </row>
    <row r="87" spans="1:9" ht="23.4" customHeight="1" x14ac:dyDescent="0.35">
      <c r="A87" s="185" t="s">
        <v>236</v>
      </c>
      <c r="B87" s="825" t="s">
        <v>238</v>
      </c>
      <c r="C87" s="825"/>
      <c r="D87" s="825"/>
      <c r="E87" s="825"/>
      <c r="F87" s="825"/>
      <c r="G87" s="825"/>
      <c r="H87" s="825"/>
    </row>
    <row r="88" spans="1:9" ht="15" customHeight="1" x14ac:dyDescent="0.35">
      <c r="A88" s="185" t="s">
        <v>237</v>
      </c>
      <c r="B88" s="825" t="s">
        <v>268</v>
      </c>
      <c r="C88" s="825"/>
      <c r="D88" s="825"/>
      <c r="E88" s="825"/>
      <c r="F88" s="825"/>
      <c r="G88" s="825"/>
      <c r="H88" s="825"/>
    </row>
    <row r="89" spans="1:9" x14ac:dyDescent="0.35">
      <c r="A89" s="243"/>
      <c r="B89" s="883" t="s">
        <v>462</v>
      </c>
      <c r="C89" s="883"/>
      <c r="D89" s="883"/>
      <c r="E89" s="883"/>
      <c r="F89" s="883"/>
      <c r="G89" s="883"/>
      <c r="H89" s="883"/>
      <c r="I89" s="883"/>
    </row>
    <row r="90" spans="1:9" ht="87.9" customHeight="1" x14ac:dyDescent="0.35">
      <c r="A90" s="882" t="s">
        <v>147</v>
      </c>
      <c r="B90" s="882"/>
      <c r="C90" s="882"/>
      <c r="D90" s="882"/>
      <c r="E90" s="882"/>
      <c r="F90" s="882"/>
      <c r="G90" s="882"/>
      <c r="H90" s="882"/>
    </row>
  </sheetData>
  <sheetProtection algorithmName="SHA-512" hashValue="P+xTOvQQhEa9tVMAxSnceZKI06Dqzyco+tZjWTIlBtcg7IypGsIYvGclX6n/mBvDdTkb8ANVxntsMJqIzIFAQg==" saltValue="GTFEaJu0fSlrWOc4zHKm/g==" spinCount="100000" sheet="1" objects="1" scenarios="1"/>
  <mergeCells count="27">
    <mergeCell ref="H52:J53"/>
    <mergeCell ref="A5:A7"/>
    <mergeCell ref="B5:B7"/>
    <mergeCell ref="C5:C6"/>
    <mergeCell ref="H3:J4"/>
    <mergeCell ref="C3:G4"/>
    <mergeCell ref="C27:F28"/>
    <mergeCell ref="G27:H28"/>
    <mergeCell ref="A29:A31"/>
    <mergeCell ref="B29:B31"/>
    <mergeCell ref="C29:C30"/>
    <mergeCell ref="A54:A56"/>
    <mergeCell ref="B54:B56"/>
    <mergeCell ref="C54:C55"/>
    <mergeCell ref="G54:G55"/>
    <mergeCell ref="C52:G53"/>
    <mergeCell ref="A90:H90"/>
    <mergeCell ref="B85:H85"/>
    <mergeCell ref="B86:H86"/>
    <mergeCell ref="B88:H88"/>
    <mergeCell ref="B78:H78"/>
    <mergeCell ref="B79:H79"/>
    <mergeCell ref="B80:H80"/>
    <mergeCell ref="B83:H83"/>
    <mergeCell ref="B87:H87"/>
    <mergeCell ref="B84:H84"/>
    <mergeCell ref="B89:I89"/>
  </mergeCells>
  <hyperlinks>
    <hyperlink ref="B82" location="Nota" display="Ver Nota Informativa" xr:uid="{00000000-0004-0000-0E00-000000000000}"/>
    <hyperlink ref="B76" location="'LA GUAJIRA'!A66" display="Ver Nota Informativa" xr:uid="{00000000-0004-0000-0E00-000001000000}"/>
  </hyperlinks>
  <pageMargins left="0.7" right="0.7" top="0.75" bottom="0.75" header="0.3" footer="0.3"/>
  <pageSetup orientation="portrait" r:id="rId1"/>
  <ignoredErrors>
    <ignoredError sqref="F66:H66 F17:H17 J15 F15:H15 D15 C17:D17 J59:J70 F68:H72 F67:G67" formula="1"/>
    <ignoredError sqref="C12"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5"/>
  <dimension ref="A1:T83"/>
  <sheetViews>
    <sheetView tabSelected="1" zoomScale="85" zoomScaleNormal="85" workbookViewId="0">
      <selection activeCell="L14" sqref="L14"/>
    </sheetView>
  </sheetViews>
  <sheetFormatPr baseColWidth="10" defaultColWidth="45" defaultRowHeight="14.5" x14ac:dyDescent="0.35"/>
  <cols>
    <col min="1" max="1" width="7" customWidth="1"/>
    <col min="2" max="2" width="47.81640625" customWidth="1"/>
    <col min="3" max="3" width="16.90625" customWidth="1"/>
    <col min="4" max="4" width="17.453125" hidden="1" customWidth="1"/>
    <col min="5" max="5" width="15.1796875" style="693" customWidth="1"/>
    <col min="6" max="6" width="17.7265625" hidden="1" customWidth="1"/>
    <col min="7" max="8" width="14.81640625" customWidth="1"/>
    <col min="9" max="9" width="17.1796875" hidden="1" customWidth="1"/>
    <col min="10" max="10" width="17.1796875" style="693" customWidth="1"/>
    <col min="11" max="11" width="17.90625" customWidth="1"/>
    <col min="12" max="12" width="20.81640625" customWidth="1"/>
    <col min="13" max="13" width="12.81640625" hidden="1" customWidth="1"/>
  </cols>
  <sheetData>
    <row r="1" spans="1:13" x14ac:dyDescent="0.35">
      <c r="A1" s="243" t="s">
        <v>158</v>
      </c>
      <c r="B1" s="139" t="str">
        <f>+AMAZONAS!C1</f>
        <v>Vigencia: 01 de enero de 2022; 00:00 horas</v>
      </c>
      <c r="C1" s="139"/>
      <c r="D1" s="244"/>
      <c r="E1" s="244"/>
      <c r="F1" s="244"/>
      <c r="G1" s="244"/>
      <c r="H1" s="244"/>
      <c r="I1" s="244"/>
      <c r="J1" s="244"/>
      <c r="K1" s="244"/>
    </row>
    <row r="2" spans="1:13" ht="15" thickBot="1" x14ac:dyDescent="0.4">
      <c r="A2" s="165" t="s">
        <v>179</v>
      </c>
      <c r="B2" s="166"/>
      <c r="C2" s="166"/>
      <c r="D2" s="166"/>
      <c r="E2" s="166"/>
      <c r="F2" s="166"/>
      <c r="G2" s="166"/>
      <c r="H2" s="166"/>
      <c r="I2" s="245"/>
      <c r="J2" s="245"/>
      <c r="K2" s="166"/>
    </row>
    <row r="3" spans="1:13" ht="15" thickTop="1" x14ac:dyDescent="0.35">
      <c r="A3" s="195"/>
      <c r="B3" s="168" t="s">
        <v>284</v>
      </c>
      <c r="C3" s="828" t="s">
        <v>180</v>
      </c>
      <c r="D3" s="829"/>
      <c r="E3" s="829"/>
      <c r="F3" s="829"/>
      <c r="G3" s="829"/>
      <c r="H3" s="829"/>
      <c r="I3" s="864" t="s">
        <v>250</v>
      </c>
      <c r="J3" s="868"/>
      <c r="K3" s="868"/>
    </row>
    <row r="4" spans="1:13" ht="26" x14ac:dyDescent="0.35">
      <c r="A4" s="169"/>
      <c r="B4" s="272" t="s">
        <v>283</v>
      </c>
      <c r="C4" s="830"/>
      <c r="D4" s="831"/>
      <c r="E4" s="831"/>
      <c r="F4" s="831"/>
      <c r="G4" s="831"/>
      <c r="H4" s="831"/>
      <c r="I4" s="865"/>
      <c r="J4" s="870"/>
      <c r="K4" s="870"/>
    </row>
    <row r="5" spans="1:13" ht="25.5" customHeight="1" x14ac:dyDescent="0.35">
      <c r="A5" s="840" t="s">
        <v>181</v>
      </c>
      <c r="B5" s="842" t="s">
        <v>182</v>
      </c>
      <c r="C5" s="826" t="s">
        <v>241</v>
      </c>
      <c r="D5" s="171" t="s">
        <v>96</v>
      </c>
      <c r="E5" s="702" t="s">
        <v>96</v>
      </c>
      <c r="F5" s="171" t="s">
        <v>172</v>
      </c>
      <c r="G5" s="171" t="str">
        <f>+'LA GUAJIRA'!G5</f>
        <v>Biodiesel B11</v>
      </c>
      <c r="H5" s="862" t="s">
        <v>407</v>
      </c>
      <c r="I5" s="141" t="s">
        <v>96</v>
      </c>
      <c r="J5" s="701" t="s">
        <v>96</v>
      </c>
      <c r="K5" s="235" t="str">
        <f>+G5</f>
        <v>Biodiesel B11</v>
      </c>
    </row>
    <row r="6" spans="1:13" ht="20.149999999999999" customHeight="1" x14ac:dyDescent="0.35">
      <c r="A6" s="840"/>
      <c r="B6" s="842"/>
      <c r="C6" s="827"/>
      <c r="D6" s="582" t="s">
        <v>512</v>
      </c>
      <c r="E6" s="582" t="s">
        <v>522</v>
      </c>
      <c r="F6" s="189">
        <v>0.02</v>
      </c>
      <c r="G6" s="172">
        <f>+'LA GUAJIRA'!G6</f>
        <v>0.11</v>
      </c>
      <c r="H6" s="863"/>
      <c r="I6" s="558" t="str">
        <f>+D6</f>
        <v>Oxigena 5%</v>
      </c>
      <c r="J6" s="558" t="str">
        <f>+E6</f>
        <v>Oxigena 6%</v>
      </c>
      <c r="K6" s="172">
        <f>+G6</f>
        <v>0.11</v>
      </c>
    </row>
    <row r="7" spans="1:13" x14ac:dyDescent="0.35">
      <c r="A7" s="841"/>
      <c r="B7" s="843"/>
      <c r="C7" s="141" t="s">
        <v>183</v>
      </c>
      <c r="D7" s="171" t="s">
        <v>183</v>
      </c>
      <c r="E7" s="702" t="s">
        <v>183</v>
      </c>
      <c r="F7" s="171" t="s">
        <v>183</v>
      </c>
      <c r="G7" s="171" t="s">
        <v>183</v>
      </c>
      <c r="H7" s="171" t="s">
        <v>183</v>
      </c>
      <c r="I7" s="141" t="s">
        <v>183</v>
      </c>
      <c r="J7" s="701" t="s">
        <v>183</v>
      </c>
      <c r="K7" s="235" t="s">
        <v>183</v>
      </c>
    </row>
    <row r="8" spans="1:13" x14ac:dyDescent="0.35">
      <c r="A8" s="143" t="s">
        <v>184</v>
      </c>
      <c r="B8" s="149" t="s">
        <v>185</v>
      </c>
      <c r="C8" s="264">
        <f>+'Calculo IP ZDF'!B36</f>
        <v>5094.5950799999991</v>
      </c>
      <c r="D8" s="264">
        <f>+'Calculo IP ZDF'!H36</f>
        <v>5344.9278259999992</v>
      </c>
      <c r="E8" s="732">
        <f>+'Calculo IP ZDF'!I36</f>
        <v>5394.994375199999</v>
      </c>
      <c r="F8" s="732">
        <f>+'Calculo IP ZDF'!F36</f>
        <v>4523.9942000000001</v>
      </c>
      <c r="G8" s="733">
        <f>+'Calculo IP ZDF'!J36</f>
        <v>5946.4294432200004</v>
      </c>
      <c r="H8" s="173">
        <f>+'Calculo IP ZDF'!C36</f>
        <v>4207.900498</v>
      </c>
      <c r="I8" s="247">
        <f>+'GAS CTE'!E9</f>
        <v>5358.517499999999</v>
      </c>
      <c r="J8" s="247">
        <f>+'GAS CTE'!F9</f>
        <v>5408.45</v>
      </c>
      <c r="K8" s="201">
        <f>+BIODIESEL!I9</f>
        <v>6189.2880000000005</v>
      </c>
    </row>
    <row r="9" spans="1:13" x14ac:dyDescent="0.35">
      <c r="A9" s="143" t="s">
        <v>186</v>
      </c>
      <c r="B9" s="149" t="s">
        <v>187</v>
      </c>
      <c r="C9" s="199" t="str">
        <f>+F9</f>
        <v>------------------</v>
      </c>
      <c r="D9" s="199" t="s">
        <v>188</v>
      </c>
      <c r="E9" s="734" t="s">
        <v>188</v>
      </c>
      <c r="F9" s="734" t="s">
        <v>188</v>
      </c>
      <c r="G9" s="734" t="s">
        <v>188</v>
      </c>
      <c r="H9" s="174" t="s">
        <v>188</v>
      </c>
      <c r="I9" s="247">
        <f>+'GAS CTE'!E10</f>
        <v>527.2974999999999</v>
      </c>
      <c r="J9" s="247">
        <f>+'GAS CTE'!F10</f>
        <v>521.74699999999996</v>
      </c>
      <c r="K9" s="198">
        <f>+BIODIESEL!I10</f>
        <v>472.83</v>
      </c>
    </row>
    <row r="10" spans="1:13" x14ac:dyDescent="0.35">
      <c r="A10" s="143"/>
      <c r="B10" s="149" t="s">
        <v>132</v>
      </c>
      <c r="C10" s="199" t="str">
        <f>+F10</f>
        <v>------------------</v>
      </c>
      <c r="D10" s="199" t="s">
        <v>188</v>
      </c>
      <c r="E10" s="734" t="s">
        <v>188</v>
      </c>
      <c r="F10" s="734" t="s">
        <v>188</v>
      </c>
      <c r="G10" s="734" t="s">
        <v>188</v>
      </c>
      <c r="H10" s="174" t="s">
        <v>188</v>
      </c>
      <c r="I10" s="735" t="s">
        <v>133</v>
      </c>
      <c r="J10" s="735" t="s">
        <v>133</v>
      </c>
      <c r="K10" s="721" t="s">
        <v>133</v>
      </c>
    </row>
    <row r="11" spans="1:13" x14ac:dyDescent="0.35">
      <c r="A11" s="143"/>
      <c r="B11" s="149" t="s">
        <v>134</v>
      </c>
      <c r="C11" s="250">
        <f>+'GAS CTE'!C12</f>
        <v>159</v>
      </c>
      <c r="D11" s="250">
        <f>+'GAS CTE'!E12</f>
        <v>151.04999999999998</v>
      </c>
      <c r="E11" s="736">
        <f>+'GAS CTE'!F12</f>
        <v>149.45999999999998</v>
      </c>
      <c r="F11" s="736">
        <f>+BIODIESEL!E12</f>
        <v>175.42</v>
      </c>
      <c r="G11" s="736">
        <f>+BIODIESEL!I12</f>
        <v>159.31</v>
      </c>
      <c r="H11" s="173">
        <f>+BIODIESEL!C12</f>
        <v>179</v>
      </c>
      <c r="I11" s="247">
        <f>+D11</f>
        <v>151.04999999999998</v>
      </c>
      <c r="J11" s="201">
        <f>+'GAS CTE'!F12</f>
        <v>149.45999999999998</v>
      </c>
      <c r="K11" s="198">
        <f>+G11</f>
        <v>159.31</v>
      </c>
    </row>
    <row r="12" spans="1:13" ht="22.25" customHeight="1" x14ac:dyDescent="0.35">
      <c r="A12" s="143" t="s">
        <v>189</v>
      </c>
      <c r="B12" s="149" t="s">
        <v>270</v>
      </c>
      <c r="C12" s="267" t="s">
        <v>217</v>
      </c>
      <c r="D12" s="199" t="str">
        <f t="shared" ref="D12:E15" si="0">+C12</f>
        <v>(2)</v>
      </c>
      <c r="E12" s="734" t="str">
        <f t="shared" si="0"/>
        <v>(2)</v>
      </c>
      <c r="F12" s="734" t="str">
        <f>+C12</f>
        <v>(2)</v>
      </c>
      <c r="G12" s="734" t="str">
        <f>+C12</f>
        <v>(2)</v>
      </c>
      <c r="H12" s="173" t="str">
        <f>+C12</f>
        <v>(2)</v>
      </c>
      <c r="I12" s="247" t="str">
        <f>+H12</f>
        <v>(2)</v>
      </c>
      <c r="J12" s="201" t="str">
        <f>+I12</f>
        <v>(2)</v>
      </c>
      <c r="K12" s="198" t="str">
        <f>+D12</f>
        <v>(2)</v>
      </c>
    </row>
    <row r="13" spans="1:13" x14ac:dyDescent="0.35">
      <c r="A13" s="143" t="s">
        <v>191</v>
      </c>
      <c r="B13" s="149" t="s">
        <v>192</v>
      </c>
      <c r="C13" s="250">
        <f>+RUBROS!Z18</f>
        <v>15.150584991994178</v>
      </c>
      <c r="D13" s="173">
        <f t="shared" si="0"/>
        <v>15.150584991994178</v>
      </c>
      <c r="E13" s="173">
        <f t="shared" si="0"/>
        <v>15.150584991994178</v>
      </c>
      <c r="F13" s="173">
        <f>+C13</f>
        <v>15.150584991994178</v>
      </c>
      <c r="G13" s="173">
        <f>+C13</f>
        <v>15.150584991994178</v>
      </c>
      <c r="H13" s="173">
        <f>+C13</f>
        <v>15.150584991994178</v>
      </c>
      <c r="I13" s="247">
        <f>+RUBROS!AA18</f>
        <v>22.249601678692599</v>
      </c>
      <c r="J13" s="201">
        <f>+I13</f>
        <v>22.249601678692599</v>
      </c>
      <c r="K13" s="173">
        <f>+I13</f>
        <v>22.249601678692599</v>
      </c>
      <c r="M13" s="446" t="s">
        <v>427</v>
      </c>
    </row>
    <row r="14" spans="1:13" x14ac:dyDescent="0.35">
      <c r="A14" s="143" t="s">
        <v>193</v>
      </c>
      <c r="B14" s="297" t="s">
        <v>194</v>
      </c>
      <c r="C14" s="336">
        <f>+RUBROS!Z54</f>
        <v>106.59272562900938</v>
      </c>
      <c r="D14" s="173">
        <f t="shared" si="0"/>
        <v>106.59272562900938</v>
      </c>
      <c r="E14" s="173">
        <f t="shared" si="0"/>
        <v>106.59272562900938</v>
      </c>
      <c r="F14" s="173">
        <f>+D14</f>
        <v>106.59272562900938</v>
      </c>
      <c r="G14" s="173">
        <f>+F14</f>
        <v>106.59272562900938</v>
      </c>
      <c r="H14" s="173">
        <f>+G14</f>
        <v>106.59272562900938</v>
      </c>
      <c r="I14" s="247">
        <f>+C14</f>
        <v>106.59272562900938</v>
      </c>
      <c r="J14" s="201">
        <f>+I14</f>
        <v>106.59272562900938</v>
      </c>
      <c r="K14" s="173">
        <f>+C14</f>
        <v>106.59272562900938</v>
      </c>
      <c r="M14" s="446" t="s">
        <v>427</v>
      </c>
    </row>
    <row r="15" spans="1:13" x14ac:dyDescent="0.35">
      <c r="A15" s="143" t="s">
        <v>195</v>
      </c>
      <c r="B15" s="149" t="s">
        <v>285</v>
      </c>
      <c r="C15" s="250">
        <f>+RUBROS!AU40</f>
        <v>13.326421256197724</v>
      </c>
      <c r="D15" s="173">
        <f t="shared" si="0"/>
        <v>13.326421256197724</v>
      </c>
      <c r="E15" s="173">
        <f t="shared" si="0"/>
        <v>13.326421256197724</v>
      </c>
      <c r="F15" s="173">
        <f>+C15</f>
        <v>13.326421256197724</v>
      </c>
      <c r="G15" s="173">
        <f>+C15</f>
        <v>13.326421256197724</v>
      </c>
      <c r="H15" s="173">
        <f>+C15</f>
        <v>13.326421256197724</v>
      </c>
      <c r="I15" s="247">
        <f>+C15</f>
        <v>13.326421256197724</v>
      </c>
      <c r="J15" s="201">
        <f>+I15</f>
        <v>13.326421256197724</v>
      </c>
      <c r="K15" s="173">
        <f>+I15</f>
        <v>13.326421256197724</v>
      </c>
      <c r="M15" s="446" t="s">
        <v>427</v>
      </c>
    </row>
    <row r="16" spans="1:13" hidden="1" x14ac:dyDescent="0.35">
      <c r="A16" s="143"/>
      <c r="B16" s="149" t="s">
        <v>197</v>
      </c>
      <c r="C16" s="250"/>
      <c r="D16" s="173"/>
      <c r="E16" s="173"/>
      <c r="F16" s="173"/>
      <c r="G16" s="173"/>
      <c r="H16" s="173"/>
      <c r="I16" s="247"/>
      <c r="J16" s="201"/>
      <c r="K16" s="173"/>
    </row>
    <row r="17" spans="1:11" x14ac:dyDescent="0.35">
      <c r="A17" s="150" t="s">
        <v>198</v>
      </c>
      <c r="B17" s="180" t="s">
        <v>199</v>
      </c>
      <c r="C17" s="251">
        <f>SUM(C8:C16)</f>
        <v>5388.6648118772009</v>
      </c>
      <c r="D17" s="251">
        <f t="shared" ref="D17:K17" si="1">SUM(D8:D16)</f>
        <v>5631.0475578772011</v>
      </c>
      <c r="E17" s="251">
        <f t="shared" si="1"/>
        <v>5679.5241070772008</v>
      </c>
      <c r="F17" s="251">
        <f t="shared" si="1"/>
        <v>4834.4839318772019</v>
      </c>
      <c r="G17" s="251">
        <f t="shared" si="1"/>
        <v>6240.8091750972026</v>
      </c>
      <c r="H17" s="251">
        <f t="shared" si="1"/>
        <v>4521.9702298772017</v>
      </c>
      <c r="I17" s="253">
        <f t="shared" si="1"/>
        <v>6179.0337485638993</v>
      </c>
      <c r="J17" s="253">
        <f t="shared" ref="J17" si="2">SUM(J8:J16)</f>
        <v>6221.8257485639006</v>
      </c>
      <c r="K17" s="251">
        <f t="shared" si="1"/>
        <v>6963.5967485639012</v>
      </c>
    </row>
    <row r="18" spans="1:11" x14ac:dyDescent="0.35">
      <c r="A18" s="143" t="s">
        <v>200</v>
      </c>
      <c r="B18" s="149" t="s">
        <v>265</v>
      </c>
      <c r="C18" s="268" t="s">
        <v>232</v>
      </c>
      <c r="D18" s="173" t="str">
        <f>+C18</f>
        <v>***</v>
      </c>
      <c r="E18" s="173" t="str">
        <f>+D18</f>
        <v>***</v>
      </c>
      <c r="F18" s="173" t="str">
        <f>+C18</f>
        <v>***</v>
      </c>
      <c r="G18" s="173" t="str">
        <f>+F18</f>
        <v>***</v>
      </c>
      <c r="H18" s="173" t="str">
        <f>+F18</f>
        <v>***</v>
      </c>
      <c r="I18" s="247" t="str">
        <f>+H18</f>
        <v>***</v>
      </c>
      <c r="J18" s="247" t="str">
        <f>+I18</f>
        <v>***</v>
      </c>
      <c r="K18" s="173" t="str">
        <f>+I18</f>
        <v>***</v>
      </c>
    </row>
    <row r="19" spans="1:11" x14ac:dyDescent="0.35">
      <c r="A19" s="143" t="s">
        <v>202</v>
      </c>
      <c r="B19" s="149" t="s">
        <v>203</v>
      </c>
      <c r="C19" s="267" t="s">
        <v>230</v>
      </c>
      <c r="D19" s="173" t="str">
        <f>+C19</f>
        <v>**</v>
      </c>
      <c r="E19" s="173" t="str">
        <f>+D19</f>
        <v>**</v>
      </c>
      <c r="F19" s="173" t="str">
        <f>+C19</f>
        <v>**</v>
      </c>
      <c r="G19" s="173" t="str">
        <f>+C19</f>
        <v>**</v>
      </c>
      <c r="H19" s="173" t="str">
        <f>+C19</f>
        <v>**</v>
      </c>
      <c r="I19" s="247" t="str">
        <f>+H19</f>
        <v>**</v>
      </c>
      <c r="J19" s="247" t="str">
        <f>+I19</f>
        <v>**</v>
      </c>
      <c r="K19" s="173" t="str">
        <f>+I19</f>
        <v>**</v>
      </c>
    </row>
    <row r="20" spans="1:11" x14ac:dyDescent="0.35">
      <c r="A20" s="143" t="s">
        <v>204</v>
      </c>
      <c r="B20" s="218" t="s">
        <v>139</v>
      </c>
      <c r="C20" s="255" t="str">
        <f>+F20</f>
        <v>****</v>
      </c>
      <c r="D20" s="173" t="str">
        <f t="shared" ref="D20:E22" si="3">+F20</f>
        <v>****</v>
      </c>
      <c r="E20" s="173" t="str">
        <f t="shared" si="3"/>
        <v>****</v>
      </c>
      <c r="F20" s="179" t="str">
        <f>+A37</f>
        <v>****</v>
      </c>
      <c r="G20" s="179" t="str">
        <f>+F20</f>
        <v>****</v>
      </c>
      <c r="H20" s="179" t="str">
        <f>+A37</f>
        <v>****</v>
      </c>
      <c r="I20" s="270" t="str">
        <f>C20</f>
        <v>****</v>
      </c>
      <c r="J20" s="270" t="str">
        <f>D20</f>
        <v>****</v>
      </c>
      <c r="K20" s="173" t="str">
        <f>+I20</f>
        <v>****</v>
      </c>
    </row>
    <row r="21" spans="1:11" x14ac:dyDescent="0.35">
      <c r="A21" s="150" t="s">
        <v>206</v>
      </c>
      <c r="B21" s="180" t="s">
        <v>207</v>
      </c>
      <c r="C21" s="256">
        <f>SUM(C17:C20)</f>
        <v>5388.6648118772009</v>
      </c>
      <c r="D21" s="181">
        <f t="shared" ref="D21:K21" si="4">SUM(D17:D20)</f>
        <v>5631.0475578772011</v>
      </c>
      <c r="E21" s="181">
        <f t="shared" ref="E21" si="5">SUM(E17:E20)</f>
        <v>5679.5241070772008</v>
      </c>
      <c r="F21" s="181">
        <f t="shared" si="4"/>
        <v>4834.4839318772019</v>
      </c>
      <c r="G21" s="181">
        <f t="shared" si="4"/>
        <v>6240.8091750972026</v>
      </c>
      <c r="H21" s="181">
        <f t="shared" si="4"/>
        <v>4521.9702298772017</v>
      </c>
      <c r="I21" s="253">
        <f t="shared" si="4"/>
        <v>6179.0337485638993</v>
      </c>
      <c r="J21" s="253">
        <f t="shared" ref="J21" si="6">SUM(J17:J20)</f>
        <v>6221.8257485639006</v>
      </c>
      <c r="K21" s="181">
        <f t="shared" si="4"/>
        <v>6963.5967485639012</v>
      </c>
    </row>
    <row r="22" spans="1:11" x14ac:dyDescent="0.35">
      <c r="A22" s="143" t="s">
        <v>208</v>
      </c>
      <c r="B22" s="149" t="s">
        <v>160</v>
      </c>
      <c r="C22" s="250" t="str">
        <f>+F22</f>
        <v>***</v>
      </c>
      <c r="D22" s="173" t="str">
        <f t="shared" si="3"/>
        <v>***</v>
      </c>
      <c r="E22" s="173" t="str">
        <f t="shared" si="3"/>
        <v>***</v>
      </c>
      <c r="F22" s="173" t="str">
        <f t="shared" ref="F22" si="7">+F18</f>
        <v>***</v>
      </c>
      <c r="G22" s="173" t="str">
        <f>+F22</f>
        <v>***</v>
      </c>
      <c r="H22" s="173" t="str">
        <f>+H18</f>
        <v>***</v>
      </c>
      <c r="I22" s="247" t="str">
        <f>+H22</f>
        <v>***</v>
      </c>
      <c r="J22" s="247" t="str">
        <f>+I22</f>
        <v>***</v>
      </c>
      <c r="K22" s="173" t="str">
        <f>+I22</f>
        <v>***</v>
      </c>
    </row>
    <row r="23" spans="1:11" x14ac:dyDescent="0.35">
      <c r="A23" s="143" t="s">
        <v>209</v>
      </c>
      <c r="B23" s="144" t="s">
        <v>210</v>
      </c>
      <c r="C23" s="257" t="s">
        <v>236</v>
      </c>
      <c r="D23" s="173" t="str">
        <f>+C23</f>
        <v>*****</v>
      </c>
      <c r="E23" s="173" t="str">
        <f>+D23</f>
        <v>*****</v>
      </c>
      <c r="F23" s="173" t="s">
        <v>211</v>
      </c>
      <c r="G23" s="173" t="str">
        <f>+F23</f>
        <v>N.A</v>
      </c>
      <c r="H23" s="173" t="s">
        <v>211</v>
      </c>
      <c r="I23" s="247" t="str">
        <f>+D23</f>
        <v>*****</v>
      </c>
      <c r="J23" s="247" t="str">
        <f>+E23</f>
        <v>*****</v>
      </c>
      <c r="K23" s="173" t="s">
        <v>254</v>
      </c>
    </row>
    <row r="24" spans="1:11" x14ac:dyDescent="0.35">
      <c r="A24" s="143" t="s">
        <v>212</v>
      </c>
      <c r="B24" s="144" t="s">
        <v>213</v>
      </c>
      <c r="C24" s="257" t="s">
        <v>237</v>
      </c>
      <c r="D24" s="173" t="str">
        <f>+C24</f>
        <v>******</v>
      </c>
      <c r="E24" s="173" t="str">
        <f>+D24</f>
        <v>******</v>
      </c>
      <c r="F24" s="173" t="str">
        <f>+C24</f>
        <v>******</v>
      </c>
      <c r="G24" s="173" t="str">
        <f>+C24</f>
        <v>******</v>
      </c>
      <c r="H24" s="173" t="str">
        <f>+C24</f>
        <v>******</v>
      </c>
      <c r="I24" s="247" t="str">
        <f>+C24</f>
        <v>******</v>
      </c>
      <c r="J24" s="247" t="str">
        <f>+D24</f>
        <v>******</v>
      </c>
      <c r="K24" s="173" t="str">
        <f>+C24</f>
        <v>******</v>
      </c>
    </row>
    <row r="25" spans="1:11" ht="15" thickBot="1" x14ac:dyDescent="0.4">
      <c r="A25" s="154" t="s">
        <v>214</v>
      </c>
      <c r="B25" s="155" t="s">
        <v>215</v>
      </c>
      <c r="C25" s="258"/>
      <c r="D25" s="183"/>
      <c r="E25" s="183"/>
      <c r="F25" s="183"/>
      <c r="G25" s="183"/>
      <c r="H25" s="183"/>
      <c r="I25" s="259"/>
      <c r="J25" s="211"/>
      <c r="K25" s="183"/>
    </row>
    <row r="26" spans="1:11" ht="15" thickTop="1" x14ac:dyDescent="0.35">
      <c r="A26" s="159"/>
      <c r="B26" s="160"/>
      <c r="C26" s="160"/>
      <c r="D26" s="161"/>
      <c r="E26" s="161"/>
      <c r="F26" s="161"/>
      <c r="G26" s="161"/>
      <c r="H26" s="161"/>
      <c r="I26" s="161"/>
      <c r="J26" s="161"/>
      <c r="K26" s="161"/>
    </row>
    <row r="27" spans="1:11" x14ac:dyDescent="0.35">
      <c r="A27" s="159"/>
      <c r="B27" s="266" t="s">
        <v>228</v>
      </c>
      <c r="C27" s="160"/>
      <c r="D27" s="161"/>
      <c r="E27" s="161"/>
      <c r="F27" s="161"/>
      <c r="G27" s="161"/>
      <c r="H27" s="161"/>
      <c r="I27" s="161"/>
      <c r="J27" s="161"/>
      <c r="K27" s="161"/>
    </row>
    <row r="28" spans="1:11" x14ac:dyDescent="0.35">
      <c r="A28" s="159"/>
      <c r="B28" s="160"/>
      <c r="C28" s="160"/>
      <c r="D28" s="161"/>
      <c r="E28" s="161"/>
      <c r="F28" s="161"/>
      <c r="G28" s="161"/>
      <c r="H28" s="161"/>
      <c r="I28" s="161"/>
      <c r="J28" s="161"/>
      <c r="K28" s="161"/>
    </row>
    <row r="29" spans="1:11" x14ac:dyDescent="0.35">
      <c r="A29" s="162" t="s">
        <v>190</v>
      </c>
      <c r="B29" s="839" t="str">
        <f>+'LA GUAJIRA'!B78:H78</f>
        <v>De acuerdo con lo establecido en la Resolución MME 91349 de 2014</v>
      </c>
      <c r="C29" s="839"/>
      <c r="D29" s="839"/>
      <c r="E29" s="839"/>
      <c r="F29" s="839"/>
      <c r="G29" s="839"/>
      <c r="H29" s="839"/>
      <c r="I29" s="839"/>
      <c r="J29" s="697"/>
      <c r="K29" s="161"/>
    </row>
    <row r="30" spans="1:11" x14ac:dyDescent="0.35">
      <c r="A30" s="162" t="s">
        <v>217</v>
      </c>
      <c r="B30" s="824" t="s">
        <v>271</v>
      </c>
      <c r="C30" s="824"/>
      <c r="D30" s="824"/>
      <c r="E30" s="824"/>
      <c r="F30" s="824"/>
      <c r="G30" s="824"/>
      <c r="H30" s="824"/>
      <c r="I30" s="824"/>
      <c r="J30" s="695"/>
      <c r="K30" s="161"/>
    </row>
    <row r="31" spans="1:11" ht="72.650000000000006" customHeight="1" x14ac:dyDescent="0.35">
      <c r="A31" s="162" t="s">
        <v>133</v>
      </c>
      <c r="B31" s="839" t="s">
        <v>335</v>
      </c>
      <c r="C31" s="839"/>
      <c r="D31" s="839"/>
      <c r="E31" s="839"/>
      <c r="F31" s="839"/>
      <c r="G31" s="839"/>
      <c r="H31" s="839"/>
      <c r="I31" s="839"/>
      <c r="J31" s="697"/>
      <c r="K31" s="161"/>
    </row>
    <row r="32" spans="1:11" x14ac:dyDescent="0.35">
      <c r="A32" s="162"/>
      <c r="B32" s="236"/>
      <c r="C32" s="236"/>
      <c r="D32" s="236"/>
      <c r="E32" s="697"/>
      <c r="F32" s="236"/>
      <c r="G32" s="236"/>
      <c r="H32" s="236"/>
      <c r="I32" s="236"/>
      <c r="J32" s="697"/>
      <c r="K32" s="161"/>
    </row>
    <row r="33" spans="1:20" x14ac:dyDescent="0.35">
      <c r="A33" s="162"/>
      <c r="B33" s="184" t="s">
        <v>158</v>
      </c>
      <c r="C33" s="184"/>
      <c r="D33" s="215"/>
      <c r="E33" s="215"/>
      <c r="F33" s="215"/>
      <c r="G33" s="215"/>
      <c r="H33" s="215"/>
      <c r="I33" s="215"/>
      <c r="J33" s="215"/>
      <c r="K33" s="215"/>
    </row>
    <row r="34" spans="1:20" x14ac:dyDescent="0.35">
      <c r="A34" s="185" t="s">
        <v>102</v>
      </c>
      <c r="B34" s="825" t="s">
        <v>229</v>
      </c>
      <c r="C34" s="825"/>
      <c r="D34" s="825"/>
      <c r="E34" s="825"/>
      <c r="F34" s="825"/>
      <c r="G34" s="825"/>
      <c r="H34" s="825"/>
      <c r="I34" s="825"/>
      <c r="J34" s="694"/>
      <c r="K34" s="261"/>
    </row>
    <row r="35" spans="1:20" ht="23.4" customHeight="1" x14ac:dyDescent="0.35">
      <c r="A35" s="185" t="s">
        <v>230</v>
      </c>
      <c r="B35" s="825" t="s">
        <v>262</v>
      </c>
      <c r="C35" s="825"/>
      <c r="D35" s="825"/>
      <c r="E35" s="825"/>
      <c r="F35" s="825"/>
      <c r="G35" s="825"/>
      <c r="H35" s="825"/>
      <c r="I35" s="825"/>
      <c r="J35" s="825"/>
      <c r="K35" s="825"/>
    </row>
    <row r="36" spans="1:20" ht="22.65" customHeight="1" x14ac:dyDescent="0.35">
      <c r="A36" s="185" t="s">
        <v>232</v>
      </c>
      <c r="B36" s="825" t="s">
        <v>272</v>
      </c>
      <c r="C36" s="825"/>
      <c r="D36" s="825"/>
      <c r="E36" s="825"/>
      <c r="F36" s="825"/>
      <c r="G36" s="825"/>
      <c r="H36" s="825"/>
      <c r="I36" s="825"/>
      <c r="J36" s="825"/>
      <c r="K36" s="825"/>
    </row>
    <row r="37" spans="1:20" x14ac:dyDescent="0.35">
      <c r="A37" s="185" t="s">
        <v>234</v>
      </c>
      <c r="B37" s="825" t="s">
        <v>473</v>
      </c>
      <c r="C37" s="825"/>
      <c r="D37" s="825"/>
      <c r="E37" s="825"/>
      <c r="F37" s="825"/>
      <c r="G37" s="825"/>
      <c r="H37" s="825"/>
      <c r="I37" s="825"/>
      <c r="J37" s="825"/>
      <c r="K37" s="825"/>
    </row>
    <row r="38" spans="1:20" ht="23.4" customHeight="1" x14ac:dyDescent="0.35">
      <c r="A38" s="185" t="s">
        <v>236</v>
      </c>
      <c r="B38" s="825" t="s">
        <v>238</v>
      </c>
      <c r="C38" s="825"/>
      <c r="D38" s="825"/>
      <c r="E38" s="825"/>
      <c r="F38" s="825"/>
      <c r="G38" s="825"/>
      <c r="H38" s="825"/>
      <c r="I38" s="234"/>
      <c r="J38" s="694"/>
      <c r="K38" s="262"/>
    </row>
    <row r="39" spans="1:20" x14ac:dyDescent="0.35">
      <c r="A39" s="185" t="s">
        <v>237</v>
      </c>
      <c r="B39" s="825" t="s">
        <v>268</v>
      </c>
      <c r="C39" s="825"/>
      <c r="D39" s="825"/>
      <c r="E39" s="825"/>
      <c r="F39" s="825"/>
      <c r="G39" s="825"/>
      <c r="H39" s="825"/>
      <c r="I39" s="825"/>
      <c r="J39" s="825"/>
      <c r="K39" s="825"/>
    </row>
    <row r="40" spans="1:20" x14ac:dyDescent="0.35">
      <c r="A40" s="243"/>
      <c r="B40" s="244"/>
      <c r="C40" s="244"/>
      <c r="D40" s="244"/>
      <c r="E40" s="244"/>
      <c r="F40" s="244"/>
      <c r="G40" s="244"/>
      <c r="H40" s="244"/>
      <c r="I40" s="244"/>
      <c r="J40" s="244"/>
      <c r="K40" s="244"/>
    </row>
    <row r="41" spans="1:20" ht="97.5" customHeight="1" x14ac:dyDescent="0.35">
      <c r="A41" s="845" t="s">
        <v>147</v>
      </c>
      <c r="B41" s="845"/>
      <c r="C41" s="845"/>
      <c r="D41" s="845"/>
      <c r="E41" s="845"/>
      <c r="F41" s="845"/>
      <c r="G41" s="845"/>
      <c r="H41" s="845"/>
      <c r="I41" s="845"/>
      <c r="J41" s="696"/>
    </row>
    <row r="42" spans="1:20" x14ac:dyDescent="0.35">
      <c r="A42" s="276"/>
      <c r="B42" s="276"/>
      <c r="C42" s="276"/>
      <c r="D42" s="276"/>
      <c r="E42" s="696"/>
      <c r="F42" s="276"/>
      <c r="G42" s="276"/>
      <c r="H42" s="276"/>
      <c r="I42" s="276"/>
      <c r="J42" s="696"/>
    </row>
    <row r="43" spans="1:20" hidden="1" x14ac:dyDescent="0.35">
      <c r="B43" t="str">
        <f>+AMAZONAS!C1</f>
        <v>Vigencia: 01 de enero de 2022; 00:00 horas</v>
      </c>
    </row>
    <row r="44" spans="1:20" hidden="1" x14ac:dyDescent="0.35">
      <c r="A44" s="892" t="s">
        <v>179</v>
      </c>
      <c r="B44" s="892"/>
      <c r="C44" s="893"/>
      <c r="D44" s="893"/>
      <c r="E44" s="893"/>
      <c r="F44" s="893"/>
      <c r="G44" s="893"/>
      <c r="H44" s="893"/>
      <c r="I44" s="893"/>
      <c r="J44" s="893"/>
      <c r="K44" s="893"/>
      <c r="L44" s="893"/>
      <c r="M44" s="893"/>
      <c r="N44" s="893"/>
      <c r="O44" s="893"/>
      <c r="P44" s="237"/>
      <c r="Q44" s="237"/>
      <c r="R44" s="237"/>
      <c r="S44" s="289"/>
      <c r="T44" s="289"/>
    </row>
    <row r="45" spans="1:20" ht="15" hidden="1" thickTop="1" x14ac:dyDescent="0.35">
      <c r="A45" s="290"/>
      <c r="B45" s="890" t="s">
        <v>284</v>
      </c>
      <c r="C45" s="847" t="s">
        <v>180</v>
      </c>
      <c r="D45" s="847"/>
      <c r="E45" s="698"/>
      <c r="F45" s="880" t="s">
        <v>250</v>
      </c>
      <c r="G45" s="853"/>
    </row>
    <row r="46" spans="1:20" hidden="1" x14ac:dyDescent="0.35">
      <c r="A46" s="140"/>
      <c r="B46" s="891"/>
      <c r="C46" s="887"/>
      <c r="D46" s="887"/>
      <c r="E46" s="700"/>
      <c r="F46" s="888"/>
      <c r="G46" s="889"/>
    </row>
    <row r="47" spans="1:20" ht="25.5" hidden="1" customHeight="1" x14ac:dyDescent="0.35">
      <c r="A47" s="840" t="s">
        <v>181</v>
      </c>
      <c r="B47" s="884" t="s">
        <v>182</v>
      </c>
      <c r="C47" s="291" t="s">
        <v>96</v>
      </c>
      <c r="D47" s="292" t="s">
        <v>286</v>
      </c>
      <c r="E47" s="718"/>
      <c r="F47" s="291" t="s">
        <v>96</v>
      </c>
      <c r="G47" s="292" t="s">
        <v>286</v>
      </c>
    </row>
    <row r="48" spans="1:20" hidden="1" x14ac:dyDescent="0.35">
      <c r="A48" s="840"/>
      <c r="B48" s="884"/>
      <c r="C48" s="293" t="s">
        <v>287</v>
      </c>
      <c r="D48" s="294" t="s">
        <v>287</v>
      </c>
      <c r="E48" s="719"/>
      <c r="F48" s="293" t="s">
        <v>287</v>
      </c>
      <c r="G48" s="294" t="s">
        <v>287</v>
      </c>
    </row>
    <row r="49" spans="1:7" hidden="1" x14ac:dyDescent="0.35">
      <c r="A49" s="841"/>
      <c r="B49" s="885"/>
      <c r="C49" s="295" t="s">
        <v>183</v>
      </c>
      <c r="D49" s="296" t="s">
        <v>183</v>
      </c>
      <c r="E49" s="720"/>
      <c r="F49" s="295" t="s">
        <v>183</v>
      </c>
      <c r="G49" s="296" t="s">
        <v>183</v>
      </c>
    </row>
    <row r="50" spans="1:7" hidden="1" x14ac:dyDescent="0.35">
      <c r="A50" s="143" t="s">
        <v>184</v>
      </c>
      <c r="B50" s="297" t="s">
        <v>185</v>
      </c>
      <c r="C50" s="145" t="e">
        <f>+'Calculo IP ZDF'!#REF!</f>
        <v>#REF!</v>
      </c>
      <c r="D50" s="145" t="e">
        <f>+'Calculo IP ZDF'!#REF!</f>
        <v>#REF!</v>
      </c>
      <c r="E50" s="145"/>
      <c r="F50" s="182" t="e">
        <f>+'Calculo IP ZDF'!#REF!</f>
        <v>#REF!</v>
      </c>
      <c r="G50" s="146" t="e">
        <f>+'Calculo IP ZDF'!#REF!</f>
        <v>#REF!</v>
      </c>
    </row>
    <row r="51" spans="1:7" hidden="1" x14ac:dyDescent="0.35">
      <c r="A51" s="143" t="s">
        <v>186</v>
      </c>
      <c r="B51" s="297" t="s">
        <v>187</v>
      </c>
      <c r="C51" s="153" t="s">
        <v>188</v>
      </c>
      <c r="D51" s="148" t="s">
        <v>188</v>
      </c>
      <c r="E51" s="198"/>
      <c r="F51" s="182">
        <v>526.26030379999997</v>
      </c>
      <c r="G51" s="146">
        <v>503.70629078000002</v>
      </c>
    </row>
    <row r="52" spans="1:7" hidden="1" x14ac:dyDescent="0.35">
      <c r="A52" s="143"/>
      <c r="B52" s="297" t="s">
        <v>132</v>
      </c>
      <c r="C52" s="153" t="s">
        <v>188</v>
      </c>
      <c r="D52" s="148" t="s">
        <v>188</v>
      </c>
      <c r="E52" s="198"/>
      <c r="F52" s="298" t="s">
        <v>217</v>
      </c>
      <c r="G52" s="148" t="s">
        <v>217</v>
      </c>
    </row>
    <row r="53" spans="1:7" hidden="1" x14ac:dyDescent="0.35">
      <c r="A53" s="143"/>
      <c r="B53" s="297" t="s">
        <v>134</v>
      </c>
      <c r="C53" s="153">
        <v>148</v>
      </c>
      <c r="D53" s="148">
        <v>166</v>
      </c>
      <c r="E53" s="198"/>
      <c r="F53" s="209">
        <v>148</v>
      </c>
      <c r="G53" s="148">
        <v>166</v>
      </c>
    </row>
    <row r="54" spans="1:7" hidden="1" x14ac:dyDescent="0.35">
      <c r="A54" s="143" t="s">
        <v>191</v>
      </c>
      <c r="B54" s="297" t="s">
        <v>192</v>
      </c>
      <c r="C54" s="153" t="s">
        <v>188</v>
      </c>
      <c r="D54" s="148" t="s">
        <v>188</v>
      </c>
      <c r="E54" s="198"/>
      <c r="F54" s="153" t="s">
        <v>188</v>
      </c>
      <c r="G54" s="148" t="s">
        <v>188</v>
      </c>
    </row>
    <row r="55" spans="1:7" hidden="1" x14ac:dyDescent="0.35">
      <c r="A55" s="143" t="s">
        <v>193</v>
      </c>
      <c r="B55" s="297" t="s">
        <v>194</v>
      </c>
      <c r="C55" s="153" t="s">
        <v>188</v>
      </c>
      <c r="D55" s="148" t="s">
        <v>188</v>
      </c>
      <c r="E55" s="198"/>
      <c r="F55" s="153" t="s">
        <v>188</v>
      </c>
      <c r="G55" s="148" t="s">
        <v>188</v>
      </c>
    </row>
    <row r="56" spans="1:7" hidden="1" x14ac:dyDescent="0.35">
      <c r="A56" s="143" t="s">
        <v>195</v>
      </c>
      <c r="B56" s="297" t="s">
        <v>288</v>
      </c>
      <c r="C56" s="153">
        <v>12.2</v>
      </c>
      <c r="D56" s="148">
        <f>+C56</f>
        <v>12.2</v>
      </c>
      <c r="E56" s="198"/>
      <c r="F56" s="153">
        <f>+D56</f>
        <v>12.2</v>
      </c>
      <c r="G56" s="148">
        <f>+C56</f>
        <v>12.2</v>
      </c>
    </row>
    <row r="57" spans="1:7" hidden="1" x14ac:dyDescent="0.35">
      <c r="A57" s="143"/>
      <c r="B57" s="297" t="s">
        <v>197</v>
      </c>
      <c r="C57" s="145">
        <v>71.510000000000005</v>
      </c>
      <c r="D57" s="146">
        <f>+C57</f>
        <v>71.510000000000005</v>
      </c>
      <c r="E57" s="201"/>
      <c r="F57" s="145">
        <f>+C57</f>
        <v>71.510000000000005</v>
      </c>
      <c r="G57" s="146">
        <f>+D57</f>
        <v>71.510000000000005</v>
      </c>
    </row>
    <row r="58" spans="1:7" hidden="1" x14ac:dyDescent="0.35">
      <c r="A58" s="150" t="s">
        <v>198</v>
      </c>
      <c r="B58" s="299" t="s">
        <v>199</v>
      </c>
      <c r="C58" s="151" t="e">
        <f>SUM(C50:C57)</f>
        <v>#REF!</v>
      </c>
      <c r="D58" s="152" t="e">
        <f t="shared" ref="D58:G58" si="8">SUM(D50:D57)</f>
        <v>#REF!</v>
      </c>
      <c r="E58" s="207"/>
      <c r="F58" s="151" t="e">
        <f t="shared" si="8"/>
        <v>#REF!</v>
      </c>
      <c r="G58" s="152" t="e">
        <f t="shared" si="8"/>
        <v>#REF!</v>
      </c>
    </row>
    <row r="59" spans="1:7" hidden="1" x14ac:dyDescent="0.35">
      <c r="A59" s="143" t="s">
        <v>200</v>
      </c>
      <c r="B59" s="297" t="s">
        <v>265</v>
      </c>
      <c r="C59" s="145" t="s">
        <v>232</v>
      </c>
      <c r="D59" s="146" t="s">
        <v>232</v>
      </c>
      <c r="E59" s="201"/>
      <c r="F59" s="145" t="s">
        <v>232</v>
      </c>
      <c r="G59" s="146" t="s">
        <v>232</v>
      </c>
    </row>
    <row r="60" spans="1:7" hidden="1" x14ac:dyDescent="0.35">
      <c r="A60" s="143" t="s">
        <v>204</v>
      </c>
      <c r="B60" s="297" t="s">
        <v>139</v>
      </c>
      <c r="C60" s="145" t="s">
        <v>234</v>
      </c>
      <c r="D60" s="146" t="s">
        <v>234</v>
      </c>
      <c r="E60" s="201"/>
      <c r="F60" s="145" t="s">
        <v>234</v>
      </c>
      <c r="G60" s="146" t="s">
        <v>234</v>
      </c>
    </row>
    <row r="61" spans="1:7" hidden="1" x14ac:dyDescent="0.35">
      <c r="A61" s="150" t="s">
        <v>206</v>
      </c>
      <c r="B61" s="299" t="s">
        <v>207</v>
      </c>
      <c r="C61" s="151">
        <v>5316.4418400000004</v>
      </c>
      <c r="D61" s="152">
        <v>5474.7219600000008</v>
      </c>
      <c r="E61" s="207"/>
      <c r="F61" s="151">
        <v>6314.9703037999998</v>
      </c>
      <c r="G61" s="152">
        <v>6956.0162907800004</v>
      </c>
    </row>
    <row r="62" spans="1:7" hidden="1" x14ac:dyDescent="0.35">
      <c r="A62" s="143" t="s">
        <v>208</v>
      </c>
      <c r="B62" s="297" t="s">
        <v>160</v>
      </c>
      <c r="C62" s="145" t="s">
        <v>232</v>
      </c>
      <c r="D62" s="146" t="s">
        <v>232</v>
      </c>
      <c r="E62" s="201"/>
      <c r="F62" s="145" t="s">
        <v>232</v>
      </c>
      <c r="G62" s="146" t="s">
        <v>232</v>
      </c>
    </row>
    <row r="63" spans="1:7" hidden="1" x14ac:dyDescent="0.35">
      <c r="A63" s="143" t="s">
        <v>209</v>
      </c>
      <c r="B63" s="297" t="s">
        <v>210</v>
      </c>
      <c r="C63" s="182" t="s">
        <v>236</v>
      </c>
      <c r="D63" s="146" t="s">
        <v>211</v>
      </c>
      <c r="E63" s="201"/>
      <c r="F63" s="145" t="s">
        <v>236</v>
      </c>
      <c r="G63" s="148" t="s">
        <v>211</v>
      </c>
    </row>
    <row r="64" spans="1:7" hidden="1" x14ac:dyDescent="0.35">
      <c r="A64" s="143" t="s">
        <v>212</v>
      </c>
      <c r="B64" s="297" t="s">
        <v>289</v>
      </c>
      <c r="C64" s="182" t="s">
        <v>237</v>
      </c>
      <c r="D64" s="148" t="s">
        <v>237</v>
      </c>
      <c r="E64" s="198"/>
      <c r="F64" s="182" t="s">
        <v>237</v>
      </c>
      <c r="G64" s="148" t="s">
        <v>237</v>
      </c>
    </row>
    <row r="65" spans="1:20" ht="15" hidden="1" thickBot="1" x14ac:dyDescent="0.4">
      <c r="A65" s="154" t="s">
        <v>214</v>
      </c>
      <c r="B65" s="300" t="s">
        <v>215</v>
      </c>
      <c r="C65" s="183"/>
      <c r="D65" s="183"/>
      <c r="E65" s="183"/>
      <c r="F65" s="183"/>
      <c r="G65" s="157"/>
    </row>
    <row r="66" spans="1:20" hidden="1" x14ac:dyDescent="0.35">
      <c r="A66" s="159"/>
      <c r="B66" s="301"/>
      <c r="C66" s="301"/>
      <c r="D66" s="302"/>
      <c r="E66" s="302"/>
      <c r="F66" s="302"/>
      <c r="G66" s="302"/>
      <c r="H66" s="302"/>
      <c r="I66" s="303"/>
      <c r="J66" s="303"/>
      <c r="K66" s="303"/>
      <c r="L66" s="303"/>
      <c r="M66" s="303"/>
      <c r="N66" s="303"/>
      <c r="O66" s="303"/>
      <c r="P66" s="303"/>
      <c r="Q66" s="303"/>
      <c r="R66" s="303"/>
      <c r="S66" s="261"/>
      <c r="T66" s="261"/>
    </row>
    <row r="67" spans="1:20" hidden="1" x14ac:dyDescent="0.35">
      <c r="A67" s="159"/>
      <c r="B67" s="266" t="s">
        <v>228</v>
      </c>
      <c r="C67" s="160"/>
      <c r="D67" s="161"/>
      <c r="E67" s="161"/>
      <c r="F67" s="161"/>
      <c r="G67" s="161"/>
      <c r="H67" s="161"/>
      <c r="I67" s="161"/>
      <c r="J67" s="161"/>
      <c r="K67" s="161"/>
      <c r="L67" s="262"/>
      <c r="M67" s="262"/>
      <c r="N67" s="262"/>
      <c r="O67" s="262"/>
      <c r="P67" s="262"/>
      <c r="Q67" s="262"/>
      <c r="R67" s="262"/>
      <c r="S67" s="261"/>
      <c r="T67" s="261"/>
    </row>
    <row r="68" spans="1:20" hidden="1" x14ac:dyDescent="0.35">
      <c r="A68" s="159"/>
      <c r="B68" s="160"/>
      <c r="C68" s="160"/>
      <c r="D68" s="161"/>
      <c r="E68" s="161"/>
      <c r="F68" s="161"/>
      <c r="G68" s="161"/>
      <c r="H68" s="161"/>
      <c r="I68" s="161"/>
      <c r="J68" s="161"/>
      <c r="K68" s="161"/>
      <c r="L68" s="262"/>
      <c r="M68" s="262"/>
      <c r="N68" s="262"/>
      <c r="O68" s="262"/>
      <c r="P68" s="262"/>
      <c r="Q68" s="262"/>
      <c r="R68" s="262"/>
      <c r="S68" s="261"/>
      <c r="T68" s="261"/>
    </row>
    <row r="69" spans="1:20" hidden="1" x14ac:dyDescent="0.35">
      <c r="A69" s="162" t="s">
        <v>190</v>
      </c>
      <c r="B69" s="886" t="s">
        <v>261</v>
      </c>
      <c r="C69" s="886"/>
      <c r="D69" s="886"/>
      <c r="E69" s="886"/>
      <c r="F69" s="886"/>
      <c r="G69" s="886"/>
      <c r="H69" s="886"/>
      <c r="I69" s="886"/>
      <c r="J69" s="699"/>
      <c r="K69" s="161"/>
      <c r="L69" s="262"/>
      <c r="M69" s="262"/>
      <c r="N69" s="262"/>
      <c r="O69" s="262"/>
      <c r="P69" s="262"/>
      <c r="Q69" s="262"/>
      <c r="R69" s="262"/>
      <c r="S69" s="261"/>
      <c r="T69" s="261"/>
    </row>
    <row r="70" spans="1:20" hidden="1" x14ac:dyDescent="0.35">
      <c r="A70" s="162" t="s">
        <v>133</v>
      </c>
      <c r="B70" s="839" t="s">
        <v>242</v>
      </c>
      <c r="C70" s="839"/>
      <c r="D70" s="839"/>
      <c r="E70" s="839"/>
      <c r="F70" s="839"/>
      <c r="G70" s="839"/>
      <c r="H70" s="839"/>
      <c r="I70" s="839"/>
      <c r="J70" s="697"/>
      <c r="K70" s="161"/>
      <c r="L70" s="262"/>
      <c r="M70" s="262"/>
      <c r="N70" s="262"/>
      <c r="O70" s="262"/>
      <c r="P70" s="262"/>
      <c r="Q70" s="262"/>
      <c r="R70" s="262"/>
      <c r="S70" s="261"/>
      <c r="T70" s="261"/>
    </row>
    <row r="71" spans="1:20" hidden="1" x14ac:dyDescent="0.35">
      <c r="A71" s="162"/>
      <c r="B71" s="278"/>
      <c r="C71" s="278"/>
      <c r="D71" s="278"/>
      <c r="E71" s="697"/>
      <c r="F71" s="278"/>
      <c r="G71" s="278"/>
      <c r="H71" s="278"/>
      <c r="I71" s="278"/>
      <c r="J71" s="697"/>
      <c r="K71" s="161"/>
      <c r="L71" s="262"/>
      <c r="M71" s="262"/>
      <c r="N71" s="262"/>
      <c r="O71" s="262"/>
      <c r="P71" s="262"/>
      <c r="Q71" s="262"/>
      <c r="R71" s="262"/>
      <c r="S71" s="261"/>
      <c r="T71" s="261"/>
    </row>
    <row r="72" spans="1:20" hidden="1" x14ac:dyDescent="0.35">
      <c r="A72" s="162"/>
      <c r="B72" s="184" t="s">
        <v>158</v>
      </c>
      <c r="C72" s="184"/>
      <c r="D72" s="215"/>
      <c r="E72" s="215"/>
      <c r="F72" s="215"/>
      <c r="G72" s="215"/>
      <c r="H72" s="215"/>
      <c r="I72" s="215"/>
      <c r="J72" s="215"/>
      <c r="K72" s="215"/>
      <c r="L72" s="262"/>
      <c r="M72" s="262"/>
      <c r="N72" s="262"/>
      <c r="O72" s="262"/>
      <c r="P72" s="262"/>
      <c r="Q72" s="262"/>
      <c r="R72" s="262"/>
      <c r="S72" s="261"/>
      <c r="T72" s="261"/>
    </row>
    <row r="73" spans="1:20" hidden="1" x14ac:dyDescent="0.35">
      <c r="A73" s="185" t="s">
        <v>102</v>
      </c>
      <c r="B73" s="825" t="s">
        <v>229</v>
      </c>
      <c r="C73" s="825"/>
      <c r="D73" s="825"/>
      <c r="E73" s="825"/>
      <c r="F73" s="825"/>
      <c r="G73" s="825"/>
      <c r="H73" s="825"/>
      <c r="I73" s="825"/>
      <c r="J73" s="694"/>
      <c r="K73" s="261"/>
      <c r="L73" s="262"/>
      <c r="M73" s="262"/>
      <c r="N73" s="262"/>
      <c r="O73" s="262"/>
      <c r="P73" s="262"/>
      <c r="Q73" s="262"/>
      <c r="R73" s="262"/>
      <c r="S73" s="261"/>
      <c r="T73" s="261"/>
    </row>
    <row r="74" spans="1:20" hidden="1" x14ac:dyDescent="0.35">
      <c r="A74" s="185" t="s">
        <v>230</v>
      </c>
      <c r="B74" s="825" t="s">
        <v>262</v>
      </c>
      <c r="C74" s="825"/>
      <c r="D74" s="825"/>
      <c r="E74" s="825"/>
      <c r="F74" s="825"/>
      <c r="G74" s="825"/>
      <c r="H74" s="825"/>
      <c r="I74" s="825"/>
      <c r="J74" s="825"/>
      <c r="K74" s="825"/>
      <c r="L74" s="262"/>
      <c r="M74" s="262"/>
      <c r="N74" s="262"/>
      <c r="O74" s="262"/>
      <c r="P74" s="262"/>
      <c r="Q74" s="262"/>
      <c r="R74" s="262"/>
      <c r="S74" s="261"/>
      <c r="T74" s="261"/>
    </row>
    <row r="75" spans="1:20" hidden="1" x14ac:dyDescent="0.35">
      <c r="A75" s="185" t="s">
        <v>232</v>
      </c>
      <c r="B75" s="825" t="s">
        <v>272</v>
      </c>
      <c r="C75" s="825"/>
      <c r="D75" s="825"/>
      <c r="E75" s="825"/>
      <c r="F75" s="825"/>
      <c r="G75" s="825"/>
      <c r="H75" s="825"/>
      <c r="I75" s="825"/>
      <c r="J75" s="825"/>
      <c r="K75" s="825"/>
      <c r="L75" s="262"/>
      <c r="M75" s="262"/>
      <c r="N75" s="262"/>
      <c r="O75" s="262"/>
      <c r="P75" s="262"/>
      <c r="Q75" s="262"/>
      <c r="R75" s="262"/>
      <c r="S75" s="261"/>
      <c r="T75" s="261"/>
    </row>
    <row r="76" spans="1:20" hidden="1" x14ac:dyDescent="0.35">
      <c r="A76" s="185" t="s">
        <v>234</v>
      </c>
      <c r="B76" s="825" t="s">
        <v>267</v>
      </c>
      <c r="C76" s="825"/>
      <c r="D76" s="825"/>
      <c r="E76" s="825"/>
      <c r="F76" s="825"/>
      <c r="G76" s="825"/>
      <c r="H76" s="825"/>
      <c r="I76" s="825"/>
      <c r="J76" s="825"/>
      <c r="K76" s="825"/>
      <c r="L76" s="262"/>
      <c r="M76" s="262"/>
      <c r="N76" s="262"/>
      <c r="O76" s="262"/>
      <c r="P76" s="262"/>
      <c r="Q76" s="262"/>
      <c r="R76" s="262"/>
      <c r="S76" s="261"/>
      <c r="T76" s="261"/>
    </row>
    <row r="77" spans="1:20" hidden="1" x14ac:dyDescent="0.35">
      <c r="A77" s="185" t="s">
        <v>236</v>
      </c>
      <c r="B77" s="825" t="s">
        <v>238</v>
      </c>
      <c r="C77" s="825"/>
      <c r="D77" s="825"/>
      <c r="E77" s="825"/>
      <c r="F77" s="825"/>
      <c r="G77" s="825"/>
      <c r="H77" s="825"/>
      <c r="I77" s="275"/>
      <c r="J77" s="694"/>
      <c r="K77" s="262"/>
      <c r="L77" s="262"/>
      <c r="M77" s="262"/>
      <c r="N77" s="262"/>
      <c r="O77" s="262"/>
      <c r="P77" s="262"/>
      <c r="Q77" s="262"/>
      <c r="R77" s="262"/>
      <c r="S77" s="261"/>
      <c r="T77" s="261"/>
    </row>
    <row r="78" spans="1:20" hidden="1" x14ac:dyDescent="0.35">
      <c r="A78" s="185" t="s">
        <v>237</v>
      </c>
      <c r="B78" s="825" t="s">
        <v>268</v>
      </c>
      <c r="C78" s="825"/>
      <c r="D78" s="825"/>
      <c r="E78" s="825"/>
      <c r="F78" s="825"/>
      <c r="G78" s="825"/>
      <c r="H78" s="825"/>
      <c r="I78" s="825"/>
      <c r="J78" s="825"/>
      <c r="K78" s="825"/>
      <c r="L78" s="262"/>
      <c r="M78" s="262"/>
      <c r="N78" s="262"/>
      <c r="O78" s="262"/>
      <c r="P78" s="262"/>
      <c r="Q78" s="262"/>
      <c r="R78" s="262"/>
      <c r="S78" s="261"/>
      <c r="T78" s="261"/>
    </row>
    <row r="79" spans="1:20" hidden="1" x14ac:dyDescent="0.35">
      <c r="A79" s="243"/>
      <c r="B79" s="244"/>
      <c r="C79" s="244"/>
      <c r="D79" s="244"/>
      <c r="E79" s="244"/>
      <c r="F79" s="244"/>
      <c r="G79" s="244"/>
      <c r="H79" s="244"/>
      <c r="I79" s="244"/>
      <c r="J79" s="244"/>
      <c r="K79" s="244"/>
      <c r="L79" s="262"/>
      <c r="M79" s="262"/>
      <c r="N79" s="262"/>
      <c r="O79" s="262"/>
      <c r="P79" s="262"/>
      <c r="Q79" s="262"/>
      <c r="R79" s="262"/>
      <c r="S79" s="261"/>
      <c r="T79" s="261"/>
    </row>
    <row r="80" spans="1:20" hidden="1" x14ac:dyDescent="0.35">
      <c r="A80" s="845" t="s">
        <v>147</v>
      </c>
      <c r="B80" s="845"/>
      <c r="C80" s="845"/>
      <c r="D80" s="845"/>
      <c r="E80" s="845"/>
      <c r="F80" s="845"/>
      <c r="G80" s="845"/>
      <c r="H80" s="845"/>
      <c r="I80" s="845"/>
      <c r="J80" s="696"/>
      <c r="L80" s="262"/>
      <c r="M80" s="262"/>
      <c r="N80" s="262"/>
      <c r="O80" s="262"/>
      <c r="P80" s="262"/>
      <c r="Q80" s="262"/>
      <c r="R80" s="262"/>
      <c r="S80" s="261"/>
      <c r="T80" s="261"/>
    </row>
    <row r="81" spans="1:20" hidden="1" x14ac:dyDescent="0.35">
      <c r="A81" s="304"/>
      <c r="B81" s="184"/>
      <c r="C81" s="184"/>
      <c r="D81" s="262"/>
      <c r="E81" s="262"/>
      <c r="F81" s="262"/>
      <c r="G81" s="262"/>
      <c r="H81" s="262"/>
      <c r="I81" s="262"/>
      <c r="J81" s="262"/>
      <c r="K81" s="262"/>
      <c r="L81" s="262"/>
      <c r="M81" s="262"/>
      <c r="N81" s="262"/>
      <c r="O81" s="262"/>
      <c r="P81" s="262"/>
      <c r="Q81" s="262"/>
      <c r="R81" s="262"/>
      <c r="S81" s="261"/>
      <c r="T81" s="261"/>
    </row>
    <row r="82" spans="1:20" hidden="1" x14ac:dyDescent="0.35">
      <c r="A82" s="304"/>
      <c r="B82" s="184"/>
      <c r="C82" s="184"/>
      <c r="D82" s="262"/>
      <c r="E82" s="262"/>
      <c r="F82" s="262"/>
      <c r="G82" s="262"/>
      <c r="H82" s="262"/>
      <c r="I82" s="262"/>
      <c r="J82" s="262"/>
      <c r="K82" s="262"/>
      <c r="L82" s="262"/>
      <c r="M82" s="262"/>
      <c r="N82" s="262"/>
      <c r="O82" s="262"/>
      <c r="P82" s="262"/>
      <c r="Q82" s="262"/>
      <c r="R82" s="262"/>
      <c r="S82" s="261"/>
      <c r="T82" s="261"/>
    </row>
    <row r="83" spans="1:20" hidden="1" x14ac:dyDescent="0.35">
      <c r="A83" s="304"/>
      <c r="B83" s="184"/>
      <c r="C83" s="184"/>
      <c r="D83" s="262"/>
      <c r="E83" s="262"/>
      <c r="F83" s="262"/>
      <c r="G83" s="262"/>
      <c r="H83" s="262"/>
      <c r="I83" s="262"/>
      <c r="J83" s="262"/>
      <c r="K83" s="262"/>
      <c r="L83" s="262"/>
      <c r="M83" s="262"/>
      <c r="N83" s="262"/>
      <c r="O83" s="262"/>
      <c r="P83" s="262"/>
      <c r="Q83" s="262"/>
      <c r="R83" s="262"/>
      <c r="S83" s="261"/>
      <c r="T83" s="261"/>
    </row>
  </sheetData>
  <sheetProtection algorithmName="SHA-512" hashValue="AkeXEdgCZ5/D1XMrEG17OLUceA/lkYezM7yyAx0vlBEA9nkCfi+8wipKKVPzCx2geyF8v/nbF+xOgAmt2mN8FA==" saltValue="fIWHCWwP8c+AWPF2sMRYGw==" spinCount="100000" sheet="1" objects="1" scenarios="1"/>
  <mergeCells count="31">
    <mergeCell ref="B77:H77"/>
    <mergeCell ref="B78:K78"/>
    <mergeCell ref="A80:I80"/>
    <mergeCell ref="B70:I70"/>
    <mergeCell ref="B73:I73"/>
    <mergeCell ref="B74:K74"/>
    <mergeCell ref="B75:K75"/>
    <mergeCell ref="B76:K76"/>
    <mergeCell ref="C3:H4"/>
    <mergeCell ref="I3:K4"/>
    <mergeCell ref="A5:A7"/>
    <mergeCell ref="B5:B7"/>
    <mergeCell ref="C5:C6"/>
    <mergeCell ref="H5:H6"/>
    <mergeCell ref="A44:O44"/>
    <mergeCell ref="B29:I29"/>
    <mergeCell ref="B30:I30"/>
    <mergeCell ref="B31:I31"/>
    <mergeCell ref="B34:I34"/>
    <mergeCell ref="B35:K35"/>
    <mergeCell ref="B36:K36"/>
    <mergeCell ref="B37:K37"/>
    <mergeCell ref="B38:H38"/>
    <mergeCell ref="B39:K39"/>
    <mergeCell ref="A41:I41"/>
    <mergeCell ref="A47:A49"/>
    <mergeCell ref="B47:B49"/>
    <mergeCell ref="B69:I69"/>
    <mergeCell ref="C45:D46"/>
    <mergeCell ref="F45:G46"/>
    <mergeCell ref="B45:B46"/>
  </mergeCells>
  <hyperlinks>
    <hyperlink ref="B33" location="Nota" display="Ver Nota Informativa" xr:uid="{00000000-0004-0000-0F00-000000000000}"/>
    <hyperlink ref="B27" location="NARIÑO!A41" display="Ver Nota Informativa" xr:uid="{00000000-0004-0000-0F00-000001000000}"/>
    <hyperlink ref="B72" location="Nota" display="Ver Nota Informativa" xr:uid="{00000000-0004-0000-0F00-000002000000}"/>
    <hyperlink ref="B67" location="NARIÑO!A79" display="Ver Nota Informativa" xr:uid="{00000000-0004-0000-0F00-000003000000}"/>
  </hyperlinks>
  <pageMargins left="0.7" right="0.7" top="0.75" bottom="0.75" header="0.3" footer="0.3"/>
  <pageSetup orientation="portrait" r:id="rId1"/>
  <ignoredErrors>
    <ignoredError sqref="F17:H21 K19 K17 K24 I20:I21 G22 K21 K23 C17:D21 I24 I17" formula="1"/>
    <ignoredError sqref="F12:H12 C12:D12" numberStoredAsText="1"/>
    <ignoredError sqref="K14:K15 K12 F13:H15 D14:D15 I14:I15" numberStoredAsText="1" 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6">
    <tabColor theme="4" tint="0.59999389629810485"/>
  </sheetPr>
  <dimension ref="A1:P40"/>
  <sheetViews>
    <sheetView topLeftCell="A2" zoomScale="70" zoomScaleNormal="70" workbookViewId="0">
      <selection activeCell="L14" sqref="L14"/>
    </sheetView>
  </sheetViews>
  <sheetFormatPr baseColWidth="10" defaultRowHeight="14.5" x14ac:dyDescent="0.35"/>
  <cols>
    <col min="2" max="2" width="47.36328125" customWidth="1"/>
    <col min="3" max="3" width="12.36328125" customWidth="1"/>
    <col min="4" max="4" width="15.81640625" customWidth="1"/>
    <col min="5" max="5" width="13.6328125" customWidth="1"/>
    <col min="6" max="6" width="9" hidden="1" customWidth="1"/>
    <col min="7" max="7" width="21.08984375" customWidth="1"/>
    <col min="8" max="8" width="16.08984375" hidden="1" customWidth="1"/>
    <col min="10" max="10" width="14" customWidth="1"/>
  </cols>
  <sheetData>
    <row r="1" spans="1:9" x14ac:dyDescent="0.35">
      <c r="A1" s="138"/>
      <c r="B1" s="138" t="str">
        <f>+AMAZONAS!C1</f>
        <v>Vigencia: 01 de enero de 2022; 00:00 horas</v>
      </c>
      <c r="D1" s="479"/>
    </row>
    <row r="2" spans="1:9" ht="15" thickBot="1" x14ac:dyDescent="0.4">
      <c r="A2" s="165" t="s">
        <v>179</v>
      </c>
      <c r="B2" s="165"/>
    </row>
    <row r="3" spans="1:9" ht="15.9" customHeight="1" thickTop="1" x14ac:dyDescent="0.35">
      <c r="A3" s="195"/>
      <c r="B3" s="196" t="s">
        <v>290</v>
      </c>
      <c r="C3" s="846" t="s">
        <v>180</v>
      </c>
      <c r="D3" s="847"/>
      <c r="E3" s="847"/>
      <c r="F3" s="848"/>
      <c r="G3" s="852" t="s">
        <v>250</v>
      </c>
      <c r="H3" s="853"/>
      <c r="I3" s="510"/>
    </row>
    <row r="4" spans="1:9" x14ac:dyDescent="0.35">
      <c r="A4" s="140"/>
      <c r="B4" s="197" t="s">
        <v>291</v>
      </c>
      <c r="C4" s="849"/>
      <c r="D4" s="850"/>
      <c r="E4" s="850"/>
      <c r="F4" s="851"/>
      <c r="G4" s="854"/>
      <c r="H4" s="855"/>
    </row>
    <row r="5" spans="1:9" ht="38.25" customHeight="1" x14ac:dyDescent="0.35">
      <c r="A5" s="840" t="s">
        <v>181</v>
      </c>
      <c r="B5" s="842" t="s">
        <v>182</v>
      </c>
      <c r="C5" s="826" t="s">
        <v>241</v>
      </c>
      <c r="D5" s="171" t="s">
        <v>96</v>
      </c>
      <c r="E5" s="171" t="s">
        <v>172</v>
      </c>
      <c r="F5" s="171" t="str">
        <f>+NARIÑO!G5</f>
        <v>Biodiesel B11</v>
      </c>
      <c r="G5" s="171" t="s">
        <v>96</v>
      </c>
      <c r="H5" s="277" t="str">
        <f>+F5</f>
        <v>Biodiesel B11</v>
      </c>
    </row>
    <row r="6" spans="1:9" x14ac:dyDescent="0.35">
      <c r="A6" s="840"/>
      <c r="B6" s="842"/>
      <c r="C6" s="827"/>
      <c r="D6" s="560">
        <v>0.08</v>
      </c>
      <c r="E6" s="189">
        <v>0.02</v>
      </c>
      <c r="F6" s="172">
        <f>+NARIÑO!G6</f>
        <v>0.11</v>
      </c>
      <c r="G6" s="560">
        <v>0.08</v>
      </c>
      <c r="H6" s="172">
        <f>+F6</f>
        <v>0.11</v>
      </c>
    </row>
    <row r="7" spans="1:9" x14ac:dyDescent="0.35">
      <c r="A7" s="841"/>
      <c r="B7" s="843"/>
      <c r="C7" s="141" t="s">
        <v>183</v>
      </c>
      <c r="D7" s="171" t="s">
        <v>183</v>
      </c>
      <c r="E7" s="171" t="s">
        <v>183</v>
      </c>
      <c r="F7" s="171" t="s">
        <v>183</v>
      </c>
      <c r="G7" s="141" t="s">
        <v>183</v>
      </c>
      <c r="H7" s="277" t="s">
        <v>183</v>
      </c>
    </row>
    <row r="8" spans="1:9" x14ac:dyDescent="0.35">
      <c r="A8" s="143" t="s">
        <v>184</v>
      </c>
      <c r="B8" s="149" t="s">
        <v>185</v>
      </c>
      <c r="C8" s="213">
        <f>+'Calculo IP ZDF'!B37</f>
        <v>5108.8999999999996</v>
      </c>
      <c r="D8" s="219">
        <f>+'Calculo IP ZDF'!B37</f>
        <v>5108.8999999999996</v>
      </c>
      <c r="E8" s="221">
        <f>+'Calculo IP ZDF'!F37</f>
        <v>4791.4142000000002</v>
      </c>
      <c r="F8" s="220">
        <f>+'Calculo IP ZDF'!J37</f>
        <v>6033.973</v>
      </c>
      <c r="G8" s="198">
        <f>+'GAS CTE'!C6</f>
        <v>5108.8999999999996</v>
      </c>
      <c r="H8" s="223">
        <f>+BIODIESEL!H9</f>
        <v>6033.973</v>
      </c>
    </row>
    <row r="9" spans="1:9" ht="26" x14ac:dyDescent="0.35">
      <c r="A9" s="143" t="s">
        <v>186</v>
      </c>
      <c r="B9" s="149" t="s">
        <v>187</v>
      </c>
      <c r="C9" s="199" t="str">
        <f t="shared" ref="C9:C12" si="0">+D9</f>
        <v>------------------</v>
      </c>
      <c r="D9" s="200" t="s">
        <v>188</v>
      </c>
      <c r="E9" s="200" t="s">
        <v>188</v>
      </c>
      <c r="F9" s="146" t="s">
        <v>188</v>
      </c>
      <c r="G9" s="198">
        <f>+'GAS CTE'!C10</f>
        <v>555.04999999999995</v>
      </c>
      <c r="H9" s="224">
        <f>+BIODIESEL!H10</f>
        <v>478.14299999999997</v>
      </c>
    </row>
    <row r="10" spans="1:9" ht="26" x14ac:dyDescent="0.35">
      <c r="A10" s="143"/>
      <c r="B10" s="149" t="s">
        <v>132</v>
      </c>
      <c r="C10" s="199" t="str">
        <f>+D10</f>
        <v>------------------</v>
      </c>
      <c r="D10" s="200" t="s">
        <v>188</v>
      </c>
      <c r="E10" s="200" t="s">
        <v>188</v>
      </c>
      <c r="F10" s="146" t="s">
        <v>188</v>
      </c>
      <c r="G10" s="214" t="str">
        <f>+COMBUSTIBLES!B12</f>
        <v>(3)</v>
      </c>
      <c r="H10" s="224" t="str">
        <f>+BIODIESEL!H11</f>
        <v>(3)</v>
      </c>
    </row>
    <row r="11" spans="1:9" x14ac:dyDescent="0.35">
      <c r="A11" s="143"/>
      <c r="B11" s="149" t="s">
        <v>134</v>
      </c>
      <c r="C11" s="199">
        <f>+'GAS CTE'!C12</f>
        <v>159</v>
      </c>
      <c r="D11" s="200">
        <f>+'GAS CTE'!C12</f>
        <v>159</v>
      </c>
      <c r="E11" s="200">
        <f>+BIODIESEL!E12</f>
        <v>175.42</v>
      </c>
      <c r="F11" s="146">
        <f>+BIODIESEL!H12</f>
        <v>161.1</v>
      </c>
      <c r="G11" s="198">
        <f>+'GAS CTE'!C12</f>
        <v>159</v>
      </c>
      <c r="H11" s="220">
        <f>+BIODIESEL!H12</f>
        <v>161.1</v>
      </c>
    </row>
    <row r="12" spans="1:9" x14ac:dyDescent="0.35">
      <c r="A12" s="143" t="s">
        <v>189</v>
      </c>
      <c r="B12" s="149" t="s">
        <v>292</v>
      </c>
      <c r="C12" s="199" t="str">
        <f t="shared" si="0"/>
        <v>(2)</v>
      </c>
      <c r="D12" s="147" t="s">
        <v>217</v>
      </c>
      <c r="E12" s="147" t="s">
        <v>217</v>
      </c>
      <c r="F12" s="146" t="s">
        <v>217</v>
      </c>
      <c r="G12" s="198" t="str">
        <f>+F12</f>
        <v>(2)</v>
      </c>
      <c r="H12" s="223" t="s">
        <v>217</v>
      </c>
    </row>
    <row r="13" spans="1:9" x14ac:dyDescent="0.35">
      <c r="A13" s="143" t="s">
        <v>191</v>
      </c>
      <c r="B13" s="149" t="s">
        <v>192</v>
      </c>
      <c r="C13" s="199">
        <f>+RUBROS!Z21</f>
        <v>22.249601678692599</v>
      </c>
      <c r="D13" s="147">
        <f>+C13</f>
        <v>22.249601678692599</v>
      </c>
      <c r="E13" s="147">
        <f>+D13</f>
        <v>22.249601678692599</v>
      </c>
      <c r="F13" s="146">
        <f>+E13</f>
        <v>22.249601678692599</v>
      </c>
      <c r="G13" s="198">
        <f>+C13</f>
        <v>22.249601678692599</v>
      </c>
      <c r="H13" s="223">
        <f>+G13</f>
        <v>22.249601678692599</v>
      </c>
    </row>
    <row r="14" spans="1:9" x14ac:dyDescent="0.35">
      <c r="A14" s="143" t="s">
        <v>193</v>
      </c>
      <c r="B14" s="149" t="s">
        <v>194</v>
      </c>
      <c r="C14" s="199">
        <f>+RUBROS!Z57</f>
        <v>106.58814036600187</v>
      </c>
      <c r="D14" s="147">
        <f>+C14</f>
        <v>106.58814036600187</v>
      </c>
      <c r="E14" s="147">
        <f>+C14</f>
        <v>106.58814036600187</v>
      </c>
      <c r="F14" s="146">
        <f>+C14</f>
        <v>106.58814036600187</v>
      </c>
      <c r="G14" s="198">
        <f>+C14</f>
        <v>106.58814036600187</v>
      </c>
      <c r="H14" s="223">
        <f>+G14</f>
        <v>106.58814036600187</v>
      </c>
    </row>
    <row r="15" spans="1:9" x14ac:dyDescent="0.35">
      <c r="A15" s="143" t="s">
        <v>195</v>
      </c>
      <c r="B15" s="218" t="s">
        <v>196</v>
      </c>
      <c r="C15" s="199">
        <f>+RUBROS!AU32</f>
        <v>13.326421256197724</v>
      </c>
      <c r="D15" s="147">
        <f>+C15</f>
        <v>13.326421256197724</v>
      </c>
      <c r="E15" s="201">
        <f>+C15</f>
        <v>13.326421256197724</v>
      </c>
      <c r="F15" s="146">
        <f>+C15</f>
        <v>13.326421256197724</v>
      </c>
      <c r="G15" s="198">
        <f>+C15</f>
        <v>13.326421256197724</v>
      </c>
      <c r="H15" s="223">
        <f>+C15</f>
        <v>13.326421256197724</v>
      </c>
    </row>
    <row r="16" spans="1:9" hidden="1" x14ac:dyDescent="0.35">
      <c r="A16" s="143"/>
      <c r="B16" s="149" t="s">
        <v>197</v>
      </c>
      <c r="C16" s="199"/>
      <c r="D16" s="202"/>
      <c r="E16" s="203"/>
      <c r="F16" s="146"/>
      <c r="G16" s="198"/>
      <c r="H16" s="225"/>
    </row>
    <row r="17" spans="1:16" x14ac:dyDescent="0.35">
      <c r="A17" s="150" t="s">
        <v>198</v>
      </c>
      <c r="B17" s="180" t="s">
        <v>199</v>
      </c>
      <c r="C17" s="204">
        <f>SUM(C8:C16)</f>
        <v>5410.0641633008918</v>
      </c>
      <c r="D17" s="205">
        <f t="shared" ref="D17:H17" si="1">SUM(D8:D16)</f>
        <v>5410.0641633008918</v>
      </c>
      <c r="E17" s="205">
        <f t="shared" si="1"/>
        <v>5108.9983633008924</v>
      </c>
      <c r="F17" s="206">
        <f t="shared" si="1"/>
        <v>6337.2371633008925</v>
      </c>
      <c r="G17" s="207">
        <f t="shared" si="1"/>
        <v>5965.114163300892</v>
      </c>
      <c r="H17" s="226">
        <f t="shared" si="1"/>
        <v>6815.3801633008925</v>
      </c>
    </row>
    <row r="18" spans="1:16" x14ac:dyDescent="0.35">
      <c r="A18" s="143" t="s">
        <v>200</v>
      </c>
      <c r="B18" s="149" t="s">
        <v>201</v>
      </c>
      <c r="C18" s="199" t="s">
        <v>232</v>
      </c>
      <c r="D18" s="208" t="str">
        <f>+C18</f>
        <v>***</v>
      </c>
      <c r="E18" s="208" t="str">
        <f>+C18</f>
        <v>***</v>
      </c>
      <c r="F18" s="146" t="str">
        <f>+C18</f>
        <v>***</v>
      </c>
      <c r="G18" s="201" t="str">
        <f>+H18</f>
        <v>***</v>
      </c>
      <c r="H18" s="227" t="s">
        <v>232</v>
      </c>
    </row>
    <row r="19" spans="1:16" x14ac:dyDescent="0.35">
      <c r="A19" s="143" t="s">
        <v>202</v>
      </c>
      <c r="B19" s="149" t="s">
        <v>203</v>
      </c>
      <c r="C19" s="199" t="str">
        <f>+D19</f>
        <v>**</v>
      </c>
      <c r="D19" s="209" t="s">
        <v>230</v>
      </c>
      <c r="E19" s="209" t="s">
        <v>230</v>
      </c>
      <c r="F19" s="146" t="s">
        <v>230</v>
      </c>
      <c r="G19" s="201" t="str">
        <f>+H19</f>
        <v>**</v>
      </c>
      <c r="H19" s="220" t="s">
        <v>230</v>
      </c>
    </row>
    <row r="20" spans="1:16" x14ac:dyDescent="0.35">
      <c r="A20" s="143" t="s">
        <v>204</v>
      </c>
      <c r="B20" s="149" t="s">
        <v>205</v>
      </c>
      <c r="C20" s="199" t="str">
        <f>+D20</f>
        <v>****</v>
      </c>
      <c r="D20" s="147" t="s">
        <v>234</v>
      </c>
      <c r="E20" s="147" t="str">
        <f>+D20</f>
        <v>****</v>
      </c>
      <c r="F20" s="146" t="str">
        <f>+E20</f>
        <v>****</v>
      </c>
      <c r="G20" s="201" t="str">
        <f>+F20</f>
        <v>****</v>
      </c>
      <c r="H20" s="223" t="str">
        <f>+F20</f>
        <v>****</v>
      </c>
    </row>
    <row r="21" spans="1:16" x14ac:dyDescent="0.35">
      <c r="A21" s="150" t="s">
        <v>206</v>
      </c>
      <c r="B21" s="180" t="s">
        <v>207</v>
      </c>
      <c r="C21" s="204">
        <f t="shared" ref="C21:H21" si="2">+C17</f>
        <v>5410.0641633008918</v>
      </c>
      <c r="D21" s="204">
        <f t="shared" si="2"/>
        <v>5410.0641633008918</v>
      </c>
      <c r="E21" s="204">
        <f t="shared" si="2"/>
        <v>5108.9983633008924</v>
      </c>
      <c r="F21" s="222">
        <f t="shared" si="2"/>
        <v>6337.2371633008925</v>
      </c>
      <c r="G21" s="204">
        <f t="shared" si="2"/>
        <v>5965.114163300892</v>
      </c>
      <c r="H21" s="222">
        <f t="shared" si="2"/>
        <v>6815.3801633008925</v>
      </c>
    </row>
    <row r="22" spans="1:16" x14ac:dyDescent="0.35">
      <c r="A22" s="143" t="s">
        <v>208</v>
      </c>
      <c r="B22" s="149" t="s">
        <v>160</v>
      </c>
      <c r="C22" s="199" t="s">
        <v>232</v>
      </c>
      <c r="D22" s="147" t="str">
        <f>+C22</f>
        <v>***</v>
      </c>
      <c r="E22" s="147" t="str">
        <f>+D22</f>
        <v>***</v>
      </c>
      <c r="F22" s="146" t="str">
        <f>+E22</f>
        <v>***</v>
      </c>
      <c r="G22" s="201" t="str">
        <f>+H22</f>
        <v>***</v>
      </c>
      <c r="H22" s="223" t="s">
        <v>232</v>
      </c>
    </row>
    <row r="23" spans="1:16" x14ac:dyDescent="0.35">
      <c r="A23" s="143" t="s">
        <v>209</v>
      </c>
      <c r="B23" s="144" t="s">
        <v>210</v>
      </c>
      <c r="C23" s="199" t="str">
        <f>+D23</f>
        <v>*****</v>
      </c>
      <c r="D23" s="147" t="s">
        <v>236</v>
      </c>
      <c r="E23" s="147" t="s">
        <v>254</v>
      </c>
      <c r="F23" s="146" t="s">
        <v>211</v>
      </c>
      <c r="G23" s="201" t="str">
        <f>+D23</f>
        <v>*****</v>
      </c>
      <c r="H23" s="223" t="s">
        <v>255</v>
      </c>
      <c r="K23" s="19"/>
    </row>
    <row r="24" spans="1:16" x14ac:dyDescent="0.35">
      <c r="A24" s="143" t="s">
        <v>212</v>
      </c>
      <c r="B24" s="149" t="s">
        <v>213</v>
      </c>
      <c r="C24" s="199" t="str">
        <f>+D24</f>
        <v>******</v>
      </c>
      <c r="D24" s="209" t="s">
        <v>237</v>
      </c>
      <c r="E24" s="209" t="str">
        <f>+D24</f>
        <v>******</v>
      </c>
      <c r="F24" s="148" t="str">
        <f>+E24</f>
        <v>******</v>
      </c>
      <c r="G24" s="201" t="str">
        <f>+F24</f>
        <v>******</v>
      </c>
      <c r="H24" s="220" t="str">
        <f>+G24</f>
        <v>******</v>
      </c>
    </row>
    <row r="25" spans="1:16" ht="15" thickBot="1" x14ac:dyDescent="0.4">
      <c r="A25" s="154" t="s">
        <v>214</v>
      </c>
      <c r="B25" s="155" t="s">
        <v>215</v>
      </c>
      <c r="C25" s="210"/>
      <c r="D25" s="158"/>
      <c r="E25" s="211"/>
      <c r="F25" s="157"/>
      <c r="G25" s="211"/>
      <c r="H25" s="228"/>
    </row>
    <row r="26" spans="1:16" ht="15" thickTop="1" x14ac:dyDescent="0.35"/>
    <row r="27" spans="1:16" x14ac:dyDescent="0.35">
      <c r="A27" s="162"/>
      <c r="B27" s="266" t="s">
        <v>228</v>
      </c>
      <c r="C27" s="215"/>
      <c r="D27" s="215"/>
      <c r="E27" s="215"/>
      <c r="F27" s="215"/>
      <c r="G27" s="194"/>
      <c r="H27" s="194"/>
      <c r="I27" s="194"/>
      <c r="J27" s="194"/>
      <c r="K27" s="194"/>
      <c r="L27" s="194"/>
      <c r="M27" s="194"/>
      <c r="N27" s="194"/>
      <c r="O27" s="194"/>
      <c r="P27" s="194"/>
    </row>
    <row r="28" spans="1:16" x14ac:dyDescent="0.35">
      <c r="A28" s="162"/>
      <c r="B28" s="184"/>
      <c r="C28" s="215"/>
      <c r="D28" s="215"/>
      <c r="E28" s="215"/>
      <c r="F28" s="215"/>
      <c r="G28" s="194"/>
      <c r="H28" s="194"/>
      <c r="I28" s="194"/>
      <c r="J28" s="194"/>
      <c r="K28" s="194"/>
      <c r="L28" s="194"/>
      <c r="M28" s="194"/>
      <c r="N28" s="194"/>
      <c r="O28" s="194"/>
      <c r="P28" s="194"/>
    </row>
    <row r="29" spans="1:16" ht="15" customHeight="1" x14ac:dyDescent="0.35">
      <c r="A29" s="162" t="s">
        <v>190</v>
      </c>
      <c r="B29" s="839" t="str">
        <f>+NARIÑO!B29</f>
        <v>De acuerdo con lo establecido en la Resolución MME 91349 de 2014</v>
      </c>
      <c r="C29" s="839"/>
      <c r="D29" s="839"/>
      <c r="E29" s="839"/>
      <c r="F29" s="839"/>
      <c r="G29" s="839"/>
      <c r="H29" s="839"/>
      <c r="I29" s="839"/>
      <c r="J29" s="839"/>
      <c r="K29" s="216"/>
      <c r="L29" s="216"/>
      <c r="M29" s="216"/>
      <c r="N29" s="216"/>
      <c r="O29" s="216"/>
      <c r="P29" s="216"/>
    </row>
    <row r="30" spans="1:16" ht="26.25" customHeight="1" x14ac:dyDescent="0.35">
      <c r="A30" s="162" t="s">
        <v>217</v>
      </c>
      <c r="B30" s="824" t="s">
        <v>271</v>
      </c>
      <c r="C30" s="824"/>
      <c r="D30" s="824"/>
      <c r="E30" s="824"/>
      <c r="F30" s="824"/>
      <c r="G30" s="824"/>
      <c r="H30" s="824"/>
      <c r="I30" s="824"/>
      <c r="J30" s="824"/>
      <c r="K30" s="194"/>
      <c r="L30" s="194"/>
      <c r="M30" s="194"/>
      <c r="N30" s="194"/>
      <c r="O30" s="194"/>
      <c r="P30" s="194"/>
    </row>
    <row r="31" spans="1:16" ht="88.75" customHeight="1" x14ac:dyDescent="0.35">
      <c r="A31" s="162" t="s">
        <v>133</v>
      </c>
      <c r="B31" s="839" t="s">
        <v>335</v>
      </c>
      <c r="C31" s="839"/>
      <c r="D31" s="839"/>
      <c r="E31" s="839"/>
      <c r="F31" s="839"/>
      <c r="G31" s="839"/>
      <c r="H31" s="839"/>
      <c r="I31" s="839"/>
      <c r="J31" s="839"/>
      <c r="K31" s="194"/>
      <c r="L31" s="194"/>
      <c r="M31" s="194"/>
      <c r="N31" s="194"/>
      <c r="O31" s="194"/>
      <c r="P31" s="194"/>
    </row>
    <row r="32" spans="1:16" x14ac:dyDescent="0.35">
      <c r="A32" s="162"/>
      <c r="B32" s="184"/>
      <c r="C32" s="215"/>
      <c r="D32" s="215"/>
      <c r="E32" s="215"/>
      <c r="F32" s="215"/>
      <c r="G32" s="194"/>
      <c r="H32" s="194"/>
      <c r="I32" s="194"/>
      <c r="J32" s="194"/>
      <c r="K32" s="194"/>
      <c r="L32" s="194"/>
      <c r="M32" s="194"/>
      <c r="N32" s="194"/>
      <c r="O32" s="194"/>
      <c r="P32" s="194"/>
    </row>
    <row r="33" spans="1:16" ht="15" customHeight="1" x14ac:dyDescent="0.35">
      <c r="A33" s="185" t="s">
        <v>102</v>
      </c>
      <c r="B33" s="825" t="s">
        <v>229</v>
      </c>
      <c r="C33" s="825"/>
      <c r="D33" s="825"/>
      <c r="E33" s="825"/>
      <c r="F33" s="825"/>
      <c r="G33" s="825"/>
      <c r="H33" s="825"/>
      <c r="I33" s="825"/>
      <c r="J33" s="825"/>
      <c r="K33" s="194"/>
      <c r="L33" s="194"/>
      <c r="M33" s="194"/>
      <c r="N33" s="194"/>
      <c r="O33" s="194"/>
      <c r="P33" s="194"/>
    </row>
    <row r="34" spans="1:16" ht="15" customHeight="1" x14ac:dyDescent="0.35">
      <c r="A34" s="185" t="s">
        <v>230</v>
      </c>
      <c r="B34" s="839" t="s">
        <v>258</v>
      </c>
      <c r="C34" s="839"/>
      <c r="D34" s="839"/>
      <c r="E34" s="839"/>
      <c r="F34" s="839"/>
      <c r="G34" s="839"/>
      <c r="H34" s="839"/>
      <c r="I34" s="839"/>
      <c r="J34" s="839"/>
      <c r="K34" s="194"/>
      <c r="L34" s="194"/>
      <c r="M34" s="194"/>
      <c r="N34" s="194"/>
      <c r="O34" s="194"/>
      <c r="P34" s="194"/>
    </row>
    <row r="35" spans="1:16" ht="15" customHeight="1" x14ac:dyDescent="0.35">
      <c r="A35" s="162" t="s">
        <v>232</v>
      </c>
      <c r="B35" s="839" t="s">
        <v>233</v>
      </c>
      <c r="C35" s="839"/>
      <c r="D35" s="839"/>
      <c r="E35" s="839"/>
      <c r="F35" s="839"/>
      <c r="G35" s="839"/>
      <c r="H35" s="839"/>
      <c r="I35" s="162"/>
      <c r="J35" s="825"/>
      <c r="K35" s="825"/>
      <c r="L35" s="825"/>
      <c r="M35" s="825"/>
      <c r="N35" s="825"/>
      <c r="O35" s="825"/>
      <c r="P35" s="825"/>
    </row>
    <row r="36" spans="1:16" ht="36.65" customHeight="1" x14ac:dyDescent="0.35">
      <c r="A36" s="162" t="s">
        <v>234</v>
      </c>
      <c r="B36" s="825" t="s">
        <v>473</v>
      </c>
      <c r="C36" s="825"/>
      <c r="D36" s="825"/>
      <c r="E36" s="825"/>
      <c r="F36" s="825"/>
      <c r="G36" s="825"/>
      <c r="H36" s="825"/>
      <c r="I36" s="162"/>
      <c r="J36" s="275"/>
      <c r="K36" s="275"/>
      <c r="L36" s="275"/>
      <c r="M36" s="275"/>
      <c r="N36" s="275"/>
      <c r="O36" s="275"/>
      <c r="P36" s="275"/>
    </row>
    <row r="37" spans="1:16" ht="23.4" customHeight="1" x14ac:dyDescent="0.35">
      <c r="A37" s="185" t="s">
        <v>236</v>
      </c>
      <c r="B37" s="839" t="s">
        <v>238</v>
      </c>
      <c r="C37" s="839"/>
      <c r="D37" s="839"/>
      <c r="E37" s="839"/>
      <c r="F37" s="839"/>
      <c r="G37" s="839"/>
      <c r="H37" s="839"/>
      <c r="I37" s="839"/>
      <c r="J37" s="839"/>
      <c r="K37" s="194"/>
      <c r="L37" s="194"/>
      <c r="M37" s="194"/>
      <c r="N37" s="194"/>
      <c r="O37" s="194"/>
      <c r="P37" s="194"/>
    </row>
    <row r="38" spans="1:16" x14ac:dyDescent="0.35">
      <c r="A38" s="185" t="s">
        <v>237</v>
      </c>
      <c r="B38" s="839" t="s">
        <v>293</v>
      </c>
      <c r="C38" s="839"/>
      <c r="D38" s="839"/>
      <c r="E38" s="839"/>
      <c r="F38" s="839"/>
      <c r="G38" s="839"/>
      <c r="H38" s="839"/>
      <c r="I38" s="839"/>
      <c r="J38" s="839"/>
      <c r="K38" s="194"/>
      <c r="L38" s="194"/>
      <c r="M38" s="194"/>
      <c r="N38" s="194"/>
      <c r="O38" s="194"/>
      <c r="P38" s="194"/>
    </row>
    <row r="39" spans="1:16" x14ac:dyDescent="0.35">
      <c r="B39" s="883" t="s">
        <v>462</v>
      </c>
      <c r="C39" s="883"/>
      <c r="D39" s="883"/>
      <c r="E39" s="883"/>
      <c r="F39" s="883"/>
      <c r="G39" s="883"/>
      <c r="H39" s="883"/>
      <c r="I39" s="883"/>
    </row>
    <row r="40" spans="1:16" ht="87.9" customHeight="1" x14ac:dyDescent="0.35">
      <c r="A40" s="845" t="s">
        <v>147</v>
      </c>
      <c r="B40" s="845"/>
      <c r="C40" s="845"/>
      <c r="D40" s="845"/>
      <c r="E40" s="845"/>
      <c r="F40" s="845"/>
      <c r="G40" s="845"/>
      <c r="H40" s="845"/>
      <c r="I40" s="845"/>
      <c r="J40" s="845"/>
    </row>
  </sheetData>
  <sheetProtection algorithmName="SHA-512" hashValue="m1KqU6z1dYcxEhK7HsL32tsbqEXZaUD6DN80tUaig3paL0HNhIidIkTC7hz/jJns2iXnjT3dh6QIH4HrzG3vrA==" saltValue="wZTAGcCxjens7b8g4eu2uw==" spinCount="100000" sheet="1" objects="1" scenarios="1"/>
  <mergeCells count="17">
    <mergeCell ref="B36:H36"/>
    <mergeCell ref="B37:J37"/>
    <mergeCell ref="B38:J38"/>
    <mergeCell ref="A40:J40"/>
    <mergeCell ref="B30:J30"/>
    <mergeCell ref="B31:J31"/>
    <mergeCell ref="B33:J33"/>
    <mergeCell ref="B34:J34"/>
    <mergeCell ref="B35:H35"/>
    <mergeCell ref="J35:P35"/>
    <mergeCell ref="B39:I39"/>
    <mergeCell ref="B29:J29"/>
    <mergeCell ref="C3:F4"/>
    <mergeCell ref="G3:H4"/>
    <mergeCell ref="A5:A7"/>
    <mergeCell ref="B5:B7"/>
    <mergeCell ref="C5:C6"/>
  </mergeCells>
  <hyperlinks>
    <hyperlink ref="B27" location="'NORTE SANTANDER'!A40" display="Ver Nota Informativa" xr:uid="{00000000-0004-0000-1200-000000000000}"/>
  </hyperlinks>
  <pageMargins left="0.7" right="0.7" top="0.75" bottom="0.75" header="0.3" footer="0.3"/>
  <pageSetup orientation="portrait" r:id="rId1"/>
  <ignoredErrors>
    <ignoredError sqref="C11 D17:H17 D21:F21 D13:H13 D14:H14 D15:H15 E11:F11 H11" formula="1"/>
    <ignoredError sqref="C12:H12" numberStoredAsText="1" 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41"/>
  <sheetViews>
    <sheetView topLeftCell="B1" zoomScale="80" zoomScaleNormal="80" workbookViewId="0">
      <selection activeCell="J10" sqref="J10"/>
    </sheetView>
  </sheetViews>
  <sheetFormatPr baseColWidth="10" defaultRowHeight="14.5" x14ac:dyDescent="0.35"/>
  <cols>
    <col min="2" max="2" width="45.90625" customWidth="1"/>
    <col min="3" max="3" width="12.36328125" customWidth="1"/>
    <col min="4" max="4" width="15.81640625" hidden="1" customWidth="1"/>
    <col min="5" max="5" width="15.81640625" style="693" customWidth="1"/>
    <col min="6" max="6" width="13.54296875" hidden="1" customWidth="1"/>
    <col min="7" max="7" width="16.453125" customWidth="1"/>
    <col min="8" max="8" width="18.36328125" hidden="1" customWidth="1"/>
    <col min="9" max="9" width="18.36328125" style="693" customWidth="1"/>
    <col min="10" max="10" width="17.81640625" customWidth="1"/>
    <col min="12" max="12" width="0" hidden="1" customWidth="1"/>
  </cols>
  <sheetData>
    <row r="1" spans="1:12" x14ac:dyDescent="0.35">
      <c r="A1" s="138"/>
      <c r="B1" s="138" t="str">
        <f>+AMAZONAS!C1</f>
        <v>Vigencia: 01 de enero de 2022; 00:00 horas</v>
      </c>
    </row>
    <row r="2" spans="1:12" ht="15" thickBot="1" x14ac:dyDescent="0.4">
      <c r="A2" s="165" t="s">
        <v>179</v>
      </c>
      <c r="B2" s="165"/>
      <c r="D2" s="566"/>
      <c r="E2" s="566"/>
    </row>
    <row r="3" spans="1:12" ht="15.9" customHeight="1" thickTop="1" x14ac:dyDescent="0.35">
      <c r="A3" s="195"/>
      <c r="B3" s="196" t="s">
        <v>323</v>
      </c>
      <c r="C3" s="846" t="s">
        <v>180</v>
      </c>
      <c r="D3" s="847"/>
      <c r="E3" s="847"/>
      <c r="F3" s="847"/>
      <c r="G3" s="848"/>
      <c r="H3" s="852" t="s">
        <v>250</v>
      </c>
      <c r="I3" s="880"/>
      <c r="J3" s="853"/>
    </row>
    <row r="4" spans="1:12" x14ac:dyDescent="0.35">
      <c r="A4" s="140"/>
      <c r="B4" s="287" t="s">
        <v>324</v>
      </c>
      <c r="C4" s="849"/>
      <c r="D4" s="850"/>
      <c r="E4" s="850"/>
      <c r="F4" s="850"/>
      <c r="G4" s="851"/>
      <c r="H4" s="854"/>
      <c r="I4" s="881"/>
      <c r="J4" s="855"/>
    </row>
    <row r="5" spans="1:12" ht="38.25" customHeight="1" x14ac:dyDescent="0.35">
      <c r="A5" s="840" t="s">
        <v>181</v>
      </c>
      <c r="B5" s="842" t="s">
        <v>182</v>
      </c>
      <c r="C5" s="826" t="s">
        <v>241</v>
      </c>
      <c r="D5" s="425" t="s">
        <v>96</v>
      </c>
      <c r="E5" s="702" t="s">
        <v>96</v>
      </c>
      <c r="F5" s="425" t="s">
        <v>172</v>
      </c>
      <c r="G5" s="425" t="str">
        <f>+'NORTE SANTANDER'!F5</f>
        <v>Biodiesel B11</v>
      </c>
      <c r="H5" s="425" t="s">
        <v>96</v>
      </c>
      <c r="I5" s="702" t="s">
        <v>96</v>
      </c>
      <c r="J5" s="423" t="str">
        <f>+G5</f>
        <v>Biodiesel B11</v>
      </c>
    </row>
    <row r="6" spans="1:12" x14ac:dyDescent="0.35">
      <c r="A6" s="840"/>
      <c r="B6" s="842"/>
      <c r="C6" s="827"/>
      <c r="D6" s="582" t="s">
        <v>512</v>
      </c>
      <c r="E6" s="582" t="s">
        <v>522</v>
      </c>
      <c r="F6" s="189">
        <v>0.02</v>
      </c>
      <c r="G6" s="172">
        <f>+'NORTE SANTANDER'!F6</f>
        <v>0.11</v>
      </c>
      <c r="H6" s="558" t="str">
        <f>+D6</f>
        <v>Oxigena 5%</v>
      </c>
      <c r="I6" s="558" t="str">
        <f>+E6</f>
        <v>Oxigena 6%</v>
      </c>
      <c r="J6" s="172">
        <f>+G6</f>
        <v>0.11</v>
      </c>
    </row>
    <row r="7" spans="1:12" x14ac:dyDescent="0.35">
      <c r="A7" s="841"/>
      <c r="B7" s="843"/>
      <c r="C7" s="424" t="s">
        <v>183</v>
      </c>
      <c r="D7" s="425" t="s">
        <v>183</v>
      </c>
      <c r="E7" s="702" t="s">
        <v>183</v>
      </c>
      <c r="F7" s="425" t="s">
        <v>183</v>
      </c>
      <c r="G7" s="425" t="s">
        <v>183</v>
      </c>
      <c r="H7" s="424" t="s">
        <v>183</v>
      </c>
      <c r="I7" s="701" t="s">
        <v>183</v>
      </c>
      <c r="J7" s="423" t="s">
        <v>183</v>
      </c>
    </row>
    <row r="8" spans="1:12" x14ac:dyDescent="0.35">
      <c r="A8" s="143" t="s">
        <v>184</v>
      </c>
      <c r="B8" s="149" t="s">
        <v>185</v>
      </c>
      <c r="C8" s="213">
        <f>+'Calculo IP ZDF'!B38</f>
        <v>5098.1713099999997</v>
      </c>
      <c r="D8" s="219">
        <f>+'Calculo IP ZDF'!H38</f>
        <v>5348.3252444999998</v>
      </c>
      <c r="E8" s="709">
        <f>+'Calculo IP ZDF'!I38</f>
        <v>5398.3560313999997</v>
      </c>
      <c r="F8" s="221">
        <f>+'Calculo IP ZDF'!F38</f>
        <v>4528.8242</v>
      </c>
      <c r="G8" s="220">
        <f>+'Calculo IP ZDF'!J38</f>
        <v>5950.8161268399999</v>
      </c>
      <c r="H8" s="198">
        <f>+'GAS CTE'!E9</f>
        <v>5358.517499999999</v>
      </c>
      <c r="I8" s="708">
        <f>+'GAS CTE'!F9</f>
        <v>5408.45</v>
      </c>
      <c r="J8" s="223">
        <f>+BIODIESEL!I9</f>
        <v>6189.2880000000005</v>
      </c>
    </row>
    <row r="9" spans="1:12" x14ac:dyDescent="0.35">
      <c r="A9" s="143" t="s">
        <v>186</v>
      </c>
      <c r="B9" s="149" t="s">
        <v>187</v>
      </c>
      <c r="C9" s="199" t="str">
        <f t="shared" ref="C9:C13" si="0">+D9</f>
        <v>------------------</v>
      </c>
      <c r="D9" s="174" t="s">
        <v>188</v>
      </c>
      <c r="E9" s="707" t="s">
        <v>188</v>
      </c>
      <c r="F9" s="200" t="s">
        <v>188</v>
      </c>
      <c r="G9" s="146" t="s">
        <v>188</v>
      </c>
      <c r="H9" s="198">
        <f>+'GAS CTE'!E10</f>
        <v>527.2974999999999</v>
      </c>
      <c r="I9" s="708">
        <f>+'GAS CTE'!F10</f>
        <v>521.74699999999996</v>
      </c>
      <c r="J9" s="224">
        <f>+BIODIESEL!I10</f>
        <v>472.83</v>
      </c>
    </row>
    <row r="10" spans="1:12" x14ac:dyDescent="0.35">
      <c r="A10" s="143"/>
      <c r="B10" s="149" t="s">
        <v>132</v>
      </c>
      <c r="C10" s="199" t="str">
        <f>+D10</f>
        <v>------------------</v>
      </c>
      <c r="D10" s="174" t="s">
        <v>188</v>
      </c>
      <c r="E10" s="707" t="s">
        <v>188</v>
      </c>
      <c r="F10" s="200" t="s">
        <v>188</v>
      </c>
      <c r="G10" s="146" t="s">
        <v>188</v>
      </c>
      <c r="H10" s="214" t="str">
        <f>+COMBUSTIBLES!B12</f>
        <v>(3)</v>
      </c>
      <c r="I10" s="711" t="str">
        <f>+H10</f>
        <v>(3)</v>
      </c>
      <c r="J10" s="224" t="str">
        <f>+BIODIESEL!H11</f>
        <v>(3)</v>
      </c>
    </row>
    <row r="11" spans="1:12" x14ac:dyDescent="0.35">
      <c r="A11" s="143"/>
      <c r="B11" s="149" t="s">
        <v>134</v>
      </c>
      <c r="C11" s="199" t="str">
        <f>+GUAINIA!C11</f>
        <v>(4)</v>
      </c>
      <c r="D11" s="174" t="str">
        <f>+C11</f>
        <v>(4)</v>
      </c>
      <c r="E11" s="707" t="str">
        <f>+D11</f>
        <v>(4)</v>
      </c>
      <c r="F11" s="200" t="str">
        <f>+C11</f>
        <v>(4)</v>
      </c>
      <c r="G11" s="146" t="str">
        <f>+C11</f>
        <v>(4)</v>
      </c>
      <c r="H11" s="198" t="str">
        <f>+D11</f>
        <v>(4)</v>
      </c>
      <c r="I11" s="708" t="str">
        <f>+E11</f>
        <v>(4)</v>
      </c>
      <c r="J11" s="220" t="str">
        <f>+G11</f>
        <v>(4)</v>
      </c>
    </row>
    <row r="12" spans="1:12" x14ac:dyDescent="0.35">
      <c r="A12" s="143" t="s">
        <v>189</v>
      </c>
      <c r="B12" s="149" t="s">
        <v>270</v>
      </c>
      <c r="C12" s="199" t="str">
        <f t="shared" si="0"/>
        <v>(2)</v>
      </c>
      <c r="D12" s="173" t="s">
        <v>217</v>
      </c>
      <c r="E12" s="706" t="s">
        <v>217</v>
      </c>
      <c r="F12" s="147" t="s">
        <v>217</v>
      </c>
      <c r="G12" s="146" t="s">
        <v>217</v>
      </c>
      <c r="H12" s="198" t="str">
        <f>+G12</f>
        <v>(2)</v>
      </c>
      <c r="I12" s="708" t="str">
        <f>+H12</f>
        <v>(2)</v>
      </c>
      <c r="J12" s="223" t="s">
        <v>217</v>
      </c>
    </row>
    <row r="13" spans="1:12" x14ac:dyDescent="0.35">
      <c r="A13" s="143" t="s">
        <v>252</v>
      </c>
      <c r="B13" s="149" t="s">
        <v>432</v>
      </c>
      <c r="C13" s="199" t="str">
        <f t="shared" si="0"/>
        <v>N.A.</v>
      </c>
      <c r="D13" s="173" t="s">
        <v>254</v>
      </c>
      <c r="E13" s="706" t="s">
        <v>254</v>
      </c>
      <c r="F13" s="200" t="s">
        <v>218</v>
      </c>
      <c r="G13" s="148" t="str">
        <f>+F13</f>
        <v>(4)</v>
      </c>
      <c r="H13" s="198" t="s">
        <v>254</v>
      </c>
      <c r="I13" s="708" t="s">
        <v>254</v>
      </c>
      <c r="J13" s="220" t="str">
        <f>+G13</f>
        <v>(4)</v>
      </c>
    </row>
    <row r="14" spans="1:12" x14ac:dyDescent="0.35">
      <c r="A14" s="143" t="s">
        <v>191</v>
      </c>
      <c r="B14" s="149" t="s">
        <v>192</v>
      </c>
      <c r="C14" s="199">
        <f>+RUBROS!Z19</f>
        <v>22.249601678692599</v>
      </c>
      <c r="D14" s="173">
        <f>+C14</f>
        <v>22.249601678692599</v>
      </c>
      <c r="E14" s="710">
        <f>+D14</f>
        <v>22.249601678692599</v>
      </c>
      <c r="F14" s="147">
        <f>+C14</f>
        <v>22.249601678692599</v>
      </c>
      <c r="G14" s="146">
        <f>+C14</f>
        <v>22.249601678692599</v>
      </c>
      <c r="H14" s="198">
        <f>+C14</f>
        <v>22.249601678692599</v>
      </c>
      <c r="I14" s="708">
        <f>+D14</f>
        <v>22.249601678692599</v>
      </c>
      <c r="J14" s="223">
        <f>+H14</f>
        <v>22.249601678692599</v>
      </c>
      <c r="L14" s="446" t="s">
        <v>427</v>
      </c>
    </row>
    <row r="15" spans="1:12" x14ac:dyDescent="0.35">
      <c r="A15" s="143" t="s">
        <v>195</v>
      </c>
      <c r="B15" s="218" t="s">
        <v>196</v>
      </c>
      <c r="C15" s="199">
        <f>+RUBROS!AU41</f>
        <v>13.326421256197724</v>
      </c>
      <c r="D15" s="173">
        <f>+C15</f>
        <v>13.326421256197724</v>
      </c>
      <c r="E15" s="201">
        <f>+D15</f>
        <v>13.326421256197724</v>
      </c>
      <c r="F15" s="201">
        <f>+C15</f>
        <v>13.326421256197724</v>
      </c>
      <c r="G15" s="146">
        <f>+C15</f>
        <v>13.326421256197724</v>
      </c>
      <c r="H15" s="198">
        <f>+C15</f>
        <v>13.326421256197724</v>
      </c>
      <c r="I15" s="198">
        <f>+D15</f>
        <v>13.326421256197724</v>
      </c>
      <c r="J15" s="223">
        <f>+C15</f>
        <v>13.326421256197724</v>
      </c>
      <c r="L15" s="446" t="s">
        <v>427</v>
      </c>
    </row>
    <row r="16" spans="1:12" hidden="1" x14ac:dyDescent="0.35">
      <c r="A16" s="143"/>
      <c r="B16" s="149" t="s">
        <v>197</v>
      </c>
      <c r="C16" s="199"/>
      <c r="D16" s="332"/>
      <c r="E16" s="203"/>
      <c r="F16" s="203"/>
      <c r="G16" s="146"/>
      <c r="H16" s="198"/>
      <c r="I16" s="198"/>
      <c r="J16" s="225"/>
    </row>
    <row r="17" spans="1:18" x14ac:dyDescent="0.35">
      <c r="A17" s="150" t="s">
        <v>198</v>
      </c>
      <c r="B17" s="180" t="s">
        <v>199</v>
      </c>
      <c r="C17" s="204">
        <f>SUM(C8:C16)</f>
        <v>5133.7473329348904</v>
      </c>
      <c r="D17" s="333">
        <f t="shared" ref="D17:J17" si="1">SUM(D8:D16)</f>
        <v>5383.9012674348905</v>
      </c>
      <c r="E17" s="333">
        <f t="shared" si="1"/>
        <v>5433.9320543348904</v>
      </c>
      <c r="F17" s="205">
        <f t="shared" si="1"/>
        <v>4564.4002229348907</v>
      </c>
      <c r="G17" s="206">
        <f t="shared" si="1"/>
        <v>5986.3921497748906</v>
      </c>
      <c r="H17" s="207">
        <f t="shared" si="1"/>
        <v>5921.3910229348894</v>
      </c>
      <c r="I17" s="207">
        <f t="shared" ref="I17" si="2">SUM(I8:I16)</f>
        <v>5965.7730229348908</v>
      </c>
      <c r="J17" s="226">
        <f t="shared" si="1"/>
        <v>6697.6940229348911</v>
      </c>
    </row>
    <row r="18" spans="1:18" x14ac:dyDescent="0.35">
      <c r="A18" s="143" t="s">
        <v>200</v>
      </c>
      <c r="B18" s="149" t="s">
        <v>201</v>
      </c>
      <c r="C18" s="199" t="s">
        <v>232</v>
      </c>
      <c r="D18" s="334" t="str">
        <f>+C18</f>
        <v>***</v>
      </c>
      <c r="E18" s="334" t="str">
        <f>+D18</f>
        <v>***</v>
      </c>
      <c r="F18" s="208" t="str">
        <f>+C18</f>
        <v>***</v>
      </c>
      <c r="G18" s="146" t="str">
        <f>+C18</f>
        <v>***</v>
      </c>
      <c r="H18" s="201" t="str">
        <f>+J18</f>
        <v>***</v>
      </c>
      <c r="I18" s="201">
        <f>+K18</f>
        <v>0</v>
      </c>
      <c r="J18" s="227" t="s">
        <v>232</v>
      </c>
    </row>
    <row r="19" spans="1:18" x14ac:dyDescent="0.35">
      <c r="A19" s="143" t="s">
        <v>202</v>
      </c>
      <c r="B19" s="149" t="s">
        <v>203</v>
      </c>
      <c r="C19" s="199" t="str">
        <f>+D19</f>
        <v>**</v>
      </c>
      <c r="D19" s="179" t="s">
        <v>230</v>
      </c>
      <c r="E19" s="179" t="s">
        <v>230</v>
      </c>
      <c r="F19" s="209" t="s">
        <v>230</v>
      </c>
      <c r="G19" s="146" t="s">
        <v>230</v>
      </c>
      <c r="H19" s="201" t="str">
        <f>+J19</f>
        <v>**</v>
      </c>
      <c r="I19" s="201">
        <f>+K19</f>
        <v>0</v>
      </c>
      <c r="J19" s="220" t="s">
        <v>230</v>
      </c>
    </row>
    <row r="20" spans="1:18" x14ac:dyDescent="0.35">
      <c r="A20" s="143" t="s">
        <v>204</v>
      </c>
      <c r="B20" s="149" t="s">
        <v>205</v>
      </c>
      <c r="C20" s="199" t="str">
        <f>+D20</f>
        <v>****</v>
      </c>
      <c r="D20" s="173" t="s">
        <v>234</v>
      </c>
      <c r="E20" s="173" t="s">
        <v>234</v>
      </c>
      <c r="F20" s="147" t="str">
        <f>+D20</f>
        <v>****</v>
      </c>
      <c r="G20" s="146" t="str">
        <f>+F20</f>
        <v>****</v>
      </c>
      <c r="H20" s="201" t="str">
        <f>+G20</f>
        <v>****</v>
      </c>
      <c r="I20" s="201" t="str">
        <f>+H20</f>
        <v>****</v>
      </c>
      <c r="J20" s="223" t="str">
        <f>+G20</f>
        <v>****</v>
      </c>
    </row>
    <row r="21" spans="1:18" x14ac:dyDescent="0.35">
      <c r="A21" s="150" t="s">
        <v>206</v>
      </c>
      <c r="B21" s="180" t="s">
        <v>207</v>
      </c>
      <c r="C21" s="204">
        <f t="shared" ref="C21:J21" si="3">+C17</f>
        <v>5133.7473329348904</v>
      </c>
      <c r="D21" s="335">
        <f t="shared" si="3"/>
        <v>5383.9012674348905</v>
      </c>
      <c r="E21" s="335">
        <f t="shared" ref="E21" si="4">+E17</f>
        <v>5433.9320543348904</v>
      </c>
      <c r="F21" s="204">
        <f t="shared" si="3"/>
        <v>4564.4002229348907</v>
      </c>
      <c r="G21" s="222">
        <f t="shared" si="3"/>
        <v>5986.3921497748906</v>
      </c>
      <c r="H21" s="204">
        <f t="shared" si="3"/>
        <v>5921.3910229348894</v>
      </c>
      <c r="I21" s="204">
        <f t="shared" ref="I21" si="5">+I17</f>
        <v>5965.7730229348908</v>
      </c>
      <c r="J21" s="222">
        <f t="shared" si="3"/>
        <v>6697.6940229348911</v>
      </c>
    </row>
    <row r="22" spans="1:18" x14ac:dyDescent="0.35">
      <c r="A22" s="143" t="s">
        <v>208</v>
      </c>
      <c r="B22" s="149" t="s">
        <v>160</v>
      </c>
      <c r="C22" s="199" t="s">
        <v>232</v>
      </c>
      <c r="D22" s="173" t="str">
        <f>+C22</f>
        <v>***</v>
      </c>
      <c r="E22" s="173" t="str">
        <f>+D22</f>
        <v>***</v>
      </c>
      <c r="F22" s="147" t="str">
        <f>+D22</f>
        <v>***</v>
      </c>
      <c r="G22" s="146" t="str">
        <f>+F22</f>
        <v>***</v>
      </c>
      <c r="H22" s="201" t="str">
        <f>+J22</f>
        <v>***</v>
      </c>
      <c r="I22" s="201">
        <f>+K22</f>
        <v>0</v>
      </c>
      <c r="J22" s="223" t="s">
        <v>232</v>
      </c>
    </row>
    <row r="23" spans="1:18" x14ac:dyDescent="0.35">
      <c r="A23" s="143" t="s">
        <v>209</v>
      </c>
      <c r="B23" s="144" t="s">
        <v>210</v>
      </c>
      <c r="C23" s="199" t="str">
        <f>+D23</f>
        <v>*****</v>
      </c>
      <c r="D23" s="173" t="s">
        <v>236</v>
      </c>
      <c r="E23" s="173" t="s">
        <v>236</v>
      </c>
      <c r="F23" s="147" t="s">
        <v>254</v>
      </c>
      <c r="G23" s="146" t="s">
        <v>211</v>
      </c>
      <c r="H23" s="201" t="str">
        <f>+D23</f>
        <v>*****</v>
      </c>
      <c r="I23" s="201" t="str">
        <f>+E23</f>
        <v>*****</v>
      </c>
      <c r="J23" s="223" t="s">
        <v>255</v>
      </c>
    </row>
    <row r="24" spans="1:18" x14ac:dyDescent="0.35">
      <c r="A24" s="143" t="s">
        <v>212</v>
      </c>
      <c r="B24" s="149" t="s">
        <v>213</v>
      </c>
      <c r="C24" s="199" t="str">
        <f>+D24</f>
        <v>******</v>
      </c>
      <c r="D24" s="179" t="s">
        <v>237</v>
      </c>
      <c r="E24" s="179" t="s">
        <v>237</v>
      </c>
      <c r="F24" s="209" t="str">
        <f>+D24</f>
        <v>******</v>
      </c>
      <c r="G24" s="148" t="str">
        <f>+F24</f>
        <v>******</v>
      </c>
      <c r="H24" s="201" t="str">
        <f>+G24</f>
        <v>******</v>
      </c>
      <c r="I24" s="201" t="str">
        <f>+H24</f>
        <v>******</v>
      </c>
      <c r="J24" s="220" t="str">
        <f>+H24</f>
        <v>******</v>
      </c>
    </row>
    <row r="25" spans="1:18" ht="15" thickBot="1" x14ac:dyDescent="0.4">
      <c r="A25" s="154" t="s">
        <v>214</v>
      </c>
      <c r="B25" s="155" t="s">
        <v>215</v>
      </c>
      <c r="C25" s="210"/>
      <c r="D25" s="158"/>
      <c r="E25" s="211"/>
      <c r="F25" s="211"/>
      <c r="G25" s="157"/>
      <c r="H25" s="211"/>
      <c r="I25" s="211"/>
      <c r="J25" s="228"/>
    </row>
    <row r="26" spans="1:18" ht="15" thickTop="1" x14ac:dyDescent="0.35"/>
    <row r="27" spans="1:18" x14ac:dyDescent="0.35">
      <c r="A27" s="162"/>
      <c r="B27" s="266" t="s">
        <v>228</v>
      </c>
      <c r="C27" s="215"/>
      <c r="D27" s="215"/>
      <c r="E27" s="215"/>
      <c r="F27" s="215"/>
      <c r="G27" s="215"/>
      <c r="H27" s="194"/>
      <c r="I27" s="194"/>
      <c r="J27" s="194"/>
      <c r="K27" s="194"/>
      <c r="L27" s="194"/>
      <c r="M27" s="194"/>
      <c r="N27" s="194"/>
      <c r="O27" s="194"/>
      <c r="P27" s="194"/>
      <c r="Q27" s="194"/>
      <c r="R27" s="194"/>
    </row>
    <row r="28" spans="1:18" x14ac:dyDescent="0.35">
      <c r="A28" s="162"/>
      <c r="B28" s="184"/>
      <c r="C28" s="215"/>
      <c r="D28" s="215"/>
      <c r="E28" s="215"/>
      <c r="F28" s="215"/>
      <c r="G28" s="215"/>
      <c r="H28" s="194"/>
      <c r="I28" s="194"/>
      <c r="J28" s="194"/>
      <c r="K28" s="194"/>
      <c r="L28" s="194"/>
      <c r="M28" s="194"/>
      <c r="N28" s="194"/>
      <c r="O28" s="194"/>
      <c r="P28" s="194"/>
      <c r="Q28" s="194"/>
      <c r="R28" s="194"/>
    </row>
    <row r="29" spans="1:18" ht="15" customHeight="1" x14ac:dyDescent="0.35">
      <c r="A29" s="162" t="s">
        <v>190</v>
      </c>
      <c r="B29" s="839" t="str">
        <f>+'NORTE SANTANDER'!B29:J29</f>
        <v>De acuerdo con lo establecido en la Resolución MME 91349 de 2014</v>
      </c>
      <c r="C29" s="839"/>
      <c r="D29" s="839"/>
      <c r="E29" s="839"/>
      <c r="F29" s="839"/>
      <c r="G29" s="839"/>
      <c r="H29" s="839"/>
      <c r="I29" s="839"/>
      <c r="J29" s="839"/>
      <c r="K29" s="839"/>
      <c r="L29" s="839"/>
      <c r="M29" s="216"/>
      <c r="N29" s="216"/>
      <c r="O29" s="216"/>
      <c r="P29" s="216"/>
      <c r="Q29" s="216"/>
      <c r="R29" s="216"/>
    </row>
    <row r="30" spans="1:18" ht="27.15" customHeight="1" x14ac:dyDescent="0.35">
      <c r="A30" s="162" t="s">
        <v>217</v>
      </c>
      <c r="B30" s="824" t="s">
        <v>271</v>
      </c>
      <c r="C30" s="824"/>
      <c r="D30" s="824"/>
      <c r="E30" s="824"/>
      <c r="F30" s="824"/>
      <c r="G30" s="824"/>
      <c r="H30" s="824"/>
      <c r="I30" s="824"/>
      <c r="J30" s="824"/>
      <c r="K30" s="824"/>
      <c r="L30" s="824"/>
      <c r="M30" s="194"/>
      <c r="N30" s="194"/>
      <c r="O30" s="194"/>
      <c r="P30" s="194"/>
      <c r="Q30" s="194"/>
      <c r="R30" s="194"/>
    </row>
    <row r="31" spans="1:18" ht="65.25" customHeight="1" x14ac:dyDescent="0.35">
      <c r="A31" s="162" t="s">
        <v>133</v>
      </c>
      <c r="B31" s="839" t="s">
        <v>335</v>
      </c>
      <c r="C31" s="839"/>
      <c r="D31" s="839"/>
      <c r="E31" s="839"/>
      <c r="F31" s="839"/>
      <c r="G31" s="839"/>
      <c r="H31" s="839"/>
      <c r="I31" s="839"/>
      <c r="J31" s="839"/>
      <c r="K31" s="839"/>
      <c r="L31" s="839"/>
      <c r="M31" s="194"/>
      <c r="N31" s="194"/>
      <c r="O31" s="194"/>
      <c r="P31" s="194"/>
      <c r="Q31" s="194"/>
      <c r="R31" s="194"/>
    </row>
    <row r="32" spans="1:18" ht="65.25" customHeight="1" x14ac:dyDescent="0.35">
      <c r="A32" s="162" t="s">
        <v>218</v>
      </c>
      <c r="B32" s="838" t="s">
        <v>410</v>
      </c>
      <c r="C32" s="838"/>
      <c r="D32" s="838"/>
      <c r="E32" s="838"/>
      <c r="F32" s="838"/>
      <c r="G32" s="838"/>
      <c r="H32" s="838"/>
      <c r="I32" s="838"/>
      <c r="J32" s="838"/>
      <c r="K32" s="838"/>
      <c r="L32" s="838"/>
      <c r="M32" s="194"/>
      <c r="N32" s="194"/>
      <c r="O32" s="194"/>
      <c r="P32" s="194"/>
      <c r="Q32" s="194"/>
      <c r="R32" s="194"/>
    </row>
    <row r="33" spans="1:18" x14ac:dyDescent="0.35">
      <c r="A33" s="162"/>
      <c r="B33" s="184"/>
      <c r="C33" s="215"/>
      <c r="D33" s="215"/>
      <c r="E33" s="215"/>
      <c r="F33" s="215"/>
      <c r="G33" s="215"/>
      <c r="H33" s="194"/>
      <c r="I33" s="194"/>
      <c r="J33" s="194"/>
      <c r="K33" s="194"/>
      <c r="L33" s="194"/>
      <c r="M33" s="194"/>
      <c r="N33" s="194"/>
      <c r="O33" s="194"/>
      <c r="P33" s="194"/>
      <c r="Q33" s="194"/>
      <c r="R33" s="194"/>
    </row>
    <row r="34" spans="1:18" ht="15" customHeight="1" x14ac:dyDescent="0.35">
      <c r="A34" s="185" t="s">
        <v>102</v>
      </c>
      <c r="B34" s="825" t="s">
        <v>229</v>
      </c>
      <c r="C34" s="825"/>
      <c r="D34" s="825"/>
      <c r="E34" s="825"/>
      <c r="F34" s="825"/>
      <c r="G34" s="825"/>
      <c r="H34" s="825"/>
      <c r="I34" s="825"/>
      <c r="J34" s="825"/>
      <c r="K34" s="825"/>
      <c r="L34" s="825"/>
      <c r="M34" s="194"/>
      <c r="N34" s="194"/>
      <c r="O34" s="194"/>
      <c r="P34" s="194"/>
      <c r="Q34" s="194"/>
      <c r="R34" s="194"/>
    </row>
    <row r="35" spans="1:18" ht="15" customHeight="1" x14ac:dyDescent="0.35">
      <c r="A35" s="185" t="s">
        <v>230</v>
      </c>
      <c r="B35" s="839" t="s">
        <v>325</v>
      </c>
      <c r="C35" s="839"/>
      <c r="D35" s="839"/>
      <c r="E35" s="839"/>
      <c r="F35" s="839"/>
      <c r="G35" s="839"/>
      <c r="H35" s="839"/>
      <c r="I35" s="839"/>
      <c r="J35" s="839"/>
      <c r="K35" s="839"/>
      <c r="L35" s="839"/>
      <c r="M35" s="194"/>
      <c r="N35" s="194"/>
      <c r="O35" s="194"/>
      <c r="P35" s="194"/>
      <c r="Q35" s="194"/>
      <c r="R35" s="194"/>
    </row>
    <row r="36" spans="1:18" ht="15" customHeight="1" x14ac:dyDescent="0.35">
      <c r="A36" s="162" t="s">
        <v>232</v>
      </c>
      <c r="B36" s="839" t="s">
        <v>233</v>
      </c>
      <c r="C36" s="839"/>
      <c r="D36" s="839"/>
      <c r="E36" s="839"/>
      <c r="F36" s="839"/>
      <c r="G36" s="839"/>
      <c r="H36" s="839"/>
      <c r="I36" s="839"/>
      <c r="J36" s="839"/>
      <c r="K36" s="162"/>
      <c r="L36" s="825"/>
      <c r="M36" s="825"/>
      <c r="N36" s="825"/>
      <c r="O36" s="825"/>
      <c r="P36" s="825"/>
      <c r="Q36" s="825"/>
      <c r="R36" s="825"/>
    </row>
    <row r="37" spans="1:18" ht="15" customHeight="1" x14ac:dyDescent="0.35">
      <c r="A37" s="162" t="s">
        <v>234</v>
      </c>
      <c r="B37" s="825" t="s">
        <v>473</v>
      </c>
      <c r="C37" s="825"/>
      <c r="D37" s="825"/>
      <c r="E37" s="825"/>
      <c r="F37" s="825"/>
      <c r="G37" s="825"/>
      <c r="H37" s="825"/>
      <c r="I37" s="825"/>
      <c r="J37" s="825"/>
      <c r="K37" s="162"/>
      <c r="L37" s="422"/>
      <c r="M37" s="422"/>
      <c r="N37" s="422"/>
      <c r="O37" s="422"/>
      <c r="P37" s="422"/>
      <c r="Q37" s="422"/>
      <c r="R37" s="422"/>
    </row>
    <row r="38" spans="1:18" ht="24" customHeight="1" x14ac:dyDescent="0.35">
      <c r="A38" s="185" t="s">
        <v>236</v>
      </c>
      <c r="B38" s="839" t="s">
        <v>238</v>
      </c>
      <c r="C38" s="839"/>
      <c r="D38" s="839"/>
      <c r="E38" s="839"/>
      <c r="F38" s="839"/>
      <c r="G38" s="839"/>
      <c r="H38" s="839"/>
      <c r="I38" s="839"/>
      <c r="J38" s="839"/>
      <c r="K38" s="839"/>
      <c r="L38" s="839"/>
      <c r="M38" s="194"/>
      <c r="N38" s="194"/>
      <c r="O38" s="194"/>
      <c r="P38" s="194"/>
      <c r="Q38" s="194"/>
      <c r="R38" s="194"/>
    </row>
    <row r="39" spans="1:18" x14ac:dyDescent="0.35">
      <c r="A39" s="185" t="s">
        <v>237</v>
      </c>
      <c r="B39" s="839" t="s">
        <v>278</v>
      </c>
      <c r="C39" s="839"/>
      <c r="D39" s="839"/>
      <c r="E39" s="839"/>
      <c r="F39" s="839"/>
      <c r="G39" s="839"/>
      <c r="H39" s="839"/>
      <c r="I39" s="839"/>
      <c r="J39" s="839"/>
      <c r="K39" s="839"/>
      <c r="L39" s="839"/>
      <c r="M39" s="194"/>
      <c r="N39" s="194"/>
      <c r="O39" s="194"/>
      <c r="P39" s="194"/>
      <c r="Q39" s="194"/>
      <c r="R39" s="194"/>
    </row>
    <row r="41" spans="1:18" ht="87.9" customHeight="1" x14ac:dyDescent="0.35">
      <c r="A41" s="845" t="s">
        <v>147</v>
      </c>
      <c r="B41" s="845"/>
      <c r="C41" s="845"/>
      <c r="D41" s="845"/>
      <c r="E41" s="845"/>
      <c r="F41" s="845"/>
      <c r="G41" s="845"/>
      <c r="H41" s="845"/>
      <c r="I41" s="845"/>
      <c r="J41" s="845"/>
      <c r="K41" s="845"/>
      <c r="L41" s="845"/>
    </row>
  </sheetData>
  <sheetProtection algorithmName="SHA-512" hashValue="/LmyXJEInuU1e9IelI88qRRdZrbhX6zxeme7f4TKzYfKwES1yg2JLcvSqfmK2L697H+Rt7fNd/Ej0OQDnxHATg==" saltValue="vn3RQUrMst3KtojCip4Enw==" spinCount="100000" sheet="1" objects="1" scenarios="1"/>
  <mergeCells count="17">
    <mergeCell ref="B37:J37"/>
    <mergeCell ref="B38:L38"/>
    <mergeCell ref="B39:L39"/>
    <mergeCell ref="A41:L41"/>
    <mergeCell ref="B30:L30"/>
    <mergeCell ref="B31:L31"/>
    <mergeCell ref="B32:L32"/>
    <mergeCell ref="B34:L34"/>
    <mergeCell ref="B35:L35"/>
    <mergeCell ref="B36:J36"/>
    <mergeCell ref="L36:R36"/>
    <mergeCell ref="B29:L29"/>
    <mergeCell ref="C3:G4"/>
    <mergeCell ref="H3:J4"/>
    <mergeCell ref="A5:A7"/>
    <mergeCell ref="B5:B7"/>
    <mergeCell ref="C5:C6"/>
  </mergeCells>
  <hyperlinks>
    <hyperlink ref="B27" location="PUTUMAYO!A40" display="Ver Nota Informativa" xr:uid="{00000000-0004-0000-13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7">
    <tabColor rgb="FFFFFF00"/>
  </sheetPr>
  <dimension ref="A1:R41"/>
  <sheetViews>
    <sheetView zoomScale="90" zoomScaleNormal="90" workbookViewId="0">
      <selection activeCell="L21" sqref="L21"/>
    </sheetView>
  </sheetViews>
  <sheetFormatPr baseColWidth="10" defaultRowHeight="14.5" x14ac:dyDescent="0.35"/>
  <cols>
    <col min="2" max="2" width="47.36328125" customWidth="1"/>
    <col min="3" max="4" width="12.36328125" customWidth="1"/>
    <col min="5" max="5" width="13.81640625" hidden="1" customWidth="1"/>
    <col min="6" max="6" width="13.6328125" customWidth="1"/>
    <col min="7" max="7" width="9.81640625" hidden="1" customWidth="1"/>
    <col min="8" max="8" width="17" hidden="1" customWidth="1"/>
    <col min="9" max="9" width="17" customWidth="1"/>
    <col min="10" max="10" width="15" customWidth="1"/>
    <col min="12" max="12" width="9.54296875" customWidth="1"/>
  </cols>
  <sheetData>
    <row r="1" spans="1:11" x14ac:dyDescent="0.35">
      <c r="A1" s="138"/>
      <c r="B1" s="138" t="str">
        <f>+AMAZONAS!C1</f>
        <v>Vigencia: 01 de enero de 2022; 00:00 horas</v>
      </c>
    </row>
    <row r="2" spans="1:11" ht="15" thickBot="1" x14ac:dyDescent="0.4">
      <c r="A2" s="165" t="s">
        <v>179</v>
      </c>
      <c r="B2" s="165"/>
      <c r="E2" s="479"/>
      <c r="K2" s="510"/>
    </row>
    <row r="3" spans="1:11" ht="15.9" customHeight="1" thickTop="1" x14ac:dyDescent="0.35">
      <c r="A3" s="195"/>
      <c r="B3" s="196" t="s">
        <v>294</v>
      </c>
      <c r="C3" s="846" t="s">
        <v>180</v>
      </c>
      <c r="D3" s="847"/>
      <c r="E3" s="847"/>
      <c r="F3" s="847"/>
      <c r="G3" s="848"/>
      <c r="H3" s="852" t="s">
        <v>250</v>
      </c>
      <c r="I3" s="880"/>
      <c r="J3" s="853"/>
    </row>
    <row r="4" spans="1:11" x14ac:dyDescent="0.35">
      <c r="A4" s="140"/>
      <c r="B4" s="197" t="s">
        <v>295</v>
      </c>
      <c r="C4" s="849"/>
      <c r="D4" s="850"/>
      <c r="E4" s="850"/>
      <c r="F4" s="850"/>
      <c r="G4" s="851"/>
      <c r="H4" s="854"/>
      <c r="I4" s="881"/>
      <c r="J4" s="855"/>
    </row>
    <row r="5" spans="1:11" ht="38.25" customHeight="1" x14ac:dyDescent="0.35">
      <c r="A5" s="840" t="s">
        <v>181</v>
      </c>
      <c r="B5" s="842" t="s">
        <v>182</v>
      </c>
      <c r="C5" s="826" t="s">
        <v>241</v>
      </c>
      <c r="D5" s="650" t="s">
        <v>96</v>
      </c>
      <c r="E5" s="171" t="s">
        <v>96</v>
      </c>
      <c r="F5" s="171" t="s">
        <v>504</v>
      </c>
      <c r="G5" s="171"/>
      <c r="H5" s="171" t="s">
        <v>96</v>
      </c>
      <c r="I5" s="650" t="s">
        <v>96</v>
      </c>
      <c r="J5" s="277" t="str">
        <f>+F5</f>
        <v xml:space="preserve">Biodiesel B5 con destino a mezcla </v>
      </c>
    </row>
    <row r="6" spans="1:11" x14ac:dyDescent="0.35">
      <c r="A6" s="840"/>
      <c r="B6" s="842"/>
      <c r="C6" s="827"/>
      <c r="D6" s="582" t="s">
        <v>508</v>
      </c>
      <c r="E6" s="582" t="s">
        <v>503</v>
      </c>
      <c r="F6" s="189">
        <v>0.05</v>
      </c>
      <c r="G6" s="397"/>
      <c r="H6" s="560" t="str">
        <f>+E6</f>
        <v>Oxigenada 5%</v>
      </c>
      <c r="I6" s="582" t="s">
        <v>508</v>
      </c>
      <c r="J6" s="172">
        <f>+F6</f>
        <v>0.05</v>
      </c>
    </row>
    <row r="7" spans="1:11" x14ac:dyDescent="0.35">
      <c r="A7" s="841"/>
      <c r="B7" s="843"/>
      <c r="C7" s="141" t="s">
        <v>183</v>
      </c>
      <c r="D7" s="650" t="s">
        <v>183</v>
      </c>
      <c r="E7" s="171" t="s">
        <v>183</v>
      </c>
      <c r="F7" s="171" t="s">
        <v>183</v>
      </c>
      <c r="G7" s="171"/>
      <c r="H7" s="141" t="s">
        <v>183</v>
      </c>
      <c r="I7" s="649" t="s">
        <v>183</v>
      </c>
      <c r="J7" s="277" t="s">
        <v>183</v>
      </c>
    </row>
    <row r="8" spans="1:11" x14ac:dyDescent="0.35">
      <c r="A8" s="143" t="s">
        <v>184</v>
      </c>
      <c r="B8" s="149" t="s">
        <v>185</v>
      </c>
      <c r="C8" s="213">
        <f>+'Calculo IP ZDF'!B39</f>
        <v>5108.8999999999996</v>
      </c>
      <c r="D8" s="213">
        <f>+'Calculo IP ZDF'!B39</f>
        <v>5108.8999999999996</v>
      </c>
      <c r="E8" s="675">
        <f>+'Calculo IP ZDF'!N39</f>
        <v>5358.517499999999</v>
      </c>
      <c r="F8" s="221">
        <f>+'Calculo IP ZDF'!O39</f>
        <v>4886.1886847999995</v>
      </c>
      <c r="G8" s="220"/>
      <c r="H8" s="674">
        <f>+'GAS CTE'!E9</f>
        <v>5358.517499999999</v>
      </c>
      <c r="I8" s="198">
        <f>+'GAS CTE'!C6</f>
        <v>5108.8999999999996</v>
      </c>
      <c r="J8" s="223">
        <f>+BIODIESEL!G9</f>
        <v>5257.3765000000003</v>
      </c>
    </row>
    <row r="9" spans="1:11" x14ac:dyDescent="0.35">
      <c r="A9" s="143" t="s">
        <v>186</v>
      </c>
      <c r="B9" s="149" t="s">
        <v>187</v>
      </c>
      <c r="C9" s="199" t="str">
        <f t="shared" ref="C9:C12" si="0">+E9</f>
        <v>------------------</v>
      </c>
      <c r="D9" s="200" t="s">
        <v>188</v>
      </c>
      <c r="E9" s="676" t="s">
        <v>188</v>
      </c>
      <c r="F9" s="200" t="s">
        <v>188</v>
      </c>
      <c r="G9" s="146"/>
      <c r="H9" s="674">
        <f>+'GAS CTE'!E10</f>
        <v>527.2974999999999</v>
      </c>
      <c r="I9" s="198">
        <f>+'GAS CTE'!C10</f>
        <v>555.04999999999995</v>
      </c>
      <c r="J9" s="224">
        <f>+BIODIESEL!G10</f>
        <v>504.70649999999995</v>
      </c>
    </row>
    <row r="10" spans="1:11" x14ac:dyDescent="0.35">
      <c r="A10" s="143"/>
      <c r="B10" s="149" t="s">
        <v>132</v>
      </c>
      <c r="C10" s="199" t="str">
        <f>+E10</f>
        <v>------------------</v>
      </c>
      <c r="D10" s="200" t="s">
        <v>188</v>
      </c>
      <c r="E10" s="676" t="s">
        <v>188</v>
      </c>
      <c r="F10" s="200" t="s">
        <v>188</v>
      </c>
      <c r="G10" s="146"/>
      <c r="H10" s="682" t="str">
        <f>+COMBUSTIBLES!B12</f>
        <v>(3)</v>
      </c>
      <c r="I10" s="214" t="s">
        <v>133</v>
      </c>
      <c r="J10" s="224" t="str">
        <f>+BIODIESEL!H11</f>
        <v>(3)</v>
      </c>
    </row>
    <row r="11" spans="1:11" x14ac:dyDescent="0.35">
      <c r="A11" s="143"/>
      <c r="B11" s="149" t="s">
        <v>134</v>
      </c>
      <c r="C11" s="199" t="str">
        <f>+PUTUMAYO!C11</f>
        <v>(4)</v>
      </c>
      <c r="D11" s="199" t="str">
        <f>+C11</f>
        <v>(4)</v>
      </c>
      <c r="E11" s="676" t="str">
        <f>+C11</f>
        <v>(4)</v>
      </c>
      <c r="F11" s="200" t="str">
        <f>+C11</f>
        <v>(4)</v>
      </c>
      <c r="G11" s="146"/>
      <c r="H11" s="674" t="str">
        <f>+C11</f>
        <v>(4)</v>
      </c>
      <c r="I11" s="198" t="s">
        <v>218</v>
      </c>
      <c r="J11" s="220" t="str">
        <f>+C11</f>
        <v>(4)</v>
      </c>
    </row>
    <row r="12" spans="1:11" x14ac:dyDescent="0.35">
      <c r="A12" s="143" t="s">
        <v>189</v>
      </c>
      <c r="B12" s="149" t="s">
        <v>292</v>
      </c>
      <c r="C12" s="199" t="str">
        <f t="shared" si="0"/>
        <v>(2)</v>
      </c>
      <c r="D12" s="199" t="str">
        <f>+C12</f>
        <v>(2)</v>
      </c>
      <c r="E12" s="677" t="s">
        <v>217</v>
      </c>
      <c r="F12" s="147" t="s">
        <v>217</v>
      </c>
      <c r="G12" s="146"/>
      <c r="H12" s="674" t="str">
        <f>+E12</f>
        <v>(2)</v>
      </c>
      <c r="I12" s="198" t="str">
        <f>+D12</f>
        <v>(2)</v>
      </c>
      <c r="J12" s="223" t="s">
        <v>217</v>
      </c>
    </row>
    <row r="13" spans="1:11" x14ac:dyDescent="0.35">
      <c r="A13" s="143" t="s">
        <v>191</v>
      </c>
      <c r="B13" s="149" t="s">
        <v>192</v>
      </c>
      <c r="C13" s="199">
        <f>+RUBROS!Z19</f>
        <v>22.249601678692599</v>
      </c>
      <c r="D13" s="199">
        <f>+C13</f>
        <v>22.249601678692599</v>
      </c>
      <c r="E13" s="677">
        <f>+C13</f>
        <v>22.249601678692599</v>
      </c>
      <c r="F13" s="147">
        <f>+E13</f>
        <v>22.249601678692599</v>
      </c>
      <c r="G13" s="146"/>
      <c r="H13" s="674">
        <f>+C13</f>
        <v>22.249601678692599</v>
      </c>
      <c r="I13" s="198">
        <f>+C13</f>
        <v>22.249601678692599</v>
      </c>
      <c r="J13" s="223">
        <f>+H13</f>
        <v>22.249601678692599</v>
      </c>
    </row>
    <row r="14" spans="1:11" x14ac:dyDescent="0.35">
      <c r="A14" s="143" t="s">
        <v>195</v>
      </c>
      <c r="B14" s="218" t="s">
        <v>196</v>
      </c>
      <c r="C14" s="199">
        <f>+RUBROS!AU41</f>
        <v>13.326421256197724</v>
      </c>
      <c r="D14" s="199">
        <f>+C14</f>
        <v>13.326421256197724</v>
      </c>
      <c r="E14" s="677">
        <f>+C14</f>
        <v>13.326421256197724</v>
      </c>
      <c r="F14" s="201">
        <f>+C14</f>
        <v>13.326421256197724</v>
      </c>
      <c r="G14" s="146"/>
      <c r="H14" s="674">
        <f>+C14</f>
        <v>13.326421256197724</v>
      </c>
      <c r="I14" s="198">
        <f>+C14</f>
        <v>13.326421256197724</v>
      </c>
      <c r="J14" s="223">
        <f>+C14</f>
        <v>13.326421256197724</v>
      </c>
    </row>
    <row r="15" spans="1:11" hidden="1" x14ac:dyDescent="0.35">
      <c r="A15" s="143"/>
      <c r="B15" s="149" t="s">
        <v>197</v>
      </c>
      <c r="C15" s="199"/>
      <c r="D15" s="651"/>
      <c r="E15" s="678"/>
      <c r="F15" s="203"/>
      <c r="G15" s="146"/>
      <c r="H15" s="674"/>
      <c r="I15" s="657"/>
      <c r="J15" s="225"/>
    </row>
    <row r="16" spans="1:11" x14ac:dyDescent="0.35">
      <c r="A16" s="150" t="s">
        <v>198</v>
      </c>
      <c r="B16" s="180" t="s">
        <v>199</v>
      </c>
      <c r="C16" s="204">
        <f>SUM(C8:C15)</f>
        <v>5144.4760229348904</v>
      </c>
      <c r="D16" s="205">
        <f t="shared" ref="D16:J16" si="1">SUM(D8:D15)</f>
        <v>5144.4760229348904</v>
      </c>
      <c r="E16" s="679">
        <f t="shared" si="1"/>
        <v>5394.0935229348897</v>
      </c>
      <c r="F16" s="205">
        <f t="shared" si="1"/>
        <v>4921.7647077348902</v>
      </c>
      <c r="G16" s="206"/>
      <c r="H16" s="674">
        <f t="shared" si="1"/>
        <v>5921.3910229348894</v>
      </c>
      <c r="I16" s="207">
        <f t="shared" si="1"/>
        <v>5699.5260229348905</v>
      </c>
      <c r="J16" s="226">
        <f t="shared" si="1"/>
        <v>5797.6590229348913</v>
      </c>
    </row>
    <row r="17" spans="1:18" x14ac:dyDescent="0.35">
      <c r="A17" s="143" t="s">
        <v>200</v>
      </c>
      <c r="B17" s="149" t="s">
        <v>201</v>
      </c>
      <c r="C17" s="199" t="s">
        <v>232</v>
      </c>
      <c r="D17" s="652" t="str">
        <f>+C17</f>
        <v>***</v>
      </c>
      <c r="E17" s="680" t="str">
        <f>+C17</f>
        <v>***</v>
      </c>
      <c r="F17" s="208" t="str">
        <f>+C17</f>
        <v>***</v>
      </c>
      <c r="G17" s="146"/>
      <c r="H17" s="674" t="str">
        <f>+J17</f>
        <v>***</v>
      </c>
      <c r="I17" s="658" t="str">
        <f>+C17</f>
        <v>***</v>
      </c>
      <c r="J17" s="227" t="s">
        <v>232</v>
      </c>
    </row>
    <row r="18" spans="1:18" x14ac:dyDescent="0.35">
      <c r="A18" s="143" t="s">
        <v>202</v>
      </c>
      <c r="B18" s="149" t="s">
        <v>203</v>
      </c>
      <c r="C18" s="199" t="str">
        <f>+E18</f>
        <v>**</v>
      </c>
      <c r="D18" s="199" t="str">
        <f>+C18</f>
        <v>**</v>
      </c>
      <c r="E18" s="677" t="s">
        <v>230</v>
      </c>
      <c r="F18" s="209" t="s">
        <v>230</v>
      </c>
      <c r="G18" s="146"/>
      <c r="H18" s="674" t="str">
        <f>+J18</f>
        <v>**</v>
      </c>
      <c r="I18" s="201" t="str">
        <f>+C18</f>
        <v>**</v>
      </c>
      <c r="J18" s="220" t="s">
        <v>230</v>
      </c>
      <c r="N18" s="19"/>
    </row>
    <row r="19" spans="1:18" x14ac:dyDescent="0.35">
      <c r="A19" s="143" t="s">
        <v>204</v>
      </c>
      <c r="B19" s="149" t="s">
        <v>205</v>
      </c>
      <c r="C19" s="199" t="str">
        <f>+E19</f>
        <v>****</v>
      </c>
      <c r="D19" s="199" t="str">
        <f>+C19</f>
        <v>****</v>
      </c>
      <c r="E19" s="677" t="s">
        <v>234</v>
      </c>
      <c r="F19" s="147" t="str">
        <f>+E19</f>
        <v>****</v>
      </c>
      <c r="G19" s="146"/>
      <c r="H19" s="674" t="str">
        <f>+C19</f>
        <v>****</v>
      </c>
      <c r="I19" s="201" t="str">
        <f>+C19</f>
        <v>****</v>
      </c>
      <c r="J19" s="223" t="s">
        <v>234</v>
      </c>
    </row>
    <row r="20" spans="1:18" x14ac:dyDescent="0.35">
      <c r="A20" s="150" t="s">
        <v>206</v>
      </c>
      <c r="B20" s="180" t="s">
        <v>207</v>
      </c>
      <c r="C20" s="204">
        <f t="shared" ref="C20:J20" si="2">+C16</f>
        <v>5144.4760229348904</v>
      </c>
      <c r="D20" s="204">
        <f t="shared" si="2"/>
        <v>5144.4760229348904</v>
      </c>
      <c r="E20" s="681">
        <f t="shared" si="2"/>
        <v>5394.0935229348897</v>
      </c>
      <c r="F20" s="204">
        <f t="shared" si="2"/>
        <v>4921.7647077348902</v>
      </c>
      <c r="G20" s="222"/>
      <c r="H20" s="681">
        <f t="shared" si="2"/>
        <v>5921.3910229348894</v>
      </c>
      <c r="I20" s="204">
        <f t="shared" si="2"/>
        <v>5699.5260229348905</v>
      </c>
      <c r="J20" s="222">
        <f t="shared" si="2"/>
        <v>5797.6590229348913</v>
      </c>
      <c r="O20" s="19"/>
    </row>
    <row r="21" spans="1:18" x14ac:dyDescent="0.35">
      <c r="A21" s="143" t="s">
        <v>208</v>
      </c>
      <c r="B21" s="149" t="s">
        <v>160</v>
      </c>
      <c r="C21" s="199" t="s">
        <v>232</v>
      </c>
      <c r="D21" s="199" t="str">
        <f>+C21</f>
        <v>***</v>
      </c>
      <c r="E21" s="677" t="str">
        <f>+C21</f>
        <v>***</v>
      </c>
      <c r="F21" s="147" t="str">
        <f>+E21</f>
        <v>***</v>
      </c>
      <c r="G21" s="146"/>
      <c r="H21" s="674" t="str">
        <f>+C21</f>
        <v>***</v>
      </c>
      <c r="I21" s="201" t="str">
        <f>+C21</f>
        <v>***</v>
      </c>
      <c r="J21" s="223" t="s">
        <v>232</v>
      </c>
    </row>
    <row r="22" spans="1:18" x14ac:dyDescent="0.35">
      <c r="A22" s="143" t="s">
        <v>209</v>
      </c>
      <c r="B22" s="144" t="s">
        <v>210</v>
      </c>
      <c r="C22" s="199" t="str">
        <f>+E22</f>
        <v>*****</v>
      </c>
      <c r="D22" s="199" t="str">
        <f>+C22</f>
        <v>*****</v>
      </c>
      <c r="E22" s="677" t="s">
        <v>236</v>
      </c>
      <c r="F22" s="147" t="s">
        <v>254</v>
      </c>
      <c r="G22" s="146"/>
      <c r="H22" s="674" t="str">
        <f>+C22</f>
        <v>*****</v>
      </c>
      <c r="I22" s="201" t="str">
        <f>+C22</f>
        <v>*****</v>
      </c>
      <c r="J22" s="223" t="s">
        <v>255</v>
      </c>
    </row>
    <row r="23" spans="1:18" x14ac:dyDescent="0.35">
      <c r="A23" s="143" t="s">
        <v>212</v>
      </c>
      <c r="B23" s="149" t="s">
        <v>297</v>
      </c>
      <c r="C23" s="199" t="str">
        <f>+E23</f>
        <v>******</v>
      </c>
      <c r="D23" s="199" t="str">
        <f>+C23</f>
        <v>******</v>
      </c>
      <c r="E23" s="677" t="s">
        <v>237</v>
      </c>
      <c r="F23" s="209" t="str">
        <f>+E23</f>
        <v>******</v>
      </c>
      <c r="G23" s="148"/>
      <c r="H23" s="674">
        <f>+G23</f>
        <v>0</v>
      </c>
      <c r="I23" s="201" t="str">
        <f>+C23</f>
        <v>******</v>
      </c>
      <c r="J23" s="220">
        <f>+H23</f>
        <v>0</v>
      </c>
    </row>
    <row r="24" spans="1:18" ht="15" thickBot="1" x14ac:dyDescent="0.4">
      <c r="A24" s="154" t="s">
        <v>214</v>
      </c>
      <c r="B24" s="155" t="s">
        <v>215</v>
      </c>
      <c r="C24" s="210"/>
      <c r="D24" s="210"/>
      <c r="E24" s="158"/>
      <c r="F24" s="211"/>
      <c r="G24" s="157"/>
      <c r="H24" s="211"/>
      <c r="I24" s="211"/>
      <c r="J24" s="228"/>
    </row>
    <row r="25" spans="1:18" ht="15" thickTop="1" x14ac:dyDescent="0.35"/>
    <row r="26" spans="1:18" x14ac:dyDescent="0.35">
      <c r="A26" s="162"/>
      <c r="B26" s="266" t="s">
        <v>228</v>
      </c>
      <c r="C26" s="215"/>
      <c r="D26" s="215"/>
      <c r="E26" s="215"/>
      <c r="F26" s="215"/>
      <c r="G26" s="215"/>
      <c r="H26" s="194"/>
      <c r="I26" s="194"/>
      <c r="J26" s="194"/>
      <c r="K26" s="194"/>
      <c r="L26" s="194"/>
      <c r="M26" s="194"/>
      <c r="N26" s="194"/>
      <c r="P26" s="194"/>
      <c r="Q26" s="194"/>
      <c r="R26" s="194"/>
    </row>
    <row r="27" spans="1:18" x14ac:dyDescent="0.35">
      <c r="A27" s="162"/>
      <c r="B27" s="184"/>
      <c r="C27" s="215"/>
      <c r="D27" s="215"/>
      <c r="E27" s="215"/>
      <c r="F27" s="215"/>
      <c r="G27" s="215"/>
      <c r="H27" s="194"/>
      <c r="I27" s="194"/>
      <c r="J27" s="194"/>
      <c r="K27" s="194"/>
      <c r="L27" s="194"/>
      <c r="M27" s="194"/>
      <c r="N27" s="194"/>
      <c r="O27" s="194"/>
      <c r="P27" s="194"/>
      <c r="Q27" s="194"/>
      <c r="R27" s="194"/>
    </row>
    <row r="28" spans="1:18" ht="15" customHeight="1" x14ac:dyDescent="0.35">
      <c r="A28" s="162" t="s">
        <v>190</v>
      </c>
      <c r="B28" s="839" t="s">
        <v>414</v>
      </c>
      <c r="C28" s="839"/>
      <c r="D28" s="839"/>
      <c r="E28" s="839"/>
      <c r="F28" s="839"/>
      <c r="G28" s="839"/>
      <c r="H28" s="839"/>
      <c r="I28" s="839"/>
      <c r="J28" s="839"/>
      <c r="K28" s="839"/>
      <c r="L28" s="839"/>
      <c r="M28" s="216"/>
      <c r="N28" s="216"/>
      <c r="O28" s="216"/>
      <c r="P28" s="216"/>
      <c r="Q28" s="216"/>
      <c r="R28" s="216"/>
    </row>
    <row r="29" spans="1:18" ht="26.25" customHeight="1" x14ac:dyDescent="0.35">
      <c r="A29" s="162" t="s">
        <v>217</v>
      </c>
      <c r="B29" s="824" t="s">
        <v>271</v>
      </c>
      <c r="C29" s="824"/>
      <c r="D29" s="824"/>
      <c r="E29" s="824"/>
      <c r="F29" s="824"/>
      <c r="G29" s="824"/>
      <c r="H29" s="824"/>
      <c r="I29" s="824"/>
      <c r="J29" s="824"/>
      <c r="K29" s="824"/>
      <c r="L29" s="824"/>
      <c r="M29" s="194"/>
      <c r="N29" s="194"/>
      <c r="O29" s="194"/>
      <c r="P29" s="194"/>
      <c r="Q29" s="194"/>
      <c r="R29" s="194"/>
    </row>
    <row r="30" spans="1:18" ht="54.65" customHeight="1" x14ac:dyDescent="0.35">
      <c r="A30" s="162" t="s">
        <v>133</v>
      </c>
      <c r="B30" s="839" t="s">
        <v>335</v>
      </c>
      <c r="C30" s="839"/>
      <c r="D30" s="839"/>
      <c r="E30" s="839"/>
      <c r="F30" s="839"/>
      <c r="G30" s="839"/>
      <c r="H30" s="839"/>
      <c r="I30" s="839"/>
      <c r="J30" s="839"/>
      <c r="K30" s="839"/>
      <c r="L30" s="839"/>
      <c r="M30" s="194"/>
      <c r="N30" s="194"/>
      <c r="O30" s="194"/>
      <c r="P30" s="194"/>
      <c r="Q30" s="194"/>
      <c r="R30" s="194"/>
    </row>
    <row r="31" spans="1:18" ht="54.65" customHeight="1" x14ac:dyDescent="0.35">
      <c r="A31" s="162" t="s">
        <v>218</v>
      </c>
      <c r="B31" s="838" t="s">
        <v>410</v>
      </c>
      <c r="C31" s="838"/>
      <c r="D31" s="838"/>
      <c r="E31" s="838"/>
      <c r="F31" s="838"/>
      <c r="G31" s="838"/>
      <c r="H31" s="838"/>
      <c r="I31" s="838"/>
      <c r="J31" s="838"/>
      <c r="K31" s="838"/>
      <c r="L31" s="838"/>
      <c r="M31" s="194"/>
      <c r="N31" s="194"/>
      <c r="O31" s="194"/>
      <c r="P31" s="194"/>
      <c r="Q31" s="194"/>
      <c r="R31" s="194"/>
    </row>
    <row r="32" spans="1:18" ht="31.65" customHeight="1" x14ac:dyDescent="0.35">
      <c r="A32" s="162"/>
      <c r="B32" s="406"/>
      <c r="C32" s="406"/>
      <c r="D32" s="648"/>
      <c r="E32" s="406"/>
      <c r="F32" s="406"/>
      <c r="G32" s="406"/>
      <c r="H32" s="406"/>
      <c r="I32" s="648"/>
      <c r="J32" s="406"/>
      <c r="K32" s="406"/>
      <c r="L32" s="406"/>
      <c r="M32" s="194"/>
      <c r="N32" s="194"/>
      <c r="O32" s="194"/>
      <c r="P32" s="194"/>
      <c r="Q32" s="194"/>
      <c r="R32" s="194"/>
    </row>
    <row r="33" spans="1:18" x14ac:dyDescent="0.35">
      <c r="A33" s="162"/>
      <c r="B33" s="184"/>
      <c r="C33" s="215"/>
      <c r="D33" s="215"/>
      <c r="E33" s="215"/>
      <c r="F33" s="215"/>
      <c r="G33" s="215"/>
      <c r="H33" s="194"/>
      <c r="I33" s="194"/>
      <c r="J33" s="194"/>
      <c r="K33" s="194"/>
      <c r="L33" s="194"/>
      <c r="M33" s="194"/>
      <c r="N33" s="194"/>
      <c r="O33" s="194"/>
      <c r="P33" s="194"/>
      <c r="Q33" s="194"/>
      <c r="R33" s="194"/>
    </row>
    <row r="34" spans="1:18" ht="15" customHeight="1" x14ac:dyDescent="0.35">
      <c r="A34" s="185" t="s">
        <v>102</v>
      </c>
      <c r="B34" s="825" t="s">
        <v>229</v>
      </c>
      <c r="C34" s="825"/>
      <c r="D34" s="825"/>
      <c r="E34" s="825"/>
      <c r="F34" s="825"/>
      <c r="G34" s="825"/>
      <c r="H34" s="825"/>
      <c r="I34" s="825"/>
      <c r="J34" s="825"/>
      <c r="K34" s="825"/>
      <c r="L34" s="825"/>
      <c r="M34" s="194"/>
      <c r="N34" s="194"/>
      <c r="O34" s="194"/>
      <c r="P34" s="194"/>
      <c r="Q34" s="194"/>
      <c r="R34" s="194"/>
    </row>
    <row r="35" spans="1:18" ht="15" customHeight="1" x14ac:dyDescent="0.35">
      <c r="A35" s="185" t="s">
        <v>230</v>
      </c>
      <c r="B35" s="839" t="s">
        <v>296</v>
      </c>
      <c r="C35" s="839"/>
      <c r="D35" s="839"/>
      <c r="E35" s="839"/>
      <c r="F35" s="839"/>
      <c r="G35" s="839"/>
      <c r="H35" s="839"/>
      <c r="I35" s="839"/>
      <c r="J35" s="839"/>
      <c r="K35" s="839"/>
      <c r="L35" s="839"/>
      <c r="M35" s="194"/>
      <c r="N35" s="194"/>
      <c r="O35" s="194"/>
      <c r="P35" s="194"/>
      <c r="Q35" s="194"/>
      <c r="R35" s="194"/>
    </row>
    <row r="36" spans="1:18" ht="15" customHeight="1" x14ac:dyDescent="0.35">
      <c r="A36" s="162" t="s">
        <v>232</v>
      </c>
      <c r="B36" s="839" t="s">
        <v>233</v>
      </c>
      <c r="C36" s="839"/>
      <c r="D36" s="839"/>
      <c r="E36" s="839"/>
      <c r="F36" s="839"/>
      <c r="G36" s="839"/>
      <c r="H36" s="839"/>
      <c r="I36" s="839"/>
      <c r="J36" s="839"/>
      <c r="K36" s="162"/>
      <c r="L36" s="825"/>
      <c r="M36" s="825"/>
      <c r="N36" s="825"/>
      <c r="O36" s="825"/>
      <c r="P36" s="825"/>
      <c r="Q36" s="825"/>
      <c r="R36" s="825"/>
    </row>
    <row r="37" spans="1:18" ht="15" customHeight="1" x14ac:dyDescent="0.35">
      <c r="A37" s="162" t="s">
        <v>234</v>
      </c>
      <c r="B37" s="825" t="s">
        <v>473</v>
      </c>
      <c r="C37" s="825"/>
      <c r="D37" s="825"/>
      <c r="E37" s="825"/>
      <c r="F37" s="825"/>
      <c r="G37" s="825"/>
      <c r="H37" s="825"/>
      <c r="I37" s="825"/>
      <c r="J37" s="825"/>
      <c r="K37" s="162"/>
      <c r="L37" s="275"/>
      <c r="M37" s="275"/>
      <c r="N37" s="275"/>
      <c r="O37" s="275"/>
      <c r="P37" s="275"/>
      <c r="Q37" s="275"/>
      <c r="R37" s="275"/>
    </row>
    <row r="38" spans="1:18" ht="26.25" customHeight="1" x14ac:dyDescent="0.35">
      <c r="A38" s="185" t="s">
        <v>236</v>
      </c>
      <c r="B38" s="839" t="s">
        <v>238</v>
      </c>
      <c r="C38" s="839"/>
      <c r="D38" s="839"/>
      <c r="E38" s="839"/>
      <c r="F38" s="839"/>
      <c r="G38" s="839"/>
      <c r="H38" s="839"/>
      <c r="I38" s="839"/>
      <c r="J38" s="839"/>
      <c r="K38" s="839"/>
      <c r="L38" s="839"/>
      <c r="M38" s="194"/>
      <c r="N38" s="194"/>
      <c r="O38" s="194"/>
      <c r="P38" s="194"/>
      <c r="Q38" s="194"/>
      <c r="R38" s="194"/>
    </row>
    <row r="39" spans="1:18" x14ac:dyDescent="0.35">
      <c r="A39" s="185" t="s">
        <v>237</v>
      </c>
      <c r="B39" s="839" t="s">
        <v>298</v>
      </c>
      <c r="C39" s="839"/>
      <c r="D39" s="839"/>
      <c r="E39" s="839"/>
      <c r="F39" s="839"/>
      <c r="G39" s="839"/>
      <c r="H39" s="839"/>
      <c r="I39" s="839"/>
      <c r="J39" s="839"/>
      <c r="K39" s="839"/>
      <c r="L39" s="839"/>
      <c r="M39" s="194"/>
      <c r="N39" s="194"/>
      <c r="O39" s="194"/>
      <c r="P39" s="194"/>
      <c r="Q39" s="194"/>
      <c r="R39" s="194"/>
    </row>
    <row r="40" spans="1:18" x14ac:dyDescent="0.35">
      <c r="B40" s="883" t="s">
        <v>462</v>
      </c>
      <c r="C40" s="883"/>
      <c r="D40" s="883"/>
      <c r="E40" s="883"/>
      <c r="F40" s="883"/>
      <c r="G40" s="883"/>
      <c r="H40" s="883"/>
      <c r="I40" s="883"/>
      <c r="J40" s="883"/>
      <c r="K40" s="883"/>
    </row>
    <row r="41" spans="1:18" ht="87.9" customHeight="1" x14ac:dyDescent="0.35">
      <c r="A41" s="845" t="s">
        <v>147</v>
      </c>
      <c r="B41" s="845"/>
      <c r="C41" s="845"/>
      <c r="D41" s="845"/>
      <c r="E41" s="845"/>
      <c r="F41" s="845"/>
      <c r="G41" s="845"/>
      <c r="H41" s="845"/>
      <c r="I41" s="845"/>
      <c r="J41" s="845"/>
      <c r="K41" s="845"/>
      <c r="L41" s="845"/>
    </row>
  </sheetData>
  <sheetProtection algorithmName="SHA-512" hashValue="djYDsaqEszZa+BW0zzh9N9uPOVs1XQ8bpQdvjj2J7bqQE1QxBZtJWy5ZkLYI8d9PO4h9waqbfeRjoh6V3J88AA==" saltValue="vuOBrPezxp/W0bjKsaUzbg==" spinCount="100000" sheet="1" objects="1" scenarios="1"/>
  <mergeCells count="18">
    <mergeCell ref="B37:J37"/>
    <mergeCell ref="B38:L38"/>
    <mergeCell ref="B39:L39"/>
    <mergeCell ref="A41:L41"/>
    <mergeCell ref="B29:L29"/>
    <mergeCell ref="B30:L30"/>
    <mergeCell ref="B34:L34"/>
    <mergeCell ref="B35:L35"/>
    <mergeCell ref="B36:J36"/>
    <mergeCell ref="L36:R36"/>
    <mergeCell ref="B31:L31"/>
    <mergeCell ref="B40:K40"/>
    <mergeCell ref="B28:L28"/>
    <mergeCell ref="C3:G4"/>
    <mergeCell ref="H3:J4"/>
    <mergeCell ref="A5:A7"/>
    <mergeCell ref="B5:B7"/>
    <mergeCell ref="C5:C6"/>
  </mergeCells>
  <hyperlinks>
    <hyperlink ref="B26" location="VAUPES!A40" display="Ver Nota Informativa" xr:uid="{00000000-0004-0000-1400-000000000000}"/>
  </hyperlinks>
  <pageMargins left="0.7" right="0.7" top="0.75" bottom="0.75" header="0.3" footer="0.3"/>
  <pageSetup orientation="portrait" r:id="rId1"/>
  <ignoredErrors>
    <ignoredError sqref="F20 E16:F16 H13" formula="1"/>
    <ignoredError sqref="E12:F12 J12"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3:P64"/>
  <sheetViews>
    <sheetView showGridLines="0" zoomScale="90" zoomScaleNormal="90" workbookViewId="0">
      <selection activeCell="Z54" sqref="Z54"/>
    </sheetView>
  </sheetViews>
  <sheetFormatPr baseColWidth="10" defaultRowHeight="14.5" x14ac:dyDescent="0.35"/>
  <cols>
    <col min="3" max="3" width="31.08984375" customWidth="1"/>
    <col min="4" max="4" width="19" customWidth="1"/>
    <col min="5" max="5" width="25" customWidth="1"/>
  </cols>
  <sheetData>
    <row r="3" spans="2:16" ht="47.25" customHeight="1" x14ac:dyDescent="0.35"/>
    <row r="5" spans="2:16" ht="29" x14ac:dyDescent="0.35">
      <c r="C5" s="490" t="s">
        <v>440</v>
      </c>
      <c r="D5" s="505" t="s">
        <v>441</v>
      </c>
      <c r="E5" s="491" t="s">
        <v>442</v>
      </c>
    </row>
    <row r="6" spans="2:16" x14ac:dyDescent="0.35">
      <c r="B6" s="772" t="s">
        <v>443</v>
      </c>
      <c r="C6" s="492" t="s">
        <v>444</v>
      </c>
      <c r="D6" s="493">
        <v>8.3800000000000008</v>
      </c>
      <c r="E6" s="493" t="s">
        <v>445</v>
      </c>
    </row>
    <row r="7" spans="2:16" x14ac:dyDescent="0.35">
      <c r="B7" s="773"/>
      <c r="C7" s="504" t="s">
        <v>455</v>
      </c>
      <c r="D7" s="493"/>
      <c r="E7" s="493" t="s">
        <v>458</v>
      </c>
      <c r="O7" s="479"/>
    </row>
    <row r="8" spans="2:16" x14ac:dyDescent="0.35">
      <c r="B8" s="772" t="s">
        <v>446</v>
      </c>
      <c r="C8" s="492" t="s">
        <v>450</v>
      </c>
      <c r="D8" s="493">
        <v>8.3800000000000008</v>
      </c>
      <c r="E8" s="493" t="s">
        <v>445</v>
      </c>
      <c r="H8" s="500"/>
      <c r="I8" s="501">
        <v>0.03</v>
      </c>
      <c r="J8" s="500"/>
      <c r="K8" s="500"/>
      <c r="L8" s="502">
        <v>2018</v>
      </c>
      <c r="M8" s="502">
        <v>2019</v>
      </c>
      <c r="N8" s="502">
        <v>2020</v>
      </c>
      <c r="O8" s="502">
        <v>2021</v>
      </c>
      <c r="P8" s="500"/>
    </row>
    <row r="9" spans="2:16" x14ac:dyDescent="0.35">
      <c r="B9" s="774"/>
      <c r="C9" s="504" t="s">
        <v>456</v>
      </c>
      <c r="D9" s="493"/>
      <c r="E9" s="493" t="str">
        <f>+E7</f>
        <v>4,55.</v>
      </c>
      <c r="H9" s="500">
        <v>6.82</v>
      </c>
      <c r="I9" s="500">
        <f t="shared" ref="I9:P11" si="0">+H9*(1+$I$8)</f>
        <v>7.0246000000000004</v>
      </c>
      <c r="J9" s="500">
        <f t="shared" si="0"/>
        <v>7.2353380000000005</v>
      </c>
      <c r="K9" s="500">
        <f t="shared" si="0"/>
        <v>7.4523981400000006</v>
      </c>
      <c r="L9" s="500">
        <f t="shared" si="0"/>
        <v>7.6759700842000012</v>
      </c>
      <c r="M9" s="500">
        <f t="shared" si="0"/>
        <v>7.9062491867260016</v>
      </c>
      <c r="N9" s="500">
        <f t="shared" si="0"/>
        <v>8.1434366623277814</v>
      </c>
      <c r="O9" s="503">
        <f t="shared" si="0"/>
        <v>8.3877397621976151</v>
      </c>
      <c r="P9" s="503">
        <f t="shared" si="0"/>
        <v>8.6393719550635435</v>
      </c>
    </row>
    <row r="10" spans="2:16" x14ac:dyDescent="0.35">
      <c r="B10" s="772" t="s">
        <v>447</v>
      </c>
      <c r="C10" s="492" t="s">
        <v>286</v>
      </c>
      <c r="D10" s="493">
        <v>8.3800000000000008</v>
      </c>
      <c r="E10" s="493" t="s">
        <v>445</v>
      </c>
      <c r="H10" s="500">
        <v>3.7</v>
      </c>
      <c r="I10" s="500">
        <f t="shared" si="0"/>
        <v>3.8110000000000004</v>
      </c>
      <c r="J10" s="500">
        <f t="shared" si="0"/>
        <v>3.9253300000000007</v>
      </c>
      <c r="K10" s="500">
        <f t="shared" si="0"/>
        <v>4.0430899000000009</v>
      </c>
      <c r="L10" s="500">
        <f t="shared" si="0"/>
        <v>4.1643825970000012</v>
      </c>
      <c r="M10" s="500">
        <f t="shared" si="0"/>
        <v>4.2893140749100018</v>
      </c>
      <c r="N10" s="500">
        <f t="shared" si="0"/>
        <v>4.4179934971573021</v>
      </c>
      <c r="O10" s="500">
        <f t="shared" si="0"/>
        <v>4.5505333020720213</v>
      </c>
      <c r="P10" s="500">
        <f t="shared" si="0"/>
        <v>4.6870493011341825</v>
      </c>
    </row>
    <row r="11" spans="2:16" x14ac:dyDescent="0.35">
      <c r="B11" s="774"/>
      <c r="C11" s="504" t="s">
        <v>457</v>
      </c>
      <c r="D11" s="493"/>
      <c r="E11" s="493" t="str">
        <f>+E9</f>
        <v>4,55.</v>
      </c>
      <c r="H11" s="500">
        <v>10.52</v>
      </c>
      <c r="I11" s="500">
        <f t="shared" si="0"/>
        <v>10.835599999999999</v>
      </c>
      <c r="J11" s="500">
        <f t="shared" si="0"/>
        <v>11.160667999999999</v>
      </c>
      <c r="K11" s="500">
        <f t="shared" si="0"/>
        <v>11.49548804</v>
      </c>
      <c r="L11" s="500">
        <f t="shared" si="0"/>
        <v>11.840352681200001</v>
      </c>
      <c r="M11" s="500">
        <f t="shared" si="0"/>
        <v>12.195563261636002</v>
      </c>
      <c r="N11" s="500">
        <f t="shared" si="0"/>
        <v>12.561430159485083</v>
      </c>
      <c r="O11" s="500">
        <f t="shared" si="0"/>
        <v>12.938273064269636</v>
      </c>
      <c r="P11" s="500">
        <f t="shared" si="0"/>
        <v>13.326421256197724</v>
      </c>
    </row>
    <row r="12" spans="2:16" x14ac:dyDescent="0.35">
      <c r="B12" s="773" t="s">
        <v>448</v>
      </c>
      <c r="C12" s="492" t="s">
        <v>451</v>
      </c>
      <c r="D12" s="493">
        <v>8.3800000000000008</v>
      </c>
      <c r="E12" s="493" t="s">
        <v>445</v>
      </c>
      <c r="H12" s="500"/>
      <c r="I12" s="500"/>
      <c r="J12" s="500"/>
      <c r="K12" s="500"/>
      <c r="L12" s="500"/>
      <c r="M12" s="500"/>
      <c r="N12" s="500"/>
      <c r="O12" s="500">
        <f>12.94-8.38</f>
        <v>4.5599999999999987</v>
      </c>
      <c r="P12" s="500"/>
    </row>
    <row r="13" spans="2:16" x14ac:dyDescent="0.35">
      <c r="B13" s="774"/>
      <c r="C13" s="492" t="s">
        <v>451</v>
      </c>
      <c r="D13" s="493"/>
      <c r="E13" s="493" t="str">
        <f>+E11</f>
        <v>4,55.</v>
      </c>
    </row>
    <row r="15" spans="2:16" x14ac:dyDescent="0.35">
      <c r="C15" s="450" t="s">
        <v>449</v>
      </c>
    </row>
    <row r="62" spans="3:3" x14ac:dyDescent="0.35">
      <c r="C62" t="s">
        <v>452</v>
      </c>
    </row>
    <row r="63" spans="3:3" x14ac:dyDescent="0.35">
      <c r="C63" t="s">
        <v>454</v>
      </c>
    </row>
    <row r="64" spans="3:3" x14ac:dyDescent="0.35">
      <c r="C64" t="s">
        <v>453</v>
      </c>
    </row>
  </sheetData>
  <mergeCells count="4">
    <mergeCell ref="B6:B7"/>
    <mergeCell ref="B8:B9"/>
    <mergeCell ref="B10:B11"/>
    <mergeCell ref="B12:B13"/>
  </mergeCells>
  <pageMargins left="0.7" right="0.7" top="0.75" bottom="0.75" header="0.3" footer="0.3"/>
  <pageSetup orientation="portrait"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R65"/>
  <sheetViews>
    <sheetView zoomScale="85" zoomScaleNormal="85" workbookViewId="0">
      <selection activeCell="C7" sqref="C7"/>
    </sheetView>
  </sheetViews>
  <sheetFormatPr baseColWidth="10" defaultRowHeight="14.5" x14ac:dyDescent="0.35"/>
  <cols>
    <col min="2" max="2" width="47.36328125" customWidth="1"/>
    <col min="3" max="3" width="12.36328125" customWidth="1"/>
    <col min="4" max="4" width="15.08984375" customWidth="1"/>
    <col min="5" max="5" width="15.81640625" hidden="1" customWidth="1"/>
    <col min="6" max="6" width="16" customWidth="1"/>
    <col min="7" max="7" width="12.6328125" hidden="1" customWidth="1"/>
    <col min="8" max="8" width="17.08984375" hidden="1" customWidth="1"/>
    <col min="9" max="9" width="17.453125" customWidth="1"/>
    <col min="10" max="10" width="17.1796875" customWidth="1"/>
    <col min="11" max="11" width="17.08984375" customWidth="1"/>
    <col min="12" max="12" width="15.36328125" customWidth="1"/>
  </cols>
  <sheetData>
    <row r="1" spans="1:11" x14ac:dyDescent="0.35">
      <c r="A1" s="138"/>
      <c r="B1" s="138" t="str">
        <f>+AMAZONAS!C1</f>
        <v>Vigencia: 01 de enero de 2022; 00:00 horas</v>
      </c>
    </row>
    <row r="2" spans="1:11" ht="15" thickBot="1" x14ac:dyDescent="0.4">
      <c r="A2" s="165" t="s">
        <v>179</v>
      </c>
      <c r="B2" s="165"/>
    </row>
    <row r="3" spans="1:11" ht="15.9" customHeight="1" thickTop="1" x14ac:dyDescent="0.35">
      <c r="A3" s="195"/>
      <c r="B3" s="196" t="s">
        <v>337</v>
      </c>
      <c r="C3" s="846" t="s">
        <v>180</v>
      </c>
      <c r="D3" s="847"/>
      <c r="E3" s="847"/>
      <c r="F3" s="847"/>
      <c r="G3" s="848"/>
      <c r="H3" s="852" t="s">
        <v>250</v>
      </c>
      <c r="I3" s="880"/>
      <c r="J3" s="853"/>
    </row>
    <row r="4" spans="1:11" x14ac:dyDescent="0.35">
      <c r="A4" s="140"/>
      <c r="B4" s="197" t="s">
        <v>336</v>
      </c>
      <c r="C4" s="849"/>
      <c r="D4" s="850"/>
      <c r="E4" s="850"/>
      <c r="F4" s="850"/>
      <c r="G4" s="851"/>
      <c r="H4" s="854"/>
      <c r="I4" s="881"/>
      <c r="J4" s="855"/>
    </row>
    <row r="5" spans="1:11" ht="38.25" customHeight="1" x14ac:dyDescent="0.35">
      <c r="A5" s="840" t="s">
        <v>181</v>
      </c>
      <c r="B5" s="842" t="s">
        <v>182</v>
      </c>
      <c r="C5" s="826" t="s">
        <v>241</v>
      </c>
      <c r="D5" s="650" t="s">
        <v>96</v>
      </c>
      <c r="E5" s="341" t="s">
        <v>96</v>
      </c>
      <c r="F5" s="341" t="s">
        <v>504</v>
      </c>
      <c r="G5" s="341"/>
      <c r="H5" s="341" t="s">
        <v>96</v>
      </c>
      <c r="I5" s="650" t="s">
        <v>96</v>
      </c>
      <c r="J5" s="339" t="str">
        <f>+F5</f>
        <v xml:space="preserve">Biodiesel B5 con destino a mezcla </v>
      </c>
    </row>
    <row r="6" spans="1:11" x14ac:dyDescent="0.35">
      <c r="A6" s="840"/>
      <c r="B6" s="842"/>
      <c r="C6" s="827"/>
      <c r="D6" s="582" t="s">
        <v>508</v>
      </c>
      <c r="E6" s="582" t="s">
        <v>503</v>
      </c>
      <c r="F6" s="189">
        <v>0.05</v>
      </c>
      <c r="G6" s="397"/>
      <c r="H6" s="560" t="str">
        <f>+E6</f>
        <v>Oxigenada 5%</v>
      </c>
      <c r="I6" s="582" t="s">
        <v>508</v>
      </c>
      <c r="J6" s="172">
        <f>+F6</f>
        <v>0.05</v>
      </c>
    </row>
    <row r="7" spans="1:11" x14ac:dyDescent="0.35">
      <c r="A7" s="841"/>
      <c r="B7" s="843"/>
      <c r="C7" s="340" t="s">
        <v>183</v>
      </c>
      <c r="D7" s="650" t="s">
        <v>183</v>
      </c>
      <c r="E7" s="341" t="s">
        <v>183</v>
      </c>
      <c r="F7" s="341" t="s">
        <v>183</v>
      </c>
      <c r="G7" s="341" t="s">
        <v>183</v>
      </c>
      <c r="H7" s="340" t="s">
        <v>183</v>
      </c>
      <c r="I7" s="649" t="s">
        <v>183</v>
      </c>
      <c r="J7" s="339" t="s">
        <v>183</v>
      </c>
    </row>
    <row r="8" spans="1:11" x14ac:dyDescent="0.35">
      <c r="A8" s="143" t="s">
        <v>184</v>
      </c>
      <c r="B8" s="149" t="s">
        <v>185</v>
      </c>
      <c r="C8" s="213">
        <f>+'Calculo IP ZDF'!B40</f>
        <v>4992.9279699999997</v>
      </c>
      <c r="D8" s="213">
        <f>+'Calculo IP ZDF'!B40</f>
        <v>4992.9279699999997</v>
      </c>
      <c r="E8" s="675">
        <f>+'Calculo IP ZDF'!N40</f>
        <v>5248.3440714999997</v>
      </c>
      <c r="F8" s="221">
        <f>+'Calculo IP ZDF'!O40</f>
        <v>4742.3108389999998</v>
      </c>
      <c r="G8" s="220">
        <f>+'Calculo IP ZDF'!J40</f>
        <v>5546.0160580000002</v>
      </c>
      <c r="H8" s="685">
        <f>+'GAS CTE'!E9</f>
        <v>5358.517499999999</v>
      </c>
      <c r="I8" s="198">
        <f>+'GAS CTE'!C6</f>
        <v>5108.8999999999996</v>
      </c>
      <c r="J8" s="223">
        <f>+BIODIESEL!G9</f>
        <v>5257.3765000000003</v>
      </c>
    </row>
    <row r="9" spans="1:11" x14ac:dyDescent="0.35">
      <c r="A9" s="143" t="s">
        <v>186</v>
      </c>
      <c r="B9" s="149" t="s">
        <v>187</v>
      </c>
      <c r="C9" s="199" t="str">
        <f t="shared" ref="C9:C12" si="0">+E9</f>
        <v>------------------</v>
      </c>
      <c r="D9" s="684" t="s">
        <v>188</v>
      </c>
      <c r="E9" s="676" t="s">
        <v>188</v>
      </c>
      <c r="F9" s="200" t="s">
        <v>188</v>
      </c>
      <c r="G9" s="146" t="s">
        <v>188</v>
      </c>
      <c r="H9" s="685">
        <f>+'GAS CTE'!E10</f>
        <v>527.2974999999999</v>
      </c>
      <c r="I9" s="198">
        <f>+'GAS CTE'!C10</f>
        <v>555.04999999999995</v>
      </c>
      <c r="J9" s="224">
        <f>+BIODIESEL!G10</f>
        <v>504.70649999999995</v>
      </c>
    </row>
    <row r="10" spans="1:11" x14ac:dyDescent="0.35">
      <c r="A10" s="143"/>
      <c r="B10" s="149" t="s">
        <v>132</v>
      </c>
      <c r="C10" s="199" t="str">
        <f>+E10</f>
        <v>------------------</v>
      </c>
      <c r="D10" s="684" t="s">
        <v>188</v>
      </c>
      <c r="E10" s="676" t="s">
        <v>188</v>
      </c>
      <c r="F10" s="200" t="s">
        <v>188</v>
      </c>
      <c r="G10" s="146" t="s">
        <v>188</v>
      </c>
      <c r="H10" s="686" t="str">
        <f>+COMBUSTIBLES!B12</f>
        <v>(3)</v>
      </c>
      <c r="I10" s="214" t="s">
        <v>133</v>
      </c>
      <c r="J10" s="224" t="str">
        <f>+BIODIESEL!H11</f>
        <v>(3)</v>
      </c>
    </row>
    <row r="11" spans="1:11" x14ac:dyDescent="0.35">
      <c r="A11" s="143"/>
      <c r="B11" s="149" t="s">
        <v>134</v>
      </c>
      <c r="C11" s="199" t="str">
        <f>+VAUPES!C11</f>
        <v>(4)</v>
      </c>
      <c r="D11" s="199" t="str">
        <f>+C11</f>
        <v>(4)</v>
      </c>
      <c r="E11" s="676" t="str">
        <f>+C11</f>
        <v>(4)</v>
      </c>
      <c r="F11" s="200" t="str">
        <f>+C11</f>
        <v>(4)</v>
      </c>
      <c r="G11" s="146" t="str">
        <f>+C11</f>
        <v>(4)</v>
      </c>
      <c r="H11" s="685" t="str">
        <f>+C11</f>
        <v>(4)</v>
      </c>
      <c r="I11" s="198" t="str">
        <f>+C11</f>
        <v>(4)</v>
      </c>
      <c r="J11" s="220" t="str">
        <f>+C11</f>
        <v>(4)</v>
      </c>
    </row>
    <row r="12" spans="1:11" x14ac:dyDescent="0.35">
      <c r="A12" s="143" t="s">
        <v>189</v>
      </c>
      <c r="B12" s="149" t="s">
        <v>292</v>
      </c>
      <c r="C12" s="199" t="str">
        <f t="shared" si="0"/>
        <v>(2)</v>
      </c>
      <c r="D12" s="199" t="str">
        <f>+C12</f>
        <v>(2)</v>
      </c>
      <c r="E12" s="677" t="s">
        <v>217</v>
      </c>
      <c r="F12" s="147" t="s">
        <v>217</v>
      </c>
      <c r="G12" s="146" t="s">
        <v>217</v>
      </c>
      <c r="H12" s="685" t="str">
        <f>+G12</f>
        <v>(2)</v>
      </c>
      <c r="I12" s="198" t="str">
        <f>+C12</f>
        <v>(2)</v>
      </c>
      <c r="J12" s="223" t="s">
        <v>217</v>
      </c>
    </row>
    <row r="13" spans="1:11" x14ac:dyDescent="0.35">
      <c r="A13" s="143" t="s">
        <v>191</v>
      </c>
      <c r="B13" s="149" t="s">
        <v>192</v>
      </c>
      <c r="C13" s="199">
        <f>+RUBROS!Z20</f>
        <v>10.288613527118255</v>
      </c>
      <c r="D13" s="199">
        <f>+C13</f>
        <v>10.288613527118255</v>
      </c>
      <c r="E13" s="677">
        <f>+C13</f>
        <v>10.288613527118255</v>
      </c>
      <c r="F13" s="147">
        <f>+E13</f>
        <v>10.288613527118255</v>
      </c>
      <c r="G13" s="146">
        <f>+F13</f>
        <v>10.288613527118255</v>
      </c>
      <c r="H13" s="685">
        <f>+RUBROS!AA20</f>
        <v>22.249601678692599</v>
      </c>
      <c r="I13" s="198">
        <f>+RUBROS!AA20</f>
        <v>22.249601678692599</v>
      </c>
      <c r="J13" s="223">
        <f>+H13</f>
        <v>22.249601678692599</v>
      </c>
      <c r="K13" s="476"/>
    </row>
    <row r="14" spans="1:11" x14ac:dyDescent="0.35">
      <c r="A14" s="143" t="s">
        <v>195</v>
      </c>
      <c r="B14" s="218" t="s">
        <v>196</v>
      </c>
      <c r="C14" s="199">
        <f>+RUBROS!AU31</f>
        <v>13.326421256197724</v>
      </c>
      <c r="D14" s="199">
        <f>+C14</f>
        <v>13.326421256197724</v>
      </c>
      <c r="E14" s="677">
        <f>+C14</f>
        <v>13.326421256197724</v>
      </c>
      <c r="F14" s="201">
        <f>+C14</f>
        <v>13.326421256197724</v>
      </c>
      <c r="G14" s="146">
        <f>+C14</f>
        <v>13.326421256197724</v>
      </c>
      <c r="H14" s="685">
        <f>+C14</f>
        <v>13.326421256197724</v>
      </c>
      <c r="I14" s="198">
        <f>+C14</f>
        <v>13.326421256197724</v>
      </c>
      <c r="J14" s="223">
        <f>+C14</f>
        <v>13.326421256197724</v>
      </c>
    </row>
    <row r="15" spans="1:11" hidden="1" x14ac:dyDescent="0.35">
      <c r="A15" s="143"/>
      <c r="B15" s="149" t="s">
        <v>197</v>
      </c>
      <c r="C15" s="199"/>
      <c r="D15" s="651"/>
      <c r="E15" s="678"/>
      <c r="F15" s="203"/>
      <c r="G15" s="146"/>
      <c r="H15" s="685"/>
      <c r="I15" s="657"/>
      <c r="J15" s="225"/>
    </row>
    <row r="16" spans="1:11" x14ac:dyDescent="0.35">
      <c r="A16" s="150" t="s">
        <v>198</v>
      </c>
      <c r="B16" s="180" t="s">
        <v>199</v>
      </c>
      <c r="C16" s="204">
        <f>SUM(C8:C15)</f>
        <v>5016.5430047833161</v>
      </c>
      <c r="D16" s="204">
        <f>SUM(D8:D15)</f>
        <v>5016.5430047833161</v>
      </c>
      <c r="E16" s="679">
        <f t="shared" ref="E16:J16" si="1">SUM(E8:E15)</f>
        <v>5271.959106283316</v>
      </c>
      <c r="F16" s="205">
        <f t="shared" si="1"/>
        <v>4765.9258737833161</v>
      </c>
      <c r="G16" s="206">
        <f t="shared" si="1"/>
        <v>5569.6310927833165</v>
      </c>
      <c r="H16" s="685">
        <f t="shared" si="1"/>
        <v>5921.3910229348894</v>
      </c>
      <c r="I16" s="207">
        <f t="shared" si="1"/>
        <v>5699.5260229348905</v>
      </c>
      <c r="J16" s="226">
        <f t="shared" si="1"/>
        <v>5797.6590229348913</v>
      </c>
    </row>
    <row r="17" spans="1:13" x14ac:dyDescent="0.35">
      <c r="A17" s="143" t="s">
        <v>200</v>
      </c>
      <c r="B17" s="149" t="s">
        <v>201</v>
      </c>
      <c r="C17" s="199" t="s">
        <v>232</v>
      </c>
      <c r="D17" s="652" t="s">
        <v>232</v>
      </c>
      <c r="E17" s="680" t="str">
        <f>+C17</f>
        <v>***</v>
      </c>
      <c r="F17" s="208" t="str">
        <f>+C17</f>
        <v>***</v>
      </c>
      <c r="G17" s="146" t="str">
        <f>+C17</f>
        <v>***</v>
      </c>
      <c r="H17" s="685" t="str">
        <f>+J17</f>
        <v>***</v>
      </c>
      <c r="I17" s="658" t="s">
        <v>232</v>
      </c>
      <c r="J17" s="227" t="s">
        <v>232</v>
      </c>
    </row>
    <row r="18" spans="1:13" x14ac:dyDescent="0.35">
      <c r="A18" s="143" t="s">
        <v>202</v>
      </c>
      <c r="B18" s="149" t="s">
        <v>203</v>
      </c>
      <c r="C18" s="199" t="str">
        <f>+E18</f>
        <v>**</v>
      </c>
      <c r="D18" s="199" t="s">
        <v>230</v>
      </c>
      <c r="E18" s="677" t="s">
        <v>230</v>
      </c>
      <c r="F18" s="209" t="s">
        <v>230</v>
      </c>
      <c r="G18" s="146" t="s">
        <v>230</v>
      </c>
      <c r="H18" s="685" t="str">
        <f>+J18</f>
        <v>**</v>
      </c>
      <c r="I18" s="201" t="s">
        <v>230</v>
      </c>
      <c r="J18" s="220" t="s">
        <v>230</v>
      </c>
    </row>
    <row r="19" spans="1:13" x14ac:dyDescent="0.35">
      <c r="A19" s="143" t="s">
        <v>204</v>
      </c>
      <c r="B19" s="149" t="s">
        <v>205</v>
      </c>
      <c r="C19" s="199" t="str">
        <f>+E19</f>
        <v>****</v>
      </c>
      <c r="D19" s="199" t="s">
        <v>234</v>
      </c>
      <c r="E19" s="677" t="s">
        <v>234</v>
      </c>
      <c r="F19" s="147" t="str">
        <f>+E19</f>
        <v>****</v>
      </c>
      <c r="G19" s="146" t="str">
        <f>+F19</f>
        <v>****</v>
      </c>
      <c r="H19" s="685" t="str">
        <f>+G19</f>
        <v>****</v>
      </c>
      <c r="I19" s="201" t="s">
        <v>234</v>
      </c>
      <c r="J19" s="223" t="str">
        <f>+G19</f>
        <v>****</v>
      </c>
    </row>
    <row r="20" spans="1:13" x14ac:dyDescent="0.35">
      <c r="A20" s="150" t="s">
        <v>206</v>
      </c>
      <c r="B20" s="180" t="s">
        <v>207</v>
      </c>
      <c r="C20" s="204">
        <f t="shared" ref="C20:J20" si="2">+C16</f>
        <v>5016.5430047833161</v>
      </c>
      <c r="D20" s="681">
        <f t="shared" si="2"/>
        <v>5016.5430047833161</v>
      </c>
      <c r="E20" s="681">
        <f t="shared" si="2"/>
        <v>5271.959106283316</v>
      </c>
      <c r="F20" s="204">
        <f t="shared" si="2"/>
        <v>4765.9258737833161</v>
      </c>
      <c r="G20" s="222">
        <f t="shared" si="2"/>
        <v>5569.6310927833165</v>
      </c>
      <c r="H20" s="687">
        <f t="shared" si="2"/>
        <v>5921.3910229348894</v>
      </c>
      <c r="I20" s="204">
        <f t="shared" si="2"/>
        <v>5699.5260229348905</v>
      </c>
      <c r="J20" s="222">
        <f t="shared" si="2"/>
        <v>5797.6590229348913</v>
      </c>
      <c r="M20" s="19"/>
    </row>
    <row r="21" spans="1:13" x14ac:dyDescent="0.35">
      <c r="A21" s="143" t="s">
        <v>208</v>
      </c>
      <c r="B21" s="149" t="s">
        <v>160</v>
      </c>
      <c r="C21" s="199" t="s">
        <v>232</v>
      </c>
      <c r="D21" s="199" t="s">
        <v>232</v>
      </c>
      <c r="E21" s="677" t="str">
        <f>+C21</f>
        <v>***</v>
      </c>
      <c r="F21" s="147" t="str">
        <f>+E21</f>
        <v>***</v>
      </c>
      <c r="G21" s="146" t="str">
        <f>+F21</f>
        <v>***</v>
      </c>
      <c r="H21" s="685" t="str">
        <f>+E21</f>
        <v>***</v>
      </c>
      <c r="I21" s="201" t="str">
        <f>+D21</f>
        <v>***</v>
      </c>
      <c r="J21" s="223" t="s">
        <v>232</v>
      </c>
    </row>
    <row r="22" spans="1:13" x14ac:dyDescent="0.35">
      <c r="A22" s="143" t="s">
        <v>209</v>
      </c>
      <c r="B22" s="144" t="s">
        <v>210</v>
      </c>
      <c r="C22" s="199" t="str">
        <f>+E22</f>
        <v>*****</v>
      </c>
      <c r="D22" s="199" t="s">
        <v>236</v>
      </c>
      <c r="E22" s="677" t="s">
        <v>236</v>
      </c>
      <c r="F22" s="147" t="s">
        <v>254</v>
      </c>
      <c r="G22" s="146" t="s">
        <v>211</v>
      </c>
      <c r="H22" s="685" t="str">
        <f>+E22</f>
        <v>*****</v>
      </c>
      <c r="I22" s="201" t="str">
        <f>+D22</f>
        <v>*****</v>
      </c>
      <c r="J22" s="223" t="s">
        <v>255</v>
      </c>
    </row>
    <row r="23" spans="1:13" x14ac:dyDescent="0.35">
      <c r="A23" s="143" t="s">
        <v>212</v>
      </c>
      <c r="B23" s="149" t="s">
        <v>297</v>
      </c>
      <c r="C23" s="199" t="str">
        <f>+E23</f>
        <v>******</v>
      </c>
      <c r="D23" s="199" t="s">
        <v>237</v>
      </c>
      <c r="E23" s="677" t="s">
        <v>237</v>
      </c>
      <c r="F23" s="209" t="str">
        <f>+E23</f>
        <v>******</v>
      </c>
      <c r="G23" s="148" t="str">
        <f>+F23</f>
        <v>******</v>
      </c>
      <c r="H23" s="685" t="str">
        <f>+G23</f>
        <v>******</v>
      </c>
      <c r="I23" s="201" t="str">
        <f>+D23</f>
        <v>******</v>
      </c>
      <c r="J23" s="220" t="str">
        <f>+H23</f>
        <v>******</v>
      </c>
    </row>
    <row r="24" spans="1:13" ht="15" thickBot="1" x14ac:dyDescent="0.4">
      <c r="A24" s="154" t="s">
        <v>214</v>
      </c>
      <c r="B24" s="155" t="s">
        <v>215</v>
      </c>
      <c r="C24" s="210"/>
      <c r="D24" s="210"/>
      <c r="E24" s="683"/>
      <c r="F24" s="211"/>
      <c r="G24" s="157"/>
      <c r="H24" s="211"/>
      <c r="I24" s="211"/>
      <c r="J24" s="228"/>
    </row>
    <row r="25" spans="1:13" ht="15" thickTop="1" x14ac:dyDescent="0.35"/>
    <row r="26" spans="1:13" ht="15" thickBot="1" x14ac:dyDescent="0.4"/>
    <row r="27" spans="1:13" ht="15" thickTop="1" x14ac:dyDescent="0.35">
      <c r="A27" s="195"/>
      <c r="B27" s="196" t="s">
        <v>509</v>
      </c>
      <c r="C27" s="846" t="s">
        <v>180</v>
      </c>
      <c r="D27" s="847"/>
      <c r="E27" s="847"/>
      <c r="F27" s="847"/>
      <c r="G27" s="848"/>
      <c r="H27" s="852" t="s">
        <v>250</v>
      </c>
      <c r="I27" s="880"/>
      <c r="J27" s="853"/>
    </row>
    <row r="28" spans="1:13" x14ac:dyDescent="0.35">
      <c r="A28" s="140"/>
      <c r="B28" s="197" t="s">
        <v>336</v>
      </c>
      <c r="C28" s="849"/>
      <c r="D28" s="850"/>
      <c r="E28" s="850"/>
      <c r="F28" s="850"/>
      <c r="G28" s="851"/>
      <c r="H28" s="854"/>
      <c r="I28" s="881"/>
      <c r="J28" s="855"/>
    </row>
    <row r="29" spans="1:13" ht="26" x14ac:dyDescent="0.35">
      <c r="A29" s="840" t="s">
        <v>181</v>
      </c>
      <c r="B29" s="842" t="s">
        <v>182</v>
      </c>
      <c r="C29" s="826" t="s">
        <v>241</v>
      </c>
      <c r="D29" s="650" t="s">
        <v>96</v>
      </c>
      <c r="E29" s="341" t="s">
        <v>96</v>
      </c>
      <c r="F29" s="341" t="s">
        <v>504</v>
      </c>
      <c r="G29" s="341"/>
      <c r="H29" s="341" t="s">
        <v>96</v>
      </c>
      <c r="I29" s="650" t="s">
        <v>96</v>
      </c>
      <c r="J29" s="339" t="str">
        <f>+F29</f>
        <v xml:space="preserve">Biodiesel B5 con destino a mezcla </v>
      </c>
    </row>
    <row r="30" spans="1:13" x14ac:dyDescent="0.35">
      <c r="A30" s="840"/>
      <c r="B30" s="842"/>
      <c r="C30" s="827"/>
      <c r="D30" s="582" t="s">
        <v>508</v>
      </c>
      <c r="E30" s="582" t="s">
        <v>503</v>
      </c>
      <c r="F30" s="189">
        <v>0.05</v>
      </c>
      <c r="G30" s="397"/>
      <c r="H30" s="560" t="str">
        <f>+E30</f>
        <v>Oxigenada 5%</v>
      </c>
      <c r="I30" s="582" t="s">
        <v>508</v>
      </c>
      <c r="J30" s="172">
        <f>+F30</f>
        <v>0.05</v>
      </c>
    </row>
    <row r="31" spans="1:13" x14ac:dyDescent="0.35">
      <c r="A31" s="841"/>
      <c r="B31" s="843"/>
      <c r="C31" s="340" t="s">
        <v>183</v>
      </c>
      <c r="D31" s="650" t="s">
        <v>183</v>
      </c>
      <c r="E31" s="341" t="s">
        <v>183</v>
      </c>
      <c r="F31" s="341" t="s">
        <v>183</v>
      </c>
      <c r="G31" s="341" t="s">
        <v>183</v>
      </c>
      <c r="H31" s="340" t="s">
        <v>183</v>
      </c>
      <c r="I31" s="650" t="s">
        <v>183</v>
      </c>
      <c r="J31" s="339" t="s">
        <v>183</v>
      </c>
    </row>
    <row r="32" spans="1:13" x14ac:dyDescent="0.35">
      <c r="A32" s="143" t="s">
        <v>184</v>
      </c>
      <c r="B32" s="149" t="s">
        <v>185</v>
      </c>
      <c r="C32" s="213">
        <f>+'Calculo IP ZDF'!B41</f>
        <v>5108.8999999999996</v>
      </c>
      <c r="D32" s="213">
        <f>+'Calculo IP ZDF'!B41</f>
        <v>5108.8999999999996</v>
      </c>
      <c r="E32" s="675">
        <f>+'Calculo IP ZDF'!N41</f>
        <v>5358.517499999999</v>
      </c>
      <c r="F32" s="221">
        <f>+'Calculo IP ZDF'!O41</f>
        <v>4890.0197516999997</v>
      </c>
      <c r="G32" s="220">
        <f>+'Calculo IP ZDF'!J41</f>
        <v>5685.9508173999993</v>
      </c>
      <c r="H32" s="685">
        <f>+'GAS CTE'!E9</f>
        <v>5358.517499999999</v>
      </c>
      <c r="I32" s="198">
        <f>+'GAS CTE'!C6</f>
        <v>5108.8999999999996</v>
      </c>
      <c r="J32" s="223">
        <f>+J8</f>
        <v>5257.3765000000003</v>
      </c>
    </row>
    <row r="33" spans="1:10" x14ac:dyDescent="0.35">
      <c r="A33" s="143" t="s">
        <v>186</v>
      </c>
      <c r="B33" s="149" t="s">
        <v>187</v>
      </c>
      <c r="C33" s="213" t="str">
        <f t="shared" ref="C33:J39" si="3">+C9</f>
        <v>------------------</v>
      </c>
      <c r="D33" s="213" t="str">
        <f t="shared" ref="D33" si="4">+D9</f>
        <v>------------------</v>
      </c>
      <c r="E33" s="675" t="str">
        <f t="shared" si="3"/>
        <v>------------------</v>
      </c>
      <c r="F33" s="221" t="str">
        <f t="shared" si="3"/>
        <v>------------------</v>
      </c>
      <c r="G33" s="220" t="str">
        <f t="shared" si="3"/>
        <v>------------------</v>
      </c>
      <c r="H33" s="685">
        <f>+'GAS CTE'!E10</f>
        <v>527.2974999999999</v>
      </c>
      <c r="I33" s="198">
        <f>+'GAS CTE'!C10</f>
        <v>555.04999999999995</v>
      </c>
      <c r="J33" s="223">
        <f t="shared" si="3"/>
        <v>504.70649999999995</v>
      </c>
    </row>
    <row r="34" spans="1:10" x14ac:dyDescent="0.35">
      <c r="A34" s="143"/>
      <c r="B34" s="149" t="s">
        <v>132</v>
      </c>
      <c r="C34" s="213" t="str">
        <f t="shared" si="3"/>
        <v>------------------</v>
      </c>
      <c r="D34" s="213" t="str">
        <f t="shared" ref="D34" si="5">+D10</f>
        <v>------------------</v>
      </c>
      <c r="E34" s="675" t="str">
        <f t="shared" si="3"/>
        <v>------------------</v>
      </c>
      <c r="F34" s="221" t="str">
        <f t="shared" si="3"/>
        <v>------------------</v>
      </c>
      <c r="G34" s="220" t="str">
        <f t="shared" si="3"/>
        <v>------------------</v>
      </c>
      <c r="H34" s="685" t="str">
        <f t="shared" si="3"/>
        <v>(3)</v>
      </c>
      <c r="I34" s="223" t="str">
        <f t="shared" ref="I34" si="6">+I10</f>
        <v>(3)</v>
      </c>
      <c r="J34" s="223" t="str">
        <f t="shared" si="3"/>
        <v>(3)</v>
      </c>
    </row>
    <row r="35" spans="1:10" x14ac:dyDescent="0.35">
      <c r="A35" s="143"/>
      <c r="B35" s="149" t="s">
        <v>134</v>
      </c>
      <c r="C35" s="213" t="str">
        <f t="shared" si="3"/>
        <v>(4)</v>
      </c>
      <c r="D35" s="213" t="str">
        <f t="shared" ref="D35" si="7">+D11</f>
        <v>(4)</v>
      </c>
      <c r="E35" s="675" t="str">
        <f t="shared" si="3"/>
        <v>(4)</v>
      </c>
      <c r="F35" s="221" t="str">
        <f t="shared" si="3"/>
        <v>(4)</v>
      </c>
      <c r="G35" s="220" t="str">
        <f t="shared" si="3"/>
        <v>(4)</v>
      </c>
      <c r="H35" s="685" t="str">
        <f t="shared" si="3"/>
        <v>(4)</v>
      </c>
      <c r="I35" s="223" t="str">
        <f t="shared" ref="I35" si="8">+I11</f>
        <v>(4)</v>
      </c>
      <c r="J35" s="223" t="str">
        <f t="shared" si="3"/>
        <v>(4)</v>
      </c>
    </row>
    <row r="36" spans="1:10" x14ac:dyDescent="0.35">
      <c r="A36" s="143" t="s">
        <v>189</v>
      </c>
      <c r="B36" s="149" t="s">
        <v>292</v>
      </c>
      <c r="C36" s="213" t="str">
        <f t="shared" si="3"/>
        <v>(2)</v>
      </c>
      <c r="D36" s="213" t="str">
        <f t="shared" ref="D36" si="9">+D12</f>
        <v>(2)</v>
      </c>
      <c r="E36" s="675" t="str">
        <f t="shared" si="3"/>
        <v>(2)</v>
      </c>
      <c r="F36" s="221" t="str">
        <f t="shared" si="3"/>
        <v>(2)</v>
      </c>
      <c r="G36" s="220" t="str">
        <f t="shared" si="3"/>
        <v>(2)</v>
      </c>
      <c r="H36" s="685" t="str">
        <f t="shared" si="3"/>
        <v>(2)</v>
      </c>
      <c r="I36" s="223" t="str">
        <f t="shared" ref="I36" si="10">+I12</f>
        <v>(2)</v>
      </c>
      <c r="J36" s="223" t="str">
        <f t="shared" si="3"/>
        <v>(2)</v>
      </c>
    </row>
    <row r="37" spans="1:10" x14ac:dyDescent="0.35">
      <c r="A37" s="143" t="s">
        <v>191</v>
      </c>
      <c r="B37" s="149" t="s">
        <v>192</v>
      </c>
      <c r="C37" s="213">
        <f t="shared" si="3"/>
        <v>10.288613527118255</v>
      </c>
      <c r="D37" s="213">
        <f t="shared" ref="D37" si="11">+D13</f>
        <v>10.288613527118255</v>
      </c>
      <c r="E37" s="675">
        <f t="shared" si="3"/>
        <v>10.288613527118255</v>
      </c>
      <c r="F37" s="221">
        <f t="shared" si="3"/>
        <v>10.288613527118255</v>
      </c>
      <c r="G37" s="220">
        <f t="shared" si="3"/>
        <v>10.288613527118255</v>
      </c>
      <c r="H37" s="685">
        <f t="shared" si="3"/>
        <v>22.249601678692599</v>
      </c>
      <c r="I37" s="223">
        <f t="shared" ref="I37" si="12">+I13</f>
        <v>22.249601678692599</v>
      </c>
      <c r="J37" s="223">
        <f t="shared" si="3"/>
        <v>22.249601678692599</v>
      </c>
    </row>
    <row r="38" spans="1:10" x14ac:dyDescent="0.35">
      <c r="A38" s="143" t="s">
        <v>195</v>
      </c>
      <c r="B38" s="218" t="s">
        <v>196</v>
      </c>
      <c r="C38" s="213">
        <f t="shared" si="3"/>
        <v>13.326421256197724</v>
      </c>
      <c r="D38" s="213">
        <f t="shared" ref="D38" si="13">+D14</f>
        <v>13.326421256197724</v>
      </c>
      <c r="E38" s="675">
        <f t="shared" si="3"/>
        <v>13.326421256197724</v>
      </c>
      <c r="F38" s="221">
        <f t="shared" si="3"/>
        <v>13.326421256197724</v>
      </c>
      <c r="G38" s="220">
        <f t="shared" si="3"/>
        <v>13.326421256197724</v>
      </c>
      <c r="H38" s="685">
        <f t="shared" si="3"/>
        <v>13.326421256197724</v>
      </c>
      <c r="I38" s="223">
        <f t="shared" ref="I38" si="14">+I14</f>
        <v>13.326421256197724</v>
      </c>
      <c r="J38" s="223">
        <f t="shared" si="3"/>
        <v>13.326421256197724</v>
      </c>
    </row>
    <row r="39" spans="1:10" hidden="1" x14ac:dyDescent="0.35">
      <c r="A39" s="143"/>
      <c r="B39" s="149" t="s">
        <v>197</v>
      </c>
      <c r="C39" s="213">
        <f t="shared" si="3"/>
        <v>0</v>
      </c>
      <c r="D39" s="213">
        <f t="shared" ref="D39" si="15">+D15</f>
        <v>0</v>
      </c>
      <c r="E39" s="675">
        <f t="shared" si="3"/>
        <v>0</v>
      </c>
      <c r="F39" s="221">
        <f t="shared" si="3"/>
        <v>0</v>
      </c>
      <c r="G39" s="220">
        <f t="shared" si="3"/>
        <v>0</v>
      </c>
      <c r="H39" s="685">
        <f t="shared" si="3"/>
        <v>0</v>
      </c>
      <c r="I39" s="198"/>
      <c r="J39" s="223">
        <f t="shared" si="3"/>
        <v>0</v>
      </c>
    </row>
    <row r="40" spans="1:10" x14ac:dyDescent="0.35">
      <c r="A40" s="150" t="s">
        <v>198</v>
      </c>
      <c r="B40" s="180" t="s">
        <v>199</v>
      </c>
      <c r="C40" s="204">
        <f>SUM(C32:C39)</f>
        <v>5132.515034783316</v>
      </c>
      <c r="D40" s="679">
        <f t="shared" ref="D40:J40" si="16">SUM(D32:D39)</f>
        <v>5132.515034783316</v>
      </c>
      <c r="E40" s="679">
        <f t="shared" si="16"/>
        <v>5382.1325347833154</v>
      </c>
      <c r="F40" s="205">
        <f t="shared" si="16"/>
        <v>4913.634786483316</v>
      </c>
      <c r="G40" s="206">
        <f t="shared" si="16"/>
        <v>5709.5658521833157</v>
      </c>
      <c r="H40" s="685">
        <f t="shared" si="16"/>
        <v>5921.3910229348894</v>
      </c>
      <c r="I40" s="685">
        <f t="shared" si="16"/>
        <v>5699.5260229348905</v>
      </c>
      <c r="J40" s="226">
        <f t="shared" si="16"/>
        <v>5797.6590229348913</v>
      </c>
    </row>
    <row r="41" spans="1:10" x14ac:dyDescent="0.35">
      <c r="A41" s="143" t="s">
        <v>200</v>
      </c>
      <c r="B41" s="149" t="s">
        <v>201</v>
      </c>
      <c r="C41" s="199" t="s">
        <v>232</v>
      </c>
      <c r="D41" s="652" t="s">
        <v>232</v>
      </c>
      <c r="E41" s="680" t="str">
        <f>+C41</f>
        <v>***</v>
      </c>
      <c r="F41" s="208" t="str">
        <f>+C41</f>
        <v>***</v>
      </c>
      <c r="G41" s="146" t="str">
        <f>+C41</f>
        <v>***</v>
      </c>
      <c r="H41" s="685" t="str">
        <f>+J41</f>
        <v>***</v>
      </c>
      <c r="I41" s="658" t="s">
        <v>232</v>
      </c>
      <c r="J41" s="227" t="s">
        <v>232</v>
      </c>
    </row>
    <row r="42" spans="1:10" x14ac:dyDescent="0.35">
      <c r="A42" s="143" t="s">
        <v>202</v>
      </c>
      <c r="B42" s="149" t="s">
        <v>203</v>
      </c>
      <c r="C42" s="199" t="str">
        <f>+E42</f>
        <v>**</v>
      </c>
      <c r="D42" s="199" t="s">
        <v>230</v>
      </c>
      <c r="E42" s="677" t="s">
        <v>230</v>
      </c>
      <c r="F42" s="209" t="s">
        <v>230</v>
      </c>
      <c r="G42" s="146" t="s">
        <v>230</v>
      </c>
      <c r="H42" s="685" t="str">
        <f>+J42</f>
        <v>**</v>
      </c>
      <c r="I42" s="201" t="s">
        <v>230</v>
      </c>
      <c r="J42" s="220" t="s">
        <v>230</v>
      </c>
    </row>
    <row r="43" spans="1:10" x14ac:dyDescent="0.35">
      <c r="A43" s="143" t="s">
        <v>204</v>
      </c>
      <c r="B43" s="149" t="s">
        <v>205</v>
      </c>
      <c r="C43" s="199" t="str">
        <f>+E43</f>
        <v>****</v>
      </c>
      <c r="D43" s="199" t="s">
        <v>234</v>
      </c>
      <c r="E43" s="677" t="s">
        <v>234</v>
      </c>
      <c r="F43" s="147" t="str">
        <f>+E43</f>
        <v>****</v>
      </c>
      <c r="G43" s="146" t="str">
        <f>+F43</f>
        <v>****</v>
      </c>
      <c r="H43" s="685" t="str">
        <f>+G43</f>
        <v>****</v>
      </c>
      <c r="I43" s="201" t="s">
        <v>234</v>
      </c>
      <c r="J43" s="223" t="str">
        <f>+G43</f>
        <v>****</v>
      </c>
    </row>
    <row r="44" spans="1:10" x14ac:dyDescent="0.35">
      <c r="A44" s="150" t="s">
        <v>206</v>
      </c>
      <c r="B44" s="180" t="s">
        <v>207</v>
      </c>
      <c r="C44" s="204">
        <f t="shared" ref="C44:J44" si="17">+C40</f>
        <v>5132.515034783316</v>
      </c>
      <c r="D44" s="681">
        <f t="shared" si="17"/>
        <v>5132.515034783316</v>
      </c>
      <c r="E44" s="681">
        <f t="shared" si="17"/>
        <v>5382.1325347833154</v>
      </c>
      <c r="F44" s="204">
        <f t="shared" si="17"/>
        <v>4913.634786483316</v>
      </c>
      <c r="G44" s="222">
        <f t="shared" si="17"/>
        <v>5709.5658521833157</v>
      </c>
      <c r="H44" s="687">
        <f t="shared" si="17"/>
        <v>5921.3910229348894</v>
      </c>
      <c r="I44" s="687">
        <f t="shared" si="17"/>
        <v>5699.5260229348905</v>
      </c>
      <c r="J44" s="222">
        <f t="shared" si="17"/>
        <v>5797.6590229348913</v>
      </c>
    </row>
    <row r="45" spans="1:10" x14ac:dyDescent="0.35">
      <c r="A45" s="143" t="s">
        <v>208</v>
      </c>
      <c r="B45" s="149" t="s">
        <v>160</v>
      </c>
      <c r="C45" s="199" t="s">
        <v>232</v>
      </c>
      <c r="D45" s="199" t="s">
        <v>232</v>
      </c>
      <c r="E45" s="677" t="str">
        <f>+C45</f>
        <v>***</v>
      </c>
      <c r="F45" s="147" t="str">
        <f>+E45</f>
        <v>***</v>
      </c>
      <c r="G45" s="146" t="str">
        <f>+F45</f>
        <v>***</v>
      </c>
      <c r="H45" s="685" t="str">
        <f>+E45</f>
        <v>***</v>
      </c>
      <c r="I45" s="201" t="str">
        <f>+D45</f>
        <v>***</v>
      </c>
      <c r="J45" s="223" t="s">
        <v>232</v>
      </c>
    </row>
    <row r="46" spans="1:10" x14ac:dyDescent="0.35">
      <c r="A46" s="143" t="s">
        <v>209</v>
      </c>
      <c r="B46" s="144" t="s">
        <v>210</v>
      </c>
      <c r="C46" s="199" t="str">
        <f>+E46</f>
        <v>*****</v>
      </c>
      <c r="D46" s="199" t="s">
        <v>236</v>
      </c>
      <c r="E46" s="677" t="s">
        <v>236</v>
      </c>
      <c r="F46" s="147" t="s">
        <v>254</v>
      </c>
      <c r="G46" s="146" t="s">
        <v>211</v>
      </c>
      <c r="H46" s="685" t="str">
        <f>+E46</f>
        <v>*****</v>
      </c>
      <c r="I46" s="201" t="str">
        <f>+D46</f>
        <v>*****</v>
      </c>
      <c r="J46" s="223" t="s">
        <v>255</v>
      </c>
    </row>
    <row r="47" spans="1:10" x14ac:dyDescent="0.35">
      <c r="A47" s="143" t="s">
        <v>212</v>
      </c>
      <c r="B47" s="149" t="s">
        <v>297</v>
      </c>
      <c r="C47" s="199" t="str">
        <f>+E47</f>
        <v>******</v>
      </c>
      <c r="D47" s="199" t="s">
        <v>237</v>
      </c>
      <c r="E47" s="677" t="s">
        <v>237</v>
      </c>
      <c r="F47" s="209" t="str">
        <f>+E47</f>
        <v>******</v>
      </c>
      <c r="G47" s="148" t="str">
        <f>+F47</f>
        <v>******</v>
      </c>
      <c r="H47" s="685" t="str">
        <f>+E47</f>
        <v>******</v>
      </c>
      <c r="I47" s="201" t="str">
        <f>+D47</f>
        <v>******</v>
      </c>
      <c r="J47" s="220" t="str">
        <f>+H47</f>
        <v>******</v>
      </c>
    </row>
    <row r="48" spans="1:10" ht="15" thickBot="1" x14ac:dyDescent="0.4">
      <c r="A48" s="154" t="s">
        <v>214</v>
      </c>
      <c r="B48" s="155" t="s">
        <v>215</v>
      </c>
      <c r="C48" s="210"/>
      <c r="D48" s="210"/>
      <c r="E48" s="158"/>
      <c r="F48" s="211"/>
      <c r="G48" s="157"/>
      <c r="H48" s="211"/>
      <c r="I48" s="211"/>
      <c r="J48" s="228"/>
    </row>
    <row r="49" spans="1:18" ht="15" thickTop="1" x14ac:dyDescent="0.35"/>
    <row r="51" spans="1:18" x14ac:dyDescent="0.35">
      <c r="A51" s="162"/>
      <c r="B51" s="266" t="s">
        <v>228</v>
      </c>
      <c r="C51" s="215"/>
      <c r="D51" s="215"/>
      <c r="E51" s="215"/>
      <c r="F51" s="215"/>
      <c r="G51" s="215"/>
      <c r="H51" s="194"/>
      <c r="I51" s="194"/>
      <c r="J51" s="194"/>
      <c r="K51" s="194"/>
      <c r="L51" s="194"/>
      <c r="M51" s="194"/>
      <c r="N51" s="194"/>
      <c r="O51" s="194"/>
      <c r="P51" s="194"/>
      <c r="Q51" s="194"/>
      <c r="R51" s="194"/>
    </row>
    <row r="52" spans="1:18" x14ac:dyDescent="0.35">
      <c r="A52" s="162"/>
      <c r="B52" s="184"/>
      <c r="C52" s="215"/>
      <c r="D52" s="215"/>
      <c r="E52" s="215"/>
      <c r="F52" s="215"/>
      <c r="G52" s="215"/>
      <c r="H52" s="194"/>
      <c r="I52" s="194"/>
      <c r="J52" s="194"/>
      <c r="K52" s="194"/>
      <c r="L52" s="194"/>
      <c r="M52" s="194"/>
      <c r="N52" s="194"/>
      <c r="O52" s="194"/>
      <c r="P52" s="194"/>
      <c r="Q52" s="194"/>
      <c r="R52" s="194"/>
    </row>
    <row r="53" spans="1:18" ht="15" customHeight="1" x14ac:dyDescent="0.35">
      <c r="A53" s="162" t="s">
        <v>190</v>
      </c>
      <c r="B53" s="839" t="str">
        <f>+VAUPES!B28</f>
        <v>De acuerdo con lo establecido en la Resolución MME 91349 de 2014</v>
      </c>
      <c r="C53" s="839"/>
      <c r="D53" s="839"/>
      <c r="E53" s="839"/>
      <c r="F53" s="839"/>
      <c r="G53" s="839"/>
      <c r="H53" s="839"/>
      <c r="I53" s="839"/>
      <c r="J53" s="839"/>
      <c r="K53" s="839"/>
      <c r="L53" s="839"/>
      <c r="M53" s="216"/>
      <c r="N53" s="216"/>
      <c r="O53" s="216"/>
      <c r="P53" s="216"/>
      <c r="Q53" s="216"/>
      <c r="R53" s="216"/>
    </row>
    <row r="54" spans="1:18" ht="26.25" customHeight="1" x14ac:dyDescent="0.35">
      <c r="A54" s="162" t="s">
        <v>217</v>
      </c>
      <c r="B54" s="824" t="s">
        <v>271</v>
      </c>
      <c r="C54" s="824"/>
      <c r="D54" s="824"/>
      <c r="E54" s="824"/>
      <c r="F54" s="824"/>
      <c r="G54" s="824"/>
      <c r="H54" s="824"/>
      <c r="I54" s="824"/>
      <c r="J54" s="824"/>
      <c r="K54" s="824"/>
      <c r="L54" s="824"/>
      <c r="M54" s="194"/>
      <c r="N54" s="194"/>
      <c r="O54" s="194"/>
      <c r="P54" s="194"/>
      <c r="Q54" s="194"/>
      <c r="R54" s="194"/>
    </row>
    <row r="55" spans="1:18" ht="54.65" customHeight="1" x14ac:dyDescent="0.35">
      <c r="A55" s="162" t="s">
        <v>133</v>
      </c>
      <c r="B55" s="839" t="s">
        <v>335</v>
      </c>
      <c r="C55" s="839"/>
      <c r="D55" s="839"/>
      <c r="E55" s="839"/>
      <c r="F55" s="839"/>
      <c r="G55" s="839"/>
      <c r="H55" s="839"/>
      <c r="I55" s="839"/>
      <c r="J55" s="839"/>
      <c r="K55" s="839"/>
      <c r="L55" s="839"/>
      <c r="M55" s="194"/>
      <c r="N55" s="194"/>
      <c r="O55" s="194"/>
      <c r="P55" s="194"/>
      <c r="Q55" s="194"/>
      <c r="R55" s="194"/>
    </row>
    <row r="56" spans="1:18" ht="54.65" customHeight="1" x14ac:dyDescent="0.35">
      <c r="A56" s="162" t="s">
        <v>218</v>
      </c>
      <c r="B56" s="838" t="s">
        <v>410</v>
      </c>
      <c r="C56" s="838"/>
      <c r="D56" s="838"/>
      <c r="E56" s="838"/>
      <c r="F56" s="838"/>
      <c r="G56" s="838"/>
      <c r="H56" s="838"/>
      <c r="I56" s="838"/>
      <c r="J56" s="838"/>
      <c r="K56" s="838"/>
      <c r="L56" s="838"/>
      <c r="M56" s="194"/>
      <c r="N56" s="194"/>
      <c r="O56" s="194"/>
      <c r="P56" s="194"/>
      <c r="Q56" s="194"/>
      <c r="R56" s="194"/>
    </row>
    <row r="57" spans="1:18" x14ac:dyDescent="0.35">
      <c r="A57" s="162"/>
      <c r="B57" s="184"/>
      <c r="C57" s="215"/>
      <c r="D57" s="215"/>
      <c r="E57" s="215"/>
      <c r="F57" s="215"/>
      <c r="G57" s="215"/>
      <c r="H57" s="194"/>
      <c r="I57" s="194"/>
      <c r="J57" s="194"/>
      <c r="K57" s="194"/>
      <c r="L57" s="194"/>
      <c r="M57" s="194"/>
      <c r="N57" s="194"/>
      <c r="O57" s="194"/>
      <c r="P57" s="194"/>
      <c r="Q57" s="194"/>
      <c r="R57" s="194"/>
    </row>
    <row r="58" spans="1:18" ht="15" customHeight="1" x14ac:dyDescent="0.35">
      <c r="A58" s="185" t="s">
        <v>102</v>
      </c>
      <c r="B58" s="825" t="s">
        <v>229</v>
      </c>
      <c r="C58" s="825"/>
      <c r="D58" s="825"/>
      <c r="E58" s="825"/>
      <c r="F58" s="825"/>
      <c r="G58" s="825"/>
      <c r="H58" s="825"/>
      <c r="I58" s="825"/>
      <c r="J58" s="825"/>
      <c r="K58" s="825"/>
      <c r="L58" s="825"/>
      <c r="M58" s="194"/>
      <c r="N58" s="194"/>
      <c r="O58" s="194"/>
      <c r="P58" s="194"/>
      <c r="Q58" s="194"/>
      <c r="R58" s="194"/>
    </row>
    <row r="59" spans="1:18" ht="15" customHeight="1" x14ac:dyDescent="0.35">
      <c r="A59" s="185" t="s">
        <v>230</v>
      </c>
      <c r="B59" s="839" t="s">
        <v>296</v>
      </c>
      <c r="C59" s="839"/>
      <c r="D59" s="839"/>
      <c r="E59" s="839"/>
      <c r="F59" s="839"/>
      <c r="G59" s="839"/>
      <c r="H59" s="839"/>
      <c r="I59" s="839"/>
      <c r="J59" s="839"/>
      <c r="K59" s="839"/>
      <c r="L59" s="839"/>
      <c r="M59" s="194"/>
      <c r="N59" s="194"/>
      <c r="O59" s="194"/>
      <c r="P59" s="194"/>
      <c r="Q59" s="194"/>
      <c r="R59" s="194"/>
    </row>
    <row r="60" spans="1:18" ht="15" customHeight="1" x14ac:dyDescent="0.35">
      <c r="A60" s="162" t="s">
        <v>232</v>
      </c>
      <c r="B60" s="839" t="s">
        <v>233</v>
      </c>
      <c r="C60" s="839"/>
      <c r="D60" s="839"/>
      <c r="E60" s="839"/>
      <c r="F60" s="839"/>
      <c r="G60" s="839"/>
      <c r="H60" s="839"/>
      <c r="I60" s="839"/>
      <c r="J60" s="839"/>
      <c r="K60" s="162"/>
      <c r="L60" s="825"/>
      <c r="M60" s="825"/>
      <c r="N60" s="825"/>
      <c r="O60" s="825"/>
      <c r="P60" s="825"/>
      <c r="Q60" s="825"/>
      <c r="R60" s="825"/>
    </row>
    <row r="61" spans="1:18" ht="15" customHeight="1" x14ac:dyDescent="0.35">
      <c r="A61" s="162" t="s">
        <v>234</v>
      </c>
      <c r="B61" s="825" t="s">
        <v>473</v>
      </c>
      <c r="C61" s="825"/>
      <c r="D61" s="825"/>
      <c r="E61" s="825"/>
      <c r="F61" s="825"/>
      <c r="G61" s="825"/>
      <c r="H61" s="825"/>
      <c r="I61" s="825"/>
      <c r="J61" s="825"/>
      <c r="K61" s="162"/>
      <c r="L61" s="338"/>
      <c r="M61" s="338"/>
      <c r="N61" s="338"/>
      <c r="O61" s="338"/>
      <c r="P61" s="338"/>
      <c r="Q61" s="338"/>
      <c r="R61" s="338"/>
    </row>
    <row r="62" spans="1:18" x14ac:dyDescent="0.35">
      <c r="A62" s="185" t="s">
        <v>236</v>
      </c>
      <c r="B62" s="839" t="s">
        <v>238</v>
      </c>
      <c r="C62" s="839"/>
      <c r="D62" s="839"/>
      <c r="E62" s="839"/>
      <c r="F62" s="839"/>
      <c r="G62" s="839"/>
      <c r="H62" s="839"/>
      <c r="I62" s="839"/>
      <c r="J62" s="839"/>
      <c r="K62" s="839"/>
      <c r="L62" s="839"/>
      <c r="M62" s="194"/>
      <c r="N62" s="194"/>
      <c r="O62" s="194"/>
      <c r="P62" s="194"/>
      <c r="Q62" s="194"/>
      <c r="R62" s="194"/>
    </row>
    <row r="63" spans="1:18" x14ac:dyDescent="0.35">
      <c r="A63" s="185" t="s">
        <v>237</v>
      </c>
      <c r="B63" s="839" t="s">
        <v>298</v>
      </c>
      <c r="C63" s="839"/>
      <c r="D63" s="839"/>
      <c r="E63" s="839"/>
      <c r="F63" s="839"/>
      <c r="G63" s="839"/>
      <c r="H63" s="839"/>
      <c r="I63" s="839"/>
      <c r="J63" s="839"/>
      <c r="K63" s="839"/>
      <c r="L63" s="839"/>
      <c r="M63" s="194"/>
      <c r="N63" s="194"/>
      <c r="O63" s="194"/>
      <c r="P63" s="194"/>
      <c r="Q63" s="194"/>
      <c r="R63" s="194"/>
    </row>
    <row r="65" spans="1:12" ht="87.9" customHeight="1" x14ac:dyDescent="0.35">
      <c r="A65" s="845" t="s">
        <v>147</v>
      </c>
      <c r="B65" s="845"/>
      <c r="C65" s="845"/>
      <c r="D65" s="845"/>
      <c r="E65" s="845"/>
      <c r="F65" s="845"/>
      <c r="G65" s="845"/>
      <c r="H65" s="845"/>
      <c r="I65" s="845"/>
      <c r="J65" s="845"/>
      <c r="K65" s="845"/>
      <c r="L65" s="845"/>
    </row>
  </sheetData>
  <sheetProtection algorithmName="SHA-512" hashValue="cWHbivBGWpeZlJvZbxM0nT4wRcQ3LBvINCF3QDTuiE15Gpee9OS8B0jAXiqtDYqxUxSk5NnqG/g0Dyb5ggr0ZQ==" saltValue="8tV1hYioBd9chTWBDpp8jw==" spinCount="100000" sheet="1" objects="1" scenarios="1"/>
  <mergeCells count="22">
    <mergeCell ref="B61:J61"/>
    <mergeCell ref="B62:L62"/>
    <mergeCell ref="B63:L63"/>
    <mergeCell ref="A65:L65"/>
    <mergeCell ref="B54:L54"/>
    <mergeCell ref="B55:L55"/>
    <mergeCell ref="B58:L58"/>
    <mergeCell ref="B59:L59"/>
    <mergeCell ref="B60:J60"/>
    <mergeCell ref="L60:R60"/>
    <mergeCell ref="B56:L56"/>
    <mergeCell ref="B53:L53"/>
    <mergeCell ref="C3:G4"/>
    <mergeCell ref="H3:J4"/>
    <mergeCell ref="A5:A7"/>
    <mergeCell ref="B5:B7"/>
    <mergeCell ref="C5:C6"/>
    <mergeCell ref="C27:G28"/>
    <mergeCell ref="H27:J28"/>
    <mergeCell ref="A29:A31"/>
    <mergeCell ref="B29:B31"/>
    <mergeCell ref="C29:C30"/>
  </mergeCells>
  <hyperlinks>
    <hyperlink ref="B51" location="VAUPES!A40" display="Ver Nota Informativa" xr:uid="{00000000-0004-0000-1500-000000000000}"/>
  </hyperlink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8"/>
  <dimension ref="A1:H31"/>
  <sheetViews>
    <sheetView showGridLines="0" zoomScale="85" zoomScaleNormal="85" workbookViewId="0">
      <selection activeCell="C8" sqref="C8"/>
    </sheetView>
  </sheetViews>
  <sheetFormatPr baseColWidth="10" defaultRowHeight="14.5" x14ac:dyDescent="0.35"/>
  <cols>
    <col min="1" max="1" width="65.81640625" customWidth="1"/>
    <col min="2" max="2" width="32.36328125" customWidth="1"/>
    <col min="3" max="3" width="31" customWidth="1"/>
    <col min="4" max="4" width="25.54296875" hidden="1" customWidth="1"/>
    <col min="7" max="8" width="0" hidden="1" customWidth="1"/>
  </cols>
  <sheetData>
    <row r="1" spans="1:7" x14ac:dyDescent="0.35">
      <c r="A1" s="894" t="s">
        <v>299</v>
      </c>
      <c r="B1" s="894"/>
      <c r="C1" s="894"/>
      <c r="D1" s="894"/>
      <c r="E1" s="307">
        <v>2826.91</v>
      </c>
    </row>
    <row r="2" spans="1:7" x14ac:dyDescent="0.35">
      <c r="A2" s="894" t="s">
        <v>300</v>
      </c>
      <c r="B2" s="894"/>
      <c r="C2" s="894"/>
      <c r="D2" s="894"/>
      <c r="E2" s="306"/>
    </row>
    <row r="3" spans="1:7" x14ac:dyDescent="0.35">
      <c r="A3" s="894" t="s">
        <v>301</v>
      </c>
      <c r="B3" s="894"/>
      <c r="C3" s="894"/>
      <c r="D3" s="894"/>
      <c r="E3" s="306"/>
    </row>
    <row r="4" spans="1:7" x14ac:dyDescent="0.35">
      <c r="A4" s="305"/>
      <c r="B4" s="305"/>
      <c r="C4" s="306"/>
      <c r="D4" s="306"/>
      <c r="E4" s="306"/>
    </row>
    <row r="5" spans="1:7" ht="15" thickBot="1" x14ac:dyDescent="0.4">
      <c r="A5" s="308" t="str">
        <f>+AMAZONAS!C1</f>
        <v>Vigencia: 01 de enero de 2022; 00:00 horas</v>
      </c>
      <c r="B5" s="305"/>
      <c r="D5" s="689" t="s">
        <v>513</v>
      </c>
      <c r="E5" s="306"/>
    </row>
    <row r="6" spans="1:7" ht="15.9" customHeight="1" thickTop="1" x14ac:dyDescent="0.35">
      <c r="A6" s="895" t="s">
        <v>302</v>
      </c>
      <c r="B6" s="897" t="s">
        <v>485</v>
      </c>
      <c r="C6" s="897" t="s">
        <v>486</v>
      </c>
      <c r="D6" s="899" t="s">
        <v>514</v>
      </c>
      <c r="E6" s="306"/>
    </row>
    <row r="7" spans="1:7" ht="31.65" customHeight="1" x14ac:dyDescent="0.35">
      <c r="A7" s="896"/>
      <c r="B7" s="898"/>
      <c r="C7" s="898"/>
      <c r="D7" s="842"/>
      <c r="E7" s="306"/>
    </row>
    <row r="8" spans="1:7" x14ac:dyDescent="0.35">
      <c r="A8" s="319" t="s">
        <v>303</v>
      </c>
      <c r="B8" s="320">
        <f>+BIODIESEL!C6</f>
        <v>4480.78</v>
      </c>
      <c r="C8" s="321">
        <f>+BIODIESEL!E9</f>
        <v>4791.4142000000002</v>
      </c>
      <c r="D8" s="322">
        <f>+BIODIESEL!F9</f>
        <v>4946.7379000000001</v>
      </c>
      <c r="E8" s="306"/>
      <c r="G8" s="429" t="s">
        <v>418</v>
      </c>
    </row>
    <row r="9" spans="1:7" x14ac:dyDescent="0.35">
      <c r="A9" s="319" t="s">
        <v>304</v>
      </c>
      <c r="B9" s="321" t="s">
        <v>133</v>
      </c>
      <c r="C9" s="321" t="s">
        <v>133</v>
      </c>
      <c r="D9" s="322" t="s">
        <v>133</v>
      </c>
      <c r="E9" s="306"/>
    </row>
    <row r="10" spans="1:7" x14ac:dyDescent="0.35">
      <c r="A10" s="319" t="s">
        <v>305</v>
      </c>
      <c r="B10" s="321">
        <f>+BIODIESEL!C12</f>
        <v>179</v>
      </c>
      <c r="C10" s="321">
        <f>+BIODIESEL!E12</f>
        <v>175.42</v>
      </c>
      <c r="D10" s="322">
        <f>+BIODIESEL!F12</f>
        <v>173.63</v>
      </c>
      <c r="E10" s="306"/>
    </row>
    <row r="11" spans="1:7" x14ac:dyDescent="0.35">
      <c r="A11" s="319" t="s">
        <v>306</v>
      </c>
      <c r="B11" s="323">
        <f>+BIODIESEL!D13</f>
        <v>8.6314000000000011</v>
      </c>
      <c r="C11" s="323">
        <f>+BIODIESEL!E13</f>
        <v>8.6314000000000011</v>
      </c>
      <c r="D11" s="324">
        <f>+C11</f>
        <v>8.6314000000000011</v>
      </c>
      <c r="E11" s="306"/>
    </row>
    <row r="12" spans="1:7" x14ac:dyDescent="0.35">
      <c r="A12" s="325" t="s">
        <v>307</v>
      </c>
      <c r="B12" s="326" t="s">
        <v>129</v>
      </c>
      <c r="C12" s="326" t="s">
        <v>129</v>
      </c>
      <c r="D12" s="327" t="s">
        <v>129</v>
      </c>
      <c r="E12" s="306"/>
    </row>
    <row r="13" spans="1:7" hidden="1" x14ac:dyDescent="0.35">
      <c r="A13" s="328" t="s">
        <v>308</v>
      </c>
      <c r="B13" s="323"/>
      <c r="C13" s="323"/>
      <c r="D13" s="324"/>
      <c r="E13" s="306"/>
    </row>
    <row r="14" spans="1:7" x14ac:dyDescent="0.35">
      <c r="A14" s="325" t="s">
        <v>309</v>
      </c>
      <c r="B14" s="326" t="s">
        <v>190</v>
      </c>
      <c r="C14" s="326" t="s">
        <v>190</v>
      </c>
      <c r="D14" s="327" t="s">
        <v>190</v>
      </c>
      <c r="E14" s="306"/>
    </row>
    <row r="15" spans="1:7" x14ac:dyDescent="0.35">
      <c r="A15" s="325" t="s">
        <v>310</v>
      </c>
      <c r="B15" s="323" t="s">
        <v>144</v>
      </c>
      <c r="C15" s="323" t="s">
        <v>144</v>
      </c>
      <c r="D15" s="324" t="s">
        <v>144</v>
      </c>
      <c r="E15" s="306"/>
    </row>
    <row r="16" spans="1:7" x14ac:dyDescent="0.35">
      <c r="A16" s="325" t="s">
        <v>311</v>
      </c>
      <c r="B16" s="323" t="s">
        <v>136</v>
      </c>
      <c r="C16" s="323" t="s">
        <v>136</v>
      </c>
      <c r="D16" s="324" t="s">
        <v>136</v>
      </c>
      <c r="E16" s="306"/>
    </row>
    <row r="17" spans="1:8" ht="15" thickBot="1" x14ac:dyDescent="0.4">
      <c r="A17" s="329" t="s">
        <v>312</v>
      </c>
      <c r="B17" s="330" t="s">
        <v>217</v>
      </c>
      <c r="C17" s="330" t="s">
        <v>217</v>
      </c>
      <c r="D17" s="331" t="s">
        <v>217</v>
      </c>
      <c r="E17" s="306"/>
    </row>
    <row r="18" spans="1:8" ht="15" thickTop="1" x14ac:dyDescent="0.35">
      <c r="A18" s="318" t="s">
        <v>313</v>
      </c>
      <c r="B18" s="309"/>
      <c r="C18" s="306"/>
      <c r="D18" s="306"/>
      <c r="E18" s="306"/>
    </row>
    <row r="19" spans="1:8" x14ac:dyDescent="0.35">
      <c r="A19" s="310" t="s">
        <v>158</v>
      </c>
      <c r="B19" s="311"/>
      <c r="C19" s="306"/>
      <c r="D19" s="306"/>
      <c r="E19" s="306"/>
    </row>
    <row r="20" spans="1:8" x14ac:dyDescent="0.35">
      <c r="A20" s="266" t="s">
        <v>228</v>
      </c>
      <c r="B20" s="311"/>
      <c r="C20" s="306"/>
      <c r="D20" s="306"/>
      <c r="E20" s="306"/>
    </row>
    <row r="21" spans="1:8" x14ac:dyDescent="0.35">
      <c r="A21" s="312" t="s">
        <v>314</v>
      </c>
      <c r="B21" s="313"/>
      <c r="C21" s="306"/>
      <c r="D21" s="306"/>
      <c r="E21" s="306"/>
    </row>
    <row r="22" spans="1:8" x14ac:dyDescent="0.35">
      <c r="A22" s="312" t="s">
        <v>315</v>
      </c>
      <c r="B22" s="314"/>
      <c r="C22" s="306"/>
      <c r="D22" s="440"/>
      <c r="E22" s="306"/>
    </row>
    <row r="23" spans="1:8" x14ac:dyDescent="0.35">
      <c r="A23" s="312" t="s">
        <v>316</v>
      </c>
      <c r="B23" s="315"/>
      <c r="C23" s="306"/>
      <c r="D23" s="306"/>
      <c r="E23" s="306"/>
    </row>
    <row r="24" spans="1:8" ht="12" customHeight="1" x14ac:dyDescent="0.35">
      <c r="A24" s="312"/>
      <c r="B24" s="315"/>
      <c r="C24" s="306"/>
      <c r="D24" s="306"/>
      <c r="E24" s="306"/>
    </row>
    <row r="25" spans="1:8" x14ac:dyDescent="0.35">
      <c r="A25" s="310" t="s">
        <v>317</v>
      </c>
      <c r="B25" s="310"/>
      <c r="C25" s="306"/>
      <c r="D25" s="306"/>
      <c r="E25" s="306"/>
    </row>
    <row r="26" spans="1:8" x14ac:dyDescent="0.35">
      <c r="A26" s="310" t="s">
        <v>318</v>
      </c>
      <c r="B26" s="310"/>
      <c r="C26" s="306"/>
      <c r="D26" s="306"/>
      <c r="E26" s="306"/>
    </row>
    <row r="27" spans="1:8" x14ac:dyDescent="0.35">
      <c r="A27" s="900" t="s">
        <v>334</v>
      </c>
      <c r="B27" s="900"/>
      <c r="C27" s="900"/>
      <c r="D27" s="900"/>
      <c r="E27" s="900"/>
    </row>
    <row r="28" spans="1:8" ht="41.4" customHeight="1" x14ac:dyDescent="0.35">
      <c r="A28" s="900"/>
      <c r="B28" s="900"/>
      <c r="C28" s="900"/>
      <c r="D28" s="900"/>
      <c r="E28" s="900"/>
    </row>
    <row r="29" spans="1:8" x14ac:dyDescent="0.35">
      <c r="A29" s="883" t="s">
        <v>463</v>
      </c>
      <c r="B29" s="883"/>
      <c r="C29" s="883"/>
      <c r="D29" s="883"/>
      <c r="E29" s="883"/>
      <c r="F29" s="883"/>
      <c r="G29" s="883"/>
      <c r="H29" s="883"/>
    </row>
    <row r="30" spans="1:8" x14ac:dyDescent="0.35">
      <c r="A30" s="316" t="s">
        <v>158</v>
      </c>
      <c r="B30" s="317"/>
      <c r="C30" s="306"/>
      <c r="D30" s="306"/>
      <c r="E30" s="306"/>
    </row>
    <row r="31" spans="1:8" ht="90" customHeight="1" x14ac:dyDescent="0.35">
      <c r="A31" s="786" t="s">
        <v>147</v>
      </c>
      <c r="B31" s="786"/>
      <c r="C31" s="786"/>
      <c r="D31" s="786"/>
      <c r="E31" s="786"/>
    </row>
  </sheetData>
  <sheetProtection algorithmName="SHA-512" hashValue="s0r/epfHxDoGXZpPHHrDALCQwtdh9Bv0OasFJZF9EkxnKD+XuTkWC4HXr1ukENqaAC3FlYrZakQ1YcrEqZiiIQ==" saltValue="qzwG2a+iV0akyEb8HGaD+w==" spinCount="100000" sheet="1" objects="1" scenarios="1"/>
  <mergeCells count="10">
    <mergeCell ref="A1:D1"/>
    <mergeCell ref="A2:D2"/>
    <mergeCell ref="A3:D3"/>
    <mergeCell ref="A31:E31"/>
    <mergeCell ref="A6:A7"/>
    <mergeCell ref="C6:C7"/>
    <mergeCell ref="D6:D7"/>
    <mergeCell ref="A27:E28"/>
    <mergeCell ref="B6:B7"/>
    <mergeCell ref="A29:H29"/>
  </mergeCells>
  <hyperlinks>
    <hyperlink ref="A20" location="ELECTROCOMBUSTIBLE!A31" display="Ver Nota Informativa" xr:uid="{00000000-0004-0000-1600-000000000000}"/>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filterMode="1"/>
  <dimension ref="A1:Z46"/>
  <sheetViews>
    <sheetView zoomScale="70" zoomScaleNormal="70" workbookViewId="0">
      <selection activeCell="R44" sqref="R44"/>
    </sheetView>
  </sheetViews>
  <sheetFormatPr baseColWidth="10" defaultColWidth="11.36328125" defaultRowHeight="14.5" x14ac:dyDescent="0.35"/>
  <cols>
    <col min="1" max="1" width="8.90625" style="353" customWidth="1"/>
    <col min="2" max="2" width="9.6328125" style="353" customWidth="1"/>
    <col min="3" max="3" width="8.36328125" style="353" customWidth="1"/>
    <col min="4" max="4" width="4.6328125" style="353" customWidth="1"/>
    <col min="5" max="5" width="8.1796875" style="353" customWidth="1"/>
    <col min="6" max="6" width="10.1796875" style="353" customWidth="1"/>
    <col min="7" max="12" width="4.6328125" style="353" customWidth="1"/>
    <col min="13" max="13" width="10.1796875" style="353" bestFit="1" customWidth="1"/>
    <col min="14" max="14" width="9" style="353" customWidth="1"/>
    <col min="15" max="15" width="15.81640625" style="353" customWidth="1"/>
    <col min="16" max="16" width="15.1796875" style="355" customWidth="1"/>
    <col min="17" max="17" width="9.90625" style="353" customWidth="1"/>
    <col min="18" max="18" width="13.36328125" style="353" bestFit="1" customWidth="1"/>
    <col min="19" max="19" width="17.08984375" style="353" bestFit="1" customWidth="1"/>
    <col min="20" max="20" width="7.08984375" style="353" customWidth="1"/>
    <col min="21" max="22" width="10.81640625" style="356" bestFit="1" customWidth="1"/>
    <col min="23" max="16384" width="11.36328125" style="353"/>
  </cols>
  <sheetData>
    <row r="1" spans="1:26" x14ac:dyDescent="0.35">
      <c r="A1" s="353" t="s">
        <v>351</v>
      </c>
      <c r="B1" s="353" t="s">
        <v>352</v>
      </c>
      <c r="C1" s="353" t="s">
        <v>353</v>
      </c>
      <c r="D1" s="353" t="s">
        <v>354</v>
      </c>
      <c r="E1" s="353" t="s">
        <v>355</v>
      </c>
      <c r="F1" s="353" t="s">
        <v>356</v>
      </c>
      <c r="G1" s="353" t="s">
        <v>357</v>
      </c>
      <c r="H1" s="353" t="s">
        <v>358</v>
      </c>
      <c r="I1" s="353" t="s">
        <v>359</v>
      </c>
      <c r="J1" s="353" t="s">
        <v>360</v>
      </c>
      <c r="K1" s="353" t="s">
        <v>361</v>
      </c>
      <c r="L1" s="353" t="s">
        <v>362</v>
      </c>
      <c r="M1" s="353" t="s">
        <v>363</v>
      </c>
      <c r="N1" s="353" t="s">
        <v>364</v>
      </c>
      <c r="O1" s="354" t="s">
        <v>365</v>
      </c>
      <c r="P1" s="355" t="s">
        <v>366</v>
      </c>
      <c r="Q1" s="353" t="s">
        <v>367</v>
      </c>
      <c r="R1" s="353" t="s">
        <v>368</v>
      </c>
      <c r="S1" s="353" t="s">
        <v>369</v>
      </c>
      <c r="T1" s="353" t="s">
        <v>370</v>
      </c>
      <c r="U1" s="356" t="s">
        <v>371</v>
      </c>
      <c r="V1" s="356" t="s">
        <v>372</v>
      </c>
    </row>
    <row r="2" spans="1:26" x14ac:dyDescent="0.35">
      <c r="A2" s="374" t="s">
        <v>373</v>
      </c>
      <c r="B2" s="374">
        <v>543</v>
      </c>
      <c r="C2" s="374" t="s">
        <v>374</v>
      </c>
      <c r="D2" s="374"/>
      <c r="E2" s="374"/>
      <c r="F2" s="374" t="s">
        <v>158</v>
      </c>
      <c r="G2" s="374"/>
      <c r="H2" s="374"/>
      <c r="I2" s="374"/>
      <c r="J2" s="374"/>
      <c r="K2" s="374"/>
      <c r="L2" s="374"/>
      <c r="M2" s="418" t="str">
        <f>+'Calculo IP ZDF'!K28</f>
        <v>Z61</v>
      </c>
      <c r="N2" s="374"/>
      <c r="O2" s="358">
        <f>+'Calculo IP ZDF'!B49</f>
        <v>30000002129</v>
      </c>
      <c r="P2" s="622">
        <f>ROUND('Calculo IP ZDF'!D28,2)</f>
        <v>4130.33</v>
      </c>
      <c r="Q2" s="374" t="s">
        <v>375</v>
      </c>
      <c r="R2" s="374">
        <v>1</v>
      </c>
      <c r="S2" s="374" t="s">
        <v>376</v>
      </c>
      <c r="T2" s="374" t="s">
        <v>377</v>
      </c>
      <c r="U2" s="357" t="str">
        <f>+'Calculo IP ZDF'!B46</f>
        <v>01.01.2022</v>
      </c>
      <c r="V2" s="357" t="str">
        <f>+'Calculo IP ZDF'!C46</f>
        <v>21.02.2022</v>
      </c>
      <c r="X2" s="353">
        <v>4242.59</v>
      </c>
      <c r="Y2" s="353">
        <f>+P2-X2</f>
        <v>-112.26000000000022</v>
      </c>
      <c r="Z2" s="439" t="s">
        <v>420</v>
      </c>
    </row>
    <row r="3" spans="1:26" x14ac:dyDescent="0.35">
      <c r="A3" s="353" t="s">
        <v>373</v>
      </c>
      <c r="B3" s="353">
        <v>543</v>
      </c>
      <c r="C3" s="353" t="s">
        <v>374</v>
      </c>
      <c r="F3" s="353" t="s">
        <v>158</v>
      </c>
      <c r="M3" s="359" t="str">
        <f>+'Calculo IP ZDF'!K29</f>
        <v>Z68</v>
      </c>
      <c r="O3" s="358">
        <f>+O2</f>
        <v>30000002129</v>
      </c>
      <c r="P3" s="354">
        <f>ROUND('Calculo IP ZDF'!D29,2)</f>
        <v>3863.35</v>
      </c>
      <c r="Q3" s="353" t="s">
        <v>375</v>
      </c>
      <c r="R3" s="353">
        <v>1</v>
      </c>
      <c r="S3" s="353" t="s">
        <v>376</v>
      </c>
      <c r="T3" s="353" t="s">
        <v>377</v>
      </c>
      <c r="U3" s="357" t="str">
        <f>+U2</f>
        <v>01.01.2022</v>
      </c>
      <c r="V3" s="357" t="str">
        <f>+V2</f>
        <v>21.02.2022</v>
      </c>
      <c r="X3" s="353">
        <v>4026.31</v>
      </c>
      <c r="Y3" s="353">
        <f t="shared" ref="Y3:Y46" si="0">+P3-X3</f>
        <v>-162.96000000000004</v>
      </c>
      <c r="Z3" s="439" t="s">
        <v>420</v>
      </c>
    </row>
    <row r="4" spans="1:26" x14ac:dyDescent="0.35">
      <c r="A4" s="353" t="s">
        <v>373</v>
      </c>
      <c r="B4" s="353">
        <v>543</v>
      </c>
      <c r="C4" s="353" t="s">
        <v>374</v>
      </c>
      <c r="M4" s="359" t="str">
        <f>+'Calculo IP ZDF'!K30</f>
        <v>Z67</v>
      </c>
      <c r="O4" s="358">
        <f t="shared" ref="O4:O27" si="1">+O3</f>
        <v>30000002129</v>
      </c>
      <c r="P4" s="354">
        <f>ROUND('Calculo IP ZDF'!D30,2)</f>
        <v>4217.2700000000004</v>
      </c>
      <c r="Q4" s="353" t="s">
        <v>375</v>
      </c>
      <c r="R4" s="353">
        <v>1</v>
      </c>
      <c r="S4" s="353" t="s">
        <v>376</v>
      </c>
      <c r="T4" s="353" t="s">
        <v>377</v>
      </c>
      <c r="U4" s="357" t="str">
        <f t="shared" ref="U4:V20" si="2">+U3</f>
        <v>01.01.2022</v>
      </c>
      <c r="V4" s="357" t="str">
        <f t="shared" si="2"/>
        <v>21.02.2022</v>
      </c>
      <c r="X4" s="353">
        <v>4147.91</v>
      </c>
      <c r="Y4" s="353">
        <f t="shared" si="0"/>
        <v>69.360000000000582</v>
      </c>
      <c r="Z4" s="439" t="s">
        <v>420</v>
      </c>
    </row>
    <row r="5" spans="1:26" x14ac:dyDescent="0.35">
      <c r="A5" s="412" t="s">
        <v>373</v>
      </c>
      <c r="B5" s="412">
        <v>543</v>
      </c>
      <c r="C5" s="412" t="s">
        <v>374</v>
      </c>
      <c r="D5" s="412"/>
      <c r="E5" s="412"/>
      <c r="F5" s="412"/>
      <c r="G5" s="412"/>
      <c r="H5" s="412"/>
      <c r="I5" s="412"/>
      <c r="J5" s="412"/>
      <c r="K5" s="412"/>
      <c r="L5" s="412"/>
      <c r="M5" s="411" t="str">
        <f>+'Calculo IP ZDF'!K31</f>
        <v xml:space="preserve">Z64  </v>
      </c>
      <c r="N5" s="412"/>
      <c r="O5" s="413">
        <f t="shared" si="1"/>
        <v>30000002129</v>
      </c>
      <c r="P5" s="414">
        <f>ROUND('Calculo IP ZDF'!D31,2)</f>
        <v>4391.16</v>
      </c>
      <c r="Q5" s="412" t="s">
        <v>375</v>
      </c>
      <c r="R5" s="412">
        <v>1</v>
      </c>
      <c r="S5" s="412" t="s">
        <v>376</v>
      </c>
      <c r="T5" s="412" t="s">
        <v>377</v>
      </c>
      <c r="U5" s="415" t="str">
        <f t="shared" si="2"/>
        <v>01.01.2022</v>
      </c>
      <c r="V5" s="415" t="str">
        <f t="shared" si="2"/>
        <v>21.02.2022</v>
      </c>
      <c r="X5" s="353">
        <v>4618.07</v>
      </c>
      <c r="Y5" s="353">
        <f t="shared" si="0"/>
        <v>-226.90999999999985</v>
      </c>
      <c r="Z5" s="439" t="s">
        <v>420</v>
      </c>
    </row>
    <row r="6" spans="1:26" x14ac:dyDescent="0.35">
      <c r="A6" s="353" t="s">
        <v>373</v>
      </c>
      <c r="B6" s="353">
        <v>543</v>
      </c>
      <c r="C6" s="353" t="s">
        <v>374</v>
      </c>
      <c r="M6" s="359" t="s">
        <v>412</v>
      </c>
      <c r="O6" s="358">
        <f t="shared" si="1"/>
        <v>30000002129</v>
      </c>
      <c r="P6" s="354">
        <f>ROUND('Calculo IP ZDF'!D32,2)</f>
        <v>4391.16</v>
      </c>
      <c r="Q6" s="353" t="s">
        <v>375</v>
      </c>
      <c r="R6" s="353">
        <v>1</v>
      </c>
      <c r="S6" s="353" t="s">
        <v>376</v>
      </c>
      <c r="T6" s="353" t="s">
        <v>377</v>
      </c>
      <c r="U6" s="357" t="str">
        <f t="shared" si="2"/>
        <v>01.01.2022</v>
      </c>
      <c r="V6" s="357" t="str">
        <f t="shared" si="2"/>
        <v>21.02.2022</v>
      </c>
      <c r="X6" s="353">
        <v>4029.1</v>
      </c>
      <c r="Y6" s="353">
        <f t="shared" si="0"/>
        <v>362.05999999999995</v>
      </c>
      <c r="Z6" s="439" t="s">
        <v>420</v>
      </c>
    </row>
    <row r="7" spans="1:26" x14ac:dyDescent="0.35">
      <c r="A7" s="353" t="s">
        <v>373</v>
      </c>
      <c r="B7" s="353">
        <v>543</v>
      </c>
      <c r="C7" s="353" t="s">
        <v>374</v>
      </c>
      <c r="M7" s="359" t="str">
        <f>+'Calculo IP ZDF'!K33</f>
        <v>Z65</v>
      </c>
      <c r="O7" s="358">
        <f t="shared" si="1"/>
        <v>30000002129</v>
      </c>
      <c r="P7" s="354">
        <f>ROUND('Calculo IP ZDF'!D33,2)</f>
        <v>4125.0600000000004</v>
      </c>
      <c r="Q7" s="353" t="s">
        <v>375</v>
      </c>
      <c r="R7" s="353">
        <v>1</v>
      </c>
      <c r="S7" s="353" t="s">
        <v>376</v>
      </c>
      <c r="T7" s="353" t="s">
        <v>377</v>
      </c>
      <c r="U7" s="357" t="str">
        <f t="shared" si="2"/>
        <v>01.01.2022</v>
      </c>
      <c r="V7" s="357" t="str">
        <f t="shared" si="2"/>
        <v>21.02.2022</v>
      </c>
      <c r="X7" s="353">
        <v>4618.07</v>
      </c>
      <c r="Y7" s="353">
        <f t="shared" si="0"/>
        <v>-493.00999999999931</v>
      </c>
      <c r="Z7" s="439" t="s">
        <v>420</v>
      </c>
    </row>
    <row r="8" spans="1:26" x14ac:dyDescent="0.35">
      <c r="A8" s="353" t="s">
        <v>373</v>
      </c>
      <c r="B8" s="353">
        <v>543</v>
      </c>
      <c r="C8" s="353" t="s">
        <v>374</v>
      </c>
      <c r="M8" s="359" t="str">
        <f>+'Calculo IP ZDF'!K34</f>
        <v>Z69</v>
      </c>
      <c r="O8" s="358">
        <f t="shared" si="1"/>
        <v>30000002129</v>
      </c>
      <c r="P8" s="354">
        <f>ROUND('Calculo IP ZDF'!D34,2)</f>
        <v>4155.3599999999997</v>
      </c>
      <c r="Q8" s="353" t="s">
        <v>375</v>
      </c>
      <c r="R8" s="353">
        <v>1</v>
      </c>
      <c r="S8" s="353" t="s">
        <v>376</v>
      </c>
      <c r="T8" s="353" t="s">
        <v>377</v>
      </c>
      <c r="U8" s="357" t="str">
        <f t="shared" si="2"/>
        <v>01.01.2022</v>
      </c>
      <c r="V8" s="357" t="str">
        <f t="shared" si="2"/>
        <v>21.02.2022</v>
      </c>
      <c r="X8" s="353">
        <v>4413.8599999999997</v>
      </c>
      <c r="Y8" s="353">
        <f t="shared" si="0"/>
        <v>-258.5</v>
      </c>
      <c r="Z8" s="439" t="s">
        <v>420</v>
      </c>
    </row>
    <row r="9" spans="1:26" x14ac:dyDescent="0.35">
      <c r="A9" s="353" t="s">
        <v>373</v>
      </c>
      <c r="B9" s="353">
        <v>543</v>
      </c>
      <c r="C9" s="353" t="s">
        <v>374</v>
      </c>
      <c r="M9" s="359" t="str">
        <f>+'Calculo IP ZDF'!K36</f>
        <v>Z62</v>
      </c>
      <c r="O9" s="358">
        <f>+O8</f>
        <v>30000002129</v>
      </c>
      <c r="P9" s="354">
        <f>ROUND('Calculo IP ZDF'!D36,2)</f>
        <v>4123.74</v>
      </c>
      <c r="Q9" s="353" t="s">
        <v>375</v>
      </c>
      <c r="R9" s="353">
        <v>1</v>
      </c>
      <c r="S9" s="353" t="s">
        <v>376</v>
      </c>
      <c r="T9" s="353" t="s">
        <v>377</v>
      </c>
      <c r="U9" s="357" t="str">
        <f>+U8</f>
        <v>01.01.2022</v>
      </c>
      <c r="V9" s="357" t="str">
        <f>+V8</f>
        <v>21.02.2022</v>
      </c>
      <c r="X9" s="353">
        <v>4406.43</v>
      </c>
      <c r="Y9" s="353">
        <f t="shared" si="0"/>
        <v>-282.69000000000051</v>
      </c>
      <c r="Z9" s="439" t="s">
        <v>420</v>
      </c>
    </row>
    <row r="10" spans="1:26" s="366" customFormat="1" x14ac:dyDescent="0.35">
      <c r="A10" s="366" t="s">
        <v>373</v>
      </c>
      <c r="B10" s="366">
        <v>543</v>
      </c>
      <c r="C10" s="366" t="s">
        <v>374</v>
      </c>
      <c r="M10" s="367" t="str">
        <f>+M9</f>
        <v>Z62</v>
      </c>
      <c r="O10" s="368">
        <f>+'Calculo IP ZDF'!B51</f>
        <v>30000009250</v>
      </c>
      <c r="P10" s="369">
        <f>+P9</f>
        <v>4123.74</v>
      </c>
      <c r="Q10" s="366" t="s">
        <v>375</v>
      </c>
      <c r="R10" s="366">
        <v>1</v>
      </c>
      <c r="S10" s="366" t="s">
        <v>376</v>
      </c>
      <c r="T10" s="366" t="s">
        <v>377</v>
      </c>
      <c r="U10" s="370" t="str">
        <f>+U9</f>
        <v>01.01.2022</v>
      </c>
      <c r="V10" s="370" t="str">
        <f>+V9</f>
        <v>21.02.2022</v>
      </c>
      <c r="X10" s="366">
        <v>4406.43</v>
      </c>
      <c r="Y10" s="353">
        <f t="shared" si="0"/>
        <v>-282.69000000000051</v>
      </c>
      <c r="Z10" s="366" t="s">
        <v>420</v>
      </c>
    </row>
    <row r="11" spans="1:26" x14ac:dyDescent="0.35">
      <c r="A11" s="353" t="s">
        <v>373</v>
      </c>
      <c r="B11" s="353">
        <v>543</v>
      </c>
      <c r="C11" s="353" t="s">
        <v>374</v>
      </c>
      <c r="M11" s="359" t="str">
        <f>+'Calculo IP ZDF'!K37</f>
        <v>Z60</v>
      </c>
      <c r="O11" s="358">
        <f>+O2</f>
        <v>30000002129</v>
      </c>
      <c r="P11" s="354">
        <f>ROUND('Calculo IP ZDF'!D37,2)</f>
        <v>4391.16</v>
      </c>
      <c r="Q11" s="353" t="s">
        <v>375</v>
      </c>
      <c r="R11" s="353">
        <v>1</v>
      </c>
      <c r="S11" s="353" t="s">
        <v>376</v>
      </c>
      <c r="T11" s="353" t="s">
        <v>377</v>
      </c>
      <c r="U11" s="357" t="str">
        <f>+U9</f>
        <v>01.01.2022</v>
      </c>
      <c r="V11" s="357" t="str">
        <f>+V9</f>
        <v>21.02.2022</v>
      </c>
      <c r="X11" s="353">
        <v>4334.03</v>
      </c>
      <c r="Y11" s="353">
        <f t="shared" si="0"/>
        <v>57.130000000000109</v>
      </c>
      <c r="Z11" s="439" t="s">
        <v>420</v>
      </c>
    </row>
    <row r="12" spans="1:26" x14ac:dyDescent="0.35">
      <c r="A12" s="374" t="s">
        <v>373</v>
      </c>
      <c r="B12" s="374">
        <v>543</v>
      </c>
      <c r="C12" s="374" t="s">
        <v>374</v>
      </c>
      <c r="D12" s="374"/>
      <c r="E12" s="374"/>
      <c r="F12" s="374"/>
      <c r="G12" s="374"/>
      <c r="H12" s="374"/>
      <c r="I12" s="374"/>
      <c r="J12" s="374"/>
      <c r="K12" s="374"/>
      <c r="L12" s="374"/>
      <c r="M12" s="418" t="str">
        <f>+'Calculo IP ZDF'!K38</f>
        <v>Z63</v>
      </c>
      <c r="N12" s="374"/>
      <c r="O12" s="358">
        <f t="shared" si="1"/>
        <v>30000002129</v>
      </c>
      <c r="P12" s="419">
        <f>ROUND('Calculo IP ZDF'!D38,2)</f>
        <v>4128.57</v>
      </c>
      <c r="Q12" s="374" t="s">
        <v>375</v>
      </c>
      <c r="R12" s="374">
        <v>1</v>
      </c>
      <c r="S12" s="374" t="s">
        <v>376</v>
      </c>
      <c r="T12" s="374" t="s">
        <v>377</v>
      </c>
      <c r="U12" s="357" t="str">
        <f>+U11</f>
        <v>01.01.2022</v>
      </c>
      <c r="V12" s="357" t="str">
        <f>+'Calculo IP ZDF'!C46</f>
        <v>21.02.2022</v>
      </c>
      <c r="X12" s="353">
        <v>4399.01</v>
      </c>
      <c r="Y12" s="353">
        <f t="shared" si="0"/>
        <v>-270.44000000000051</v>
      </c>
      <c r="Z12" s="439" t="s">
        <v>420</v>
      </c>
    </row>
    <row r="13" spans="1:26" x14ac:dyDescent="0.35">
      <c r="A13" s="353" t="s">
        <v>373</v>
      </c>
      <c r="B13" s="353">
        <v>543</v>
      </c>
      <c r="C13" s="353" t="s">
        <v>374</v>
      </c>
      <c r="M13" s="359" t="str">
        <f>+'Calculo IP ZDF'!K39</f>
        <v>Z70</v>
      </c>
      <c r="O13" s="358">
        <f t="shared" si="1"/>
        <v>30000002129</v>
      </c>
      <c r="P13" s="354">
        <f>ROUND('Calculo IP ZDF'!D39,2)</f>
        <v>4008.25</v>
      </c>
      <c r="Q13" s="353" t="s">
        <v>375</v>
      </c>
      <c r="R13" s="353">
        <v>1</v>
      </c>
      <c r="S13" s="353" t="s">
        <v>376</v>
      </c>
      <c r="T13" s="353" t="s">
        <v>377</v>
      </c>
      <c r="U13" s="357" t="str">
        <f t="shared" si="2"/>
        <v>01.01.2022</v>
      </c>
      <c r="V13" s="357" t="str">
        <f t="shared" si="2"/>
        <v>21.02.2022</v>
      </c>
      <c r="X13" s="353">
        <v>4618.07</v>
      </c>
      <c r="Y13" s="353">
        <f t="shared" si="0"/>
        <v>-609.81999999999971</v>
      </c>
      <c r="Z13" s="439" t="s">
        <v>420</v>
      </c>
    </row>
    <row r="14" spans="1:26" x14ac:dyDescent="0.35">
      <c r="A14" s="353" t="s">
        <v>373</v>
      </c>
      <c r="B14" s="353">
        <v>543</v>
      </c>
      <c r="C14" s="353" t="s">
        <v>374</v>
      </c>
      <c r="M14" s="359" t="str">
        <f>+'Calculo IP ZDF'!K40</f>
        <v>Z75</v>
      </c>
      <c r="O14" s="358">
        <f t="shared" si="1"/>
        <v>30000002129</v>
      </c>
      <c r="P14" s="354">
        <f>ROUND('Calculo IP ZDF'!D40,2)</f>
        <v>3859.83</v>
      </c>
      <c r="Q14" s="353" t="s">
        <v>375</v>
      </c>
      <c r="R14" s="353">
        <v>1</v>
      </c>
      <c r="S14" s="353" t="s">
        <v>376</v>
      </c>
      <c r="T14" s="353" t="s">
        <v>377</v>
      </c>
      <c r="U14" s="357" t="str">
        <f t="shared" si="2"/>
        <v>01.01.2022</v>
      </c>
      <c r="V14" s="357" t="str">
        <f t="shared" si="2"/>
        <v>21.02.2022</v>
      </c>
      <c r="X14" s="353">
        <v>4017.03</v>
      </c>
      <c r="Y14" s="353">
        <f t="shared" si="0"/>
        <v>-157.20000000000027</v>
      </c>
      <c r="Z14" s="439" t="s">
        <v>420</v>
      </c>
    </row>
    <row r="15" spans="1:26" x14ac:dyDescent="0.35">
      <c r="A15" s="374" t="s">
        <v>378</v>
      </c>
      <c r="B15" s="374">
        <v>543</v>
      </c>
      <c r="C15" s="374" t="s">
        <v>374</v>
      </c>
      <c r="D15" s="374"/>
      <c r="E15" s="374"/>
      <c r="F15" s="374"/>
      <c r="G15" s="374"/>
      <c r="H15" s="374"/>
      <c r="I15" s="374"/>
      <c r="J15" s="374"/>
      <c r="K15" s="374"/>
      <c r="L15" s="374"/>
      <c r="M15" s="418" t="str">
        <f>+'Calculo IP ZDF'!K28</f>
        <v>Z61</v>
      </c>
      <c r="N15" s="374"/>
      <c r="O15" s="358">
        <f t="shared" si="1"/>
        <v>30000002129</v>
      </c>
      <c r="P15" s="420">
        <f>ROUND('Calculo IP ZDF'!E28,2)</f>
        <v>400.25</v>
      </c>
      <c r="Q15" s="374" t="s">
        <v>375</v>
      </c>
      <c r="R15" s="374">
        <v>1</v>
      </c>
      <c r="S15" s="374" t="s">
        <v>376</v>
      </c>
      <c r="T15" s="374" t="s">
        <v>377</v>
      </c>
      <c r="U15" s="357" t="str">
        <f>+U14</f>
        <v>01.01.2022</v>
      </c>
      <c r="V15" s="357" t="str">
        <f>+V12</f>
        <v>21.02.2022</v>
      </c>
      <c r="X15" s="353">
        <v>230.3</v>
      </c>
      <c r="Y15" s="353">
        <f t="shared" si="0"/>
        <v>169.95</v>
      </c>
      <c r="Z15" s="439" t="s">
        <v>420</v>
      </c>
    </row>
    <row r="16" spans="1:26" x14ac:dyDescent="0.35">
      <c r="A16" s="353" t="s">
        <v>378</v>
      </c>
      <c r="B16" s="353">
        <v>543</v>
      </c>
      <c r="C16" s="353" t="s">
        <v>374</v>
      </c>
      <c r="M16" s="359" t="str">
        <f>+'Calculo IP ZDF'!K29</f>
        <v>Z68</v>
      </c>
      <c r="O16" s="358">
        <f t="shared" si="1"/>
        <v>30000002129</v>
      </c>
      <c r="P16" s="355">
        <f>ROUND('Calculo IP ZDF'!E29,2)</f>
        <v>400.25</v>
      </c>
      <c r="Q16" s="353" t="s">
        <v>375</v>
      </c>
      <c r="R16" s="353">
        <v>1</v>
      </c>
      <c r="S16" s="353" t="s">
        <v>376</v>
      </c>
      <c r="T16" s="353" t="s">
        <v>377</v>
      </c>
      <c r="U16" s="357" t="str">
        <f t="shared" si="2"/>
        <v>01.01.2022</v>
      </c>
      <c r="V16" s="357" t="str">
        <f t="shared" si="2"/>
        <v>21.02.2022</v>
      </c>
      <c r="X16" s="353">
        <v>230.3</v>
      </c>
      <c r="Y16" s="353">
        <f t="shared" si="0"/>
        <v>169.95</v>
      </c>
      <c r="Z16" s="439" t="s">
        <v>420</v>
      </c>
    </row>
    <row r="17" spans="1:26" x14ac:dyDescent="0.35">
      <c r="A17" s="353" t="s">
        <v>378</v>
      </c>
      <c r="B17" s="353">
        <v>543</v>
      </c>
      <c r="C17" s="353" t="s">
        <v>374</v>
      </c>
      <c r="M17" s="359" t="str">
        <f>+'Calculo IP ZDF'!K30</f>
        <v>Z67</v>
      </c>
      <c r="O17" s="358">
        <f t="shared" si="1"/>
        <v>30000002129</v>
      </c>
      <c r="P17" s="355">
        <f>ROUND('Calculo IP ZDF'!E30,2)</f>
        <v>400.25</v>
      </c>
      <c r="Q17" s="353" t="s">
        <v>375</v>
      </c>
      <c r="R17" s="353">
        <v>1</v>
      </c>
      <c r="S17" s="353" t="s">
        <v>376</v>
      </c>
      <c r="T17" s="353" t="s">
        <v>377</v>
      </c>
      <c r="U17" s="357" t="str">
        <f t="shared" si="2"/>
        <v>01.01.2022</v>
      </c>
      <c r="V17" s="357" t="str">
        <f t="shared" si="2"/>
        <v>21.02.2022</v>
      </c>
      <c r="X17" s="353">
        <v>230.3</v>
      </c>
      <c r="Y17" s="353">
        <f t="shared" si="0"/>
        <v>169.95</v>
      </c>
      <c r="Z17" s="439" t="s">
        <v>420</v>
      </c>
    </row>
    <row r="18" spans="1:26" x14ac:dyDescent="0.35">
      <c r="A18" s="412" t="s">
        <v>378</v>
      </c>
      <c r="B18" s="412">
        <v>543</v>
      </c>
      <c r="C18" s="412" t="s">
        <v>374</v>
      </c>
      <c r="D18" s="412"/>
      <c r="E18" s="412"/>
      <c r="F18" s="412"/>
      <c r="G18" s="412"/>
      <c r="H18" s="412"/>
      <c r="I18" s="412"/>
      <c r="J18" s="412"/>
      <c r="K18" s="412"/>
      <c r="L18" s="412"/>
      <c r="M18" s="411" t="str">
        <f>+M5</f>
        <v xml:space="preserve">Z64  </v>
      </c>
      <c r="N18" s="412"/>
      <c r="O18" s="413">
        <f t="shared" si="1"/>
        <v>30000002129</v>
      </c>
      <c r="P18" s="375">
        <f>ROUND('Calculo IP ZDF'!E31,2)</f>
        <v>400.25</v>
      </c>
      <c r="Q18" s="412" t="s">
        <v>375</v>
      </c>
      <c r="R18" s="412">
        <v>1</v>
      </c>
      <c r="S18" s="412" t="s">
        <v>376</v>
      </c>
      <c r="T18" s="412" t="s">
        <v>377</v>
      </c>
      <c r="U18" s="415" t="str">
        <f t="shared" si="2"/>
        <v>01.01.2022</v>
      </c>
      <c r="V18" s="415" t="str">
        <f t="shared" si="2"/>
        <v>21.02.2022</v>
      </c>
      <c r="X18" s="353">
        <v>230.3</v>
      </c>
      <c r="Y18" s="353">
        <f t="shared" si="0"/>
        <v>169.95</v>
      </c>
      <c r="Z18" s="439" t="s">
        <v>420</v>
      </c>
    </row>
    <row r="19" spans="1:26" x14ac:dyDescent="0.35">
      <c r="A19" s="353" t="s">
        <v>378</v>
      </c>
      <c r="B19" s="353">
        <v>543</v>
      </c>
      <c r="C19" s="353" t="s">
        <v>374</v>
      </c>
      <c r="M19" s="359" t="str">
        <f>+M6</f>
        <v>Z74</v>
      </c>
      <c r="O19" s="358">
        <f t="shared" si="1"/>
        <v>30000002129</v>
      </c>
      <c r="P19" s="355">
        <f>ROUND('Calculo IP ZDF'!E32,2)</f>
        <v>400.25</v>
      </c>
      <c r="Q19" s="353" t="s">
        <v>375</v>
      </c>
      <c r="R19" s="353">
        <v>1</v>
      </c>
      <c r="S19" s="353" t="s">
        <v>376</v>
      </c>
      <c r="T19" s="353" t="s">
        <v>377</v>
      </c>
      <c r="U19" s="357" t="str">
        <f t="shared" si="2"/>
        <v>01.01.2022</v>
      </c>
      <c r="V19" s="357" t="str">
        <f t="shared" si="2"/>
        <v>21.02.2022</v>
      </c>
      <c r="X19" s="353">
        <v>230.3</v>
      </c>
      <c r="Y19" s="353">
        <f t="shared" si="0"/>
        <v>169.95</v>
      </c>
      <c r="Z19" s="439" t="s">
        <v>420</v>
      </c>
    </row>
    <row r="20" spans="1:26" x14ac:dyDescent="0.35">
      <c r="A20" s="353" t="s">
        <v>378</v>
      </c>
      <c r="B20" s="353">
        <v>543</v>
      </c>
      <c r="C20" s="353" t="s">
        <v>374</v>
      </c>
      <c r="M20" s="359" t="str">
        <f>+'Calculo IP ZDF'!K33</f>
        <v>Z65</v>
      </c>
      <c r="O20" s="358">
        <f t="shared" si="1"/>
        <v>30000002129</v>
      </c>
      <c r="P20" s="355">
        <f>ROUND('Calculo IP ZDF'!E33,2)</f>
        <v>400.25</v>
      </c>
      <c r="Q20" s="353" t="s">
        <v>375</v>
      </c>
      <c r="R20" s="353">
        <v>1</v>
      </c>
      <c r="S20" s="353" t="s">
        <v>376</v>
      </c>
      <c r="T20" s="353" t="s">
        <v>377</v>
      </c>
      <c r="U20" s="357" t="str">
        <f t="shared" si="2"/>
        <v>01.01.2022</v>
      </c>
      <c r="V20" s="357" t="str">
        <f t="shared" si="2"/>
        <v>21.02.2022</v>
      </c>
      <c r="X20" s="353">
        <v>230.3</v>
      </c>
      <c r="Y20" s="353">
        <f t="shared" si="0"/>
        <v>169.95</v>
      </c>
      <c r="Z20" s="439" t="s">
        <v>420</v>
      </c>
    </row>
    <row r="21" spans="1:26" x14ac:dyDescent="0.35">
      <c r="A21" s="353" t="s">
        <v>378</v>
      </c>
      <c r="B21" s="353">
        <v>543</v>
      </c>
      <c r="C21" s="353" t="s">
        <v>374</v>
      </c>
      <c r="M21" s="359" t="str">
        <f>+'Calculo IP ZDF'!K34</f>
        <v>Z69</v>
      </c>
      <c r="O21" s="358">
        <f t="shared" si="1"/>
        <v>30000002129</v>
      </c>
      <c r="P21" s="355">
        <f>ROUND('Calculo IP ZDF'!E34,2)</f>
        <v>400.25</v>
      </c>
      <c r="Q21" s="353" t="s">
        <v>375</v>
      </c>
      <c r="R21" s="353">
        <v>1</v>
      </c>
      <c r="S21" s="353" t="s">
        <v>376</v>
      </c>
      <c r="T21" s="353" t="s">
        <v>377</v>
      </c>
      <c r="U21" s="357" t="str">
        <f t="shared" ref="U21:V36" si="3">+U20</f>
        <v>01.01.2022</v>
      </c>
      <c r="V21" s="357" t="str">
        <f t="shared" si="3"/>
        <v>21.02.2022</v>
      </c>
      <c r="X21" s="353">
        <v>230.3</v>
      </c>
      <c r="Y21" s="353">
        <f t="shared" si="0"/>
        <v>169.95</v>
      </c>
      <c r="Z21" s="439" t="s">
        <v>420</v>
      </c>
    </row>
    <row r="22" spans="1:26" x14ac:dyDescent="0.35">
      <c r="A22" s="353" t="s">
        <v>378</v>
      </c>
      <c r="B22" s="353">
        <v>543</v>
      </c>
      <c r="C22" s="353" t="s">
        <v>374</v>
      </c>
      <c r="M22" s="359" t="str">
        <f>+'Calculo IP ZDF'!K36</f>
        <v>Z62</v>
      </c>
      <c r="O22" s="358">
        <f t="shared" si="1"/>
        <v>30000002129</v>
      </c>
      <c r="P22" s="355">
        <f>ROUND('Calculo IP ZDF'!E36,2)</f>
        <v>400.25</v>
      </c>
      <c r="Q22" s="353" t="s">
        <v>375</v>
      </c>
      <c r="R22" s="353">
        <v>1</v>
      </c>
      <c r="S22" s="353" t="s">
        <v>376</v>
      </c>
      <c r="T22" s="353" t="s">
        <v>377</v>
      </c>
      <c r="U22" s="357" t="str">
        <f>+U21</f>
        <v>01.01.2022</v>
      </c>
      <c r="V22" s="357" t="str">
        <f>+V21</f>
        <v>21.02.2022</v>
      </c>
      <c r="X22" s="353">
        <v>230.3</v>
      </c>
      <c r="Y22" s="353">
        <f t="shared" si="0"/>
        <v>169.95</v>
      </c>
      <c r="Z22" s="439" t="s">
        <v>420</v>
      </c>
    </row>
    <row r="23" spans="1:26" s="366" customFormat="1" x14ac:dyDescent="0.35">
      <c r="A23" s="366" t="s">
        <v>378</v>
      </c>
      <c r="B23" s="366">
        <v>543</v>
      </c>
      <c r="C23" s="366" t="s">
        <v>374</v>
      </c>
      <c r="M23" s="367" t="str">
        <f>+M22</f>
        <v>Z62</v>
      </c>
      <c r="O23" s="371">
        <f>+O10</f>
        <v>30000009250</v>
      </c>
      <c r="P23" s="372">
        <f>ROUND('Calculo IP ZDF'!E37,2)</f>
        <v>400.25</v>
      </c>
      <c r="Q23" s="366" t="s">
        <v>375</v>
      </c>
      <c r="R23" s="366">
        <v>1</v>
      </c>
      <c r="S23" s="366" t="s">
        <v>376</v>
      </c>
      <c r="T23" s="366" t="s">
        <v>377</v>
      </c>
      <c r="U23" s="370" t="str">
        <f>+U22</f>
        <v>01.01.2022</v>
      </c>
      <c r="V23" s="370" t="str">
        <f>+V22</f>
        <v>21.02.2022</v>
      </c>
      <c r="X23" s="366">
        <v>230.3</v>
      </c>
      <c r="Y23" s="353">
        <f t="shared" si="0"/>
        <v>169.95</v>
      </c>
      <c r="Z23" s="366" t="s">
        <v>420</v>
      </c>
    </row>
    <row r="24" spans="1:26" x14ac:dyDescent="0.35">
      <c r="A24" s="353" t="s">
        <v>378</v>
      </c>
      <c r="B24" s="353">
        <v>543</v>
      </c>
      <c r="C24" s="353" t="s">
        <v>374</v>
      </c>
      <c r="M24" s="359" t="str">
        <f>+'Calculo IP ZDF'!K37</f>
        <v>Z60</v>
      </c>
      <c r="O24" s="358">
        <f>+O22</f>
        <v>30000002129</v>
      </c>
      <c r="P24" s="355">
        <f>ROUND('Calculo IP ZDF'!E37,2)</f>
        <v>400.25</v>
      </c>
      <c r="Q24" s="353" t="s">
        <v>375</v>
      </c>
      <c r="R24" s="353">
        <v>1</v>
      </c>
      <c r="S24" s="353" t="s">
        <v>376</v>
      </c>
      <c r="T24" s="353" t="s">
        <v>377</v>
      </c>
      <c r="U24" s="357" t="str">
        <f>+U22</f>
        <v>01.01.2022</v>
      </c>
      <c r="V24" s="357" t="str">
        <f>+V22</f>
        <v>21.02.2022</v>
      </c>
      <c r="X24" s="353">
        <v>230.3</v>
      </c>
      <c r="Y24" s="353">
        <f t="shared" si="0"/>
        <v>169.95</v>
      </c>
      <c r="Z24" s="439" t="s">
        <v>420</v>
      </c>
    </row>
    <row r="25" spans="1:26" x14ac:dyDescent="0.35">
      <c r="A25" s="374" t="s">
        <v>378</v>
      </c>
      <c r="B25" s="374">
        <v>543</v>
      </c>
      <c r="C25" s="374" t="s">
        <v>374</v>
      </c>
      <c r="D25" s="374"/>
      <c r="E25" s="374"/>
      <c r="F25" s="374"/>
      <c r="G25" s="374"/>
      <c r="H25" s="374"/>
      <c r="I25" s="374"/>
      <c r="J25" s="374"/>
      <c r="K25" s="374"/>
      <c r="L25" s="374"/>
      <c r="M25" s="418" t="str">
        <f>+'Calculo IP ZDF'!K38</f>
        <v>Z63</v>
      </c>
      <c r="N25" s="374"/>
      <c r="O25" s="358">
        <f t="shared" si="1"/>
        <v>30000002129</v>
      </c>
      <c r="P25" s="420">
        <f>ROUND('Calculo IP ZDF'!E38,2)</f>
        <v>400.25</v>
      </c>
      <c r="Q25" s="374" t="s">
        <v>375</v>
      </c>
      <c r="R25" s="374">
        <v>1</v>
      </c>
      <c r="S25" s="374" t="s">
        <v>376</v>
      </c>
      <c r="T25" s="374" t="s">
        <v>377</v>
      </c>
      <c r="U25" s="357" t="str">
        <f>+U24</f>
        <v>01.01.2022</v>
      </c>
      <c r="V25" s="357" t="str">
        <f>+V15</f>
        <v>21.02.2022</v>
      </c>
      <c r="X25" s="353">
        <v>230.3</v>
      </c>
      <c r="Y25" s="353">
        <f t="shared" si="0"/>
        <v>169.95</v>
      </c>
      <c r="Z25" s="439" t="s">
        <v>420</v>
      </c>
    </row>
    <row r="26" spans="1:26" x14ac:dyDescent="0.35">
      <c r="A26" s="353" t="s">
        <v>378</v>
      </c>
      <c r="B26" s="353">
        <v>543</v>
      </c>
      <c r="C26" s="353" t="s">
        <v>374</v>
      </c>
      <c r="M26" s="359" t="str">
        <f>+'Calculo IP ZDF'!K39</f>
        <v>Z70</v>
      </c>
      <c r="O26" s="358">
        <f t="shared" si="1"/>
        <v>30000002129</v>
      </c>
      <c r="P26" s="355">
        <f>ROUND('Calculo IP ZDF'!E39,2)</f>
        <v>400.25</v>
      </c>
      <c r="Q26" s="353" t="s">
        <v>375</v>
      </c>
      <c r="R26" s="353">
        <v>1</v>
      </c>
      <c r="S26" s="353" t="s">
        <v>376</v>
      </c>
      <c r="T26" s="353" t="s">
        <v>377</v>
      </c>
      <c r="U26" s="357" t="str">
        <f t="shared" si="3"/>
        <v>01.01.2022</v>
      </c>
      <c r="V26" s="357" t="str">
        <f t="shared" si="3"/>
        <v>21.02.2022</v>
      </c>
      <c r="X26" s="353">
        <v>230.3</v>
      </c>
      <c r="Y26" s="353">
        <f t="shared" si="0"/>
        <v>169.95</v>
      </c>
      <c r="Z26" s="439" t="s">
        <v>420</v>
      </c>
    </row>
    <row r="27" spans="1:26" x14ac:dyDescent="0.35">
      <c r="A27" s="353" t="s">
        <v>378</v>
      </c>
      <c r="B27" s="353">
        <v>543</v>
      </c>
      <c r="C27" s="353" t="s">
        <v>374</v>
      </c>
      <c r="M27" s="359" t="str">
        <f>+'Calculo IP ZDF'!K40</f>
        <v>Z75</v>
      </c>
      <c r="O27" s="358">
        <f t="shared" si="1"/>
        <v>30000002129</v>
      </c>
      <c r="P27" s="355">
        <f>ROUND('Calculo IP ZDF'!E40,2)</f>
        <v>400.25</v>
      </c>
      <c r="Q27" s="353" t="s">
        <v>375</v>
      </c>
      <c r="R27" s="353">
        <v>1</v>
      </c>
      <c r="S27" s="353" t="s">
        <v>376</v>
      </c>
      <c r="T27" s="353" t="s">
        <v>377</v>
      </c>
      <c r="U27" s="357" t="str">
        <f t="shared" si="3"/>
        <v>01.01.2022</v>
      </c>
      <c r="V27" s="357" t="str">
        <f t="shared" si="3"/>
        <v>21.02.2022</v>
      </c>
      <c r="X27" s="353">
        <v>230.3</v>
      </c>
      <c r="Y27" s="353">
        <f t="shared" si="0"/>
        <v>169.95</v>
      </c>
      <c r="Z27" s="439" t="s">
        <v>420</v>
      </c>
    </row>
    <row r="28" spans="1:26" hidden="1" x14ac:dyDescent="0.35">
      <c r="A28" s="374" t="s">
        <v>379</v>
      </c>
      <c r="B28" s="374">
        <v>543</v>
      </c>
      <c r="C28" s="374" t="s">
        <v>374</v>
      </c>
      <c r="D28" s="374"/>
      <c r="E28" s="374"/>
      <c r="F28" s="374"/>
      <c r="G28" s="374"/>
      <c r="H28" s="374"/>
      <c r="I28" s="374"/>
      <c r="J28" s="374"/>
      <c r="K28" s="374"/>
      <c r="L28" s="374"/>
      <c r="M28" s="418" t="str">
        <f>+'Calculo IP ZDF'!K28</f>
        <v>Z61</v>
      </c>
      <c r="N28" s="374"/>
      <c r="O28" s="374">
        <f>+'Calculo IP ZDF'!B50</f>
        <v>30000000070</v>
      </c>
      <c r="P28" s="420">
        <f>ROUND('Calculo IP ZDF'!B28,2)</f>
        <v>5099.1899999999996</v>
      </c>
      <c r="Q28" s="374" t="s">
        <v>375</v>
      </c>
      <c r="R28" s="374">
        <v>1</v>
      </c>
      <c r="S28" s="374" t="s">
        <v>376</v>
      </c>
      <c r="T28" s="374" t="s">
        <v>377</v>
      </c>
      <c r="U28" s="357" t="str">
        <f>+U27</f>
        <v>01.01.2022</v>
      </c>
      <c r="V28" s="357" t="str">
        <f>+V25</f>
        <v>21.02.2022</v>
      </c>
      <c r="X28" s="353">
        <v>3980</v>
      </c>
      <c r="Y28" s="353">
        <f t="shared" si="0"/>
        <v>1119.1899999999996</v>
      </c>
      <c r="Z28" s="438" t="s">
        <v>422</v>
      </c>
    </row>
    <row r="29" spans="1:26" hidden="1" x14ac:dyDescent="0.35">
      <c r="A29" s="353" t="s">
        <v>379</v>
      </c>
      <c r="B29" s="353">
        <v>543</v>
      </c>
      <c r="C29" s="353" t="s">
        <v>374</v>
      </c>
      <c r="M29" s="359" t="str">
        <f>+'Calculo IP ZDF'!K29</f>
        <v>Z68</v>
      </c>
      <c r="O29" s="353">
        <f>+O28</f>
        <v>30000000070</v>
      </c>
      <c r="P29" s="355">
        <f>ROUND('Calculo IP ZDF'!B29,2)</f>
        <v>4987.82</v>
      </c>
      <c r="Q29" s="353" t="s">
        <v>375</v>
      </c>
      <c r="R29" s="353">
        <v>1</v>
      </c>
      <c r="S29" s="353" t="s">
        <v>376</v>
      </c>
      <c r="T29" s="353" t="s">
        <v>377</v>
      </c>
      <c r="U29" s="357" t="str">
        <f t="shared" si="3"/>
        <v>01.01.2022</v>
      </c>
      <c r="V29" s="357" t="str">
        <f t="shared" si="3"/>
        <v>21.02.2022</v>
      </c>
      <c r="X29" s="353">
        <v>3980</v>
      </c>
      <c r="Y29" s="353">
        <f t="shared" si="0"/>
        <v>1007.8199999999997</v>
      </c>
      <c r="Z29" s="438" t="s">
        <v>422</v>
      </c>
    </row>
    <row r="30" spans="1:26" hidden="1" x14ac:dyDescent="0.35">
      <c r="A30" s="353" t="s">
        <v>379</v>
      </c>
      <c r="B30" s="353">
        <v>543</v>
      </c>
      <c r="C30" s="353" t="s">
        <v>374</v>
      </c>
      <c r="M30" s="359" t="str">
        <f>+'Calculo IP ZDF'!K30</f>
        <v>Z67</v>
      </c>
      <c r="O30" s="353">
        <f t="shared" ref="O30:O39" si="4">+O29</f>
        <v>30000000070</v>
      </c>
      <c r="P30" s="355">
        <f>ROUND('Calculo IP ZDF'!B30,2)</f>
        <v>5099.7</v>
      </c>
      <c r="Q30" s="353" t="s">
        <v>375</v>
      </c>
      <c r="R30" s="353">
        <v>1</v>
      </c>
      <c r="S30" s="353" t="s">
        <v>376</v>
      </c>
      <c r="T30" s="353" t="s">
        <v>377</v>
      </c>
      <c r="U30" s="357" t="str">
        <f t="shared" si="3"/>
        <v>01.01.2022</v>
      </c>
      <c r="V30" s="357" t="str">
        <f t="shared" si="3"/>
        <v>21.02.2022</v>
      </c>
      <c r="X30" s="353">
        <v>3980</v>
      </c>
      <c r="Y30" s="353">
        <f t="shared" si="0"/>
        <v>1119.6999999999998</v>
      </c>
      <c r="Z30" s="438" t="s">
        <v>422</v>
      </c>
    </row>
    <row r="31" spans="1:26" hidden="1" x14ac:dyDescent="0.35">
      <c r="A31" s="412" t="s">
        <v>379</v>
      </c>
      <c r="B31" s="412">
        <v>543</v>
      </c>
      <c r="C31" s="412" t="s">
        <v>374</v>
      </c>
      <c r="D31" s="412"/>
      <c r="E31" s="412"/>
      <c r="F31" s="412"/>
      <c r="G31" s="412"/>
      <c r="H31" s="412"/>
      <c r="I31" s="412"/>
      <c r="J31" s="412"/>
      <c r="K31" s="412"/>
      <c r="L31" s="412"/>
      <c r="M31" s="411" t="str">
        <f>+M18</f>
        <v xml:space="preserve">Z64  </v>
      </c>
      <c r="N31" s="412"/>
      <c r="O31" s="412">
        <f t="shared" si="4"/>
        <v>30000000070</v>
      </c>
      <c r="P31" s="375">
        <f>ROUND('Calculo IP ZDF'!B31,2)</f>
        <v>5107.88</v>
      </c>
      <c r="Q31" s="412" t="s">
        <v>375</v>
      </c>
      <c r="R31" s="412">
        <v>1</v>
      </c>
      <c r="S31" s="412" t="s">
        <v>376</v>
      </c>
      <c r="T31" s="412" t="s">
        <v>377</v>
      </c>
      <c r="U31" s="415" t="str">
        <f t="shared" si="3"/>
        <v>01.01.2022</v>
      </c>
      <c r="V31" s="415" t="str">
        <f t="shared" si="3"/>
        <v>21.02.2022</v>
      </c>
      <c r="X31" s="353">
        <v>3980</v>
      </c>
      <c r="Y31" s="353">
        <f t="shared" si="0"/>
        <v>1127.8800000000001</v>
      </c>
      <c r="Z31" s="438" t="s">
        <v>422</v>
      </c>
    </row>
    <row r="32" spans="1:26" hidden="1" x14ac:dyDescent="0.35">
      <c r="A32" s="353" t="s">
        <v>379</v>
      </c>
      <c r="B32" s="353">
        <v>543</v>
      </c>
      <c r="C32" s="353" t="s">
        <v>374</v>
      </c>
      <c r="M32" s="359" t="str">
        <f>+M19</f>
        <v>Z74</v>
      </c>
      <c r="O32" s="353">
        <f t="shared" si="4"/>
        <v>30000000070</v>
      </c>
      <c r="P32" s="355">
        <f>ROUND('Calculo IP ZDF'!B32,2)</f>
        <v>5108.8999999999996</v>
      </c>
      <c r="Q32" s="353" t="s">
        <v>375</v>
      </c>
      <c r="R32" s="353">
        <v>1</v>
      </c>
      <c r="S32" s="353" t="s">
        <v>376</v>
      </c>
      <c r="T32" s="353" t="s">
        <v>377</v>
      </c>
      <c r="U32" s="357" t="str">
        <f t="shared" si="3"/>
        <v>01.01.2022</v>
      </c>
      <c r="V32" s="357" t="str">
        <f t="shared" si="3"/>
        <v>21.02.2022</v>
      </c>
      <c r="X32" s="353">
        <v>3980</v>
      </c>
      <c r="Y32" s="353">
        <f t="shared" si="0"/>
        <v>1128.8999999999996</v>
      </c>
      <c r="Z32" s="438" t="s">
        <v>422</v>
      </c>
    </row>
    <row r="33" spans="1:26" hidden="1" x14ac:dyDescent="0.35">
      <c r="A33" s="353" t="s">
        <v>379</v>
      </c>
      <c r="B33" s="353">
        <v>543</v>
      </c>
      <c r="C33" s="353" t="s">
        <v>374</v>
      </c>
      <c r="M33" s="359" t="str">
        <f>+'Calculo IP ZDF'!K33</f>
        <v>Z65</v>
      </c>
      <c r="O33" s="353">
        <f t="shared" si="4"/>
        <v>30000000070</v>
      </c>
      <c r="P33" s="355">
        <f>ROUND('Calculo IP ZDF'!B33,2)</f>
        <v>5102.26</v>
      </c>
      <c r="Q33" s="353" t="s">
        <v>375</v>
      </c>
      <c r="R33" s="353">
        <v>1</v>
      </c>
      <c r="S33" s="353" t="s">
        <v>376</v>
      </c>
      <c r="T33" s="353" t="s">
        <v>377</v>
      </c>
      <c r="U33" s="357" t="str">
        <f t="shared" si="3"/>
        <v>01.01.2022</v>
      </c>
      <c r="V33" s="357" t="str">
        <f t="shared" si="3"/>
        <v>21.02.2022</v>
      </c>
      <c r="X33" s="353">
        <v>3980</v>
      </c>
      <c r="Y33" s="353">
        <f t="shared" si="0"/>
        <v>1122.2600000000002</v>
      </c>
      <c r="Z33" s="438" t="s">
        <v>422</v>
      </c>
    </row>
    <row r="34" spans="1:26" hidden="1" x14ac:dyDescent="0.35">
      <c r="A34" s="353" t="s">
        <v>379</v>
      </c>
      <c r="B34" s="353">
        <v>543</v>
      </c>
      <c r="C34" s="353" t="s">
        <v>374</v>
      </c>
      <c r="M34" s="359" t="str">
        <f>+'Calculo IP ZDF'!K34</f>
        <v>Z69</v>
      </c>
      <c r="O34" s="353">
        <f t="shared" si="4"/>
        <v>30000000070</v>
      </c>
      <c r="P34" s="355">
        <f>ROUND('Calculo IP ZDF'!B34,2)</f>
        <v>5108.8999999999996</v>
      </c>
      <c r="Q34" s="353" t="s">
        <v>375</v>
      </c>
      <c r="R34" s="353">
        <v>1</v>
      </c>
      <c r="S34" s="353" t="s">
        <v>376</v>
      </c>
      <c r="T34" s="353" t="s">
        <v>377</v>
      </c>
      <c r="U34" s="357" t="str">
        <f t="shared" si="3"/>
        <v>01.01.2022</v>
      </c>
      <c r="V34" s="357" t="str">
        <f t="shared" si="3"/>
        <v>21.02.2022</v>
      </c>
      <c r="X34" s="353">
        <v>3980</v>
      </c>
      <c r="Y34" s="353">
        <f t="shared" si="0"/>
        <v>1128.8999999999996</v>
      </c>
      <c r="Z34" s="438" t="s">
        <v>422</v>
      </c>
    </row>
    <row r="35" spans="1:26" hidden="1" x14ac:dyDescent="0.35">
      <c r="A35" s="353" t="s">
        <v>379</v>
      </c>
      <c r="B35" s="353">
        <v>543</v>
      </c>
      <c r="C35" s="353" t="s">
        <v>374</v>
      </c>
      <c r="M35" s="359" t="str">
        <f>+'Calculo IP ZDF'!K36</f>
        <v>Z62</v>
      </c>
      <c r="O35" s="353">
        <f t="shared" si="4"/>
        <v>30000000070</v>
      </c>
      <c r="P35" s="355">
        <f>ROUND('Calculo IP ZDF'!B36,2)</f>
        <v>5094.6000000000004</v>
      </c>
      <c r="Q35" s="353" t="s">
        <v>375</v>
      </c>
      <c r="R35" s="353">
        <v>1</v>
      </c>
      <c r="S35" s="353" t="s">
        <v>376</v>
      </c>
      <c r="T35" s="353" t="s">
        <v>377</v>
      </c>
      <c r="U35" s="357" t="str">
        <f t="shared" si="3"/>
        <v>01.01.2022</v>
      </c>
      <c r="V35" s="357" t="str">
        <f t="shared" si="3"/>
        <v>21.02.2022</v>
      </c>
      <c r="X35" s="353">
        <v>3980</v>
      </c>
      <c r="Y35" s="353">
        <f t="shared" si="0"/>
        <v>1114.6000000000004</v>
      </c>
      <c r="Z35" s="438" t="s">
        <v>422</v>
      </c>
    </row>
    <row r="36" spans="1:26" hidden="1" x14ac:dyDescent="0.35">
      <c r="A36" s="353" t="s">
        <v>379</v>
      </c>
      <c r="B36" s="353">
        <v>543</v>
      </c>
      <c r="C36" s="353" t="s">
        <v>374</v>
      </c>
      <c r="M36" s="359" t="str">
        <f>+'Calculo IP ZDF'!K37</f>
        <v>Z60</v>
      </c>
      <c r="O36" s="353">
        <f t="shared" si="4"/>
        <v>30000000070</v>
      </c>
      <c r="P36" s="355">
        <f>ROUND('Calculo IP ZDF'!B37,2)</f>
        <v>5108.8999999999996</v>
      </c>
      <c r="Q36" s="353" t="s">
        <v>375</v>
      </c>
      <c r="R36" s="353">
        <v>1</v>
      </c>
      <c r="S36" s="353" t="s">
        <v>376</v>
      </c>
      <c r="T36" s="353" t="s">
        <v>377</v>
      </c>
      <c r="U36" s="357" t="str">
        <f t="shared" si="3"/>
        <v>01.01.2022</v>
      </c>
      <c r="V36" s="357" t="str">
        <f t="shared" si="3"/>
        <v>21.02.2022</v>
      </c>
      <c r="X36" s="353">
        <v>3980</v>
      </c>
      <c r="Y36" s="353">
        <f t="shared" si="0"/>
        <v>1128.8999999999996</v>
      </c>
      <c r="Z36" s="438" t="s">
        <v>422</v>
      </c>
    </row>
    <row r="37" spans="1:26" hidden="1" x14ac:dyDescent="0.35">
      <c r="A37" s="374" t="s">
        <v>379</v>
      </c>
      <c r="B37" s="374">
        <v>543</v>
      </c>
      <c r="C37" s="374" t="s">
        <v>374</v>
      </c>
      <c r="D37" s="374"/>
      <c r="E37" s="374"/>
      <c r="F37" s="374"/>
      <c r="G37" s="374"/>
      <c r="H37" s="374"/>
      <c r="I37" s="374"/>
      <c r="J37" s="374"/>
      <c r="K37" s="374"/>
      <c r="L37" s="374"/>
      <c r="M37" s="418" t="str">
        <f>+'Calculo IP ZDF'!K38</f>
        <v>Z63</v>
      </c>
      <c r="N37" s="374"/>
      <c r="O37" s="374">
        <f t="shared" si="4"/>
        <v>30000000070</v>
      </c>
      <c r="P37" s="420">
        <f>ROUND('Calculo IP ZDF'!B38,2)</f>
        <v>5098.17</v>
      </c>
      <c r="Q37" s="374" t="s">
        <v>375</v>
      </c>
      <c r="R37" s="374">
        <v>1</v>
      </c>
      <c r="S37" s="374" t="s">
        <v>376</v>
      </c>
      <c r="T37" s="374" t="s">
        <v>377</v>
      </c>
      <c r="U37" s="357" t="str">
        <f>+U36</f>
        <v>01.01.2022</v>
      </c>
      <c r="V37" s="357" t="str">
        <f>+V28</f>
        <v>21.02.2022</v>
      </c>
      <c r="X37" s="353">
        <v>3980</v>
      </c>
      <c r="Y37" s="353">
        <f t="shared" si="0"/>
        <v>1118.17</v>
      </c>
      <c r="Z37" s="438" t="s">
        <v>422</v>
      </c>
    </row>
    <row r="38" spans="1:26" hidden="1" x14ac:dyDescent="0.35">
      <c r="A38" s="353" t="s">
        <v>379</v>
      </c>
      <c r="B38" s="353">
        <v>543</v>
      </c>
      <c r="C38" s="353" t="s">
        <v>374</v>
      </c>
      <c r="M38" s="359" t="str">
        <f>+'Calculo IP ZDF'!K39</f>
        <v>Z70</v>
      </c>
      <c r="O38" s="353">
        <f t="shared" si="4"/>
        <v>30000000070</v>
      </c>
      <c r="P38" s="355">
        <f>ROUND('Calculo IP ZDF'!B39,2)</f>
        <v>5108.8999999999996</v>
      </c>
      <c r="Q38" s="353" t="s">
        <v>375</v>
      </c>
      <c r="R38" s="353">
        <v>1</v>
      </c>
      <c r="S38" s="353" t="s">
        <v>376</v>
      </c>
      <c r="T38" s="353" t="s">
        <v>377</v>
      </c>
      <c r="U38" s="357" t="str">
        <f t="shared" ref="U38:V43" si="5">+U37</f>
        <v>01.01.2022</v>
      </c>
      <c r="V38" s="357" t="str">
        <f t="shared" si="5"/>
        <v>21.02.2022</v>
      </c>
      <c r="X38" s="353">
        <v>3980</v>
      </c>
      <c r="Y38" s="353">
        <f t="shared" si="0"/>
        <v>1128.8999999999996</v>
      </c>
      <c r="Z38" s="438" t="s">
        <v>422</v>
      </c>
    </row>
    <row r="39" spans="1:26" hidden="1" x14ac:dyDescent="0.35">
      <c r="A39" s="353" t="s">
        <v>379</v>
      </c>
      <c r="B39" s="353">
        <v>543</v>
      </c>
      <c r="C39" s="353" t="s">
        <v>374</v>
      </c>
      <c r="M39" s="359" t="str">
        <f>+'Calculo IP ZDF'!K40</f>
        <v>Z75</v>
      </c>
      <c r="O39" s="353">
        <f t="shared" si="4"/>
        <v>30000000070</v>
      </c>
      <c r="P39" s="355">
        <f>ROUND('Calculo IP ZDF'!B40,2)</f>
        <v>4992.93</v>
      </c>
      <c r="Q39" s="353" t="s">
        <v>375</v>
      </c>
      <c r="R39" s="353">
        <v>1</v>
      </c>
      <c r="S39" s="353" t="s">
        <v>376</v>
      </c>
      <c r="T39" s="353" t="s">
        <v>377</v>
      </c>
      <c r="U39" s="357" t="str">
        <f t="shared" si="5"/>
        <v>01.01.2022</v>
      </c>
      <c r="V39" s="357" t="str">
        <f t="shared" si="5"/>
        <v>21.02.2022</v>
      </c>
      <c r="X39" s="353">
        <v>3980</v>
      </c>
      <c r="Y39" s="353">
        <f t="shared" si="0"/>
        <v>1012.9300000000003</v>
      </c>
      <c r="Z39" s="438" t="s">
        <v>422</v>
      </c>
    </row>
    <row r="40" spans="1:26" hidden="1" x14ac:dyDescent="0.35">
      <c r="A40" s="353" t="s">
        <v>379</v>
      </c>
      <c r="B40" s="374">
        <v>587</v>
      </c>
      <c r="C40" s="353" t="s">
        <v>374</v>
      </c>
      <c r="F40" s="353">
        <v>3003</v>
      </c>
      <c r="M40" s="359" t="s">
        <v>346</v>
      </c>
      <c r="O40" s="353">
        <v>30000009113</v>
      </c>
      <c r="P40" s="355">
        <f>ROUND(+'Calculo IP ZDF'!B36,2)</f>
        <v>5094.6000000000004</v>
      </c>
      <c r="Q40" s="353" t="s">
        <v>375</v>
      </c>
      <c r="R40" s="353">
        <v>1</v>
      </c>
      <c r="S40" s="353" t="s">
        <v>376</v>
      </c>
      <c r="T40" s="353" t="s">
        <v>377</v>
      </c>
      <c r="U40" s="357" t="str">
        <f t="shared" si="5"/>
        <v>01.01.2022</v>
      </c>
      <c r="V40" s="357" t="str">
        <f t="shared" si="5"/>
        <v>21.02.2022</v>
      </c>
      <c r="X40" s="353">
        <v>3980</v>
      </c>
      <c r="Y40" s="353">
        <f t="shared" si="0"/>
        <v>1114.6000000000004</v>
      </c>
      <c r="Z40" s="353" t="s">
        <v>421</v>
      </c>
    </row>
    <row r="41" spans="1:26" hidden="1" x14ac:dyDescent="0.35">
      <c r="A41" s="353" t="s">
        <v>400</v>
      </c>
      <c r="B41" s="374">
        <v>587</v>
      </c>
      <c r="C41" s="353" t="s">
        <v>374</v>
      </c>
      <c r="F41" s="353">
        <v>3003</v>
      </c>
      <c r="M41" s="359" t="s">
        <v>346</v>
      </c>
      <c r="O41" s="353">
        <v>30000009113</v>
      </c>
      <c r="P41" s="428">
        <v>8.3800000000000008</v>
      </c>
      <c r="Q41" s="353" t="s">
        <v>375</v>
      </c>
      <c r="R41" s="353">
        <v>1</v>
      </c>
      <c r="S41" s="353" t="s">
        <v>376</v>
      </c>
      <c r="T41" s="353" t="s">
        <v>377</v>
      </c>
      <c r="U41" s="357" t="str">
        <f t="shared" si="5"/>
        <v>01.01.2022</v>
      </c>
      <c r="V41" s="357" t="str">
        <f t="shared" si="5"/>
        <v>21.02.2022</v>
      </c>
      <c r="X41" s="353">
        <v>8.14</v>
      </c>
      <c r="Y41" s="353">
        <f t="shared" si="0"/>
        <v>0.24000000000000021</v>
      </c>
      <c r="Z41" s="353" t="s">
        <v>421</v>
      </c>
    </row>
    <row r="42" spans="1:26" hidden="1" x14ac:dyDescent="0.35">
      <c r="A42" s="353" t="s">
        <v>379</v>
      </c>
      <c r="B42" s="374">
        <v>587</v>
      </c>
      <c r="C42" s="353" t="s">
        <v>374</v>
      </c>
      <c r="F42" s="353">
        <v>3003</v>
      </c>
      <c r="M42" s="359" t="s">
        <v>346</v>
      </c>
      <c r="O42" s="353">
        <v>30000000003</v>
      </c>
      <c r="P42" s="355">
        <f>ROUND(+'Calculo IP ZDF'!C36,2)</f>
        <v>4207.8999999999996</v>
      </c>
      <c r="Q42" s="353" t="s">
        <v>375</v>
      </c>
      <c r="R42" s="353">
        <v>1</v>
      </c>
      <c r="S42" s="353" t="s">
        <v>376</v>
      </c>
      <c r="T42" s="353" t="s">
        <v>377</v>
      </c>
      <c r="U42" s="357" t="str">
        <f t="shared" si="5"/>
        <v>01.01.2022</v>
      </c>
      <c r="V42" s="357" t="str">
        <f t="shared" si="5"/>
        <v>21.02.2022</v>
      </c>
      <c r="X42" s="353">
        <v>4496.3599999999997</v>
      </c>
      <c r="Y42" s="353">
        <f t="shared" si="0"/>
        <v>-288.46000000000004</v>
      </c>
      <c r="Z42" s="353" t="s">
        <v>106</v>
      </c>
    </row>
    <row r="43" spans="1:26" hidden="1" x14ac:dyDescent="0.35">
      <c r="A43" s="353" t="s">
        <v>400</v>
      </c>
      <c r="B43" s="374">
        <v>587</v>
      </c>
      <c r="C43" s="353" t="s">
        <v>374</v>
      </c>
      <c r="F43" s="353">
        <v>3003</v>
      </c>
      <c r="M43" s="359" t="s">
        <v>346</v>
      </c>
      <c r="O43" s="353">
        <v>30000000003</v>
      </c>
      <c r="P43" s="375">
        <f>+P41</f>
        <v>8.3800000000000008</v>
      </c>
      <c r="Q43" s="353" t="s">
        <v>375</v>
      </c>
      <c r="R43" s="353">
        <v>1</v>
      </c>
      <c r="S43" s="353" t="s">
        <v>376</v>
      </c>
      <c r="T43" s="353" t="s">
        <v>377</v>
      </c>
      <c r="U43" s="357" t="str">
        <f t="shared" si="5"/>
        <v>01.01.2022</v>
      </c>
      <c r="V43" s="357" t="str">
        <f t="shared" si="5"/>
        <v>21.02.2022</v>
      </c>
      <c r="X43" s="353">
        <v>8.14</v>
      </c>
      <c r="Y43" s="353">
        <f t="shared" si="0"/>
        <v>0.24000000000000021</v>
      </c>
      <c r="Z43" s="353" t="s">
        <v>106</v>
      </c>
    </row>
    <row r="44" spans="1:26" x14ac:dyDescent="0.35">
      <c r="A44" s="353" t="s">
        <v>373</v>
      </c>
      <c r="B44" s="353">
        <v>543</v>
      </c>
      <c r="C44" s="353" t="s">
        <v>374</v>
      </c>
      <c r="M44" s="411" t="str">
        <f>+'Calculo IP ZDF'!K41</f>
        <v>Z66</v>
      </c>
      <c r="O44" s="353">
        <v>30000002129</v>
      </c>
      <c r="P44" s="355">
        <f>ROUND(+'Calculo IP ZDF'!D41,2)</f>
        <v>4012.21</v>
      </c>
      <c r="Q44" s="353" t="s">
        <v>375</v>
      </c>
      <c r="R44" s="353">
        <v>1</v>
      </c>
      <c r="S44" s="353" t="s">
        <v>376</v>
      </c>
      <c r="T44" s="353" t="s">
        <v>377</v>
      </c>
      <c r="U44" s="357" t="str">
        <f t="shared" ref="U44:V46" si="6">+U43</f>
        <v>01.01.2022</v>
      </c>
      <c r="V44" s="357" t="str">
        <f t="shared" si="6"/>
        <v>21.02.2022</v>
      </c>
      <c r="X44" s="353">
        <v>4618.07</v>
      </c>
      <c r="Y44" s="353">
        <f t="shared" si="0"/>
        <v>-605.85999999999967</v>
      </c>
      <c r="Z44" s="439" t="s">
        <v>420</v>
      </c>
    </row>
    <row r="45" spans="1:26" x14ac:dyDescent="0.35">
      <c r="A45" s="353" t="s">
        <v>378</v>
      </c>
      <c r="B45" s="353">
        <v>543</v>
      </c>
      <c r="C45" s="353" t="s">
        <v>374</v>
      </c>
      <c r="M45" s="411" t="str">
        <f>+M44</f>
        <v>Z66</v>
      </c>
      <c r="O45" s="353">
        <v>30000002129</v>
      </c>
      <c r="P45" s="355">
        <f>ROUND(+'Calculo IP ZDF'!E41,2)</f>
        <v>400.25</v>
      </c>
      <c r="Q45" s="353" t="s">
        <v>375</v>
      </c>
      <c r="R45" s="353">
        <v>1</v>
      </c>
      <c r="S45" s="353" t="s">
        <v>376</v>
      </c>
      <c r="T45" s="353" t="s">
        <v>377</v>
      </c>
      <c r="U45" s="357" t="str">
        <f t="shared" si="6"/>
        <v>01.01.2022</v>
      </c>
      <c r="V45" s="357" t="str">
        <f t="shared" si="6"/>
        <v>21.02.2022</v>
      </c>
      <c r="X45" s="353">
        <v>230.3</v>
      </c>
      <c r="Y45" s="353">
        <f t="shared" si="0"/>
        <v>169.95</v>
      </c>
      <c r="Z45" s="439" t="s">
        <v>420</v>
      </c>
    </row>
    <row r="46" spans="1:26" hidden="1" x14ac:dyDescent="0.35">
      <c r="A46" s="353" t="s">
        <v>379</v>
      </c>
      <c r="B46" s="353">
        <v>543</v>
      </c>
      <c r="C46" s="353" t="s">
        <v>374</v>
      </c>
      <c r="M46" s="359" t="str">
        <f>+M45</f>
        <v>Z66</v>
      </c>
      <c r="O46" s="353">
        <f>+'Calculo IP ZDF'!B50</f>
        <v>30000000070</v>
      </c>
      <c r="P46" s="355">
        <f>ROUND(+'Calculo IP ZDF'!B41,2)</f>
        <v>5108.8999999999996</v>
      </c>
      <c r="Q46" s="353" t="s">
        <v>375</v>
      </c>
      <c r="R46" s="353">
        <v>1</v>
      </c>
      <c r="S46" s="353" t="s">
        <v>376</v>
      </c>
      <c r="T46" s="353" t="s">
        <v>377</v>
      </c>
      <c r="U46" s="357" t="str">
        <f t="shared" si="6"/>
        <v>01.01.2022</v>
      </c>
      <c r="V46" s="357" t="str">
        <f t="shared" si="6"/>
        <v>21.02.2022</v>
      </c>
      <c r="X46" s="353">
        <v>3980</v>
      </c>
      <c r="Y46" s="353">
        <f t="shared" si="0"/>
        <v>1128.8999999999996</v>
      </c>
      <c r="Z46" s="438" t="s">
        <v>422</v>
      </c>
    </row>
  </sheetData>
  <autoFilter ref="A1:V46" xr:uid="{00000000-0009-0000-0000-000017000000}">
    <filterColumn colId="14">
      <filters>
        <filter val="30000002129"/>
        <filter val="30000009250"/>
      </filters>
    </filterColumn>
  </autoFilter>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Y27"/>
  <sheetViews>
    <sheetView zoomScale="85" zoomScaleNormal="85" workbookViewId="0">
      <selection activeCell="R44" sqref="R44"/>
    </sheetView>
  </sheetViews>
  <sheetFormatPr baseColWidth="10" defaultColWidth="11.36328125" defaultRowHeight="14.5" x14ac:dyDescent="0.35"/>
  <cols>
    <col min="1" max="1" width="7.36328125" style="353" customWidth="1"/>
    <col min="2" max="2" width="9.1796875" style="353" customWidth="1"/>
    <col min="3" max="3" width="7.6328125" style="353" customWidth="1"/>
    <col min="4" max="12" width="4.453125" style="353" customWidth="1"/>
    <col min="13" max="13" width="6.90625" style="353" customWidth="1"/>
    <col min="14" max="14" width="11.08984375" style="353" customWidth="1"/>
    <col min="15" max="15" width="12.1796875" style="353" bestFit="1" customWidth="1"/>
    <col min="16" max="16" width="11.81640625" style="355" bestFit="1" customWidth="1"/>
    <col min="17" max="17" width="7.6328125" style="353" customWidth="1"/>
    <col min="18" max="18" width="8.81640625" style="353" customWidth="1"/>
    <col min="19" max="19" width="9.90625" style="353" customWidth="1"/>
    <col min="20" max="20" width="5.6328125" style="353" customWidth="1"/>
    <col min="21" max="22" width="10.81640625" style="356" bestFit="1" customWidth="1"/>
    <col min="23" max="16384" width="11.36328125" style="353"/>
  </cols>
  <sheetData>
    <row r="1" spans="1:24" x14ac:dyDescent="0.35">
      <c r="A1" s="353" t="s">
        <v>351</v>
      </c>
      <c r="B1" s="353" t="s">
        <v>352</v>
      </c>
      <c r="C1" s="353" t="s">
        <v>353</v>
      </c>
      <c r="D1" s="353" t="s">
        <v>354</v>
      </c>
      <c r="E1" s="353" t="s">
        <v>355</v>
      </c>
      <c r="F1" s="353" t="s">
        <v>356</v>
      </c>
      <c r="G1" s="353" t="s">
        <v>357</v>
      </c>
      <c r="H1" s="353" t="s">
        <v>358</v>
      </c>
      <c r="I1" s="353" t="s">
        <v>359</v>
      </c>
      <c r="J1" s="353" t="s">
        <v>360</v>
      </c>
      <c r="K1" s="353" t="s">
        <v>361</v>
      </c>
      <c r="L1" s="353" t="s">
        <v>362</v>
      </c>
      <c r="M1" s="353" t="s">
        <v>363</v>
      </c>
      <c r="N1" s="353" t="s">
        <v>364</v>
      </c>
      <c r="O1" s="354" t="s">
        <v>365</v>
      </c>
      <c r="P1" s="355" t="s">
        <v>366</v>
      </c>
      <c r="Q1" s="353" t="s">
        <v>367</v>
      </c>
      <c r="R1" s="353" t="s">
        <v>368</v>
      </c>
      <c r="S1" s="353" t="s">
        <v>369</v>
      </c>
      <c r="T1" s="353" t="s">
        <v>370</v>
      </c>
      <c r="U1" s="356" t="s">
        <v>371</v>
      </c>
      <c r="V1" s="356" t="s">
        <v>372</v>
      </c>
    </row>
    <row r="2" spans="1:24" x14ac:dyDescent="0.35">
      <c r="A2" s="353" t="s">
        <v>379</v>
      </c>
      <c r="B2" s="353">
        <v>543</v>
      </c>
      <c r="C2" s="353" t="s">
        <v>393</v>
      </c>
      <c r="F2" s="353" t="s">
        <v>158</v>
      </c>
      <c r="M2" s="418" t="s">
        <v>396</v>
      </c>
      <c r="O2" s="395">
        <v>30000000003</v>
      </c>
      <c r="P2" s="354">
        <f>ROUND('Calculo IP ZDF'!C31,2)</f>
        <v>4480.78</v>
      </c>
      <c r="Q2" s="353" t="s">
        <v>375</v>
      </c>
      <c r="R2" s="353">
        <v>1</v>
      </c>
      <c r="S2" s="353" t="s">
        <v>394</v>
      </c>
      <c r="T2" s="353" t="s">
        <v>377</v>
      </c>
      <c r="U2" s="357" t="str">
        <f>+'Calculo IP ZDF'!B46</f>
        <v>01.01.2022</v>
      </c>
      <c r="V2" s="357" t="str">
        <f>+'Calculo IP ZDF'!C46</f>
        <v>21.02.2022</v>
      </c>
      <c r="X2" s="374" t="s">
        <v>108</v>
      </c>
    </row>
    <row r="3" spans="1:24" x14ac:dyDescent="0.35">
      <c r="A3" s="353" t="s">
        <v>379</v>
      </c>
      <c r="B3" s="353">
        <v>543</v>
      </c>
      <c r="C3" s="353" t="s">
        <v>393</v>
      </c>
      <c r="M3" s="533" t="s">
        <v>395</v>
      </c>
      <c r="O3" s="395">
        <v>30000000003</v>
      </c>
      <c r="P3" s="354">
        <f>ROUND('Calculo IP ZDF'!C32,2)</f>
        <v>4480.78</v>
      </c>
      <c r="Q3" s="353" t="s">
        <v>375</v>
      </c>
      <c r="R3" s="353">
        <v>1</v>
      </c>
      <c r="S3" s="353" t="s">
        <v>394</v>
      </c>
      <c r="T3" s="353" t="s">
        <v>377</v>
      </c>
      <c r="U3" s="534" t="str">
        <f>+U2</f>
        <v>01.01.2022</v>
      </c>
      <c r="V3" s="534" t="str">
        <f>+V2</f>
        <v>21.02.2022</v>
      </c>
      <c r="X3" s="532" t="s">
        <v>484</v>
      </c>
    </row>
    <row r="4" spans="1:24" x14ac:dyDescent="0.35">
      <c r="A4" s="353" t="s">
        <v>379</v>
      </c>
      <c r="B4" s="353">
        <v>543</v>
      </c>
      <c r="C4" s="353" t="s">
        <v>393</v>
      </c>
      <c r="M4" s="528" t="str">
        <f>+'Calculo IP ZDF'!K33</f>
        <v>Z65</v>
      </c>
      <c r="O4" s="395">
        <v>30000000003</v>
      </c>
      <c r="P4" s="354">
        <f>ROUND('Calculo IP ZDF'!C33,2)</f>
        <v>4209.24</v>
      </c>
      <c r="Q4" s="353" t="s">
        <v>375</v>
      </c>
      <c r="R4" s="353">
        <v>1</v>
      </c>
      <c r="S4" s="353" t="s">
        <v>394</v>
      </c>
      <c r="T4" s="353" t="s">
        <v>377</v>
      </c>
      <c r="U4" s="529" t="str">
        <f t="shared" ref="U4:U6" si="0">+U3</f>
        <v>01.01.2022</v>
      </c>
      <c r="V4" s="529" t="str">
        <f t="shared" ref="V4:V6" si="1">+V3</f>
        <v>21.02.2022</v>
      </c>
      <c r="X4" s="527" t="s">
        <v>482</v>
      </c>
    </row>
    <row r="5" spans="1:24" x14ac:dyDescent="0.35">
      <c r="A5" s="353" t="s">
        <v>379</v>
      </c>
      <c r="B5" s="353">
        <v>543</v>
      </c>
      <c r="C5" s="353" t="s">
        <v>393</v>
      </c>
      <c r="M5" s="530" t="str">
        <f>+'Calculo IP ZDF'!K35</f>
        <v>Z73</v>
      </c>
      <c r="O5" s="395">
        <v>30000000003</v>
      </c>
      <c r="P5" s="354">
        <f>ROUND('Calculo IP ZDF'!C35,2)</f>
        <v>4092.74</v>
      </c>
      <c r="Q5" s="353" t="s">
        <v>375</v>
      </c>
      <c r="R5" s="353">
        <v>1</v>
      </c>
      <c r="S5" s="353" t="s">
        <v>394</v>
      </c>
      <c r="T5" s="353" t="s">
        <v>377</v>
      </c>
      <c r="U5" s="357" t="str">
        <f t="shared" si="0"/>
        <v>01.01.2022</v>
      </c>
      <c r="V5" s="357" t="str">
        <f t="shared" si="1"/>
        <v>21.02.2022</v>
      </c>
      <c r="X5" s="531" t="s">
        <v>483</v>
      </c>
    </row>
    <row r="6" spans="1:24" x14ac:dyDescent="0.35">
      <c r="A6" s="353" t="s">
        <v>379</v>
      </c>
      <c r="B6" s="353">
        <v>543</v>
      </c>
      <c r="C6" s="353" t="s">
        <v>393</v>
      </c>
      <c r="M6" s="526" t="str">
        <f>+'Calculo IP ZDF'!K36</f>
        <v>Z62</v>
      </c>
      <c r="O6" s="395">
        <v>30000000003</v>
      </c>
      <c r="P6" s="354">
        <f>ROUND('Calculo IP ZDF'!C36,2)</f>
        <v>4207.8999999999996</v>
      </c>
      <c r="Q6" s="353" t="s">
        <v>375</v>
      </c>
      <c r="R6" s="353">
        <v>1</v>
      </c>
      <c r="S6" s="353" t="s">
        <v>394</v>
      </c>
      <c r="T6" s="353" t="s">
        <v>377</v>
      </c>
      <c r="U6" s="524" t="str">
        <f t="shared" si="0"/>
        <v>01.01.2022</v>
      </c>
      <c r="V6" s="524" t="str">
        <f t="shared" si="1"/>
        <v>21.02.2022</v>
      </c>
      <c r="W6" s="525"/>
      <c r="X6" s="525" t="s">
        <v>110</v>
      </c>
    </row>
    <row r="7" spans="1:24" x14ac:dyDescent="0.35">
      <c r="A7" s="353" t="s">
        <v>379</v>
      </c>
      <c r="B7" s="353">
        <v>543</v>
      </c>
      <c r="C7" s="353" t="s">
        <v>393</v>
      </c>
      <c r="M7" s="418" t="str">
        <f>+M2</f>
        <v xml:space="preserve">Z64  </v>
      </c>
      <c r="O7" s="358">
        <v>30000000070</v>
      </c>
      <c r="P7" s="354">
        <f>ROUND('Calculo IP ZDF'!B31,2)</f>
        <v>5107.88</v>
      </c>
      <c r="Q7" s="353" t="s">
        <v>375</v>
      </c>
      <c r="R7" s="353">
        <v>1</v>
      </c>
      <c r="S7" s="353" t="s">
        <v>394</v>
      </c>
      <c r="T7" s="353" t="s">
        <v>377</v>
      </c>
      <c r="U7" s="357" t="str">
        <f t="shared" ref="U7:U10" si="2">+U6</f>
        <v>01.01.2022</v>
      </c>
      <c r="V7" s="357" t="str">
        <f t="shared" ref="V7:V21" si="3">+V6</f>
        <v>21.02.2022</v>
      </c>
      <c r="X7" s="374" t="s">
        <v>108</v>
      </c>
    </row>
    <row r="8" spans="1:24" x14ac:dyDescent="0.35">
      <c r="A8" s="353" t="s">
        <v>379</v>
      </c>
      <c r="B8" s="353">
        <v>543</v>
      </c>
      <c r="C8" s="353" t="s">
        <v>393</v>
      </c>
      <c r="M8" s="533" t="str">
        <f t="shared" ref="M8:M11" si="4">+M3</f>
        <v>Z51</v>
      </c>
      <c r="O8" s="358">
        <v>30000000070</v>
      </c>
      <c r="P8" s="354">
        <f>ROUND('Calculo IP ZDF'!B32,2)</f>
        <v>5108.8999999999996</v>
      </c>
      <c r="Q8" s="353" t="s">
        <v>375</v>
      </c>
      <c r="R8" s="353">
        <v>1</v>
      </c>
      <c r="S8" s="353" t="s">
        <v>394</v>
      </c>
      <c r="T8" s="353" t="s">
        <v>377</v>
      </c>
      <c r="U8" s="534" t="str">
        <f t="shared" si="2"/>
        <v>01.01.2022</v>
      </c>
      <c r="V8" s="534" t="str">
        <f t="shared" si="3"/>
        <v>21.02.2022</v>
      </c>
      <c r="X8" s="532" t="s">
        <v>484</v>
      </c>
    </row>
    <row r="9" spans="1:24" x14ac:dyDescent="0.35">
      <c r="A9" s="353" t="s">
        <v>379</v>
      </c>
      <c r="B9" s="353">
        <v>543</v>
      </c>
      <c r="C9" s="353" t="s">
        <v>393</v>
      </c>
      <c r="M9" s="528" t="str">
        <f t="shared" si="4"/>
        <v>Z65</v>
      </c>
      <c r="O9" s="358">
        <v>30000000070</v>
      </c>
      <c r="P9" s="354">
        <f>ROUND('Calculo IP ZDF'!B33,2)</f>
        <v>5102.26</v>
      </c>
      <c r="Q9" s="353" t="s">
        <v>375</v>
      </c>
      <c r="R9" s="353">
        <v>1</v>
      </c>
      <c r="S9" s="353" t="s">
        <v>394</v>
      </c>
      <c r="T9" s="353" t="s">
        <v>377</v>
      </c>
      <c r="U9" s="529" t="str">
        <f t="shared" si="2"/>
        <v>01.01.2022</v>
      </c>
      <c r="V9" s="529" t="str">
        <f t="shared" si="3"/>
        <v>21.02.2022</v>
      </c>
      <c r="X9" s="527" t="s">
        <v>482</v>
      </c>
    </row>
    <row r="10" spans="1:24" x14ac:dyDescent="0.35">
      <c r="A10" s="353" t="s">
        <v>379</v>
      </c>
      <c r="B10" s="353">
        <v>543</v>
      </c>
      <c r="C10" s="353" t="s">
        <v>393</v>
      </c>
      <c r="M10" s="530" t="str">
        <f t="shared" si="4"/>
        <v>Z73</v>
      </c>
      <c r="O10" s="358">
        <v>30000000070</v>
      </c>
      <c r="P10" s="354">
        <f>ROUND('Calculo IP ZDF'!B35,2)</f>
        <v>4763.54</v>
      </c>
      <c r="Q10" s="353" t="s">
        <v>375</v>
      </c>
      <c r="R10" s="353">
        <v>1</v>
      </c>
      <c r="S10" s="353" t="s">
        <v>394</v>
      </c>
      <c r="T10" s="353" t="s">
        <v>377</v>
      </c>
      <c r="U10" s="357" t="str">
        <f t="shared" si="2"/>
        <v>01.01.2022</v>
      </c>
      <c r="V10" s="357" t="str">
        <f t="shared" si="3"/>
        <v>21.02.2022</v>
      </c>
      <c r="X10" s="531" t="s">
        <v>483</v>
      </c>
    </row>
    <row r="11" spans="1:24" x14ac:dyDescent="0.35">
      <c r="A11" s="353" t="s">
        <v>379</v>
      </c>
      <c r="B11" s="353">
        <v>543</v>
      </c>
      <c r="C11" s="353" t="s">
        <v>393</v>
      </c>
      <c r="M11" s="526" t="str">
        <f t="shared" si="4"/>
        <v>Z62</v>
      </c>
      <c r="O11" s="358">
        <v>30000000070</v>
      </c>
      <c r="P11" s="354">
        <f>ROUND('Calculo IP ZDF'!B36,2)</f>
        <v>5094.6000000000004</v>
      </c>
      <c r="Q11" s="353" t="s">
        <v>375</v>
      </c>
      <c r="R11" s="353">
        <v>1</v>
      </c>
      <c r="S11" s="353" t="s">
        <v>394</v>
      </c>
      <c r="T11" s="353" t="s">
        <v>377</v>
      </c>
      <c r="U11" s="524" t="str">
        <f>+U10</f>
        <v>01.01.2022</v>
      </c>
      <c r="V11" s="524" t="str">
        <f t="shared" si="3"/>
        <v>21.02.2022</v>
      </c>
      <c r="W11" s="525"/>
      <c r="X11" s="525" t="s">
        <v>110</v>
      </c>
    </row>
    <row r="12" spans="1:24" x14ac:dyDescent="0.35">
      <c r="A12" s="353" t="s">
        <v>373</v>
      </c>
      <c r="B12" s="353">
        <v>543</v>
      </c>
      <c r="C12" s="353" t="s">
        <v>393</v>
      </c>
      <c r="F12" s="353" t="s">
        <v>158</v>
      </c>
      <c r="M12" s="418" t="str">
        <f t="shared" ref="M12:M21" si="5">+M2</f>
        <v xml:space="preserve">Z64  </v>
      </c>
      <c r="O12" s="371">
        <v>30000002129</v>
      </c>
      <c r="P12" s="354">
        <f>ROUND('Calculo IP ZDF'!D31,2)</f>
        <v>4391.16</v>
      </c>
      <c r="Q12" s="353" t="s">
        <v>375</v>
      </c>
      <c r="R12" s="353">
        <v>1</v>
      </c>
      <c r="S12" s="353" t="s">
        <v>394</v>
      </c>
      <c r="T12" s="353" t="s">
        <v>377</v>
      </c>
      <c r="U12" s="357" t="str">
        <f t="shared" ref="U12:U16" si="6">+U11</f>
        <v>01.01.2022</v>
      </c>
      <c r="V12" s="357" t="str">
        <f t="shared" si="3"/>
        <v>21.02.2022</v>
      </c>
      <c r="X12" s="374" t="s">
        <v>108</v>
      </c>
    </row>
    <row r="13" spans="1:24" x14ac:dyDescent="0.35">
      <c r="A13" s="353" t="s">
        <v>373</v>
      </c>
      <c r="B13" s="353">
        <v>543</v>
      </c>
      <c r="C13" s="353" t="s">
        <v>393</v>
      </c>
      <c r="M13" s="533" t="str">
        <f t="shared" si="5"/>
        <v>Z51</v>
      </c>
      <c r="O13" s="371">
        <v>30000002129</v>
      </c>
      <c r="P13" s="354">
        <f>ROUND('Calculo IP ZDF'!D32,2)</f>
        <v>4391.16</v>
      </c>
      <c r="Q13" s="353" t="s">
        <v>375</v>
      </c>
      <c r="R13" s="353">
        <v>1</v>
      </c>
      <c r="S13" s="353" t="s">
        <v>394</v>
      </c>
      <c r="T13" s="353" t="s">
        <v>377</v>
      </c>
      <c r="U13" s="534" t="str">
        <f t="shared" si="6"/>
        <v>01.01.2022</v>
      </c>
      <c r="V13" s="534" t="str">
        <f t="shared" si="3"/>
        <v>21.02.2022</v>
      </c>
      <c r="X13" s="532" t="s">
        <v>484</v>
      </c>
    </row>
    <row r="14" spans="1:24" x14ac:dyDescent="0.35">
      <c r="A14" s="353" t="s">
        <v>373</v>
      </c>
      <c r="B14" s="353">
        <v>543</v>
      </c>
      <c r="C14" s="353" t="s">
        <v>393</v>
      </c>
      <c r="M14" s="528" t="str">
        <f t="shared" si="5"/>
        <v>Z65</v>
      </c>
      <c r="O14" s="371">
        <v>30000002129</v>
      </c>
      <c r="P14" s="354">
        <f>ROUND('Calculo IP ZDF'!D33,2)</f>
        <v>4125.0600000000004</v>
      </c>
      <c r="Q14" s="353" t="s">
        <v>375</v>
      </c>
      <c r="R14" s="353">
        <v>1</v>
      </c>
      <c r="S14" s="353" t="s">
        <v>394</v>
      </c>
      <c r="T14" s="353" t="s">
        <v>377</v>
      </c>
      <c r="U14" s="529" t="str">
        <f t="shared" si="6"/>
        <v>01.01.2022</v>
      </c>
      <c r="V14" s="529" t="str">
        <f t="shared" si="3"/>
        <v>21.02.2022</v>
      </c>
      <c r="X14" s="527" t="s">
        <v>482</v>
      </c>
    </row>
    <row r="15" spans="1:24" x14ac:dyDescent="0.35">
      <c r="A15" s="353" t="s">
        <v>373</v>
      </c>
      <c r="B15" s="353">
        <v>543</v>
      </c>
      <c r="C15" s="353" t="s">
        <v>393</v>
      </c>
      <c r="M15" s="530" t="str">
        <f t="shared" si="5"/>
        <v>Z73</v>
      </c>
      <c r="O15" s="371">
        <v>30000002129</v>
      </c>
      <c r="P15" s="354">
        <f>ROUND('Calculo IP ZDF'!D35,2)</f>
        <v>4010.89</v>
      </c>
      <c r="Q15" s="353" t="s">
        <v>375</v>
      </c>
      <c r="R15" s="353">
        <v>1</v>
      </c>
      <c r="S15" s="353" t="s">
        <v>394</v>
      </c>
      <c r="T15" s="353" t="s">
        <v>377</v>
      </c>
      <c r="U15" s="357" t="str">
        <f t="shared" si="6"/>
        <v>01.01.2022</v>
      </c>
      <c r="V15" s="357" t="str">
        <f t="shared" si="3"/>
        <v>21.02.2022</v>
      </c>
      <c r="X15" s="531" t="s">
        <v>483</v>
      </c>
    </row>
    <row r="16" spans="1:24" x14ac:dyDescent="0.35">
      <c r="A16" s="353" t="s">
        <v>373</v>
      </c>
      <c r="B16" s="353">
        <v>543</v>
      </c>
      <c r="C16" s="353" t="s">
        <v>393</v>
      </c>
      <c r="M16" s="526" t="str">
        <f t="shared" si="5"/>
        <v>Z62</v>
      </c>
      <c r="O16" s="371">
        <v>30000002129</v>
      </c>
      <c r="P16" s="354">
        <f>ROUND('Calculo IP ZDF'!D36,2)</f>
        <v>4123.74</v>
      </c>
      <c r="Q16" s="353" t="s">
        <v>375</v>
      </c>
      <c r="R16" s="353">
        <v>1</v>
      </c>
      <c r="S16" s="353" t="s">
        <v>394</v>
      </c>
      <c r="T16" s="353" t="s">
        <v>377</v>
      </c>
      <c r="U16" s="524" t="str">
        <f t="shared" si="6"/>
        <v>01.01.2022</v>
      </c>
      <c r="V16" s="524" t="str">
        <f t="shared" si="3"/>
        <v>21.02.2022</v>
      </c>
      <c r="W16" s="525"/>
      <c r="X16" s="525" t="s">
        <v>110</v>
      </c>
    </row>
    <row r="17" spans="1:25" x14ac:dyDescent="0.35">
      <c r="A17" s="353" t="s">
        <v>378</v>
      </c>
      <c r="B17" s="353">
        <v>543</v>
      </c>
      <c r="C17" s="353" t="s">
        <v>393</v>
      </c>
      <c r="F17" s="353" t="s">
        <v>158</v>
      </c>
      <c r="M17" s="418" t="str">
        <f t="shared" si="5"/>
        <v xml:space="preserve">Z64  </v>
      </c>
      <c r="O17" s="371">
        <v>30000002129</v>
      </c>
      <c r="P17" s="354">
        <f>ROUND('Calculo IP ZDF'!E31,2)</f>
        <v>400.25</v>
      </c>
      <c r="Q17" s="353" t="s">
        <v>375</v>
      </c>
      <c r="R17" s="353">
        <v>1</v>
      </c>
      <c r="S17" s="353" t="s">
        <v>394</v>
      </c>
      <c r="T17" s="353" t="s">
        <v>377</v>
      </c>
      <c r="U17" s="357" t="str">
        <f t="shared" ref="U17:U21" si="7">+U16</f>
        <v>01.01.2022</v>
      </c>
      <c r="V17" s="357" t="str">
        <f t="shared" si="3"/>
        <v>21.02.2022</v>
      </c>
      <c r="X17" s="374" t="s">
        <v>108</v>
      </c>
    </row>
    <row r="18" spans="1:25" x14ac:dyDescent="0.35">
      <c r="A18" s="353" t="s">
        <v>378</v>
      </c>
      <c r="B18" s="353">
        <v>543</v>
      </c>
      <c r="C18" s="353" t="s">
        <v>393</v>
      </c>
      <c r="M18" s="533" t="str">
        <f t="shared" si="5"/>
        <v>Z51</v>
      </c>
      <c r="O18" s="371">
        <v>30000002129</v>
      </c>
      <c r="P18" s="354">
        <f>ROUND('Calculo IP ZDF'!E32,2)</f>
        <v>400.25</v>
      </c>
      <c r="Q18" s="353" t="s">
        <v>375</v>
      </c>
      <c r="R18" s="353">
        <v>1</v>
      </c>
      <c r="S18" s="353" t="s">
        <v>394</v>
      </c>
      <c r="T18" s="353" t="s">
        <v>377</v>
      </c>
      <c r="U18" s="534" t="str">
        <f t="shared" si="7"/>
        <v>01.01.2022</v>
      </c>
      <c r="V18" s="534" t="str">
        <f t="shared" si="3"/>
        <v>21.02.2022</v>
      </c>
      <c r="X18" s="532" t="s">
        <v>484</v>
      </c>
    </row>
    <row r="19" spans="1:25" x14ac:dyDescent="0.35">
      <c r="A19" s="353" t="s">
        <v>378</v>
      </c>
      <c r="B19" s="353">
        <v>543</v>
      </c>
      <c r="C19" s="353" t="s">
        <v>393</v>
      </c>
      <c r="M19" s="528" t="str">
        <f t="shared" si="5"/>
        <v>Z65</v>
      </c>
      <c r="O19" s="371">
        <v>30000002129</v>
      </c>
      <c r="P19" s="354">
        <f>ROUND('Calculo IP ZDF'!E33,2)</f>
        <v>400.25</v>
      </c>
      <c r="Q19" s="353" t="s">
        <v>375</v>
      </c>
      <c r="R19" s="353">
        <v>1</v>
      </c>
      <c r="S19" s="353" t="s">
        <v>394</v>
      </c>
      <c r="T19" s="353" t="s">
        <v>377</v>
      </c>
      <c r="U19" s="529" t="str">
        <f t="shared" si="7"/>
        <v>01.01.2022</v>
      </c>
      <c r="V19" s="529" t="str">
        <f t="shared" si="3"/>
        <v>21.02.2022</v>
      </c>
      <c r="X19" s="527" t="s">
        <v>482</v>
      </c>
    </row>
    <row r="20" spans="1:25" x14ac:dyDescent="0.35">
      <c r="A20" s="353" t="s">
        <v>378</v>
      </c>
      <c r="B20" s="353">
        <v>543</v>
      </c>
      <c r="C20" s="353" t="s">
        <v>393</v>
      </c>
      <c r="M20" s="530" t="str">
        <f t="shared" si="5"/>
        <v>Z73</v>
      </c>
      <c r="O20" s="371">
        <v>30000002129</v>
      </c>
      <c r="P20" s="354">
        <f>ROUND('Calculo IP ZDF'!E35,2)</f>
        <v>400.25</v>
      </c>
      <c r="Q20" s="353" t="s">
        <v>375</v>
      </c>
      <c r="R20" s="353">
        <v>1</v>
      </c>
      <c r="S20" s="353" t="s">
        <v>394</v>
      </c>
      <c r="T20" s="353" t="s">
        <v>377</v>
      </c>
      <c r="U20" s="357" t="str">
        <f t="shared" si="7"/>
        <v>01.01.2022</v>
      </c>
      <c r="V20" s="357" t="str">
        <f t="shared" si="3"/>
        <v>21.02.2022</v>
      </c>
      <c r="X20" s="531" t="s">
        <v>483</v>
      </c>
    </row>
    <row r="21" spans="1:25" x14ac:dyDescent="0.35">
      <c r="A21" s="353" t="s">
        <v>378</v>
      </c>
      <c r="B21" s="353">
        <v>543</v>
      </c>
      <c r="C21" s="353" t="s">
        <v>393</v>
      </c>
      <c r="M21" s="526" t="str">
        <f t="shared" si="5"/>
        <v>Z62</v>
      </c>
      <c r="O21" s="371">
        <v>30000002129</v>
      </c>
      <c r="P21" s="354">
        <f>ROUND('Calculo IP ZDF'!E36,2)</f>
        <v>400.25</v>
      </c>
      <c r="Q21" s="353" t="s">
        <v>375</v>
      </c>
      <c r="R21" s="353">
        <v>1</v>
      </c>
      <c r="S21" s="353" t="s">
        <v>394</v>
      </c>
      <c r="T21" s="353" t="s">
        <v>377</v>
      </c>
      <c r="U21" s="524" t="str">
        <f t="shared" si="7"/>
        <v>01.01.2022</v>
      </c>
      <c r="V21" s="524" t="str">
        <f t="shared" si="3"/>
        <v>21.02.2022</v>
      </c>
      <c r="W21" s="525"/>
      <c r="X21" s="525" t="s">
        <v>110</v>
      </c>
    </row>
    <row r="22" spans="1:25" x14ac:dyDescent="0.35">
      <c r="A22" s="561" t="s">
        <v>379</v>
      </c>
      <c r="B22" s="561">
        <v>549</v>
      </c>
      <c r="C22" s="561" t="s">
        <v>393</v>
      </c>
      <c r="D22" s="561"/>
      <c r="E22" s="561"/>
      <c r="F22" s="561"/>
      <c r="G22" s="561"/>
      <c r="H22" s="561"/>
      <c r="I22" s="561">
        <v>9000014799</v>
      </c>
      <c r="J22" s="561"/>
      <c r="K22" s="561"/>
      <c r="L22" s="561"/>
      <c r="M22" s="562" t="str">
        <f>+M21</f>
        <v>Z62</v>
      </c>
      <c r="N22" s="561"/>
      <c r="O22" s="561">
        <v>30000000003</v>
      </c>
      <c r="P22" s="563">
        <f>ROUND('Calculo IP ZDF'!C36,2)</f>
        <v>4207.8999999999996</v>
      </c>
      <c r="Q22" s="561" t="s">
        <v>375</v>
      </c>
      <c r="R22" s="561">
        <v>1</v>
      </c>
      <c r="S22" s="561" t="s">
        <v>394</v>
      </c>
      <c r="T22" s="561" t="s">
        <v>377</v>
      </c>
      <c r="U22" s="564" t="str">
        <f>+U21</f>
        <v>01.01.2022</v>
      </c>
      <c r="V22" s="564" t="str">
        <f>+V21</f>
        <v>21.02.2022</v>
      </c>
      <c r="W22" s="401" t="s">
        <v>408</v>
      </c>
      <c r="X22" s="402"/>
      <c r="Y22" s="402"/>
    </row>
    <row r="27" spans="1:25" x14ac:dyDescent="0.35">
      <c r="I27" s="374" t="s">
        <v>439</v>
      </c>
      <c r="J27" s="374"/>
      <c r="K27" s="374"/>
      <c r="L27" s="374"/>
    </row>
  </sheetData>
  <autoFilter ref="A1:Y22" xr:uid="{00000000-0009-0000-0000-000018000000}"/>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tabColor rgb="FF92D050"/>
  </sheetPr>
  <dimension ref="B2:L49"/>
  <sheetViews>
    <sheetView showGridLines="0" topLeftCell="C22" zoomScale="85" zoomScaleNormal="85" workbookViewId="0">
      <selection activeCell="AP29" sqref="AP29"/>
    </sheetView>
  </sheetViews>
  <sheetFormatPr baseColWidth="10" defaultColWidth="11.36328125" defaultRowHeight="14.5" x14ac:dyDescent="0.35"/>
  <cols>
    <col min="1" max="1" width="0" style="2" hidden="1" customWidth="1"/>
    <col min="2" max="2" width="11.36328125" style="2"/>
    <col min="3" max="3" width="3.90625" style="2" customWidth="1"/>
    <col min="4" max="4" width="81.1796875" style="2" customWidth="1"/>
    <col min="5" max="5" width="15.90625" style="3" customWidth="1"/>
    <col min="6" max="6" width="21.1796875" style="2" customWidth="1"/>
    <col min="7" max="10" width="11.36328125" style="2"/>
    <col min="11" max="11" width="12.90625" style="2" customWidth="1"/>
    <col min="12" max="16384" width="11.36328125" style="2"/>
  </cols>
  <sheetData>
    <row r="2" spans="2:12" ht="36" x14ac:dyDescent="0.8">
      <c r="B2" s="1">
        <v>3</v>
      </c>
      <c r="D2" s="2" t="s">
        <v>13</v>
      </c>
    </row>
    <row r="4" spans="2:12" ht="21" x14ac:dyDescent="0.5">
      <c r="D4" s="4" t="s">
        <v>0</v>
      </c>
      <c r="E4" s="5" t="s">
        <v>1</v>
      </c>
      <c r="F4" s="6" t="s">
        <v>2</v>
      </c>
    </row>
    <row r="5" spans="2:12" ht="21" x14ac:dyDescent="0.5">
      <c r="D5" s="4"/>
      <c r="E5" s="5"/>
      <c r="F5" s="6" t="s">
        <v>14</v>
      </c>
    </row>
    <row r="6" spans="2:12" x14ac:dyDescent="0.35">
      <c r="D6" s="11" t="s">
        <v>15</v>
      </c>
      <c r="E6" s="7" t="s">
        <v>16</v>
      </c>
      <c r="F6" s="775" t="s">
        <v>17</v>
      </c>
      <c r="G6" s="775"/>
      <c r="H6" s="775"/>
      <c r="I6" s="775"/>
      <c r="J6" s="775"/>
      <c r="K6" s="8">
        <v>4169.6138703799988</v>
      </c>
      <c r="L6" s="13"/>
    </row>
    <row r="7" spans="2:12" x14ac:dyDescent="0.35">
      <c r="D7" s="11" t="s">
        <v>18</v>
      </c>
      <c r="E7" s="7" t="s">
        <v>19</v>
      </c>
      <c r="F7" s="775" t="s">
        <v>17</v>
      </c>
      <c r="G7" s="775"/>
      <c r="H7" s="775"/>
      <c r="I7" s="775"/>
      <c r="J7" s="775"/>
      <c r="K7" s="8">
        <v>4923.01</v>
      </c>
      <c r="L7" s="13"/>
    </row>
    <row r="10" spans="2:12" ht="21" x14ac:dyDescent="0.5">
      <c r="D10" s="4" t="s">
        <v>20</v>
      </c>
    </row>
    <row r="11" spans="2:12" x14ac:dyDescent="0.35">
      <c r="D11" s="9" t="s">
        <v>21</v>
      </c>
    </row>
    <row r="12" spans="2:12" x14ac:dyDescent="0.35">
      <c r="D12" s="9" t="s">
        <v>5</v>
      </c>
    </row>
    <row r="13" spans="2:12" x14ac:dyDescent="0.35">
      <c r="D13" s="2" t="s">
        <v>6</v>
      </c>
    </row>
    <row r="14" spans="2:12" x14ac:dyDescent="0.35">
      <c r="D14" s="2" t="s">
        <v>7</v>
      </c>
    </row>
    <row r="15" spans="2:12" x14ac:dyDescent="0.35">
      <c r="D15" s="2" t="s">
        <v>22</v>
      </c>
    </row>
    <row r="16" spans="2:12" x14ac:dyDescent="0.35">
      <c r="D16" s="2" t="s">
        <v>8</v>
      </c>
    </row>
    <row r="19" spans="4:12" ht="21" x14ac:dyDescent="0.5">
      <c r="D19" s="776" t="s">
        <v>9</v>
      </c>
      <c r="E19" s="777" t="s">
        <v>1</v>
      </c>
      <c r="F19" s="778" t="s">
        <v>2</v>
      </c>
      <c r="G19" s="779"/>
      <c r="H19" s="779"/>
      <c r="I19" s="779"/>
      <c r="J19" s="780"/>
    </row>
    <row r="20" spans="4:12" ht="21" x14ac:dyDescent="0.5">
      <c r="D20" s="776"/>
      <c r="E20" s="777"/>
      <c r="F20" s="781" t="s">
        <v>23</v>
      </c>
      <c r="G20" s="782"/>
      <c r="H20" s="782"/>
      <c r="I20" s="782"/>
      <c r="J20" s="783"/>
    </row>
    <row r="21" spans="4:12" x14ac:dyDescent="0.35">
      <c r="D21" s="12" t="s">
        <v>24</v>
      </c>
      <c r="E21" s="14" t="s">
        <v>10</v>
      </c>
      <c r="F21" s="775" t="s">
        <v>25</v>
      </c>
      <c r="G21" s="775"/>
      <c r="H21" s="775"/>
      <c r="I21" s="775"/>
      <c r="J21" s="775"/>
      <c r="K21" s="15">
        <v>4915.26</v>
      </c>
      <c r="L21" s="2" t="s">
        <v>326</v>
      </c>
    </row>
    <row r="22" spans="4:12" x14ac:dyDescent="0.35">
      <c r="D22" s="12" t="s">
        <v>26</v>
      </c>
      <c r="E22" s="14" t="s">
        <v>11</v>
      </c>
      <c r="F22" s="775" t="s">
        <v>27</v>
      </c>
      <c r="G22" s="775"/>
      <c r="H22" s="775"/>
      <c r="I22" s="775"/>
      <c r="J22" s="775"/>
      <c r="K22" s="15">
        <v>203.74</v>
      </c>
      <c r="L22" s="2" t="s">
        <v>326</v>
      </c>
    </row>
    <row r="23" spans="4:12" x14ac:dyDescent="0.35">
      <c r="D23" s="12" t="s">
        <v>28</v>
      </c>
      <c r="E23" s="14" t="s">
        <v>4</v>
      </c>
      <c r="F23" s="775" t="s">
        <v>29</v>
      </c>
      <c r="G23" s="775"/>
      <c r="H23" s="775"/>
      <c r="I23" s="775"/>
      <c r="J23" s="775"/>
      <c r="K23" s="15">
        <v>4923.01</v>
      </c>
      <c r="L23" s="2" t="s">
        <v>326</v>
      </c>
    </row>
    <row r="24" spans="4:12" x14ac:dyDescent="0.35">
      <c r="D24" s="12" t="s">
        <v>30</v>
      </c>
      <c r="E24" s="14" t="s">
        <v>3</v>
      </c>
      <c r="F24" s="775" t="s">
        <v>29</v>
      </c>
      <c r="G24" s="775"/>
      <c r="H24" s="775"/>
      <c r="I24" s="775"/>
      <c r="J24" s="775"/>
      <c r="K24" s="15">
        <v>5015.57</v>
      </c>
      <c r="L24" s="2" t="s">
        <v>328</v>
      </c>
    </row>
    <row r="25" spans="4:12" x14ac:dyDescent="0.35">
      <c r="D25" s="12" t="s">
        <v>31</v>
      </c>
      <c r="E25" s="14" t="s">
        <v>12</v>
      </c>
      <c r="F25" s="775" t="s">
        <v>32</v>
      </c>
      <c r="G25" s="775"/>
      <c r="H25" s="775"/>
      <c r="I25" s="775"/>
      <c r="J25" s="775"/>
      <c r="K25" s="15">
        <v>4254.7080309999992</v>
      </c>
      <c r="L25" s="344" t="s">
        <v>326</v>
      </c>
    </row>
    <row r="26" spans="4:12" x14ac:dyDescent="0.35">
      <c r="D26" s="12" t="s">
        <v>33</v>
      </c>
      <c r="E26" s="14" t="s">
        <v>34</v>
      </c>
      <c r="F26" s="775" t="s">
        <v>32</v>
      </c>
      <c r="G26" s="775"/>
      <c r="H26" s="775"/>
      <c r="I26" s="775"/>
      <c r="J26" s="775"/>
      <c r="K26" s="15">
        <v>4391.8172209999993</v>
      </c>
      <c r="L26" s="2" t="s">
        <v>326</v>
      </c>
    </row>
    <row r="27" spans="4:12" ht="15" customHeight="1" x14ac:dyDescent="0.35">
      <c r="D27" s="12" t="s">
        <v>35</v>
      </c>
      <c r="E27" s="14" t="s">
        <v>36</v>
      </c>
      <c r="F27" s="775" t="s">
        <v>32</v>
      </c>
      <c r="G27" s="775"/>
      <c r="H27" s="775"/>
      <c r="I27" s="775"/>
      <c r="J27" s="775"/>
      <c r="K27" s="15">
        <v>4384.4327060000005</v>
      </c>
      <c r="L27" s="2" t="s">
        <v>326</v>
      </c>
    </row>
    <row r="28" spans="4:12" ht="15" customHeight="1" x14ac:dyDescent="0.35">
      <c r="D28" s="12" t="s">
        <v>37</v>
      </c>
      <c r="E28" s="14" t="s">
        <v>38</v>
      </c>
      <c r="F28" s="775" t="s">
        <v>32</v>
      </c>
      <c r="G28" s="775"/>
      <c r="H28" s="775"/>
      <c r="I28" s="775"/>
      <c r="J28" s="775"/>
      <c r="K28" s="15">
        <v>4505.5387520000004</v>
      </c>
      <c r="L28" s="2" t="s">
        <v>326</v>
      </c>
    </row>
    <row r="29" spans="4:12" ht="15" customHeight="1" x14ac:dyDescent="0.35">
      <c r="D29" s="12" t="s">
        <v>39</v>
      </c>
      <c r="E29" s="14" t="s">
        <v>40</v>
      </c>
      <c r="F29" s="775" t="s">
        <v>32</v>
      </c>
      <c r="G29" s="775"/>
      <c r="H29" s="775"/>
      <c r="I29" s="775"/>
      <c r="J29" s="775"/>
      <c r="K29" s="15">
        <v>4234.7732020000003</v>
      </c>
      <c r="L29" s="2" t="s">
        <v>326</v>
      </c>
    </row>
    <row r="30" spans="4:12" x14ac:dyDescent="0.35">
      <c r="D30" s="12" t="s">
        <v>41</v>
      </c>
      <c r="E30" s="14" t="s">
        <v>42</v>
      </c>
      <c r="F30" s="775" t="s">
        <v>32</v>
      </c>
      <c r="G30" s="775"/>
      <c r="H30" s="775"/>
      <c r="I30" s="775"/>
      <c r="J30" s="775"/>
      <c r="K30" s="15">
        <v>4923.01</v>
      </c>
      <c r="L30" s="2" t="s">
        <v>326</v>
      </c>
    </row>
    <row r="31" spans="4:12" x14ac:dyDescent="0.35">
      <c r="D31" s="12" t="s">
        <v>43</v>
      </c>
      <c r="E31" s="14" t="s">
        <v>4</v>
      </c>
      <c r="F31" s="775" t="s">
        <v>29</v>
      </c>
      <c r="G31" s="775"/>
      <c r="H31" s="775"/>
      <c r="I31" s="775"/>
      <c r="J31" s="775"/>
      <c r="K31" s="15">
        <v>4923.01</v>
      </c>
      <c r="L31" s="2" t="s">
        <v>326</v>
      </c>
    </row>
    <row r="32" spans="4:12" x14ac:dyDescent="0.35">
      <c r="D32" s="12" t="s">
        <v>44</v>
      </c>
      <c r="E32" s="14" t="s">
        <v>40</v>
      </c>
      <c r="F32" s="775" t="s">
        <v>45</v>
      </c>
      <c r="G32" s="775"/>
      <c r="H32" s="775"/>
      <c r="I32" s="775"/>
      <c r="J32" s="775"/>
      <c r="K32" s="15">
        <v>4923.01</v>
      </c>
      <c r="L32" s="2" t="s">
        <v>326</v>
      </c>
    </row>
    <row r="33" spans="4:12" x14ac:dyDescent="0.35">
      <c r="D33" s="12" t="s">
        <v>46</v>
      </c>
      <c r="E33" s="14" t="s">
        <v>47</v>
      </c>
      <c r="F33" s="775" t="s">
        <v>32</v>
      </c>
      <c r="G33" s="775"/>
      <c r="H33" s="775"/>
      <c r="I33" s="775"/>
      <c r="J33" s="775"/>
      <c r="K33" s="15">
        <v>4056.8112165399998</v>
      </c>
      <c r="L33" s="2" t="s">
        <v>328</v>
      </c>
    </row>
    <row r="34" spans="4:12" x14ac:dyDescent="0.35">
      <c r="D34" s="12" t="s">
        <v>48</v>
      </c>
      <c r="E34" s="14">
        <v>0</v>
      </c>
      <c r="F34" s="775"/>
      <c r="G34" s="775"/>
      <c r="H34" s="775"/>
      <c r="I34" s="775"/>
      <c r="J34" s="775"/>
      <c r="K34" s="15"/>
      <c r="L34" s="2" t="s">
        <v>326</v>
      </c>
    </row>
    <row r="35" spans="4:12" x14ac:dyDescent="0.35">
      <c r="D35" s="12" t="s">
        <v>49</v>
      </c>
      <c r="E35" s="14" t="s">
        <v>50</v>
      </c>
      <c r="F35" s="775" t="s">
        <v>32</v>
      </c>
      <c r="G35" s="775"/>
      <c r="H35" s="775"/>
      <c r="I35" s="775"/>
      <c r="J35" s="775"/>
      <c r="K35" s="15">
        <v>3853.07121654</v>
      </c>
      <c r="L35" s="2" t="s">
        <v>326</v>
      </c>
    </row>
    <row r="36" spans="4:12" x14ac:dyDescent="0.35">
      <c r="D36" s="12" t="s">
        <v>51</v>
      </c>
      <c r="E36" s="14" t="s">
        <v>52</v>
      </c>
      <c r="F36" s="775" t="s">
        <v>32</v>
      </c>
      <c r="G36" s="775"/>
      <c r="H36" s="775"/>
      <c r="I36" s="775"/>
      <c r="J36" s="775"/>
      <c r="K36" s="15">
        <v>203.74</v>
      </c>
      <c r="L36" s="2" t="s">
        <v>326</v>
      </c>
    </row>
    <row r="37" spans="4:12" x14ac:dyDescent="0.35">
      <c r="D37" s="12" t="s">
        <v>53</v>
      </c>
      <c r="E37" s="14" t="s">
        <v>54</v>
      </c>
      <c r="F37" s="775" t="s">
        <v>55</v>
      </c>
      <c r="G37" s="775"/>
      <c r="H37" s="775"/>
      <c r="I37" s="775"/>
      <c r="J37" s="775"/>
      <c r="K37" s="15">
        <v>4345.8234222199999</v>
      </c>
      <c r="L37" s="16" t="s">
        <v>327</v>
      </c>
    </row>
    <row r="38" spans="4:12" x14ac:dyDescent="0.35">
      <c r="D38" s="12" t="s">
        <v>56</v>
      </c>
      <c r="E38" s="14" t="s">
        <v>57</v>
      </c>
      <c r="F38" s="775" t="s">
        <v>55</v>
      </c>
      <c r="G38" s="775"/>
      <c r="H38" s="775"/>
      <c r="I38" s="775"/>
      <c r="J38" s="775"/>
      <c r="K38" s="15">
        <v>4142.0884222200002</v>
      </c>
      <c r="L38" s="2" t="s">
        <v>326</v>
      </c>
    </row>
    <row r="39" spans="4:12" x14ac:dyDescent="0.35">
      <c r="D39" s="12" t="s">
        <v>58</v>
      </c>
      <c r="E39" s="14" t="s">
        <v>59</v>
      </c>
      <c r="F39" s="775" t="s">
        <v>55</v>
      </c>
      <c r="G39" s="775"/>
      <c r="H39" s="775"/>
      <c r="I39" s="775"/>
      <c r="J39" s="775"/>
      <c r="K39" s="15">
        <v>203.73500000000001</v>
      </c>
      <c r="L39" s="2" t="s">
        <v>326</v>
      </c>
    </row>
    <row r="40" spans="4:12" x14ac:dyDescent="0.35">
      <c r="D40" s="12" t="s">
        <v>60</v>
      </c>
      <c r="E40" s="14" t="s">
        <v>61</v>
      </c>
      <c r="F40" s="775" t="s">
        <v>62</v>
      </c>
      <c r="G40" s="775"/>
      <c r="H40" s="775"/>
      <c r="I40" s="775"/>
      <c r="J40" s="775"/>
      <c r="K40" s="15">
        <v>4180.670733259999</v>
      </c>
      <c r="L40" s="16" t="s">
        <v>327</v>
      </c>
    </row>
    <row r="41" spans="4:12" x14ac:dyDescent="0.35">
      <c r="D41" s="12" t="s">
        <v>63</v>
      </c>
      <c r="E41" s="14" t="s">
        <v>64</v>
      </c>
      <c r="F41" s="775" t="s">
        <v>62</v>
      </c>
      <c r="G41" s="775"/>
      <c r="H41" s="775"/>
      <c r="I41" s="775"/>
      <c r="J41" s="775"/>
      <c r="K41" s="15">
        <v>3976.9357332599993</v>
      </c>
      <c r="L41" s="17" t="s">
        <v>326</v>
      </c>
    </row>
    <row r="42" spans="4:12" x14ac:dyDescent="0.35">
      <c r="D42" s="12" t="s">
        <v>65</v>
      </c>
      <c r="E42" s="14" t="s">
        <v>66</v>
      </c>
      <c r="F42" s="775" t="s">
        <v>62</v>
      </c>
      <c r="G42" s="775"/>
      <c r="H42" s="775"/>
      <c r="I42" s="775"/>
      <c r="J42" s="775"/>
      <c r="K42" s="15">
        <v>203.73500000000001</v>
      </c>
      <c r="L42" s="2" t="s">
        <v>326</v>
      </c>
    </row>
    <row r="43" spans="4:12" x14ac:dyDescent="0.35">
      <c r="D43" s="12" t="s">
        <v>67</v>
      </c>
      <c r="E43" s="14" t="s">
        <v>68</v>
      </c>
      <c r="F43" s="775" t="s">
        <v>69</v>
      </c>
      <c r="G43" s="775"/>
      <c r="H43" s="775"/>
      <c r="I43" s="775"/>
      <c r="J43" s="775"/>
      <c r="K43" s="15">
        <v>4373.3488703799985</v>
      </c>
      <c r="L43" s="16" t="s">
        <v>326</v>
      </c>
    </row>
    <row r="44" spans="4:12" x14ac:dyDescent="0.35">
      <c r="D44" s="12" t="s">
        <v>70</v>
      </c>
      <c r="E44" s="14" t="s">
        <v>16</v>
      </c>
      <c r="F44" s="775" t="s">
        <v>69</v>
      </c>
      <c r="G44" s="775"/>
      <c r="H44" s="775"/>
      <c r="I44" s="775"/>
      <c r="J44" s="775"/>
      <c r="K44" s="15">
        <v>4169.6138703799988</v>
      </c>
      <c r="L44" s="2" t="s">
        <v>326</v>
      </c>
    </row>
    <row r="45" spans="4:12" x14ac:dyDescent="0.35">
      <c r="D45" s="12" t="s">
        <v>71</v>
      </c>
      <c r="E45" s="14" t="s">
        <v>72</v>
      </c>
      <c r="F45" s="775" t="s">
        <v>69</v>
      </c>
      <c r="G45" s="775"/>
      <c r="H45" s="775"/>
      <c r="I45" s="775"/>
      <c r="J45" s="775"/>
      <c r="K45" s="15">
        <v>203.73500000000001</v>
      </c>
      <c r="L45" s="2" t="s">
        <v>326</v>
      </c>
    </row>
    <row r="46" spans="4:12" x14ac:dyDescent="0.35">
      <c r="D46" s="12" t="s">
        <v>73</v>
      </c>
      <c r="E46" s="10">
        <v>0</v>
      </c>
      <c r="F46" s="775"/>
      <c r="G46" s="775"/>
      <c r="H46" s="775"/>
      <c r="I46" s="775"/>
      <c r="J46" s="775"/>
      <c r="K46" s="15"/>
      <c r="L46" s="2" t="s">
        <v>328</v>
      </c>
    </row>
    <row r="47" spans="4:12" x14ac:dyDescent="0.35">
      <c r="D47" s="343" t="s">
        <v>329</v>
      </c>
      <c r="E47" s="18"/>
      <c r="F47" s="2" t="s">
        <v>330</v>
      </c>
      <c r="K47" s="2">
        <f>+'Calculo IP ZDF'!C36</f>
        <v>4207.900498</v>
      </c>
      <c r="L47" s="2" t="s">
        <v>326</v>
      </c>
    </row>
    <row r="48" spans="4:12" x14ac:dyDescent="0.35">
      <c r="D48" s="343" t="s">
        <v>331</v>
      </c>
      <c r="E48" s="18"/>
      <c r="F48" s="2" t="s">
        <v>332</v>
      </c>
      <c r="K48" s="2">
        <f>+'Calculo IP ZDF'!C32</f>
        <v>4480.78</v>
      </c>
      <c r="L48" s="344" t="s">
        <v>326</v>
      </c>
    </row>
    <row r="49" spans="4:12" x14ac:dyDescent="0.35">
      <c r="D49" s="342" t="s">
        <v>333</v>
      </c>
      <c r="K49" s="2">
        <f>+'Calculo IP ZDF'!C35</f>
        <v>4092.7444519999999</v>
      </c>
      <c r="L49" s="344" t="s">
        <v>326</v>
      </c>
    </row>
  </sheetData>
  <mergeCells count="32">
    <mergeCell ref="F26:J26"/>
    <mergeCell ref="F6:J6"/>
    <mergeCell ref="F7:J7"/>
    <mergeCell ref="D19:D20"/>
    <mergeCell ref="E19:E20"/>
    <mergeCell ref="F19:J19"/>
    <mergeCell ref="F20:J20"/>
    <mergeCell ref="F21:J21"/>
    <mergeCell ref="F22:J22"/>
    <mergeCell ref="F23:J23"/>
    <mergeCell ref="F24:J24"/>
    <mergeCell ref="F25:J25"/>
    <mergeCell ref="F38:J38"/>
    <mergeCell ref="F27:J27"/>
    <mergeCell ref="F28:J28"/>
    <mergeCell ref="F29:J29"/>
    <mergeCell ref="F30:J30"/>
    <mergeCell ref="F31:J31"/>
    <mergeCell ref="F32:J32"/>
    <mergeCell ref="F33:J33"/>
    <mergeCell ref="F34:J34"/>
    <mergeCell ref="F35:J35"/>
    <mergeCell ref="F36:J36"/>
    <mergeCell ref="F37:J37"/>
    <mergeCell ref="F45:J45"/>
    <mergeCell ref="F46:J46"/>
    <mergeCell ref="F39:J39"/>
    <mergeCell ref="F40:J40"/>
    <mergeCell ref="F41:J41"/>
    <mergeCell ref="F42:J42"/>
    <mergeCell ref="F43:J43"/>
    <mergeCell ref="F44:J44"/>
  </mergeCell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tabColor theme="4" tint="-0.249977111117893"/>
  </sheetPr>
  <dimension ref="A1:U52"/>
  <sheetViews>
    <sheetView topLeftCell="A17" zoomScale="85" zoomScaleNormal="85" workbookViewId="0">
      <selection activeCell="Z54" sqref="Z54"/>
    </sheetView>
  </sheetViews>
  <sheetFormatPr baseColWidth="10" defaultRowHeight="14.5" x14ac:dyDescent="0.35"/>
  <cols>
    <col min="1" max="1" width="28.1796875" customWidth="1"/>
    <col min="2" max="2" width="11.6328125" customWidth="1"/>
    <col min="4" max="5" width="11.36328125" customWidth="1"/>
    <col min="6" max="6" width="15.54296875" customWidth="1"/>
    <col min="7" max="7" width="14.36328125" customWidth="1"/>
    <col min="8" max="8" width="16.90625" customWidth="1"/>
    <col min="9" max="9" width="14.1796875" customWidth="1"/>
    <col min="10" max="10" width="22.90625" customWidth="1"/>
    <col min="12" max="12" width="16.08984375" customWidth="1"/>
    <col min="13" max="13" width="14.453125" customWidth="1"/>
    <col min="14" max="14" width="13.81640625" customWidth="1"/>
    <col min="15" max="15" width="27.6328125" customWidth="1"/>
  </cols>
  <sheetData>
    <row r="1" spans="1:17" x14ac:dyDescent="0.35">
      <c r="A1" s="347"/>
      <c r="Q1" t="s">
        <v>158</v>
      </c>
    </row>
    <row r="2" spans="1:17" x14ac:dyDescent="0.35">
      <c r="A2" s="785" t="s">
        <v>120</v>
      </c>
      <c r="B2" s="784" t="s">
        <v>119</v>
      </c>
      <c r="C2" s="784"/>
      <c r="G2" t="s">
        <v>158</v>
      </c>
    </row>
    <row r="3" spans="1:17" x14ac:dyDescent="0.35">
      <c r="A3" s="785"/>
      <c r="B3" s="348" t="s">
        <v>419</v>
      </c>
      <c r="C3" s="349" t="s">
        <v>106</v>
      </c>
    </row>
    <row r="4" spans="1:17" x14ac:dyDescent="0.35">
      <c r="A4" s="21" t="s">
        <v>107</v>
      </c>
      <c r="B4" s="722">
        <v>0.99809999999999999</v>
      </c>
      <c r="C4" s="722">
        <v>0.94059999999999999</v>
      </c>
      <c r="F4" s="446" t="s">
        <v>523</v>
      </c>
      <c r="G4" s="446"/>
      <c r="H4" s="446"/>
      <c r="I4" s="446"/>
    </row>
    <row r="5" spans="1:17" x14ac:dyDescent="0.35">
      <c r="A5" s="21" t="s">
        <v>115</v>
      </c>
      <c r="B5" s="722">
        <v>0.97629999999999995</v>
      </c>
      <c r="C5" s="722">
        <v>0.87980000000000003</v>
      </c>
    </row>
    <row r="6" spans="1:17" x14ac:dyDescent="0.35">
      <c r="A6" s="21" t="s">
        <v>112</v>
      </c>
      <c r="B6" s="722">
        <v>0.99819999999999998</v>
      </c>
      <c r="C6" s="722">
        <v>0.96040000000000003</v>
      </c>
    </row>
    <row r="7" spans="1:17" x14ac:dyDescent="0.35">
      <c r="A7" s="21" t="s">
        <v>108</v>
      </c>
      <c r="B7" s="722">
        <v>0.99980000000000002</v>
      </c>
      <c r="C7" s="722">
        <v>1</v>
      </c>
    </row>
    <row r="8" spans="1:17" x14ac:dyDescent="0.35">
      <c r="A8" s="21" t="s">
        <v>113</v>
      </c>
      <c r="B8" s="722">
        <v>1</v>
      </c>
      <c r="C8" s="722">
        <v>1</v>
      </c>
    </row>
    <row r="9" spans="1:17" x14ac:dyDescent="0.35">
      <c r="A9" s="21" t="s">
        <v>467</v>
      </c>
      <c r="B9" s="722">
        <v>1</v>
      </c>
      <c r="C9" s="722">
        <v>1</v>
      </c>
      <c r="D9" t="s">
        <v>466</v>
      </c>
    </row>
    <row r="10" spans="1:17" x14ac:dyDescent="0.35">
      <c r="A10" s="21" t="s">
        <v>468</v>
      </c>
      <c r="B10" s="722">
        <v>0.99980000000000002</v>
      </c>
      <c r="C10" s="722">
        <v>1</v>
      </c>
      <c r="D10" t="s">
        <v>466</v>
      </c>
    </row>
    <row r="11" spans="1:17" x14ac:dyDescent="0.35">
      <c r="A11" s="21" t="s">
        <v>121</v>
      </c>
      <c r="B11" s="722">
        <v>0.99870000000000003</v>
      </c>
      <c r="C11" s="722">
        <v>0.93940000000000001</v>
      </c>
    </row>
    <row r="12" spans="1:17" x14ac:dyDescent="0.35">
      <c r="A12" s="21" t="s">
        <v>116</v>
      </c>
      <c r="B12" s="722">
        <v>1</v>
      </c>
      <c r="C12" s="722">
        <v>0.94630000000000003</v>
      </c>
    </row>
    <row r="13" spans="1:17" x14ac:dyDescent="0.35">
      <c r="A13" s="21" t="s">
        <v>111</v>
      </c>
      <c r="B13" s="722">
        <v>0.93240000000000001</v>
      </c>
      <c r="C13" s="722">
        <v>0.91339999999999999</v>
      </c>
    </row>
    <row r="14" spans="1:17" x14ac:dyDescent="0.35">
      <c r="A14" s="21" t="s">
        <v>465</v>
      </c>
      <c r="B14" s="722">
        <v>0.93240000000000001</v>
      </c>
      <c r="C14" s="722">
        <v>0.91339999999999999</v>
      </c>
      <c r="D14" t="s">
        <v>466</v>
      </c>
    </row>
    <row r="15" spans="1:17" x14ac:dyDescent="0.35">
      <c r="A15" s="21" t="s">
        <v>110</v>
      </c>
      <c r="B15" s="722">
        <v>0.99719999999999998</v>
      </c>
      <c r="C15" s="722">
        <v>0.93910000000000005</v>
      </c>
      <c r="I15" s="400"/>
    </row>
    <row r="16" spans="1:17" x14ac:dyDescent="0.35">
      <c r="A16" s="21" t="s">
        <v>109</v>
      </c>
      <c r="B16" s="722">
        <v>1</v>
      </c>
      <c r="C16" s="722">
        <v>1</v>
      </c>
    </row>
    <row r="17" spans="1:21" x14ac:dyDescent="0.35">
      <c r="A17" s="21" t="s">
        <v>322</v>
      </c>
      <c r="B17" s="722">
        <v>0.99790000000000001</v>
      </c>
      <c r="C17" s="722">
        <v>0.94020000000000004</v>
      </c>
    </row>
    <row r="18" spans="1:21" x14ac:dyDescent="0.35">
      <c r="A18" s="21" t="s">
        <v>117</v>
      </c>
      <c r="B18" s="722">
        <v>1</v>
      </c>
      <c r="C18" s="722">
        <v>0.91279999999999994</v>
      </c>
    </row>
    <row r="19" spans="1:21" x14ac:dyDescent="0.35">
      <c r="A19" s="21" t="s">
        <v>114</v>
      </c>
      <c r="B19" s="722">
        <v>0.97729999999999995</v>
      </c>
      <c r="C19" s="722">
        <v>0.879</v>
      </c>
    </row>
    <row r="20" spans="1:21" x14ac:dyDescent="0.35">
      <c r="A20" s="21" t="s">
        <v>510</v>
      </c>
      <c r="B20" s="722">
        <v>1</v>
      </c>
      <c r="C20" s="722">
        <v>0.91369999999999996</v>
      </c>
    </row>
    <row r="23" spans="1:21" x14ac:dyDescent="0.35">
      <c r="A23" s="350" t="s">
        <v>245</v>
      </c>
      <c r="B23" s="350" t="s">
        <v>118</v>
      </c>
      <c r="C23" s="350" t="s">
        <v>244</v>
      </c>
      <c r="D23" s="350" t="s">
        <v>246</v>
      </c>
      <c r="E23" s="350" t="s">
        <v>247</v>
      </c>
      <c r="F23" s="345"/>
      <c r="G23" s="192"/>
    </row>
    <row r="24" spans="1:21" ht="15.9" customHeight="1" x14ac:dyDescent="0.5">
      <c r="A24" s="21" t="s">
        <v>338</v>
      </c>
      <c r="B24" s="515">
        <v>5108.8999999999996</v>
      </c>
      <c r="C24" s="515">
        <v>4480.78</v>
      </c>
      <c r="D24" s="515">
        <v>20012.71</v>
      </c>
      <c r="E24" s="515">
        <v>10101.25</v>
      </c>
      <c r="F24" s="623" t="s">
        <v>424</v>
      </c>
      <c r="G24" s="479"/>
      <c r="H24" s="479">
        <f>+C24*C15*0.9</f>
        <v>3787.1104482000001</v>
      </c>
    </row>
    <row r="25" spans="1:21" x14ac:dyDescent="0.35">
      <c r="B25" s="192"/>
      <c r="C25" s="192"/>
      <c r="D25" s="192"/>
      <c r="E25" s="192"/>
      <c r="H25">
        <f>+D24*0.1</f>
        <v>2001.271</v>
      </c>
    </row>
    <row r="26" spans="1:21" x14ac:dyDescent="0.35">
      <c r="B26" s="192"/>
      <c r="C26" s="192"/>
      <c r="D26" s="192"/>
      <c r="E26" s="192"/>
      <c r="G26" s="478"/>
      <c r="H26" s="688">
        <f>+H24+H25</f>
        <v>5788.3814481999998</v>
      </c>
      <c r="K26" t="s">
        <v>158</v>
      </c>
      <c r="R26" t="s">
        <v>391</v>
      </c>
      <c r="U26" t="s">
        <v>392</v>
      </c>
    </row>
    <row r="27" spans="1:21" s="346" customFormat="1" ht="66" customHeight="1" x14ac:dyDescent="0.35">
      <c r="A27" s="351" t="s">
        <v>243</v>
      </c>
      <c r="B27" s="352" t="s">
        <v>386</v>
      </c>
      <c r="C27" s="352" t="s">
        <v>387</v>
      </c>
      <c r="D27" s="363" t="s">
        <v>339</v>
      </c>
      <c r="E27" s="363" t="s">
        <v>340</v>
      </c>
      <c r="F27" s="364" t="s">
        <v>388</v>
      </c>
      <c r="G27" s="577" t="s">
        <v>475</v>
      </c>
      <c r="H27" s="578" t="s">
        <v>511</v>
      </c>
      <c r="I27" s="703" t="s">
        <v>521</v>
      </c>
      <c r="J27" s="351" t="s">
        <v>525</v>
      </c>
      <c r="K27" s="577" t="s">
        <v>390</v>
      </c>
      <c r="L27" s="483" t="s">
        <v>434</v>
      </c>
      <c r="N27" s="568" t="s">
        <v>496</v>
      </c>
      <c r="O27" s="364" t="s">
        <v>492</v>
      </c>
      <c r="P27"/>
    </row>
    <row r="28" spans="1:21" x14ac:dyDescent="0.35">
      <c r="A28" s="193" t="s">
        <v>107</v>
      </c>
      <c r="B28" s="410">
        <f>+B$24*B4</f>
        <v>5099.1930899999998</v>
      </c>
      <c r="C28" s="193">
        <f t="shared" ref="B28:C32" si="0">+C$24*C4</f>
        <v>4214.6216679999998</v>
      </c>
      <c r="D28" s="193">
        <f>+ROUND(C28*0.98,2)</f>
        <v>4130.33</v>
      </c>
      <c r="E28" s="193">
        <f>+D$24*0.02</f>
        <v>400.25419999999997</v>
      </c>
      <c r="F28" s="410">
        <f>+ROUND(D28+E28,2)</f>
        <v>4530.58</v>
      </c>
      <c r="G28" s="212">
        <f>(B28*96%)+('GAS CTE'!D$8)</f>
        <v>5299.2753664000002</v>
      </c>
      <c r="H28" s="212">
        <f>(B28*95%)+($E$24*5%)</f>
        <v>5349.2959354999994</v>
      </c>
      <c r="I28" s="704">
        <f>($B28*94%)+($E$24*6%)</f>
        <v>5399.3165045999995</v>
      </c>
      <c r="J28" s="729">
        <f>(C28*89%)+(BIODIESEL!I$8)</f>
        <v>5952.4112845199998</v>
      </c>
      <c r="K28" s="569" t="s">
        <v>341</v>
      </c>
      <c r="L28" s="450" t="s">
        <v>435</v>
      </c>
      <c r="P28" s="579" t="s">
        <v>107</v>
      </c>
    </row>
    <row r="29" spans="1:21" x14ac:dyDescent="0.35">
      <c r="A29" s="193" t="s">
        <v>115</v>
      </c>
      <c r="B29" s="410">
        <f t="shared" si="0"/>
        <v>4987.8190699999996</v>
      </c>
      <c r="C29" s="193">
        <f>+C$24*C5</f>
        <v>3942.1902439999999</v>
      </c>
      <c r="D29" s="193">
        <f t="shared" ref="D29:D40" si="1">+C29*0.98</f>
        <v>3863.34643912</v>
      </c>
      <c r="E29" s="193">
        <f t="shared" ref="E29:E41" si="2">+D$24*0.02</f>
        <v>400.25419999999997</v>
      </c>
      <c r="F29" s="410">
        <f>+D29+E29</f>
        <v>4263.6006391199999</v>
      </c>
      <c r="G29" s="212">
        <f>(B29*96%)+('GAS CTE'!D$8)</f>
        <v>5192.3563071999997</v>
      </c>
      <c r="H29" s="518" t="s">
        <v>474</v>
      </c>
      <c r="I29" s="705"/>
      <c r="J29" s="212">
        <f>(C29*90%)+(BIODIESEL!H$8)</f>
        <v>5549.2422195999998</v>
      </c>
      <c r="K29" s="569" t="s">
        <v>342</v>
      </c>
      <c r="L29" s="481" t="s">
        <v>437</v>
      </c>
      <c r="N29" s="192">
        <f>(B29*95%)+5%*$E$24</f>
        <v>5243.4906164999993</v>
      </c>
      <c r="O29" s="192">
        <f>(C29*95%)+(5%*$D$24)</f>
        <v>4745.7162318000001</v>
      </c>
      <c r="P29" s="579" t="s">
        <v>115</v>
      </c>
    </row>
    <row r="30" spans="1:21" x14ac:dyDescent="0.35">
      <c r="A30" s="193" t="s">
        <v>112</v>
      </c>
      <c r="B30" s="410">
        <f t="shared" si="0"/>
        <v>5099.7039799999993</v>
      </c>
      <c r="C30" s="193">
        <f t="shared" si="0"/>
        <v>4303.3411120000001</v>
      </c>
      <c r="D30" s="193">
        <f t="shared" si="1"/>
        <v>4217.2742897600001</v>
      </c>
      <c r="E30" s="193">
        <f t="shared" si="2"/>
        <v>400.25419999999997</v>
      </c>
      <c r="F30" s="410">
        <f>+D30+E30</f>
        <v>4617.5284897600004</v>
      </c>
      <c r="G30" s="212">
        <f>(B30*96%)+('GAS CTE'!D$8)</f>
        <v>5299.7658207999993</v>
      </c>
      <c r="H30" s="212">
        <f>(B30*95%)+($E$24*5%)</f>
        <v>5349.7812809999996</v>
      </c>
      <c r="I30" s="704">
        <f>($B30*94%)+($E$24*6%)</f>
        <v>5399.7967411999989</v>
      </c>
      <c r="J30" s="730">
        <f>(C30*89%)+(BIODIESEL!I$8)</f>
        <v>6031.3715896800004</v>
      </c>
      <c r="K30" s="569" t="s">
        <v>343</v>
      </c>
      <c r="L30" s="482">
        <f>(C30*88%)+BIODIESEL!J8</f>
        <v>6188.4653785600003</v>
      </c>
      <c r="M30" s="478" t="s">
        <v>489</v>
      </c>
      <c r="P30" s="579" t="s">
        <v>112</v>
      </c>
    </row>
    <row r="31" spans="1:21" x14ac:dyDescent="0.35">
      <c r="A31" s="193" t="s">
        <v>108</v>
      </c>
      <c r="B31" s="410">
        <f t="shared" si="0"/>
        <v>5107.8782199999996</v>
      </c>
      <c r="C31" s="193">
        <f t="shared" si="0"/>
        <v>4480.78</v>
      </c>
      <c r="D31" s="193">
        <f t="shared" ref="D31:D39" si="3">+ROUND(C31*0.98,2)</f>
        <v>4391.16</v>
      </c>
      <c r="E31" s="193">
        <f t="shared" si="2"/>
        <v>400.25419999999997</v>
      </c>
      <c r="F31" s="410">
        <f t="shared" ref="F31:F41" si="4">+D31+E31</f>
        <v>4791.4142000000002</v>
      </c>
      <c r="G31" s="212">
        <f>(B31*96%)+('GAS CTE'!D$8)</f>
        <v>5307.6130911999999</v>
      </c>
      <c r="H31" s="212">
        <f>(B31*95%)+($E$24*5%)</f>
        <v>5357.5468089999995</v>
      </c>
      <c r="I31" s="704">
        <f>($B31*94%)+($E$24*6%)</f>
        <v>5407.4805267999991</v>
      </c>
      <c r="J31" s="731">
        <f>(C31*89%)+(BIODIESEL!I$8)</f>
        <v>6189.2921999999999</v>
      </c>
      <c r="K31" s="569" t="s">
        <v>396</v>
      </c>
      <c r="L31" s="482">
        <f>(C31*88%)+(BIODIESEL!J$8)</f>
        <v>6344.6115999999993</v>
      </c>
      <c r="M31" s="478" t="s">
        <v>436</v>
      </c>
      <c r="P31" s="579" t="s">
        <v>108</v>
      </c>
    </row>
    <row r="32" spans="1:21" x14ac:dyDescent="0.35">
      <c r="A32" s="193" t="s">
        <v>113</v>
      </c>
      <c r="B32" s="410">
        <f t="shared" si="0"/>
        <v>5108.8999999999996</v>
      </c>
      <c r="C32" s="193">
        <f t="shared" si="0"/>
        <v>4480.78</v>
      </c>
      <c r="D32" s="193">
        <f t="shared" si="3"/>
        <v>4391.16</v>
      </c>
      <c r="E32" s="193">
        <f t="shared" si="2"/>
        <v>400.25419999999997</v>
      </c>
      <c r="F32" s="410">
        <f t="shared" si="4"/>
        <v>4791.4142000000002</v>
      </c>
      <c r="G32" s="212">
        <f>(B32*96%)+('GAS CTE'!D$8)</f>
        <v>5308.5940000000001</v>
      </c>
      <c r="H32" s="518" t="s">
        <v>474</v>
      </c>
      <c r="I32" s="705"/>
      <c r="J32" s="731">
        <f>(C32*89%)+(BIODIESEL!I$8)</f>
        <v>6189.2921999999999</v>
      </c>
      <c r="K32" s="569" t="s">
        <v>494</v>
      </c>
      <c r="L32" s="481" t="s">
        <v>437</v>
      </c>
      <c r="P32" s="579" t="s">
        <v>113</v>
      </c>
    </row>
    <row r="33" spans="1:19" x14ac:dyDescent="0.35">
      <c r="A33" s="193" t="s">
        <v>121</v>
      </c>
      <c r="B33" s="410">
        <f t="shared" ref="B33:C35" si="5">+B$24*B11</f>
        <v>5102.2584299999999</v>
      </c>
      <c r="C33" s="193">
        <f t="shared" si="5"/>
        <v>4209.2447320000001</v>
      </c>
      <c r="D33" s="193">
        <f t="shared" si="3"/>
        <v>4125.0600000000004</v>
      </c>
      <c r="E33" s="193">
        <f t="shared" si="2"/>
        <v>400.25419999999997</v>
      </c>
      <c r="F33" s="410">
        <f t="shared" si="4"/>
        <v>4525.3142000000007</v>
      </c>
      <c r="G33" s="212">
        <f>(B33*96%)+('GAS CTE'!D$8)</f>
        <v>5302.2180927999998</v>
      </c>
      <c r="H33" s="212">
        <f>(B33*95%)+($E$24*5%)</f>
        <v>5352.2080084999998</v>
      </c>
      <c r="I33" s="704">
        <f>($B33*94%)+($E$24*6%)</f>
        <v>5402.1979241999998</v>
      </c>
      <c r="J33" s="731">
        <f>(C33*89%)+(BIODIESEL!I$8)</f>
        <v>5947.6258114800003</v>
      </c>
      <c r="K33" s="569" t="s">
        <v>344</v>
      </c>
      <c r="L33" s="450" t="s">
        <v>435</v>
      </c>
      <c r="P33" s="579" t="s">
        <v>121</v>
      </c>
      <c r="Q33" s="437" t="s">
        <v>393</v>
      </c>
    </row>
    <row r="34" spans="1:19" x14ac:dyDescent="0.35">
      <c r="A34" s="193" t="s">
        <v>116</v>
      </c>
      <c r="B34" s="410">
        <f t="shared" si="5"/>
        <v>5108.8999999999996</v>
      </c>
      <c r="C34" s="193">
        <f t="shared" si="5"/>
        <v>4240.1621139999997</v>
      </c>
      <c r="D34" s="193">
        <f t="shared" si="3"/>
        <v>4155.3599999999997</v>
      </c>
      <c r="E34" s="193">
        <f t="shared" si="2"/>
        <v>400.25419999999997</v>
      </c>
      <c r="F34" s="410">
        <f>+D34+E34</f>
        <v>4555.6142</v>
      </c>
      <c r="G34" s="212">
        <f>(B34*96%)+('GAS CTE'!D$8)</f>
        <v>5308.5940000000001</v>
      </c>
      <c r="H34" s="518" t="s">
        <v>474</v>
      </c>
      <c r="I34" s="705"/>
      <c r="J34" s="212">
        <f>(C34*90%)+(BIODIESEL!H$8)</f>
        <v>5817.4169026</v>
      </c>
      <c r="K34" s="569" t="s">
        <v>345</v>
      </c>
      <c r="L34" s="481" t="s">
        <v>437</v>
      </c>
      <c r="N34" s="192">
        <f>(B34*95%)+5%*$E$24</f>
        <v>5358.517499999999</v>
      </c>
      <c r="O34" s="192">
        <f>(C34*95%)+(5%*$D$24)</f>
        <v>5028.7895082999994</v>
      </c>
      <c r="P34" s="579" t="s">
        <v>116</v>
      </c>
    </row>
    <row r="35" spans="1:19" x14ac:dyDescent="0.35">
      <c r="A35" s="193" t="s">
        <v>111</v>
      </c>
      <c r="B35" s="410">
        <f t="shared" si="5"/>
        <v>4763.5383599999996</v>
      </c>
      <c r="C35" s="193">
        <f t="shared" si="5"/>
        <v>4092.7444519999999</v>
      </c>
      <c r="D35" s="193">
        <f t="shared" si="3"/>
        <v>4010.89</v>
      </c>
      <c r="E35" s="193">
        <f t="shared" si="2"/>
        <v>400.25419999999997</v>
      </c>
      <c r="F35" s="410">
        <f t="shared" si="4"/>
        <v>4411.1441999999997</v>
      </c>
      <c r="G35" s="212">
        <f>(B35*96%)+('GAS CTE'!D$8)</f>
        <v>4977.0468255999995</v>
      </c>
      <c r="H35" s="518" t="s">
        <v>474</v>
      </c>
      <c r="I35" s="705"/>
      <c r="J35" s="212">
        <f>(C35*90%)+(BIODIESEL!H$8)</f>
        <v>5684.7410067999999</v>
      </c>
      <c r="K35" s="569" t="s">
        <v>389</v>
      </c>
      <c r="L35" s="481" t="s">
        <v>437</v>
      </c>
      <c r="N35" s="192">
        <f>(B35*95%)+5%*$E$24</f>
        <v>5030.4239419999994</v>
      </c>
      <c r="O35" s="192">
        <f>(C35*95%)+(5%*$D$24)</f>
        <v>4888.7427293999999</v>
      </c>
      <c r="P35" s="579" t="s">
        <v>111</v>
      </c>
      <c r="Q35" s="437" t="s">
        <v>393</v>
      </c>
    </row>
    <row r="36" spans="1:19" x14ac:dyDescent="0.35">
      <c r="A36" s="193" t="s">
        <v>110</v>
      </c>
      <c r="B36" s="410">
        <f>+B$24*B15</f>
        <v>5094.5950799999991</v>
      </c>
      <c r="C36" s="193">
        <f>+C$24*C15</f>
        <v>4207.900498</v>
      </c>
      <c r="D36" s="193">
        <f t="shared" si="3"/>
        <v>4123.74</v>
      </c>
      <c r="E36" s="193">
        <f t="shared" si="2"/>
        <v>400.25419999999997</v>
      </c>
      <c r="F36" s="410">
        <f t="shared" si="4"/>
        <v>4523.9942000000001</v>
      </c>
      <c r="G36" s="212">
        <f>(B36*96%)+('GAS CTE'!D$8)</f>
        <v>5294.8612767999994</v>
      </c>
      <c r="H36" s="212">
        <f>(B36*95%)+($E$24*5%)</f>
        <v>5344.9278259999992</v>
      </c>
      <c r="I36" s="704">
        <f>($B36*94%)+($E$24*6%)</f>
        <v>5394.994375199999</v>
      </c>
      <c r="J36" s="731">
        <f>(C36*89%)+(BIODIESEL!I$8)</f>
        <v>5946.4294432200004</v>
      </c>
      <c r="K36" s="569" t="s">
        <v>346</v>
      </c>
      <c r="L36" s="450" t="s">
        <v>435</v>
      </c>
      <c r="N36" s="192"/>
      <c r="O36" s="192"/>
      <c r="P36" s="579" t="s">
        <v>110</v>
      </c>
    </row>
    <row r="37" spans="1:19" x14ac:dyDescent="0.35">
      <c r="A37" s="193" t="s">
        <v>109</v>
      </c>
      <c r="B37" s="410">
        <f t="shared" ref="B37:C41" si="6">+B$24*B16</f>
        <v>5108.8999999999996</v>
      </c>
      <c r="C37" s="193">
        <f t="shared" si="6"/>
        <v>4480.78</v>
      </c>
      <c r="D37" s="193">
        <f t="shared" si="3"/>
        <v>4391.16</v>
      </c>
      <c r="E37" s="193">
        <f t="shared" si="2"/>
        <v>400.25419999999997</v>
      </c>
      <c r="F37" s="410">
        <f t="shared" si="4"/>
        <v>4791.4142000000002</v>
      </c>
      <c r="G37" s="212">
        <f>(B37*96%)+('GAS CTE'!D$8)</f>
        <v>5308.5940000000001</v>
      </c>
      <c r="H37" s="518" t="s">
        <v>474</v>
      </c>
      <c r="I37" s="705"/>
      <c r="J37" s="212">
        <f>(C37*90%)+(BIODIESEL!H$8)</f>
        <v>6033.973</v>
      </c>
      <c r="K37" s="569" t="s">
        <v>347</v>
      </c>
      <c r="L37" s="481" t="s">
        <v>437</v>
      </c>
      <c r="P37" s="579" t="s">
        <v>109</v>
      </c>
    </row>
    <row r="38" spans="1:19" x14ac:dyDescent="0.35">
      <c r="A38" s="193" t="s">
        <v>322</v>
      </c>
      <c r="B38" s="410">
        <f t="shared" si="6"/>
        <v>5098.1713099999997</v>
      </c>
      <c r="C38" s="193">
        <f t="shared" si="6"/>
        <v>4212.8293560000002</v>
      </c>
      <c r="D38" s="193">
        <f t="shared" si="3"/>
        <v>4128.57</v>
      </c>
      <c r="E38" s="193">
        <f t="shared" si="2"/>
        <v>400.25419999999997</v>
      </c>
      <c r="F38" s="410">
        <f t="shared" si="4"/>
        <v>4528.8242</v>
      </c>
      <c r="G38" s="212">
        <f>(B38*96%)+('GAS CTE'!D$8)</f>
        <v>5298.2944576</v>
      </c>
      <c r="H38" s="212">
        <f>(B38*95%)+($E$24*5%)</f>
        <v>5348.3252444999998</v>
      </c>
      <c r="I38" s="704">
        <f>($B38*94%)+($E$24*6%)</f>
        <v>5398.3560313999997</v>
      </c>
      <c r="J38" s="731">
        <f>(C38*89%)+(BIODIESEL!I$8)</f>
        <v>5950.8161268399999</v>
      </c>
      <c r="K38" s="569" t="s">
        <v>348</v>
      </c>
      <c r="L38" s="450" t="s">
        <v>435</v>
      </c>
      <c r="P38" s="579" t="s">
        <v>322</v>
      </c>
    </row>
    <row r="39" spans="1:19" x14ac:dyDescent="0.35">
      <c r="A39" s="193" t="s">
        <v>117</v>
      </c>
      <c r="B39" s="410">
        <f t="shared" si="6"/>
        <v>5108.8999999999996</v>
      </c>
      <c r="C39" s="193">
        <f t="shared" si="6"/>
        <v>4090.0559839999996</v>
      </c>
      <c r="D39" s="193">
        <f t="shared" si="3"/>
        <v>4008.25</v>
      </c>
      <c r="E39" s="193">
        <f t="shared" si="2"/>
        <v>400.25419999999997</v>
      </c>
      <c r="F39" s="410">
        <f t="shared" si="4"/>
        <v>4408.5042000000003</v>
      </c>
      <c r="G39" s="212">
        <f>(B39*96%)+('GAS CTE'!D$8)</f>
        <v>5308.5940000000001</v>
      </c>
      <c r="H39" s="518" t="s">
        <v>474</v>
      </c>
      <c r="I39" s="705"/>
      <c r="J39" s="212">
        <f>(C39*90%)+(BIODIESEL!H$8)</f>
        <v>5682.3213855999993</v>
      </c>
      <c r="K39" s="569" t="s">
        <v>350</v>
      </c>
      <c r="L39" s="481" t="s">
        <v>437</v>
      </c>
      <c r="N39" s="192">
        <f>(B39*95%)+5%*$E$24</f>
        <v>5358.517499999999</v>
      </c>
      <c r="O39" s="192">
        <f>(C39*95%)+(5%*$D$24)</f>
        <v>4886.1886847999995</v>
      </c>
      <c r="P39" s="579" t="s">
        <v>117</v>
      </c>
    </row>
    <row r="40" spans="1:19" ht="15.9" customHeight="1" x14ac:dyDescent="0.35">
      <c r="A40" s="193" t="s">
        <v>399</v>
      </c>
      <c r="B40" s="410">
        <f t="shared" si="6"/>
        <v>4992.9279699999997</v>
      </c>
      <c r="C40" s="193">
        <f t="shared" si="6"/>
        <v>3938.6056199999998</v>
      </c>
      <c r="D40" s="193">
        <f t="shared" si="1"/>
        <v>3859.8335075999998</v>
      </c>
      <c r="E40" s="193">
        <f t="shared" si="2"/>
        <v>400.25419999999997</v>
      </c>
      <c r="F40" s="410">
        <f t="shared" si="4"/>
        <v>4260.0877075999997</v>
      </c>
      <c r="G40" s="212">
        <f>(B40*96%)+('GAS CTE'!D$8)</f>
        <v>5197.2608511999997</v>
      </c>
      <c r="H40" s="583">
        <f>(B40*95%)+($E$24*5%)</f>
        <v>5248.3440714999997</v>
      </c>
      <c r="I40" s="704">
        <f>($B40*94%)+($E$24*6%)</f>
        <v>5299.4272917999997</v>
      </c>
      <c r="J40" s="212">
        <f>(C40*90%)+(BIODIESEL!H$8)</f>
        <v>5546.0160580000002</v>
      </c>
      <c r="K40" s="569" t="s">
        <v>411</v>
      </c>
      <c r="L40" s="481" t="s">
        <v>437</v>
      </c>
      <c r="N40" s="482">
        <f>(B40*95%)+5%*$E$24</f>
        <v>5248.3440714999997</v>
      </c>
      <c r="O40" s="192">
        <f>(C40*95%)+(5%*$D$24)</f>
        <v>4742.3108389999998</v>
      </c>
      <c r="P40" s="579" t="s">
        <v>497</v>
      </c>
      <c r="S40" t="s">
        <v>158</v>
      </c>
    </row>
    <row r="41" spans="1:19" ht="15.9" customHeight="1" x14ac:dyDescent="0.35">
      <c r="A41" s="193" t="s">
        <v>398</v>
      </c>
      <c r="B41" s="410">
        <f t="shared" si="6"/>
        <v>5108.8999999999996</v>
      </c>
      <c r="C41" s="193">
        <f t="shared" si="6"/>
        <v>4094.0886859999996</v>
      </c>
      <c r="D41" s="193">
        <f>+ROUND(C41*0.98,2)</f>
        <v>4012.21</v>
      </c>
      <c r="E41" s="193">
        <f t="shared" si="2"/>
        <v>400.25419999999997</v>
      </c>
      <c r="F41" s="410">
        <f t="shared" si="4"/>
        <v>4412.4642000000003</v>
      </c>
      <c r="G41" s="212">
        <f>(B41*96%)+('GAS CTE'!D$8)</f>
        <v>5308.5940000000001</v>
      </c>
      <c r="H41" s="518" t="s">
        <v>474</v>
      </c>
      <c r="I41" s="705"/>
      <c r="J41" s="212">
        <f>(C41*90%)+(BIODIESEL!H$8)</f>
        <v>5685.9508173999993</v>
      </c>
      <c r="K41" s="569" t="s">
        <v>349</v>
      </c>
      <c r="L41" s="481" t="s">
        <v>437</v>
      </c>
      <c r="N41" s="482">
        <f>(B41*95%)+5%*$E$24</f>
        <v>5358.517499999999</v>
      </c>
      <c r="O41" s="192">
        <f>(C41*95%)+(5%*$D$24)</f>
        <v>4890.0197516999997</v>
      </c>
      <c r="P41" s="579" t="s">
        <v>498</v>
      </c>
    </row>
    <row r="42" spans="1:19" ht="15.9" customHeight="1" x14ac:dyDescent="0.35">
      <c r="A42" s="519" t="s">
        <v>467</v>
      </c>
      <c r="B42" s="520">
        <f>+B$24*B9</f>
        <v>5108.8999999999996</v>
      </c>
      <c r="C42" s="520">
        <f>+C$24*C9</f>
        <v>4480.78</v>
      </c>
      <c r="D42" s="520">
        <f t="shared" ref="D42" si="7">+ROUND(C42*0.98,2)</f>
        <v>4391.16</v>
      </c>
      <c r="E42" s="520">
        <f t="shared" ref="E42" si="8">+D$24*0.02</f>
        <v>400.25419999999997</v>
      </c>
      <c r="F42" s="520">
        <f t="shared" ref="F42:F44" si="9">+D42+E42</f>
        <v>4791.4142000000002</v>
      </c>
      <c r="G42" s="520">
        <f>(B42*96%)+('GAS CTE'!D$8)</f>
        <v>5308.5940000000001</v>
      </c>
      <c r="H42" s="520"/>
      <c r="I42" s="520"/>
      <c r="J42" s="520">
        <f>(C42*90%)+(BIODIESEL!H$8)</f>
        <v>6033.973</v>
      </c>
      <c r="K42" s="521"/>
      <c r="L42" s="522">
        <f>(C42*88%)+(BIODIESEL!J$8)</f>
        <v>6344.6115999999993</v>
      </c>
    </row>
    <row r="43" spans="1:19" ht="15.9" customHeight="1" x14ac:dyDescent="0.35">
      <c r="A43" s="519" t="s">
        <v>468</v>
      </c>
      <c r="B43" s="520">
        <f>+B$24*B10</f>
        <v>5107.8782199999996</v>
      </c>
      <c r="C43" s="520">
        <f>+C$24*C10</f>
        <v>4480.78</v>
      </c>
      <c r="D43" s="520">
        <f t="shared" ref="D43:D44" si="10">+ROUND(C43*0.98,2)</f>
        <v>4391.16</v>
      </c>
      <c r="E43" s="520">
        <f t="shared" ref="E43:E44" si="11">+D$24*0.02</f>
        <v>400.25419999999997</v>
      </c>
      <c r="F43" s="520">
        <f t="shared" si="9"/>
        <v>4791.4142000000002</v>
      </c>
      <c r="G43" s="520">
        <f>(B43*96%)+('GAS CTE'!D$8)</f>
        <v>5307.6130911999999</v>
      </c>
      <c r="H43" s="520"/>
      <c r="I43" s="520"/>
      <c r="J43" s="520">
        <f>(C43*90%)+(BIODIESEL!H$8)</f>
        <v>6033.973</v>
      </c>
      <c r="K43" s="521"/>
      <c r="L43" s="522">
        <f>(C43*88%)+(BIODIESEL!J$8)</f>
        <v>6344.6115999999993</v>
      </c>
    </row>
    <row r="44" spans="1:19" ht="15.9" customHeight="1" x14ac:dyDescent="0.35">
      <c r="A44" s="519" t="s">
        <v>465</v>
      </c>
      <c r="B44" s="520">
        <f>+B$24*B14</f>
        <v>4763.5383599999996</v>
      </c>
      <c r="C44" s="520">
        <f>+C$24*C14</f>
        <v>4092.7444519999999</v>
      </c>
      <c r="D44" s="520">
        <f t="shared" si="10"/>
        <v>4010.89</v>
      </c>
      <c r="E44" s="520">
        <f t="shared" si="11"/>
        <v>400.25419999999997</v>
      </c>
      <c r="F44" s="520">
        <f t="shared" si="9"/>
        <v>4411.1441999999997</v>
      </c>
      <c r="G44" s="520">
        <f>(B44*96%)+('GAS CTE'!D$8)</f>
        <v>4977.0468255999995</v>
      </c>
      <c r="H44" s="520"/>
      <c r="I44" s="520"/>
      <c r="J44" s="520">
        <f>(C44*90%)+(BIODIESEL!H$8)</f>
        <v>5684.7410067999999</v>
      </c>
      <c r="K44" s="521"/>
      <c r="L44" s="523"/>
    </row>
    <row r="45" spans="1:19" x14ac:dyDescent="0.35">
      <c r="I45" s="693"/>
    </row>
    <row r="46" spans="1:19" ht="15.5" x14ac:dyDescent="0.35">
      <c r="A46" s="362" t="s">
        <v>385</v>
      </c>
      <c r="B46" s="624" t="s">
        <v>518</v>
      </c>
      <c r="C46" s="624" t="s">
        <v>519</v>
      </c>
      <c r="D46" s="426" t="s">
        <v>415</v>
      </c>
      <c r="E46" s="565"/>
      <c r="F46" s="566"/>
      <c r="G46" s="566"/>
      <c r="H46" s="566"/>
      <c r="I46" s="566"/>
      <c r="J46" s="566"/>
      <c r="K46" s="566"/>
    </row>
    <row r="47" spans="1:19" x14ac:dyDescent="0.35">
      <c r="E47" s="565"/>
      <c r="F47" s="566"/>
      <c r="G47" s="566"/>
      <c r="H47" s="566"/>
      <c r="I47" s="566"/>
      <c r="J47" s="566"/>
    </row>
    <row r="48" spans="1:19" x14ac:dyDescent="0.35">
      <c r="A48" s="373" t="s">
        <v>382</v>
      </c>
      <c r="B48" s="373" t="s">
        <v>380</v>
      </c>
      <c r="C48" s="373" t="s">
        <v>381</v>
      </c>
      <c r="D48" t="s">
        <v>158</v>
      </c>
      <c r="E48" s="567"/>
      <c r="F48" s="566"/>
      <c r="G48" s="566"/>
      <c r="H48" s="566"/>
      <c r="I48" s="566"/>
      <c r="J48" s="566"/>
    </row>
    <row r="49" spans="1:10" x14ac:dyDescent="0.35">
      <c r="A49" s="360" t="s">
        <v>383</v>
      </c>
      <c r="B49" s="361">
        <v>30000002129</v>
      </c>
      <c r="C49" s="21"/>
      <c r="E49" s="565"/>
      <c r="F49" s="566"/>
      <c r="G49" s="566"/>
      <c r="H49" s="566"/>
      <c r="I49" s="566"/>
      <c r="J49" s="566"/>
    </row>
    <row r="50" spans="1:10" x14ac:dyDescent="0.35">
      <c r="A50" s="360" t="s">
        <v>384</v>
      </c>
      <c r="B50" s="361">
        <v>30000000070</v>
      </c>
      <c r="C50" s="361">
        <v>30000000070</v>
      </c>
    </row>
    <row r="51" spans="1:10" x14ac:dyDescent="0.35">
      <c r="A51" s="360" t="s">
        <v>397</v>
      </c>
      <c r="B51" s="365">
        <v>30000009250</v>
      </c>
      <c r="C51" s="361"/>
      <c r="E51" t="s">
        <v>158</v>
      </c>
    </row>
    <row r="52" spans="1:10" x14ac:dyDescent="0.35">
      <c r="A52" s="360" t="s">
        <v>106</v>
      </c>
      <c r="B52" s="361" t="s">
        <v>158</v>
      </c>
      <c r="C52" s="361">
        <v>30000000003</v>
      </c>
    </row>
  </sheetData>
  <sortState xmlns:xlrd2="http://schemas.microsoft.com/office/spreadsheetml/2017/richdata2" ref="A4:C17">
    <sortCondition ref="A3:A17"/>
  </sortState>
  <mergeCells count="2">
    <mergeCell ref="B2:C2"/>
    <mergeCell ref="A2:A3"/>
  </mergeCell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tabColor rgb="FFFF0000"/>
  </sheetPr>
  <dimension ref="A1:J44"/>
  <sheetViews>
    <sheetView zoomScale="60" zoomScaleNormal="60" workbookViewId="0">
      <selection activeCell="Z54" sqref="Z54"/>
    </sheetView>
  </sheetViews>
  <sheetFormatPr baseColWidth="10" defaultColWidth="11.36328125" defaultRowHeight="14" outlineLevelCol="1" x14ac:dyDescent="0.35"/>
  <cols>
    <col min="1" max="1" width="59.90625" style="87" customWidth="1"/>
    <col min="2" max="2" width="18.90625" style="87" customWidth="1" outlineLevel="1"/>
    <col min="3" max="4" width="18.90625" style="87" customWidth="1"/>
    <col min="5" max="5" width="18.90625" style="87" customWidth="1" outlineLevel="1"/>
    <col min="6" max="6" width="19.36328125" style="87" customWidth="1"/>
    <col min="7" max="10" width="11.36328125" style="49"/>
    <col min="11" max="11" width="15.81640625" style="49" customWidth="1"/>
    <col min="12" max="16384" width="11.36328125" style="49"/>
  </cols>
  <sheetData>
    <row r="1" spans="1:10" ht="14.5" thickBot="1" x14ac:dyDescent="0.4">
      <c r="A1" s="44">
        <v>2020</v>
      </c>
      <c r="B1" s="45"/>
      <c r="C1" s="45">
        <v>7.2405999999999997</v>
      </c>
      <c r="D1" s="46"/>
      <c r="E1" s="47"/>
      <c r="F1" s="48"/>
    </row>
    <row r="2" spans="1:10" s="50" customFormat="1" ht="21.75" customHeight="1" thickTop="1" x14ac:dyDescent="0.35">
      <c r="A2" s="791" t="str">
        <f>CONCATENATE("ESTRUCTURAS DE PRECIOS DE COMBUSTIBLES LIQUIDOS VIGENTES A PARTIR DE ",$A$1)</f>
        <v>ESTRUCTURAS DE PRECIOS DE COMBUSTIBLES LIQUIDOS VIGENTES A PARTIR DE 2020</v>
      </c>
      <c r="B2" s="792"/>
      <c r="C2" s="792"/>
      <c r="D2" s="792"/>
      <c r="E2" s="792"/>
      <c r="F2" s="793"/>
    </row>
    <row r="3" spans="1:10" s="50" customFormat="1" ht="21.75" customHeight="1" x14ac:dyDescent="0.35">
      <c r="A3" s="51" t="s">
        <v>122</v>
      </c>
      <c r="B3" s="52"/>
      <c r="C3" s="52"/>
      <c r="D3" s="52"/>
      <c r="E3" s="52"/>
      <c r="F3" s="53"/>
    </row>
    <row r="4" spans="1:10" s="55" customFormat="1" ht="24" customHeight="1" x14ac:dyDescent="0.35">
      <c r="A4" s="794" t="s">
        <v>123</v>
      </c>
      <c r="B4" s="796" t="s">
        <v>96</v>
      </c>
      <c r="C4" s="798"/>
      <c r="D4" s="799"/>
      <c r="E4" s="796" t="s">
        <v>125</v>
      </c>
      <c r="F4" s="54"/>
    </row>
    <row r="5" spans="1:10" s="55" customFormat="1" ht="24" customHeight="1" x14ac:dyDescent="0.35">
      <c r="A5" s="794"/>
      <c r="B5" s="797"/>
      <c r="C5" s="56"/>
      <c r="D5" s="56"/>
      <c r="E5" s="797"/>
      <c r="F5" s="57"/>
    </row>
    <row r="6" spans="1:10" s="55" customFormat="1" ht="24" customHeight="1" thickBot="1" x14ac:dyDescent="0.4">
      <c r="A6" s="795"/>
      <c r="B6" s="58"/>
      <c r="C6" s="59"/>
      <c r="D6" s="58"/>
      <c r="E6" s="58"/>
      <c r="F6" s="60"/>
      <c r="G6" s="55" t="s">
        <v>425</v>
      </c>
      <c r="H6" s="55" t="s">
        <v>425</v>
      </c>
      <c r="I6" s="55" t="s">
        <v>425</v>
      </c>
    </row>
    <row r="7" spans="1:10" ht="22.65" customHeight="1" thickTop="1" x14ac:dyDescent="0.35">
      <c r="A7" s="61" t="s">
        <v>126</v>
      </c>
      <c r="B7" s="603">
        <v>5108.8999999999996</v>
      </c>
      <c r="C7" s="600"/>
      <c r="D7" s="601"/>
      <c r="E7" s="603">
        <v>4480.78</v>
      </c>
      <c r="F7" s="441"/>
      <c r="G7" s="62"/>
      <c r="J7" s="421" t="s">
        <v>416</v>
      </c>
    </row>
    <row r="8" spans="1:10" ht="22.65" customHeight="1" x14ac:dyDescent="0.35">
      <c r="A8" s="63" t="s">
        <v>127</v>
      </c>
      <c r="B8" s="607">
        <v>8.6300000000000008</v>
      </c>
      <c r="C8" s="64"/>
      <c r="D8" s="64"/>
      <c r="E8" s="603">
        <f>+B8</f>
        <v>8.6300000000000008</v>
      </c>
      <c r="F8" s="65"/>
    </row>
    <row r="9" spans="1:10" ht="22.65" customHeight="1" x14ac:dyDescent="0.35">
      <c r="A9" s="63" t="s">
        <v>128</v>
      </c>
      <c r="B9" s="604" t="s">
        <v>129</v>
      </c>
      <c r="C9" s="66"/>
      <c r="D9" s="66"/>
      <c r="E9" s="604" t="s">
        <v>129</v>
      </c>
      <c r="F9" s="67"/>
      <c r="H9" s="49" t="s">
        <v>129</v>
      </c>
      <c r="I9" s="49" t="s">
        <v>129</v>
      </c>
    </row>
    <row r="10" spans="1:10" ht="22.65" customHeight="1" x14ac:dyDescent="0.35">
      <c r="A10" s="63" t="s">
        <v>130</v>
      </c>
      <c r="B10" s="605">
        <v>0</v>
      </c>
      <c r="C10" s="64"/>
      <c r="D10" s="64"/>
      <c r="E10" s="605">
        <v>0</v>
      </c>
      <c r="F10" s="69"/>
    </row>
    <row r="11" spans="1:10" ht="22.65" customHeight="1" x14ac:dyDescent="0.35">
      <c r="A11" s="63" t="s">
        <v>131</v>
      </c>
      <c r="B11" s="608">
        <v>555.04999999999995</v>
      </c>
      <c r="C11" s="68"/>
      <c r="D11" s="68"/>
      <c r="E11" s="605">
        <v>531.27</v>
      </c>
      <c r="F11" s="70"/>
      <c r="H11" s="71"/>
      <c r="I11" s="71"/>
    </row>
    <row r="12" spans="1:10" ht="22.65" customHeight="1" x14ac:dyDescent="0.35">
      <c r="A12" s="63" t="s">
        <v>132</v>
      </c>
      <c r="B12" s="606" t="s">
        <v>133</v>
      </c>
      <c r="C12" s="602"/>
      <c r="D12" s="602"/>
      <c r="E12" s="606" t="s">
        <v>133</v>
      </c>
      <c r="F12" s="72"/>
      <c r="H12" s="49" t="s">
        <v>133</v>
      </c>
      <c r="I12" s="49" t="s">
        <v>133</v>
      </c>
    </row>
    <row r="13" spans="1:10" ht="22.65" customHeight="1" x14ac:dyDescent="0.35">
      <c r="A13" s="63" t="s">
        <v>134</v>
      </c>
      <c r="B13" s="608">
        <v>159</v>
      </c>
      <c r="C13" s="68"/>
      <c r="D13" s="68"/>
      <c r="E13" s="605">
        <v>179</v>
      </c>
      <c r="F13" s="70"/>
    </row>
    <row r="14" spans="1:10" ht="22.65" customHeight="1" x14ac:dyDescent="0.35">
      <c r="A14" s="63" t="s">
        <v>135</v>
      </c>
      <c r="B14" s="66" t="s">
        <v>136</v>
      </c>
      <c r="C14" s="66"/>
      <c r="D14" s="66"/>
      <c r="E14" s="66" t="s">
        <v>136</v>
      </c>
      <c r="F14" s="67"/>
    </row>
    <row r="15" spans="1:10" ht="22.65" customHeight="1" x14ac:dyDescent="0.35">
      <c r="A15" s="63" t="s">
        <v>137</v>
      </c>
      <c r="B15" s="66" t="s">
        <v>138</v>
      </c>
      <c r="C15" s="66"/>
      <c r="D15" s="66"/>
      <c r="E15" s="66" t="s">
        <v>138</v>
      </c>
      <c r="F15" s="73"/>
    </row>
    <row r="16" spans="1:10" ht="22.65" customHeight="1" x14ac:dyDescent="0.35">
      <c r="A16" s="63" t="s">
        <v>139</v>
      </c>
      <c r="B16" s="68"/>
      <c r="C16" s="68"/>
      <c r="D16" s="68"/>
      <c r="E16" s="68"/>
      <c r="F16" s="74"/>
    </row>
    <row r="17" spans="1:7" ht="22.65" customHeight="1" x14ac:dyDescent="0.35">
      <c r="A17" s="63" t="s">
        <v>141</v>
      </c>
      <c r="B17" s="66" t="s">
        <v>136</v>
      </c>
      <c r="C17" s="66"/>
      <c r="D17" s="66"/>
      <c r="E17" s="66" t="s">
        <v>136</v>
      </c>
      <c r="F17" s="74"/>
    </row>
    <row r="18" spans="1:7" ht="22.65" customHeight="1" x14ac:dyDescent="0.35">
      <c r="A18" s="63" t="s">
        <v>142</v>
      </c>
      <c r="B18" s="66" t="s">
        <v>138</v>
      </c>
      <c r="C18" s="66"/>
      <c r="D18" s="66"/>
      <c r="E18" s="66" t="s">
        <v>138</v>
      </c>
      <c r="F18" s="74"/>
    </row>
    <row r="19" spans="1:7" ht="22.65" customHeight="1" x14ac:dyDescent="0.35">
      <c r="A19" s="63" t="s">
        <v>143</v>
      </c>
      <c r="B19" s="66" t="s">
        <v>144</v>
      </c>
      <c r="C19" s="66"/>
      <c r="D19" s="66"/>
      <c r="E19" s="66"/>
      <c r="F19" s="75"/>
      <c r="G19" s="49" t="s">
        <v>140</v>
      </c>
    </row>
    <row r="20" spans="1:7" ht="22.65" customHeight="1" x14ac:dyDescent="0.35">
      <c r="A20" s="63" t="s">
        <v>145</v>
      </c>
      <c r="B20" s="66" t="s">
        <v>138</v>
      </c>
      <c r="C20" s="68"/>
      <c r="D20" s="68"/>
      <c r="E20" s="66" t="s">
        <v>138</v>
      </c>
      <c r="F20" s="74"/>
      <c r="G20" s="49" t="s">
        <v>140</v>
      </c>
    </row>
    <row r="21" spans="1:7" ht="22.65" customHeight="1" thickBot="1" x14ac:dyDescent="0.4">
      <c r="A21" s="76" t="s">
        <v>146</v>
      </c>
      <c r="B21" s="77" t="s">
        <v>136</v>
      </c>
      <c r="C21" s="77"/>
      <c r="D21" s="77"/>
      <c r="E21" s="77" t="s">
        <v>136</v>
      </c>
      <c r="F21" s="78"/>
      <c r="G21" s="49" t="s">
        <v>140</v>
      </c>
    </row>
    <row r="22" spans="1:7" ht="21.75" customHeight="1" thickTop="1" x14ac:dyDescent="0.35">
      <c r="A22" s="789"/>
      <c r="B22" s="790"/>
      <c r="C22" s="790"/>
      <c r="D22" s="790"/>
      <c r="E22" s="790"/>
      <c r="F22" s="790"/>
    </row>
    <row r="23" spans="1:7" s="79" customFormat="1" ht="30" customHeight="1" x14ac:dyDescent="0.35">
      <c r="A23" s="787"/>
      <c r="B23" s="787"/>
      <c r="C23" s="787"/>
      <c r="D23" s="787"/>
      <c r="E23" s="787"/>
      <c r="F23" s="787"/>
    </row>
    <row r="24" spans="1:7" s="79" customFormat="1" ht="11.25" customHeight="1" x14ac:dyDescent="0.35">
      <c r="A24" s="80"/>
      <c r="B24" s="80"/>
      <c r="C24" s="80"/>
      <c r="D24" s="80"/>
      <c r="E24" s="80"/>
      <c r="F24" s="80"/>
    </row>
    <row r="25" spans="1:7" s="79" customFormat="1" ht="31.65" customHeight="1" x14ac:dyDescent="0.35">
      <c r="A25" s="787"/>
      <c r="B25" s="787"/>
      <c r="C25" s="787"/>
      <c r="D25" s="787"/>
      <c r="E25" s="787"/>
      <c r="F25" s="787"/>
    </row>
    <row r="26" spans="1:7" s="79" customFormat="1" ht="7.5" customHeight="1" x14ac:dyDescent="0.35">
      <c r="A26" s="81"/>
      <c r="B26" s="82"/>
      <c r="C26" s="82"/>
      <c r="D26" s="82"/>
      <c r="E26" s="82"/>
      <c r="F26" s="82"/>
    </row>
    <row r="27" spans="1:7" ht="43.5" customHeight="1" x14ac:dyDescent="0.35">
      <c r="A27" s="788"/>
      <c r="B27" s="788"/>
      <c r="C27" s="788"/>
      <c r="D27" s="788"/>
      <c r="E27" s="788"/>
      <c r="F27" s="788"/>
    </row>
    <row r="28" spans="1:7" s="84" customFormat="1" ht="8.25" customHeight="1" x14ac:dyDescent="0.35">
      <c r="A28" s="83"/>
      <c r="B28" s="83"/>
      <c r="C28" s="83"/>
      <c r="D28" s="83"/>
      <c r="E28" s="83"/>
      <c r="F28" s="83"/>
    </row>
    <row r="29" spans="1:7" ht="18" customHeight="1" x14ac:dyDescent="0.35">
      <c r="A29" s="787"/>
      <c r="B29" s="787"/>
      <c r="C29" s="787"/>
      <c r="D29" s="787"/>
      <c r="E29" s="787"/>
      <c r="F29" s="787"/>
    </row>
    <row r="30" spans="1:7" ht="7.5" customHeight="1" x14ac:dyDescent="0.35">
      <c r="A30" s="789"/>
      <c r="B30" s="790"/>
      <c r="C30" s="790"/>
      <c r="D30" s="790"/>
      <c r="E30" s="790"/>
      <c r="F30" s="790"/>
    </row>
    <row r="31" spans="1:7" ht="29.25" customHeight="1" x14ac:dyDescent="0.35">
      <c r="A31" s="787"/>
      <c r="B31" s="787"/>
      <c r="C31" s="787"/>
      <c r="D31" s="787"/>
      <c r="E31" s="787"/>
      <c r="F31" s="787"/>
    </row>
    <row r="32" spans="1:7" s="85" customFormat="1" ht="18" customHeight="1" x14ac:dyDescent="0.35">
      <c r="A32" s="787"/>
      <c r="B32" s="787"/>
      <c r="C32" s="787"/>
      <c r="D32" s="787"/>
      <c r="E32" s="787"/>
      <c r="F32" s="787"/>
    </row>
    <row r="33" spans="1:6" s="85" customFormat="1" x14ac:dyDescent="0.35">
      <c r="A33" s="787"/>
      <c r="B33" s="787"/>
      <c r="C33" s="787"/>
      <c r="D33" s="787"/>
      <c r="E33" s="787"/>
      <c r="F33" s="787"/>
    </row>
    <row r="34" spans="1:6" s="85" customFormat="1" x14ac:dyDescent="0.35">
      <c r="A34" s="80"/>
      <c r="B34" s="80"/>
      <c r="C34" s="80"/>
      <c r="D34" s="80"/>
      <c r="E34" s="80"/>
      <c r="F34" s="80"/>
    </row>
    <row r="35" spans="1:6" s="85" customFormat="1" x14ac:dyDescent="0.35">
      <c r="A35" s="787"/>
      <c r="B35" s="787"/>
      <c r="C35" s="787"/>
      <c r="D35" s="787"/>
      <c r="E35" s="787"/>
      <c r="F35" s="787"/>
    </row>
    <row r="36" spans="1:6" s="85" customFormat="1" ht="14.25" customHeight="1" x14ac:dyDescent="0.35">
      <c r="A36" s="787"/>
      <c r="B36" s="787"/>
      <c r="C36" s="787"/>
      <c r="D36" s="787"/>
      <c r="E36" s="787"/>
      <c r="F36" s="787"/>
    </row>
    <row r="37" spans="1:6" s="85" customFormat="1" x14ac:dyDescent="0.35">
      <c r="A37" s="787"/>
      <c r="B37" s="787"/>
      <c r="C37" s="787"/>
      <c r="D37" s="787"/>
      <c r="E37" s="787"/>
      <c r="F37" s="787"/>
    </row>
    <row r="38" spans="1:6" s="85" customFormat="1" ht="90" customHeight="1" x14ac:dyDescent="0.35">
      <c r="A38" s="786"/>
      <c r="B38" s="786"/>
      <c r="C38" s="786"/>
      <c r="D38" s="786"/>
      <c r="E38" s="786"/>
      <c r="F38" s="86"/>
    </row>
    <row r="39" spans="1:6" s="85" customFormat="1" x14ac:dyDescent="0.35">
      <c r="A39" s="86"/>
      <c r="B39" s="86"/>
      <c r="C39" s="86"/>
      <c r="D39" s="86"/>
      <c r="E39" s="86"/>
      <c r="F39" s="86"/>
    </row>
    <row r="40" spans="1:6" s="85" customFormat="1" x14ac:dyDescent="0.35">
      <c r="A40" s="86"/>
      <c r="B40" s="86"/>
      <c r="C40" s="86"/>
      <c r="D40" s="86"/>
      <c r="E40" s="86"/>
      <c r="F40" s="86"/>
    </row>
    <row r="41" spans="1:6" s="85" customFormat="1" x14ac:dyDescent="0.35">
      <c r="A41" s="86"/>
      <c r="B41" s="86"/>
      <c r="C41" s="86"/>
      <c r="D41" s="86"/>
      <c r="E41" s="86"/>
      <c r="F41" s="86"/>
    </row>
    <row r="42" spans="1:6" s="85" customFormat="1" x14ac:dyDescent="0.35">
      <c r="A42" s="86"/>
      <c r="B42" s="86"/>
      <c r="C42" s="86"/>
      <c r="D42" s="86"/>
      <c r="E42" s="86"/>
      <c r="F42" s="86"/>
    </row>
    <row r="43" spans="1:6" s="85" customFormat="1" x14ac:dyDescent="0.35">
      <c r="A43" s="86"/>
      <c r="B43" s="86"/>
      <c r="C43" s="86"/>
      <c r="D43" s="86"/>
      <c r="E43" s="86"/>
      <c r="F43" s="86"/>
    </row>
    <row r="44" spans="1:6" s="85" customFormat="1" x14ac:dyDescent="0.35">
      <c r="A44" s="87"/>
      <c r="B44" s="87"/>
      <c r="C44" s="87"/>
      <c r="D44" s="87"/>
      <c r="E44" s="87"/>
      <c r="F44" s="87"/>
    </row>
  </sheetData>
  <mergeCells count="18">
    <mergeCell ref="A22:F22"/>
    <mergeCell ref="A2:F2"/>
    <mergeCell ref="A4:A6"/>
    <mergeCell ref="B4:B5"/>
    <mergeCell ref="C4:D4"/>
    <mergeCell ref="E4:E5"/>
    <mergeCell ref="A38:E38"/>
    <mergeCell ref="A23:F23"/>
    <mergeCell ref="A25:F25"/>
    <mergeCell ref="A27:F27"/>
    <mergeCell ref="A29:F29"/>
    <mergeCell ref="A30:F30"/>
    <mergeCell ref="A31:F31"/>
    <mergeCell ref="A32:F32"/>
    <mergeCell ref="A33:F33"/>
    <mergeCell ref="A35:F35"/>
    <mergeCell ref="A36:F36"/>
    <mergeCell ref="A37:F3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tabColor rgb="FFFF0000"/>
  </sheetPr>
  <dimension ref="A1:L41"/>
  <sheetViews>
    <sheetView zoomScale="60" zoomScaleNormal="60" workbookViewId="0">
      <selection activeCell="H12" sqref="H12"/>
    </sheetView>
  </sheetViews>
  <sheetFormatPr baseColWidth="10" defaultColWidth="54.1796875" defaultRowHeight="14.5" x14ac:dyDescent="0.35"/>
  <cols>
    <col min="2" max="2" width="19.08984375" customWidth="1"/>
    <col min="3" max="3" width="17.90625" customWidth="1"/>
    <col min="4" max="4" width="18.453125" customWidth="1"/>
    <col min="5" max="6" width="15.36328125" customWidth="1"/>
    <col min="7" max="7" width="17.54296875" customWidth="1"/>
    <col min="8" max="8" width="20.81640625" customWidth="1"/>
    <col min="9" max="9" width="12.453125" customWidth="1"/>
    <col min="10" max="10" width="10.453125" customWidth="1"/>
    <col min="11" max="11" width="19.36328125" customWidth="1"/>
    <col min="12" max="12" width="10.36328125" customWidth="1"/>
  </cols>
  <sheetData>
    <row r="1" spans="1:12" ht="33.9" customHeight="1" x14ac:dyDescent="0.35">
      <c r="A1" s="801" t="s">
        <v>423</v>
      </c>
      <c r="B1" s="802"/>
      <c r="C1" s="802"/>
      <c r="D1" s="802"/>
      <c r="E1" s="573"/>
      <c r="F1" s="620"/>
      <c r="G1" s="88"/>
    </row>
    <row r="2" spans="1:12" ht="17.5" x14ac:dyDescent="0.35">
      <c r="A2" s="803" t="s">
        <v>122</v>
      </c>
      <c r="B2" s="804"/>
      <c r="C2" s="804"/>
      <c r="D2" s="804"/>
      <c r="E2" s="52"/>
      <c r="F2" s="52"/>
      <c r="G2" s="88"/>
    </row>
    <row r="3" spans="1:12" ht="42" x14ac:dyDescent="0.35">
      <c r="A3" s="805" t="s">
        <v>123</v>
      </c>
      <c r="B3" s="806" t="s">
        <v>148</v>
      </c>
      <c r="C3" s="806" t="s">
        <v>149</v>
      </c>
      <c r="D3" s="89" t="s">
        <v>150</v>
      </c>
      <c r="E3" s="574" t="s">
        <v>150</v>
      </c>
      <c r="F3" s="621" t="s">
        <v>150</v>
      </c>
      <c r="G3" s="516" t="s">
        <v>150</v>
      </c>
      <c r="I3" s="535" t="s">
        <v>491</v>
      </c>
    </row>
    <row r="4" spans="1:12" x14ac:dyDescent="0.35">
      <c r="A4" s="794"/>
      <c r="B4" s="797"/>
      <c r="C4" s="797"/>
      <c r="D4" s="90">
        <v>0.04</v>
      </c>
      <c r="E4" s="90">
        <v>0.05</v>
      </c>
      <c r="F4" s="90">
        <v>0.06</v>
      </c>
      <c r="G4" s="559">
        <v>0.08</v>
      </c>
    </row>
    <row r="5" spans="1:12" ht="15" thickBot="1" x14ac:dyDescent="0.4">
      <c r="A5" s="795"/>
      <c r="B5" s="91"/>
      <c r="C5" s="59"/>
      <c r="D5" s="59"/>
      <c r="E5" s="59"/>
      <c r="F5" s="59"/>
      <c r="G5" s="59"/>
    </row>
    <row r="6" spans="1:12" ht="32.25" customHeight="1" thickTop="1" x14ac:dyDescent="0.35">
      <c r="A6" s="92" t="s">
        <v>126</v>
      </c>
      <c r="B6" s="609">
        <v>10101.25</v>
      </c>
      <c r="C6" s="609">
        <f>+COMBUSTIBLES!B7</f>
        <v>5108.8999999999996</v>
      </c>
      <c r="D6" s="584"/>
      <c r="E6" s="584"/>
      <c r="F6" s="723"/>
      <c r="G6" s="584"/>
      <c r="I6" s="421" t="s">
        <v>472</v>
      </c>
      <c r="J6" s="429"/>
      <c r="K6" s="538" t="s">
        <v>500</v>
      </c>
      <c r="L6" s="546">
        <v>0.05</v>
      </c>
    </row>
    <row r="7" spans="1:12" ht="28" x14ac:dyDescent="0.35">
      <c r="A7" s="93" t="s">
        <v>151</v>
      </c>
      <c r="B7" s="587"/>
      <c r="C7" s="588"/>
      <c r="D7" s="610">
        <f>+C6*0.96</f>
        <v>4904.5439999999999</v>
      </c>
      <c r="E7" s="585">
        <f>+C6*0.95</f>
        <v>4853.454999999999</v>
      </c>
      <c r="F7" s="724">
        <v>4802.37</v>
      </c>
      <c r="G7" s="585"/>
      <c r="I7" s="536">
        <f>C6*0.96</f>
        <v>4904.5439999999999</v>
      </c>
      <c r="J7" s="482">
        <f>+D7-I7</f>
        <v>0</v>
      </c>
      <c r="K7" s="539">
        <f>+C6*(1-L6)</f>
        <v>4853.454999999999</v>
      </c>
      <c r="L7" s="540">
        <f>+K7-G7</f>
        <v>4853.454999999999</v>
      </c>
    </row>
    <row r="8" spans="1:12" ht="22.25" customHeight="1" x14ac:dyDescent="0.35">
      <c r="A8" s="93" t="s">
        <v>152</v>
      </c>
      <c r="B8" s="587"/>
      <c r="C8" s="588"/>
      <c r="D8" s="610">
        <f>+B6*0.04</f>
        <v>404.05</v>
      </c>
      <c r="E8" s="585">
        <f>+B6*0.05</f>
        <v>505.0625</v>
      </c>
      <c r="F8" s="724">
        <v>606.08000000000004</v>
      </c>
      <c r="G8" s="585"/>
      <c r="H8">
        <f>+B6*0.07</f>
        <v>707.08750000000009</v>
      </c>
      <c r="I8" s="536">
        <f>+B6*4%</f>
        <v>404.05</v>
      </c>
      <c r="J8" s="482">
        <f>+D8-I8</f>
        <v>0</v>
      </c>
      <c r="K8" s="539">
        <f>+B6*L6</f>
        <v>505.0625</v>
      </c>
      <c r="L8" s="540">
        <f>+K8-G8</f>
        <v>505.0625</v>
      </c>
    </row>
    <row r="9" spans="1:12" ht="28" x14ac:dyDescent="0.35">
      <c r="A9" s="93" t="s">
        <v>153</v>
      </c>
      <c r="B9" s="587"/>
      <c r="C9" s="588"/>
      <c r="D9" s="610">
        <f>+D7+D8</f>
        <v>5308.5940000000001</v>
      </c>
      <c r="E9" s="585">
        <f>+E7+E8</f>
        <v>5358.517499999999</v>
      </c>
      <c r="F9" s="724">
        <v>5408.45</v>
      </c>
      <c r="G9" s="585"/>
      <c r="I9" s="537">
        <f>+I7+I8</f>
        <v>5308.5940000000001</v>
      </c>
      <c r="J9" s="482">
        <f>+D9-I9</f>
        <v>0</v>
      </c>
      <c r="K9" s="543">
        <f>+K7+K8</f>
        <v>5358.517499999999</v>
      </c>
      <c r="L9" s="544">
        <f>+K9-G9</f>
        <v>5358.517499999999</v>
      </c>
    </row>
    <row r="10" spans="1:12" ht="19" customHeight="1" x14ac:dyDescent="0.35">
      <c r="A10" s="239" t="s">
        <v>131</v>
      </c>
      <c r="B10" s="587"/>
      <c r="C10" s="589">
        <v>555.04999999999995</v>
      </c>
      <c r="D10" s="585">
        <v>532.84799999999996</v>
      </c>
      <c r="E10" s="585">
        <f>+C10*0.95</f>
        <v>527.2974999999999</v>
      </c>
      <c r="F10" s="724">
        <f>+C10*0.94</f>
        <v>521.74699999999996</v>
      </c>
      <c r="G10" s="585"/>
      <c r="H10" s="49"/>
      <c r="I10" s="542">
        <f>+C10*0.96</f>
        <v>532.84799999999996</v>
      </c>
      <c r="J10" s="482">
        <f>+I10-D10</f>
        <v>0</v>
      </c>
      <c r="K10" s="545">
        <f>+C10*(1-L6)</f>
        <v>527.2974999999999</v>
      </c>
      <c r="L10" s="544">
        <f>+G10-K10</f>
        <v>-527.2974999999999</v>
      </c>
    </row>
    <row r="11" spans="1:12" x14ac:dyDescent="0.35">
      <c r="A11" s="93" t="s">
        <v>132</v>
      </c>
      <c r="B11" s="587"/>
      <c r="C11" s="590" t="s">
        <v>133</v>
      </c>
      <c r="D11" s="585" t="s">
        <v>133</v>
      </c>
      <c r="E11" s="585"/>
      <c r="F11" s="724"/>
      <c r="G11" s="585"/>
      <c r="H11" s="49"/>
      <c r="I11" s="429"/>
      <c r="J11" s="429"/>
      <c r="K11" s="545"/>
      <c r="L11" s="545"/>
    </row>
    <row r="12" spans="1:12" ht="19.649999999999999" customHeight="1" x14ac:dyDescent="0.35">
      <c r="A12" s="238" t="s">
        <v>134</v>
      </c>
      <c r="B12" s="587"/>
      <c r="C12" s="589">
        <v>159</v>
      </c>
      <c r="D12" s="585">
        <v>152.63999999999999</v>
      </c>
      <c r="E12" s="625">
        <f>+C12*0.95</f>
        <v>151.04999999999998</v>
      </c>
      <c r="F12" s="724">
        <f>+C12*0.94</f>
        <v>149.45999999999998</v>
      </c>
      <c r="G12" s="585"/>
      <c r="H12" s="49">
        <f>+C12*0.94</f>
        <v>149.45999999999998</v>
      </c>
      <c r="I12" s="429">
        <f>+C12*0.96</f>
        <v>152.63999999999999</v>
      </c>
      <c r="J12" s="482">
        <f>+D12-I12</f>
        <v>0</v>
      </c>
      <c r="K12" s="545">
        <f>+C12*(1-L6)</f>
        <v>151.04999999999998</v>
      </c>
      <c r="L12" s="544">
        <f>+G12-K12</f>
        <v>-151.04999999999998</v>
      </c>
    </row>
    <row r="13" spans="1:12" x14ac:dyDescent="0.35">
      <c r="A13" s="93" t="s">
        <v>127</v>
      </c>
      <c r="B13" s="587"/>
      <c r="C13" s="589">
        <v>8.6300000000000008</v>
      </c>
      <c r="D13" s="585">
        <f>+C13</f>
        <v>8.6300000000000008</v>
      </c>
      <c r="E13" s="585"/>
      <c r="F13" s="724"/>
      <c r="G13" s="585"/>
      <c r="H13" s="49"/>
    </row>
    <row r="14" spans="1:12" ht="28" x14ac:dyDescent="0.35">
      <c r="A14" s="93" t="s">
        <v>154</v>
      </c>
      <c r="B14" s="587"/>
      <c r="C14" s="588"/>
      <c r="D14" s="586" t="s">
        <v>129</v>
      </c>
      <c r="E14" s="586"/>
      <c r="F14" s="725"/>
      <c r="G14" s="586"/>
      <c r="H14" s="541">
        <f>+D12/C12</f>
        <v>0.96</v>
      </c>
    </row>
    <row r="15" spans="1:12" x14ac:dyDescent="0.35">
      <c r="A15" s="93" t="s">
        <v>155</v>
      </c>
      <c r="B15" s="587"/>
      <c r="C15" s="591"/>
      <c r="D15" s="586" t="s">
        <v>136</v>
      </c>
      <c r="E15" s="586"/>
      <c r="F15" s="626"/>
      <c r="G15" s="586"/>
      <c r="H15" s="49"/>
    </row>
    <row r="16" spans="1:12" x14ac:dyDescent="0.35">
      <c r="A16" s="93" t="s">
        <v>248</v>
      </c>
      <c r="B16" s="587"/>
      <c r="C16" s="588"/>
      <c r="D16" s="586">
        <v>0</v>
      </c>
      <c r="E16" s="586"/>
      <c r="F16" s="626"/>
      <c r="G16" s="586"/>
      <c r="H16" s="477"/>
    </row>
    <row r="17" spans="1:8" x14ac:dyDescent="0.35">
      <c r="A17" s="93" t="s">
        <v>156</v>
      </c>
      <c r="B17" s="587"/>
      <c r="C17" s="588" t="s">
        <v>138</v>
      </c>
      <c r="D17" s="586" t="s">
        <v>138</v>
      </c>
      <c r="E17" s="586"/>
      <c r="F17" s="626"/>
      <c r="G17" s="586"/>
      <c r="H17" s="49"/>
    </row>
    <row r="18" spans="1:8" x14ac:dyDescent="0.35">
      <c r="A18" s="93" t="s">
        <v>139</v>
      </c>
      <c r="B18" s="587"/>
      <c r="C18" s="588"/>
      <c r="D18" s="586" t="s">
        <v>476</v>
      </c>
      <c r="E18" s="586"/>
      <c r="F18" s="626"/>
      <c r="G18" s="586"/>
      <c r="H18" s="49"/>
    </row>
    <row r="19" spans="1:8" x14ac:dyDescent="0.35">
      <c r="A19" s="93" t="s">
        <v>157</v>
      </c>
      <c r="B19" s="587"/>
      <c r="C19" s="589" t="s">
        <v>158</v>
      </c>
      <c r="D19" s="586" t="s">
        <v>144</v>
      </c>
      <c r="E19" s="586"/>
      <c r="F19" s="626"/>
      <c r="G19" s="586"/>
      <c r="H19" s="49"/>
    </row>
    <row r="20" spans="1:8" x14ac:dyDescent="0.35">
      <c r="A20" s="93" t="s">
        <v>159</v>
      </c>
      <c r="B20" s="587"/>
      <c r="C20" s="588" t="s">
        <v>158</v>
      </c>
      <c r="D20" s="586" t="s">
        <v>138</v>
      </c>
      <c r="E20" s="586"/>
      <c r="F20" s="626"/>
      <c r="G20" s="586"/>
      <c r="H20" s="49"/>
    </row>
    <row r="21" spans="1:8" x14ac:dyDescent="0.35">
      <c r="A21" s="93" t="s">
        <v>160</v>
      </c>
      <c r="B21" s="587"/>
      <c r="C21" s="592" t="s">
        <v>158</v>
      </c>
      <c r="D21" s="586" t="s">
        <v>144</v>
      </c>
      <c r="E21" s="586"/>
      <c r="F21" s="626"/>
      <c r="G21" s="586"/>
      <c r="H21" s="49"/>
    </row>
    <row r="22" spans="1:8" x14ac:dyDescent="0.35">
      <c r="A22" s="93" t="s">
        <v>161</v>
      </c>
      <c r="B22" s="587"/>
      <c r="C22" s="588" t="s">
        <v>158</v>
      </c>
      <c r="D22" s="586" t="s">
        <v>162</v>
      </c>
      <c r="E22" s="586"/>
      <c r="F22" s="626"/>
      <c r="G22" s="586" t="s">
        <v>162</v>
      </c>
      <c r="H22" s="49"/>
    </row>
    <row r="23" spans="1:8" x14ac:dyDescent="0.35">
      <c r="A23" s="93" t="s">
        <v>145</v>
      </c>
      <c r="B23" s="94"/>
      <c r="C23" s="95" t="s">
        <v>158</v>
      </c>
      <c r="D23" s="96" t="s">
        <v>144</v>
      </c>
      <c r="E23" s="96"/>
      <c r="F23" s="626"/>
      <c r="G23" s="96" t="s">
        <v>144</v>
      </c>
      <c r="H23" s="49"/>
    </row>
    <row r="24" spans="1:8" ht="15" thickBot="1" x14ac:dyDescent="0.4">
      <c r="A24" s="97" t="s">
        <v>163</v>
      </c>
      <c r="B24" s="98"/>
      <c r="C24" s="99" t="s">
        <v>158</v>
      </c>
      <c r="D24" s="100" t="s">
        <v>138</v>
      </c>
      <c r="E24" s="100"/>
      <c r="F24" s="100"/>
      <c r="G24" s="100" t="s">
        <v>138</v>
      </c>
      <c r="H24" s="49"/>
    </row>
    <row r="25" spans="1:8" ht="15" thickTop="1" x14ac:dyDescent="0.35">
      <c r="A25" s="101"/>
      <c r="B25" s="101"/>
      <c r="C25" s="102"/>
      <c r="D25" s="103"/>
      <c r="E25" s="103"/>
      <c r="F25" s="103"/>
      <c r="G25" s="101"/>
    </row>
    <row r="26" spans="1:8" x14ac:dyDescent="0.35">
      <c r="A26" s="800"/>
      <c r="B26" s="800"/>
      <c r="C26" s="800"/>
      <c r="D26" s="800"/>
      <c r="E26" s="572"/>
      <c r="F26" s="619"/>
      <c r="G26" s="104"/>
    </row>
    <row r="27" spans="1:8" x14ac:dyDescent="0.35">
      <c r="A27" s="105"/>
      <c r="B27" s="105"/>
      <c r="C27" s="105"/>
      <c r="D27" s="105"/>
      <c r="E27" s="572"/>
      <c r="F27" s="619"/>
      <c r="G27" s="104"/>
    </row>
    <row r="28" spans="1:8" x14ac:dyDescent="0.35">
      <c r="A28" s="807"/>
      <c r="B28" s="807"/>
      <c r="C28" s="807"/>
      <c r="D28" s="807"/>
      <c r="E28" s="575"/>
      <c r="F28" s="617"/>
      <c r="G28" s="104"/>
    </row>
    <row r="29" spans="1:8" x14ac:dyDescent="0.35">
      <c r="A29" s="106"/>
      <c r="B29" s="106"/>
      <c r="C29" s="107"/>
      <c r="D29" s="107"/>
      <c r="E29" s="107"/>
      <c r="F29" s="107"/>
      <c r="G29" s="104"/>
    </row>
    <row r="30" spans="1:8" x14ac:dyDescent="0.35">
      <c r="A30" s="807"/>
      <c r="B30" s="807"/>
      <c r="C30" s="807"/>
      <c r="D30" s="807"/>
      <c r="E30" s="575"/>
      <c r="F30" s="617"/>
      <c r="G30" s="104"/>
    </row>
    <row r="31" spans="1:8" x14ac:dyDescent="0.35">
      <c r="A31" s="106"/>
      <c r="B31" s="106"/>
      <c r="C31" s="107"/>
      <c r="D31" s="107"/>
      <c r="E31" s="107"/>
      <c r="F31" s="107"/>
      <c r="G31" s="104"/>
    </row>
    <row r="32" spans="1:8" x14ac:dyDescent="0.35">
      <c r="A32" s="808"/>
      <c r="B32" s="808"/>
      <c r="C32" s="808"/>
      <c r="D32" s="808"/>
      <c r="E32" s="576"/>
      <c r="F32" s="618"/>
      <c r="G32" s="108"/>
    </row>
    <row r="33" spans="1:7" x14ac:dyDescent="0.35">
      <c r="A33" s="106"/>
      <c r="B33" s="106"/>
      <c r="C33" s="107"/>
      <c r="D33" s="107"/>
      <c r="E33" s="107"/>
      <c r="F33" s="107"/>
      <c r="G33" s="104"/>
    </row>
    <row r="34" spans="1:7" x14ac:dyDescent="0.35">
      <c r="A34" s="807"/>
      <c r="B34" s="807"/>
      <c r="C34" s="807"/>
      <c r="D34" s="807"/>
      <c r="E34" s="575"/>
      <c r="F34" s="617"/>
      <c r="G34" s="104"/>
    </row>
    <row r="35" spans="1:7" x14ac:dyDescent="0.35">
      <c r="A35" s="109"/>
      <c r="B35" s="109"/>
      <c r="C35" s="109"/>
      <c r="D35" s="109"/>
      <c r="E35" s="575"/>
      <c r="F35" s="617"/>
      <c r="G35" s="104"/>
    </row>
    <row r="36" spans="1:7" x14ac:dyDescent="0.35">
      <c r="A36" s="787"/>
      <c r="B36" s="787"/>
      <c r="C36" s="787"/>
      <c r="D36" s="787"/>
      <c r="E36" s="787"/>
      <c r="F36" s="787"/>
      <c r="G36" s="787"/>
    </row>
    <row r="37" spans="1:7" x14ac:dyDescent="0.35">
      <c r="A37" s="787"/>
      <c r="B37" s="787"/>
      <c r="C37" s="787"/>
      <c r="D37" s="787"/>
      <c r="E37" s="571"/>
      <c r="F37" s="616"/>
      <c r="G37" s="80"/>
    </row>
    <row r="38" spans="1:7" x14ac:dyDescent="0.35">
      <c r="A38" s="787"/>
      <c r="B38" s="787"/>
      <c r="C38" s="787"/>
      <c r="D38" s="787"/>
      <c r="E38" s="571"/>
      <c r="F38" s="616"/>
      <c r="G38" s="80"/>
    </row>
    <row r="39" spans="1:7" x14ac:dyDescent="0.35">
      <c r="A39" s="787"/>
      <c r="B39" s="787"/>
      <c r="C39" s="787"/>
      <c r="D39" s="787"/>
      <c r="E39" s="571"/>
      <c r="F39" s="616"/>
      <c r="G39" s="101"/>
    </row>
    <row r="40" spans="1:7" x14ac:dyDescent="0.35">
      <c r="A40" s="48"/>
      <c r="B40" s="48"/>
      <c r="C40" s="48"/>
      <c r="D40" s="48"/>
      <c r="E40" s="48"/>
      <c r="F40" s="48"/>
      <c r="G40" s="101"/>
    </row>
    <row r="41" spans="1:7" x14ac:dyDescent="0.35">
      <c r="A41" s="786"/>
      <c r="B41" s="786"/>
      <c r="C41" s="786"/>
      <c r="D41" s="786"/>
      <c r="E41" s="570"/>
      <c r="F41" s="615"/>
      <c r="G41" s="101"/>
    </row>
  </sheetData>
  <mergeCells count="15">
    <mergeCell ref="A38:D38"/>
    <mergeCell ref="A39:D39"/>
    <mergeCell ref="A41:D41"/>
    <mergeCell ref="A28:D28"/>
    <mergeCell ref="A30:D30"/>
    <mergeCell ref="A32:D32"/>
    <mergeCell ref="A34:D34"/>
    <mergeCell ref="A36:G36"/>
    <mergeCell ref="A37:D37"/>
    <mergeCell ref="A26:D26"/>
    <mergeCell ref="A1:D1"/>
    <mergeCell ref="A2:D2"/>
    <mergeCell ref="A3:A5"/>
    <mergeCell ref="B3:B4"/>
    <mergeCell ref="C3:C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tabColor rgb="FFFF0000"/>
  </sheetPr>
  <dimension ref="A1:F21"/>
  <sheetViews>
    <sheetView zoomScale="82" zoomScaleNormal="82" workbookViewId="0">
      <selection activeCell="D6" sqref="D6"/>
    </sheetView>
  </sheetViews>
  <sheetFormatPr baseColWidth="10" defaultRowHeight="14.5" x14ac:dyDescent="0.35"/>
  <cols>
    <col min="1" max="1" width="36.08984375" customWidth="1"/>
    <col min="2" max="4" width="20.36328125" customWidth="1"/>
    <col min="5" max="5" width="14.90625" customWidth="1"/>
    <col min="6" max="6" width="20.08984375" customWidth="1"/>
  </cols>
  <sheetData>
    <row r="1" spans="1:6" ht="16.5" x14ac:dyDescent="0.35">
      <c r="A1" s="811" t="str">
        <f>CONCATENATE("ESTRUCTURA DE PRECIOS DE GASOLINA EXTRA OXIGENADA VIGENTE A PARTIR DE ",'[5]COMBUSTIBLES '!$A$1)</f>
        <v>ESTRUCTURA DE PRECIOS DE GASOLINA EXTRA OXIGENADA VIGENTE A PARTIR DE 1 DE ABRIL 2019</v>
      </c>
      <c r="B1" s="812"/>
      <c r="C1" s="812"/>
      <c r="D1" s="812"/>
    </row>
    <row r="2" spans="1:6" ht="16.5" x14ac:dyDescent="0.35">
      <c r="A2" s="813" t="s">
        <v>122</v>
      </c>
      <c r="B2" s="814"/>
      <c r="C2" s="814"/>
      <c r="D2" s="814"/>
    </row>
    <row r="3" spans="1:6" ht="30" customHeight="1" x14ac:dyDescent="0.35">
      <c r="A3" s="805" t="s">
        <v>123</v>
      </c>
      <c r="B3" s="806" t="s">
        <v>148</v>
      </c>
      <c r="C3" s="806" t="s">
        <v>401</v>
      </c>
      <c r="D3" s="376" t="s">
        <v>164</v>
      </c>
      <c r="E3" s="809" t="s">
        <v>402</v>
      </c>
      <c r="F3" s="377" t="s">
        <v>164</v>
      </c>
    </row>
    <row r="4" spans="1:6" x14ac:dyDescent="0.35">
      <c r="A4" s="794"/>
      <c r="B4" s="797"/>
      <c r="C4" s="797"/>
      <c r="D4" s="378">
        <v>0.1</v>
      </c>
      <c r="E4" s="810"/>
      <c r="F4" s="379">
        <v>0.1</v>
      </c>
    </row>
    <row r="5" spans="1:6" ht="42.5" thickBot="1" x14ac:dyDescent="0.4">
      <c r="A5" s="795"/>
      <c r="B5" s="110" t="s">
        <v>403</v>
      </c>
      <c r="C5" s="110" t="s">
        <v>403</v>
      </c>
      <c r="D5" s="380" t="s">
        <v>403</v>
      </c>
      <c r="E5" s="110" t="s">
        <v>403</v>
      </c>
      <c r="F5" s="111" t="s">
        <v>403</v>
      </c>
    </row>
    <row r="6" spans="1:6" ht="15" thickTop="1" x14ac:dyDescent="0.35">
      <c r="A6" s="61" t="s">
        <v>126</v>
      </c>
      <c r="B6" s="112">
        <v>8286.2999999999993</v>
      </c>
      <c r="C6" s="112">
        <v>5700</v>
      </c>
      <c r="D6" s="381">
        <v>5958.63</v>
      </c>
      <c r="E6" s="382">
        <v>5700</v>
      </c>
      <c r="F6" s="383">
        <v>5958.63</v>
      </c>
    </row>
    <row r="7" spans="1:6" x14ac:dyDescent="0.35">
      <c r="A7" s="63" t="s">
        <v>165</v>
      </c>
      <c r="B7" s="68"/>
      <c r="C7" s="68">
        <v>8.1370000000000005</v>
      </c>
      <c r="D7" s="384">
        <v>8.1370000000000005</v>
      </c>
      <c r="E7" s="384">
        <v>8.1370000000000005</v>
      </c>
      <c r="F7" s="70">
        <v>8.1370000000000005</v>
      </c>
    </row>
    <row r="8" spans="1:6" ht="28" x14ac:dyDescent="0.35">
      <c r="A8" s="63" t="s">
        <v>128</v>
      </c>
      <c r="B8" s="95"/>
      <c r="C8" s="95" t="s">
        <v>129</v>
      </c>
      <c r="D8" s="385" t="s">
        <v>129</v>
      </c>
      <c r="E8" s="385" t="s">
        <v>129</v>
      </c>
      <c r="F8" s="113" t="s">
        <v>129</v>
      </c>
    </row>
    <row r="9" spans="1:6" x14ac:dyDescent="0.35">
      <c r="A9" s="63" t="s">
        <v>248</v>
      </c>
      <c r="B9" s="95"/>
      <c r="C9" s="95">
        <v>71.510000000000005</v>
      </c>
      <c r="D9" s="385">
        <v>71.510000000000005</v>
      </c>
      <c r="E9" s="385">
        <v>71.510000000000005</v>
      </c>
      <c r="F9" s="113">
        <v>71.510000000000005</v>
      </c>
    </row>
    <row r="10" spans="1:6" ht="28" x14ac:dyDescent="0.35">
      <c r="A10" s="240" t="s">
        <v>131</v>
      </c>
      <c r="B10" s="68"/>
      <c r="C10" s="68">
        <v>1036.78</v>
      </c>
      <c r="D10" s="384">
        <v>933.1</v>
      </c>
      <c r="E10" s="68">
        <v>1036.78</v>
      </c>
      <c r="F10" s="386">
        <v>933.1</v>
      </c>
    </row>
    <row r="11" spans="1:6" x14ac:dyDescent="0.35">
      <c r="A11" s="63" t="s">
        <v>132</v>
      </c>
      <c r="B11" s="68"/>
      <c r="C11" s="64" t="s">
        <v>133</v>
      </c>
      <c r="D11" s="387" t="s">
        <v>133</v>
      </c>
      <c r="E11" s="64" t="s">
        <v>133</v>
      </c>
      <c r="F11" s="388" t="s">
        <v>133</v>
      </c>
    </row>
    <row r="12" spans="1:6" x14ac:dyDescent="0.35">
      <c r="A12" s="238" t="s">
        <v>134</v>
      </c>
      <c r="B12" s="68"/>
      <c r="C12" s="68">
        <v>155</v>
      </c>
      <c r="D12" s="384">
        <v>139.5</v>
      </c>
      <c r="E12" s="68">
        <v>155</v>
      </c>
      <c r="F12" s="386">
        <v>139.5</v>
      </c>
    </row>
    <row r="13" spans="1:6" ht="28" x14ac:dyDescent="0.35">
      <c r="A13" s="63" t="s">
        <v>166</v>
      </c>
      <c r="B13" s="95"/>
      <c r="C13" s="95" t="s">
        <v>136</v>
      </c>
      <c r="D13" s="385" t="s">
        <v>136</v>
      </c>
      <c r="E13" s="95" t="s">
        <v>136</v>
      </c>
      <c r="F13" s="389" t="s">
        <v>136</v>
      </c>
    </row>
    <row r="14" spans="1:6" x14ac:dyDescent="0.35">
      <c r="A14" s="63" t="s">
        <v>167</v>
      </c>
      <c r="B14" s="68"/>
      <c r="C14" s="114"/>
      <c r="D14" s="390"/>
      <c r="E14" s="114"/>
      <c r="F14" s="391"/>
    </row>
    <row r="15" spans="1:6" x14ac:dyDescent="0.35">
      <c r="A15" s="63" t="s">
        <v>139</v>
      </c>
      <c r="B15" s="68"/>
      <c r="C15" s="68">
        <v>1776.95</v>
      </c>
      <c r="D15" s="384">
        <v>1599.26</v>
      </c>
      <c r="E15" s="68">
        <v>1776.95</v>
      </c>
      <c r="F15" s="386">
        <v>1599.26</v>
      </c>
    </row>
    <row r="16" spans="1:6" ht="28" x14ac:dyDescent="0.35">
      <c r="A16" s="63" t="s">
        <v>141</v>
      </c>
      <c r="B16" s="116"/>
      <c r="C16" s="116"/>
      <c r="D16" s="392"/>
      <c r="E16" s="116"/>
      <c r="F16" s="393"/>
    </row>
    <row r="17" spans="1:6" x14ac:dyDescent="0.35">
      <c r="A17" s="63" t="s">
        <v>168</v>
      </c>
      <c r="B17" s="68"/>
      <c r="C17" s="114"/>
      <c r="D17" s="390"/>
      <c r="E17" s="114"/>
      <c r="F17" s="115"/>
    </row>
    <row r="18" spans="1:6" x14ac:dyDescent="0.35">
      <c r="A18" s="63" t="s">
        <v>143</v>
      </c>
      <c r="B18" s="68"/>
      <c r="C18" s="68"/>
      <c r="D18" s="384"/>
      <c r="E18" s="68"/>
      <c r="F18" s="70"/>
    </row>
    <row r="19" spans="1:6" ht="28" x14ac:dyDescent="0.35">
      <c r="A19" s="63" t="s">
        <v>145</v>
      </c>
      <c r="B19" s="68"/>
      <c r="C19" s="68"/>
      <c r="D19" s="384"/>
      <c r="E19" s="68"/>
      <c r="F19" s="70"/>
    </row>
    <row r="20" spans="1:6" ht="15" thickBot="1" x14ac:dyDescent="0.4">
      <c r="A20" s="76" t="s">
        <v>146</v>
      </c>
      <c r="B20" s="99"/>
      <c r="C20" s="99" t="s">
        <v>136</v>
      </c>
      <c r="D20" s="394" t="s">
        <v>136</v>
      </c>
      <c r="E20" s="99" t="s">
        <v>136</v>
      </c>
      <c r="F20" s="117" t="s">
        <v>136</v>
      </c>
    </row>
    <row r="21" spans="1:6" ht="15" thickTop="1" x14ac:dyDescent="0.35"/>
  </sheetData>
  <mergeCells count="6">
    <mergeCell ref="E3:E4"/>
    <mergeCell ref="A1:D1"/>
    <mergeCell ref="A2:D2"/>
    <mergeCell ref="A3:A5"/>
    <mergeCell ref="B3:B4"/>
    <mergeCell ref="C3:C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tabColor rgb="FFFF0000"/>
  </sheetPr>
  <dimension ref="A1:S24"/>
  <sheetViews>
    <sheetView topLeftCell="B1" zoomScale="80" zoomScaleNormal="80" workbookViewId="0">
      <selection activeCell="Z54" sqref="Z54"/>
    </sheetView>
  </sheetViews>
  <sheetFormatPr baseColWidth="10" defaultColWidth="11.36328125" defaultRowHeight="13" x14ac:dyDescent="0.3"/>
  <cols>
    <col min="1" max="1" width="48.36328125" style="118" customWidth="1"/>
    <col min="2" max="2" width="13.08984375" style="118" bestFit="1" customWidth="1"/>
    <col min="3" max="5" width="14.54296875" style="118" customWidth="1"/>
    <col min="6" max="6" width="12" style="118" customWidth="1"/>
    <col min="7" max="7" width="15.6328125" style="118" customWidth="1"/>
    <col min="8" max="10" width="14.54296875" style="118" customWidth="1"/>
    <col min="11" max="11" width="11.36328125" style="118"/>
    <col min="12" max="12" width="12.6328125" style="118" customWidth="1"/>
    <col min="13" max="13" width="11.36328125" style="118"/>
    <col min="14" max="14" width="5.6328125" style="118" customWidth="1"/>
    <col min="15" max="15" width="10.7265625" style="118" customWidth="1"/>
    <col min="16" max="16" width="11.08984375" style="118" customWidth="1"/>
    <col min="17" max="17" width="7.36328125" style="118" customWidth="1"/>
    <col min="18" max="18" width="14.453125" style="118" customWidth="1"/>
    <col min="19" max="16384" width="11.36328125" style="118"/>
  </cols>
  <sheetData>
    <row r="1" spans="1:19" ht="34.5" customHeight="1" thickTop="1" x14ac:dyDescent="0.3">
      <c r="A1" s="815" t="s">
        <v>493</v>
      </c>
      <c r="B1" s="816"/>
      <c r="C1" s="816"/>
      <c r="D1" s="816"/>
      <c r="E1" s="816"/>
      <c r="F1" s="816"/>
      <c r="G1" s="816"/>
      <c r="H1" s="816"/>
      <c r="I1" s="728"/>
    </row>
    <row r="2" spans="1:19" x14ac:dyDescent="0.3">
      <c r="A2" s="817" t="s">
        <v>122</v>
      </c>
      <c r="B2" s="818"/>
      <c r="C2" s="818"/>
      <c r="D2" s="818"/>
      <c r="E2" s="818"/>
      <c r="F2" s="818"/>
      <c r="G2" s="818"/>
      <c r="H2" s="818"/>
      <c r="I2" s="728"/>
    </row>
    <row r="3" spans="1:19" ht="39.25" customHeight="1" x14ac:dyDescent="0.3">
      <c r="A3" s="819" t="s">
        <v>123</v>
      </c>
      <c r="B3" s="119" t="s">
        <v>169</v>
      </c>
      <c r="C3" s="822" t="s">
        <v>170</v>
      </c>
      <c r="D3" s="822" t="s">
        <v>171</v>
      </c>
      <c r="E3" s="120" t="s">
        <v>172</v>
      </c>
      <c r="F3" s="431" t="s">
        <v>515</v>
      </c>
      <c r="G3" s="120" t="s">
        <v>499</v>
      </c>
      <c r="H3" s="120" t="s">
        <v>409</v>
      </c>
      <c r="I3" s="120" t="s">
        <v>524</v>
      </c>
      <c r="J3" s="120" t="s">
        <v>438</v>
      </c>
      <c r="L3" s="118">
        <f>+B6*0.1</f>
        <v>2001.271</v>
      </c>
    </row>
    <row r="4" spans="1:19" ht="19.649999999999999" customHeight="1" x14ac:dyDescent="0.3">
      <c r="A4" s="820"/>
      <c r="B4" s="121">
        <v>1</v>
      </c>
      <c r="C4" s="823"/>
      <c r="D4" s="823"/>
      <c r="E4" s="122">
        <v>0.02</v>
      </c>
      <c r="F4" s="432">
        <v>0.03</v>
      </c>
      <c r="G4" s="122">
        <v>0.05</v>
      </c>
      <c r="H4" s="122">
        <v>0.1</v>
      </c>
      <c r="I4" s="122">
        <v>0.11</v>
      </c>
      <c r="J4" s="122">
        <v>0.12</v>
      </c>
    </row>
    <row r="5" spans="1:19" ht="13.5" thickBot="1" x14ac:dyDescent="0.35">
      <c r="A5" s="821"/>
      <c r="B5" s="123" t="str">
        <f>+'[5]COMBUSTIBLES '!C5</f>
        <v>Ecopetrol</v>
      </c>
      <c r="C5" s="123" t="str">
        <f>+B5</f>
        <v>Ecopetrol</v>
      </c>
      <c r="D5" s="123" t="str">
        <f>+C5</f>
        <v>Ecopetrol</v>
      </c>
      <c r="E5" s="124" t="str">
        <f>+B5</f>
        <v>Ecopetrol</v>
      </c>
      <c r="F5" s="433" t="str">
        <f>+B5</f>
        <v>Ecopetrol</v>
      </c>
      <c r="G5" s="433"/>
      <c r="H5" s="124" t="str">
        <f>+B5</f>
        <v>Ecopetrol</v>
      </c>
      <c r="I5" s="124" t="str">
        <f>+C5</f>
        <v>Ecopetrol</v>
      </c>
      <c r="J5" s="124" t="str">
        <f>+C5</f>
        <v>Ecopetrol</v>
      </c>
    </row>
    <row r="6" spans="1:19" ht="18.899999999999999" customHeight="1" thickTop="1" x14ac:dyDescent="0.3">
      <c r="A6" s="125" t="s">
        <v>126</v>
      </c>
      <c r="B6" s="611">
        <v>20012.71</v>
      </c>
      <c r="C6" s="612">
        <v>4480.78</v>
      </c>
      <c r="D6" s="612">
        <f>+C6</f>
        <v>4480.78</v>
      </c>
      <c r="E6" s="593"/>
      <c r="F6" s="594"/>
      <c r="G6" s="594"/>
      <c r="H6" s="593"/>
      <c r="I6" s="593"/>
      <c r="J6" s="593"/>
      <c r="L6" s="430" t="s">
        <v>487</v>
      </c>
      <c r="M6" s="547">
        <v>0.1</v>
      </c>
      <c r="O6" s="550" t="s">
        <v>500</v>
      </c>
      <c r="P6" s="551">
        <v>0.12</v>
      </c>
      <c r="R6" s="550" t="s">
        <v>488</v>
      </c>
      <c r="S6" s="551">
        <v>0.12</v>
      </c>
    </row>
    <row r="7" spans="1:19" ht="28.25" customHeight="1" x14ac:dyDescent="0.3">
      <c r="A7" s="126" t="s">
        <v>173</v>
      </c>
      <c r="B7" s="595"/>
      <c r="C7" s="596"/>
      <c r="D7" s="596"/>
      <c r="E7" s="613">
        <f>+ROUND(D6*0.98,2)</f>
        <v>4391.16</v>
      </c>
      <c r="F7" s="597">
        <f>+C6*97%</f>
        <v>4346.3566000000001</v>
      </c>
      <c r="G7" s="596">
        <f>+D6*0.95</f>
        <v>4256.741</v>
      </c>
      <c r="H7" s="613">
        <f>+C6*0.9</f>
        <v>4032.7019999999998</v>
      </c>
      <c r="I7" s="613">
        <v>3987.89</v>
      </c>
      <c r="J7" s="598">
        <v>3943.0863999999997</v>
      </c>
      <c r="K7" s="451"/>
      <c r="L7" s="548">
        <f>+D6*(1-M6)</f>
        <v>4032.7019999999998</v>
      </c>
      <c r="M7" s="549">
        <f>+L7-H7</f>
        <v>0</v>
      </c>
      <c r="O7" s="552">
        <f>+C6*(1-P6)</f>
        <v>3943.0863999999997</v>
      </c>
      <c r="P7" s="553">
        <f>+O7-G7</f>
        <v>-313.6546000000003</v>
      </c>
      <c r="R7" s="552">
        <f>+C6*(1-S6)</f>
        <v>3943.0863999999997</v>
      </c>
      <c r="S7" s="553">
        <f>+R7-J7</f>
        <v>0</v>
      </c>
    </row>
    <row r="8" spans="1:19" ht="32.15" customHeight="1" x14ac:dyDescent="0.3">
      <c r="A8" s="126" t="s">
        <v>174</v>
      </c>
      <c r="B8" s="596"/>
      <c r="C8" s="596"/>
      <c r="D8" s="596"/>
      <c r="E8" s="613">
        <f>+B6*0.02</f>
        <v>400.25419999999997</v>
      </c>
      <c r="F8" s="597">
        <f>+B6*3%</f>
        <v>600.3812999999999</v>
      </c>
      <c r="G8" s="596">
        <f>+B6*0.05</f>
        <v>1000.6355</v>
      </c>
      <c r="H8" s="613">
        <f>+B6*0.1</f>
        <v>2001.271</v>
      </c>
      <c r="I8" s="613">
        <v>2201.3980000000001</v>
      </c>
      <c r="J8" s="598">
        <v>2401.5251999999996</v>
      </c>
      <c r="K8" s="451"/>
      <c r="L8" s="549">
        <f>+B6*M6</f>
        <v>2001.271</v>
      </c>
      <c r="M8" s="549">
        <f>+L8-H8</f>
        <v>0</v>
      </c>
      <c r="O8" s="553">
        <f>+B6*P6</f>
        <v>2401.5251999999996</v>
      </c>
      <c r="P8" s="553">
        <f>+O8-G8</f>
        <v>1400.8896999999997</v>
      </c>
      <c r="R8" s="553">
        <f>+B6*S6</f>
        <v>2401.5251999999996</v>
      </c>
      <c r="S8" s="553">
        <f>+R8-J8</f>
        <v>0</v>
      </c>
    </row>
    <row r="9" spans="1:19" ht="26" x14ac:dyDescent="0.3">
      <c r="A9" s="126" t="s">
        <v>175</v>
      </c>
      <c r="B9" s="596"/>
      <c r="C9" s="596"/>
      <c r="D9" s="596"/>
      <c r="E9" s="614">
        <f>+E7+E8</f>
        <v>4791.4142000000002</v>
      </c>
      <c r="F9" s="597">
        <f>+F7+F8</f>
        <v>4946.7379000000001</v>
      </c>
      <c r="G9" s="596">
        <f>+G7+G8</f>
        <v>5257.3765000000003</v>
      </c>
      <c r="H9" s="614">
        <f>+H7+H8</f>
        <v>6033.973</v>
      </c>
      <c r="I9" s="614">
        <v>6189.2880000000005</v>
      </c>
      <c r="J9" s="598">
        <v>6344.6115999999993</v>
      </c>
      <c r="K9" s="451"/>
      <c r="L9" s="549">
        <f>+L7+L8</f>
        <v>6033.973</v>
      </c>
      <c r="M9" s="549">
        <f>+L9-H9</f>
        <v>0</v>
      </c>
      <c r="O9" s="553">
        <f>+O7+O8</f>
        <v>6344.6115999999993</v>
      </c>
      <c r="P9" s="553">
        <f>+O9-G9</f>
        <v>1087.235099999999</v>
      </c>
      <c r="R9" s="553">
        <f>+R7+R8</f>
        <v>6344.6115999999993</v>
      </c>
      <c r="S9" s="553">
        <f>+R9-J9</f>
        <v>0</v>
      </c>
    </row>
    <row r="10" spans="1:19" ht="21.5" customHeight="1" x14ac:dyDescent="0.3">
      <c r="A10" s="241" t="s">
        <v>131</v>
      </c>
      <c r="B10" s="596"/>
      <c r="C10" s="613">
        <v>531.27</v>
      </c>
      <c r="D10" s="613">
        <v>531.27</v>
      </c>
      <c r="E10" s="599">
        <v>520.64</v>
      </c>
      <c r="F10" s="597">
        <f>+C10*0.97</f>
        <v>515.33190000000002</v>
      </c>
      <c r="G10" s="596">
        <f>+C10*0.95</f>
        <v>504.70649999999995</v>
      </c>
      <c r="H10" s="599">
        <f>+C10*0.9</f>
        <v>478.14299999999997</v>
      </c>
      <c r="I10" s="599">
        <v>472.83</v>
      </c>
      <c r="J10" s="598">
        <v>467.52</v>
      </c>
      <c r="L10" s="430">
        <f>+C10*0.9</f>
        <v>478.14299999999997</v>
      </c>
      <c r="M10" s="549">
        <f>+L10-H10</f>
        <v>0</v>
      </c>
      <c r="O10" s="437">
        <f>+C10*(1-P6)</f>
        <v>467.51759999999996</v>
      </c>
      <c r="P10" s="554">
        <f>+O10-G10</f>
        <v>-37.18889999999999</v>
      </c>
      <c r="R10" s="581">
        <f>+C10*(1-S6)</f>
        <v>467.51759999999996</v>
      </c>
      <c r="S10" s="437"/>
    </row>
    <row r="11" spans="1:19" ht="21.5" customHeight="1" x14ac:dyDescent="0.3">
      <c r="A11" s="126" t="s">
        <v>132</v>
      </c>
      <c r="B11" s="596"/>
      <c r="C11" s="596" t="s">
        <v>133</v>
      </c>
      <c r="D11" s="596" t="s">
        <v>133</v>
      </c>
      <c r="E11" s="596" t="s">
        <v>133</v>
      </c>
      <c r="F11" s="597"/>
      <c r="G11" s="596"/>
      <c r="H11" s="596" t="s">
        <v>133</v>
      </c>
      <c r="I11" s="596" t="s">
        <v>133</v>
      </c>
      <c r="J11" s="598" t="s">
        <v>133</v>
      </c>
      <c r="L11" s="430"/>
      <c r="M11" s="430"/>
      <c r="O11" s="437"/>
      <c r="P11" s="437"/>
      <c r="R11" s="437"/>
      <c r="S11" s="437"/>
    </row>
    <row r="12" spans="1:19" ht="21.5" customHeight="1" x14ac:dyDescent="0.3">
      <c r="A12" s="242" t="s">
        <v>134</v>
      </c>
      <c r="B12" s="596"/>
      <c r="C12" s="596">
        <v>179</v>
      </c>
      <c r="D12" s="596">
        <v>179</v>
      </c>
      <c r="E12" s="596">
        <v>175.42</v>
      </c>
      <c r="F12" s="597">
        <f>+D12*0.97</f>
        <v>173.63</v>
      </c>
      <c r="G12" s="596">
        <f>+D12*0.95</f>
        <v>170.04999999999998</v>
      </c>
      <c r="H12" s="596">
        <v>161.1</v>
      </c>
      <c r="I12" s="596">
        <v>159.31</v>
      </c>
      <c r="J12" s="598">
        <v>157.52000000000001</v>
      </c>
      <c r="K12" s="118">
        <f>+D12*0.89</f>
        <v>159.31</v>
      </c>
      <c r="L12" s="430">
        <f>+C12*(1-M6)</f>
        <v>161.1</v>
      </c>
      <c r="M12" s="549">
        <f>+H12-L12</f>
        <v>0</v>
      </c>
      <c r="O12" s="437">
        <f>+C12*(1-P6)</f>
        <v>157.52000000000001</v>
      </c>
      <c r="P12" s="554">
        <f>+G12-O12</f>
        <v>12.529999999999973</v>
      </c>
      <c r="R12" s="437">
        <f>+D12*(1-S6)</f>
        <v>157.52000000000001</v>
      </c>
      <c r="S12" s="554">
        <f>+J12-R12</f>
        <v>0</v>
      </c>
    </row>
    <row r="13" spans="1:19" ht="21.5" customHeight="1" x14ac:dyDescent="0.3">
      <c r="A13" s="126" t="s">
        <v>127</v>
      </c>
      <c r="B13" s="596"/>
      <c r="C13" s="596">
        <f>ROUND(8.3842,2)*1.03</f>
        <v>8.6314000000000011</v>
      </c>
      <c r="D13" s="596">
        <f>+C13</f>
        <v>8.6314000000000011</v>
      </c>
      <c r="E13" s="596">
        <f>+D13</f>
        <v>8.6314000000000011</v>
      </c>
      <c r="F13" s="597">
        <f>+E13</f>
        <v>8.6314000000000011</v>
      </c>
      <c r="G13" s="597"/>
      <c r="H13" s="596">
        <f>+F13</f>
        <v>8.6314000000000011</v>
      </c>
      <c r="I13" s="596">
        <v>8.6314000000000011</v>
      </c>
      <c r="J13" s="598">
        <f>+H13</f>
        <v>8.6314000000000011</v>
      </c>
      <c r="L13" s="430"/>
      <c r="M13" s="430"/>
      <c r="O13" s="437"/>
      <c r="P13" s="437"/>
      <c r="R13" s="437"/>
      <c r="S13" s="437"/>
    </row>
    <row r="14" spans="1:19" ht="21.5" customHeight="1" x14ac:dyDescent="0.3">
      <c r="A14" s="126" t="s">
        <v>176</v>
      </c>
      <c r="B14" s="596"/>
      <c r="C14" s="596" t="s">
        <v>129</v>
      </c>
      <c r="D14" s="596" t="s">
        <v>129</v>
      </c>
      <c r="E14" s="596" t="s">
        <v>129</v>
      </c>
      <c r="F14" s="597"/>
      <c r="G14" s="597"/>
      <c r="H14" s="596" t="s">
        <v>129</v>
      </c>
      <c r="I14" s="596"/>
      <c r="J14" s="596" t="s">
        <v>129</v>
      </c>
      <c r="L14" s="430"/>
      <c r="M14" s="430"/>
      <c r="O14" s="437"/>
      <c r="P14" s="437"/>
      <c r="R14" s="437"/>
      <c r="S14" s="437"/>
    </row>
    <row r="15" spans="1:19" ht="21.5" customHeight="1" x14ac:dyDescent="0.3">
      <c r="A15" s="126" t="s">
        <v>177</v>
      </c>
      <c r="B15" s="596" t="s">
        <v>158</v>
      </c>
      <c r="C15" s="596"/>
      <c r="D15" s="596"/>
      <c r="E15" s="596" t="s">
        <v>136</v>
      </c>
      <c r="F15" s="597"/>
      <c r="G15" s="597"/>
      <c r="H15" s="596" t="s">
        <v>136</v>
      </c>
      <c r="I15" s="596"/>
      <c r="J15" s="596" t="s">
        <v>136</v>
      </c>
      <c r="L15" s="430"/>
      <c r="M15" s="430"/>
      <c r="O15" s="437"/>
      <c r="P15" s="437"/>
      <c r="R15" s="437"/>
      <c r="S15" s="437"/>
    </row>
    <row r="16" spans="1:19" ht="21.5" customHeight="1" x14ac:dyDescent="0.3">
      <c r="A16" s="129" t="s">
        <v>248</v>
      </c>
      <c r="B16" s="596"/>
      <c r="C16" s="596"/>
      <c r="D16" s="596"/>
      <c r="E16" s="596"/>
      <c r="F16" s="597"/>
      <c r="G16" s="597"/>
      <c r="H16" s="596"/>
      <c r="I16" s="596"/>
      <c r="J16" s="596"/>
      <c r="L16" s="430"/>
      <c r="M16" s="430"/>
      <c r="O16" s="437"/>
      <c r="P16" s="437"/>
      <c r="R16" s="437"/>
      <c r="S16" s="437"/>
    </row>
    <row r="17" spans="1:10" ht="21.5" customHeight="1" x14ac:dyDescent="0.3">
      <c r="A17" s="126" t="s">
        <v>156</v>
      </c>
      <c r="B17" s="128"/>
      <c r="C17" s="128"/>
      <c r="D17" s="128"/>
      <c r="E17" s="127"/>
      <c r="F17" s="434"/>
      <c r="G17" s="434"/>
      <c r="H17" s="127"/>
      <c r="I17" s="127"/>
      <c r="J17" s="127"/>
    </row>
    <row r="18" spans="1:10" ht="21.5" customHeight="1" x14ac:dyDescent="0.3">
      <c r="A18" s="126" t="s">
        <v>157</v>
      </c>
      <c r="B18" s="130"/>
      <c r="C18" s="131"/>
      <c r="D18" s="131"/>
      <c r="E18" s="132" t="s">
        <v>158</v>
      </c>
      <c r="F18" s="435"/>
      <c r="G18" s="580"/>
      <c r="H18" s="133" t="s">
        <v>144</v>
      </c>
      <c r="I18" s="133"/>
      <c r="J18" s="133" t="s">
        <v>144</v>
      </c>
    </row>
    <row r="19" spans="1:10" ht="21.5" customHeight="1" x14ac:dyDescent="0.3">
      <c r="A19" s="126" t="s">
        <v>159</v>
      </c>
      <c r="B19" s="130"/>
      <c r="C19" s="130"/>
      <c r="D19" s="130"/>
      <c r="E19" s="132" t="s">
        <v>158</v>
      </c>
      <c r="F19" s="435"/>
      <c r="G19" s="435"/>
      <c r="H19" s="132" t="s">
        <v>138</v>
      </c>
      <c r="I19" s="132"/>
      <c r="J19" s="132" t="s">
        <v>138</v>
      </c>
    </row>
    <row r="20" spans="1:10" ht="21.5" customHeight="1" x14ac:dyDescent="0.3">
      <c r="A20" s="126" t="s">
        <v>160</v>
      </c>
      <c r="B20" s="130"/>
      <c r="C20" s="130"/>
      <c r="D20" s="130"/>
      <c r="E20" s="132" t="s">
        <v>158</v>
      </c>
      <c r="F20" s="435"/>
      <c r="G20" s="435"/>
      <c r="H20" s="127" t="s">
        <v>144</v>
      </c>
      <c r="I20" s="127"/>
      <c r="J20" s="127" t="s">
        <v>144</v>
      </c>
    </row>
    <row r="21" spans="1:10" ht="21.5" customHeight="1" x14ac:dyDescent="0.3">
      <c r="A21" s="126" t="s">
        <v>178</v>
      </c>
      <c r="B21" s="130"/>
      <c r="C21" s="130"/>
      <c r="D21" s="130"/>
      <c r="E21" s="132" t="s">
        <v>158</v>
      </c>
      <c r="F21" s="435"/>
      <c r="G21" s="435"/>
      <c r="H21" s="127" t="s">
        <v>144</v>
      </c>
      <c r="I21" s="127"/>
      <c r="J21" s="127" t="s">
        <v>144</v>
      </c>
    </row>
    <row r="22" spans="1:10" ht="21.5" customHeight="1" x14ac:dyDescent="0.3">
      <c r="A22" s="134" t="s">
        <v>139</v>
      </c>
      <c r="B22" s="128"/>
      <c r="C22" s="128"/>
      <c r="D22" s="128"/>
      <c r="E22" s="127"/>
      <c r="F22" s="434"/>
      <c r="G22" s="434"/>
      <c r="H22" s="127"/>
      <c r="I22" s="127"/>
      <c r="J22" s="127">
        <v>301</v>
      </c>
    </row>
    <row r="23" spans="1:10" ht="26.5" thickBot="1" x14ac:dyDescent="0.35">
      <c r="A23" s="135" t="s">
        <v>163</v>
      </c>
      <c r="B23" s="136"/>
      <c r="C23" s="136"/>
      <c r="D23" s="136"/>
      <c r="E23" s="137" t="s">
        <v>158</v>
      </c>
      <c r="F23" s="436"/>
      <c r="G23" s="436"/>
      <c r="H23" s="137"/>
      <c r="I23" s="137"/>
      <c r="J23" s="137" t="s">
        <v>138</v>
      </c>
    </row>
    <row r="24" spans="1:10" ht="13.5" thickTop="1" x14ac:dyDescent="0.3">
      <c r="F24" s="118" t="s">
        <v>417</v>
      </c>
    </row>
  </sheetData>
  <mergeCells count="5">
    <mergeCell ref="A1:H1"/>
    <mergeCell ref="A2:H2"/>
    <mergeCell ref="A3:A5"/>
    <mergeCell ref="C3:C4"/>
    <mergeCell ref="D3:D4"/>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dimension ref="A1:M46"/>
  <sheetViews>
    <sheetView zoomScale="70" zoomScaleNormal="70" workbookViewId="0">
      <selection activeCell="E8" sqref="E8"/>
    </sheetView>
  </sheetViews>
  <sheetFormatPr baseColWidth="10" defaultRowHeight="14.5" x14ac:dyDescent="0.35"/>
  <cols>
    <col min="2" max="2" width="57.08984375" customWidth="1"/>
    <col min="3" max="3" width="16" customWidth="1"/>
    <col min="4" max="4" width="15.1796875" hidden="1" customWidth="1"/>
    <col min="5" max="5" width="15.1796875" style="693" customWidth="1"/>
    <col min="6" max="6" width="15.08984375" customWidth="1"/>
    <col min="7" max="7" width="12.08984375" customWidth="1"/>
    <col min="8" max="8" width="17" hidden="1" customWidth="1"/>
    <col min="9" max="9" width="14.81640625" style="693" customWidth="1"/>
    <col min="10" max="10" width="15.6328125" customWidth="1"/>
    <col min="11" max="11" width="18.90625" customWidth="1"/>
    <col min="12" max="12" width="0" hidden="1" customWidth="1"/>
  </cols>
  <sheetData>
    <row r="1" spans="1:13" x14ac:dyDescent="0.35">
      <c r="A1" s="138"/>
      <c r="B1" s="164" t="s">
        <v>516</v>
      </c>
      <c r="C1" s="427" t="s">
        <v>517</v>
      </c>
      <c r="D1" s="164"/>
      <c r="E1" s="164"/>
      <c r="F1" s="139"/>
      <c r="G1" s="139"/>
      <c r="H1" s="139"/>
      <c r="I1" s="139"/>
      <c r="J1" s="139"/>
    </row>
    <row r="2" spans="1:13" ht="15" thickBot="1" x14ac:dyDescent="0.4">
      <c r="A2" s="165" t="s">
        <v>179</v>
      </c>
      <c r="B2" s="166"/>
      <c r="C2" s="166"/>
      <c r="D2" s="508"/>
      <c r="E2" s="508"/>
      <c r="F2" s="166"/>
      <c r="G2" s="508"/>
      <c r="H2" s="166"/>
      <c r="I2" s="166"/>
      <c r="J2" s="166"/>
    </row>
    <row r="3" spans="1:13" ht="15" thickTop="1" x14ac:dyDescent="0.35">
      <c r="A3" s="167"/>
      <c r="B3" s="168" t="s">
        <v>219</v>
      </c>
      <c r="C3" s="828" t="s">
        <v>180</v>
      </c>
      <c r="D3" s="829"/>
      <c r="E3" s="829"/>
      <c r="F3" s="829"/>
      <c r="G3" s="829"/>
      <c r="H3" s="832" t="s">
        <v>220</v>
      </c>
      <c r="I3" s="833"/>
      <c r="J3" s="834"/>
    </row>
    <row r="4" spans="1:13" x14ac:dyDescent="0.35">
      <c r="A4" s="169"/>
      <c r="B4" s="170" t="s">
        <v>221</v>
      </c>
      <c r="C4" s="830"/>
      <c r="D4" s="831"/>
      <c r="E4" s="831"/>
      <c r="F4" s="831"/>
      <c r="G4" s="831"/>
      <c r="H4" s="835"/>
      <c r="I4" s="836"/>
      <c r="J4" s="837"/>
      <c r="M4" s="19"/>
    </row>
    <row r="5" spans="1:13" ht="26" x14ac:dyDescent="0.35">
      <c r="A5" s="840" t="s">
        <v>181</v>
      </c>
      <c r="B5" s="842" t="s">
        <v>182</v>
      </c>
      <c r="C5" s="826" t="s">
        <v>241</v>
      </c>
      <c r="D5" s="171" t="s">
        <v>96</v>
      </c>
      <c r="E5" s="702" t="s">
        <v>96</v>
      </c>
      <c r="F5" s="171" t="s">
        <v>405</v>
      </c>
      <c r="G5" s="171" t="s">
        <v>524</v>
      </c>
      <c r="H5" s="171" t="s">
        <v>96</v>
      </c>
      <c r="I5" s="702" t="s">
        <v>96</v>
      </c>
      <c r="J5" s="142" t="str">
        <f>+G5</f>
        <v>Biodiesel B11</v>
      </c>
    </row>
    <row r="6" spans="1:13" x14ac:dyDescent="0.35">
      <c r="A6" s="840"/>
      <c r="B6" s="842"/>
      <c r="C6" s="827"/>
      <c r="D6" s="582" t="s">
        <v>503</v>
      </c>
      <c r="E6" s="582" t="s">
        <v>520</v>
      </c>
      <c r="F6" s="189">
        <v>0.02</v>
      </c>
      <c r="G6" s="172">
        <v>0.11</v>
      </c>
      <c r="H6" s="558" t="str">
        <f>+D6</f>
        <v>Oxigenada 5%</v>
      </c>
      <c r="I6" s="558" t="str">
        <f>+E6</f>
        <v>Oxigenada 6%</v>
      </c>
      <c r="J6" s="172">
        <f>+G6</f>
        <v>0.11</v>
      </c>
    </row>
    <row r="7" spans="1:13" x14ac:dyDescent="0.35">
      <c r="A7" s="841"/>
      <c r="B7" s="843"/>
      <c r="C7" s="141" t="s">
        <v>183</v>
      </c>
      <c r="D7" s="171" t="s">
        <v>183</v>
      </c>
      <c r="E7" s="702" t="s">
        <v>183</v>
      </c>
      <c r="F7" s="171" t="s">
        <v>183</v>
      </c>
      <c r="G7" s="171" t="s">
        <v>183</v>
      </c>
      <c r="H7" s="141" t="s">
        <v>183</v>
      </c>
      <c r="I7" s="701" t="s">
        <v>183</v>
      </c>
      <c r="J7" s="142" t="s">
        <v>183</v>
      </c>
    </row>
    <row r="8" spans="1:13" x14ac:dyDescent="0.35">
      <c r="A8" s="143" t="s">
        <v>184</v>
      </c>
      <c r="B8" s="149" t="s">
        <v>185</v>
      </c>
      <c r="C8" s="145">
        <f>+'Calculo IP ZDF'!B28</f>
        <v>5099.1930899999998</v>
      </c>
      <c r="D8" s="173">
        <f>+'Calculo IP ZDF'!H28</f>
        <v>5349.2959354999994</v>
      </c>
      <c r="E8" s="173">
        <f>+'Calculo IP ZDF'!I28</f>
        <v>5399.3165045999995</v>
      </c>
      <c r="F8" s="173">
        <f>+'Calculo IP ZDF'!F28</f>
        <v>4530.58</v>
      </c>
      <c r="G8" s="509">
        <f>+'Calculo IP ZDF'!J28</f>
        <v>5952.4112845199998</v>
      </c>
      <c r="H8" s="145">
        <f>+'GAS CTE'!E9</f>
        <v>5358.517499999999</v>
      </c>
      <c r="I8" s="201">
        <f>+'GAS CTE'!F9</f>
        <v>5408.45</v>
      </c>
      <c r="J8" s="146">
        <f>+BIODIESEL!I9</f>
        <v>6189.2880000000005</v>
      </c>
    </row>
    <row r="9" spans="1:13" x14ac:dyDescent="0.35">
      <c r="A9" s="143" t="s">
        <v>186</v>
      </c>
      <c r="B9" s="149" t="s">
        <v>187</v>
      </c>
      <c r="C9" s="153" t="s">
        <v>188</v>
      </c>
      <c r="D9" s="174" t="s">
        <v>188</v>
      </c>
      <c r="E9" s="174" t="s">
        <v>188</v>
      </c>
      <c r="F9" s="174" t="s">
        <v>188</v>
      </c>
      <c r="G9" s="174" t="s">
        <v>188</v>
      </c>
      <c r="H9" s="153">
        <f>+'GAS CTE'!E10</f>
        <v>527.2974999999999</v>
      </c>
      <c r="I9" s="153">
        <f>+'GAS CTE'!F10</f>
        <v>521.74699999999996</v>
      </c>
      <c r="J9" s="175">
        <f>+BIODIESEL!I10</f>
        <v>472.83</v>
      </c>
    </row>
    <row r="10" spans="1:13" x14ac:dyDescent="0.35">
      <c r="A10" s="143"/>
      <c r="B10" s="149" t="s">
        <v>132</v>
      </c>
      <c r="C10" s="153" t="s">
        <v>188</v>
      </c>
      <c r="D10" s="174" t="s">
        <v>188</v>
      </c>
      <c r="E10" s="174" t="s">
        <v>188</v>
      </c>
      <c r="F10" s="174" t="s">
        <v>188</v>
      </c>
      <c r="G10" s="174" t="s">
        <v>188</v>
      </c>
      <c r="H10" s="153" t="s">
        <v>133</v>
      </c>
      <c r="I10" s="153" t="s">
        <v>133</v>
      </c>
      <c r="J10" s="175" t="str">
        <f>+H10</f>
        <v>(3)</v>
      </c>
    </row>
    <row r="11" spans="1:13" x14ac:dyDescent="0.35">
      <c r="A11" s="143"/>
      <c r="B11" s="149" t="s">
        <v>134</v>
      </c>
      <c r="C11" s="176" t="s">
        <v>218</v>
      </c>
      <c r="D11" s="174" t="str">
        <f t="shared" ref="D11:E14" si="0">+C11</f>
        <v>(4)</v>
      </c>
      <c r="E11" s="174" t="str">
        <f t="shared" si="0"/>
        <v>(4)</v>
      </c>
      <c r="F11" s="174" t="str">
        <f>+C11</f>
        <v>(4)</v>
      </c>
      <c r="G11" s="174" t="str">
        <f>+C11</f>
        <v>(4)</v>
      </c>
      <c r="H11" s="153" t="str">
        <f>+D11</f>
        <v>(4)</v>
      </c>
      <c r="I11" s="153" t="str">
        <f>+E11</f>
        <v>(4)</v>
      </c>
      <c r="J11" s="175" t="str">
        <f>+G11</f>
        <v>(4)</v>
      </c>
    </row>
    <row r="12" spans="1:13" x14ac:dyDescent="0.35">
      <c r="A12" s="143" t="s">
        <v>189</v>
      </c>
      <c r="B12" s="149" t="s">
        <v>319</v>
      </c>
      <c r="C12" s="176" t="s">
        <v>217</v>
      </c>
      <c r="D12" s="177" t="str">
        <f t="shared" si="0"/>
        <v>(2)</v>
      </c>
      <c r="E12" s="726" t="str">
        <f t="shared" si="0"/>
        <v>(2)</v>
      </c>
      <c r="F12" s="177" t="str">
        <f>+C12</f>
        <v>(2)</v>
      </c>
      <c r="G12" s="177" t="str">
        <f>+C12</f>
        <v>(2)</v>
      </c>
      <c r="H12" s="176" t="str">
        <f>+C12</f>
        <v>(2)</v>
      </c>
      <c r="I12" s="727" t="str">
        <f>+D12</f>
        <v>(2)</v>
      </c>
      <c r="J12" s="178" t="str">
        <f>+C12</f>
        <v>(2)</v>
      </c>
    </row>
    <row r="13" spans="1:13" x14ac:dyDescent="0.35">
      <c r="A13" s="143" t="s">
        <v>191</v>
      </c>
      <c r="B13" s="149" t="s">
        <v>192</v>
      </c>
      <c r="C13" s="145">
        <f>+RUBROS!Z13</f>
        <v>22.249601678692599</v>
      </c>
      <c r="D13" s="173">
        <f t="shared" si="0"/>
        <v>22.249601678692599</v>
      </c>
      <c r="E13" s="173">
        <f t="shared" si="0"/>
        <v>22.249601678692599</v>
      </c>
      <c r="F13" s="173">
        <f>+C13</f>
        <v>22.249601678692599</v>
      </c>
      <c r="G13" s="173">
        <f>+C13</f>
        <v>22.249601678692599</v>
      </c>
      <c r="H13" s="145">
        <f>+RUBROS!AA13</f>
        <v>22.249601678692599</v>
      </c>
      <c r="I13" s="145">
        <f>+H13</f>
        <v>22.249601678692599</v>
      </c>
      <c r="J13" s="146">
        <f>+H13</f>
        <v>22.249601678692599</v>
      </c>
    </row>
    <row r="14" spans="1:13" x14ac:dyDescent="0.35">
      <c r="A14" s="143" t="s">
        <v>195</v>
      </c>
      <c r="B14" s="149" t="s">
        <v>196</v>
      </c>
      <c r="C14" s="145">
        <f>+RUBROS!AU39</f>
        <v>13.326421256197724</v>
      </c>
      <c r="D14" s="173">
        <f t="shared" si="0"/>
        <v>13.326421256197724</v>
      </c>
      <c r="E14" s="173">
        <f t="shared" si="0"/>
        <v>13.326421256197724</v>
      </c>
      <c r="F14" s="173">
        <f>+C14</f>
        <v>13.326421256197724</v>
      </c>
      <c r="G14" s="173">
        <f>+C14</f>
        <v>13.326421256197724</v>
      </c>
      <c r="H14" s="145">
        <f>+C14</f>
        <v>13.326421256197724</v>
      </c>
      <c r="I14" s="145">
        <f>+H14</f>
        <v>13.326421256197724</v>
      </c>
      <c r="J14" s="146">
        <f>+C14</f>
        <v>13.326421256197724</v>
      </c>
    </row>
    <row r="15" spans="1:13" hidden="1" x14ac:dyDescent="0.35">
      <c r="A15" s="143"/>
      <c r="B15" s="149" t="s">
        <v>197</v>
      </c>
      <c r="C15" s="145"/>
      <c r="D15" s="173"/>
      <c r="E15" s="173"/>
      <c r="F15" s="173"/>
      <c r="G15" s="173"/>
      <c r="H15" s="145"/>
      <c r="I15" s="201"/>
      <c r="J15" s="146"/>
      <c r="L15" s="450" t="s">
        <v>433</v>
      </c>
    </row>
    <row r="16" spans="1:13" x14ac:dyDescent="0.35">
      <c r="A16" s="150" t="s">
        <v>198</v>
      </c>
      <c r="B16" s="180" t="s">
        <v>199</v>
      </c>
      <c r="C16" s="151">
        <f>SUM(C8:C15)</f>
        <v>5134.7691129348905</v>
      </c>
      <c r="D16" s="181">
        <f t="shared" ref="D16:J16" si="1">SUM(D8:D15)</f>
        <v>5384.8719584348901</v>
      </c>
      <c r="E16" s="181">
        <f t="shared" si="1"/>
        <v>5434.8925275348902</v>
      </c>
      <c r="F16" s="181">
        <f t="shared" si="1"/>
        <v>4566.1560229348906</v>
      </c>
      <c r="G16" s="181">
        <f t="shared" si="1"/>
        <v>5987.9873074548905</v>
      </c>
      <c r="H16" s="151">
        <f t="shared" si="1"/>
        <v>5921.3910229348894</v>
      </c>
      <c r="I16" s="151">
        <f t="shared" si="1"/>
        <v>5965.7730229348908</v>
      </c>
      <c r="J16" s="152">
        <f t="shared" si="1"/>
        <v>6697.6940229348911</v>
      </c>
    </row>
    <row r="17" spans="1:12" x14ac:dyDescent="0.35">
      <c r="A17" s="143" t="s">
        <v>222</v>
      </c>
      <c r="B17" s="149" t="s">
        <v>223</v>
      </c>
      <c r="C17" s="145" t="str">
        <f t="shared" ref="C17:E20" si="2">F17</f>
        <v>**</v>
      </c>
      <c r="D17" s="173" t="str">
        <f t="shared" si="2"/>
        <v>**</v>
      </c>
      <c r="E17" s="173" t="str">
        <f t="shared" si="2"/>
        <v>**</v>
      </c>
      <c r="F17" s="173" t="str">
        <f>+A35</f>
        <v>**</v>
      </c>
      <c r="G17" s="173" t="str">
        <f>+F17</f>
        <v>**</v>
      </c>
      <c r="H17" s="145" t="str">
        <f>+G17</f>
        <v>**</v>
      </c>
      <c r="I17" s="145" t="str">
        <f>+H17</f>
        <v>**</v>
      </c>
      <c r="J17" s="146" t="str">
        <f>+G17</f>
        <v>**</v>
      </c>
    </row>
    <row r="18" spans="1:12" x14ac:dyDescent="0.35">
      <c r="A18" s="143" t="s">
        <v>200</v>
      </c>
      <c r="B18" s="149" t="s">
        <v>224</v>
      </c>
      <c r="C18" s="145" t="str">
        <f t="shared" si="2"/>
        <v>***</v>
      </c>
      <c r="D18" s="173" t="str">
        <f t="shared" si="2"/>
        <v>***</v>
      </c>
      <c r="E18" s="173" t="str">
        <f t="shared" si="2"/>
        <v>***</v>
      </c>
      <c r="F18" s="173" t="str">
        <f>+A36</f>
        <v>***</v>
      </c>
      <c r="G18" s="173" t="str">
        <f>+F18</f>
        <v>***</v>
      </c>
      <c r="H18" s="145" t="str">
        <f t="shared" ref="H18:I20" si="3">+G18</f>
        <v>***</v>
      </c>
      <c r="I18" s="145" t="str">
        <f t="shared" si="3"/>
        <v>***</v>
      </c>
      <c r="J18" s="146" t="str">
        <f t="shared" ref="J18:J20" si="4">+G18</f>
        <v>***</v>
      </c>
    </row>
    <row r="19" spans="1:12" x14ac:dyDescent="0.35">
      <c r="A19" s="143" t="s">
        <v>225</v>
      </c>
      <c r="B19" s="149" t="s">
        <v>226</v>
      </c>
      <c r="C19" s="182" t="s">
        <v>234</v>
      </c>
      <c r="D19" s="179" t="str">
        <f t="shared" si="2"/>
        <v>****</v>
      </c>
      <c r="E19" s="179" t="str">
        <f t="shared" si="2"/>
        <v>****</v>
      </c>
      <c r="F19" s="179" t="str">
        <f>+A37</f>
        <v>****</v>
      </c>
      <c r="G19" s="179" t="str">
        <f>+F19</f>
        <v>****</v>
      </c>
      <c r="H19" s="145" t="str">
        <f t="shared" si="3"/>
        <v>****</v>
      </c>
      <c r="I19" s="145" t="str">
        <f t="shared" si="3"/>
        <v>****</v>
      </c>
      <c r="J19" s="146" t="str">
        <f t="shared" si="4"/>
        <v>****</v>
      </c>
    </row>
    <row r="20" spans="1:12" x14ac:dyDescent="0.35">
      <c r="A20" s="143" t="s">
        <v>204</v>
      </c>
      <c r="B20" s="149" t="s">
        <v>139</v>
      </c>
      <c r="C20" s="145" t="str">
        <f t="shared" si="2"/>
        <v>*****</v>
      </c>
      <c r="D20" s="173" t="str">
        <f t="shared" si="2"/>
        <v>*****</v>
      </c>
      <c r="E20" s="173" t="str">
        <f t="shared" si="2"/>
        <v>*****</v>
      </c>
      <c r="F20" s="173" t="str">
        <f>+A38</f>
        <v>*****</v>
      </c>
      <c r="G20" s="173" t="str">
        <f>+F20</f>
        <v>*****</v>
      </c>
      <c r="H20" s="145" t="str">
        <f t="shared" si="3"/>
        <v>*****</v>
      </c>
      <c r="I20" s="145" t="str">
        <f t="shared" si="3"/>
        <v>*****</v>
      </c>
      <c r="J20" s="146" t="str">
        <f t="shared" si="4"/>
        <v>*****</v>
      </c>
    </row>
    <row r="21" spans="1:12" x14ac:dyDescent="0.35">
      <c r="A21" s="150" t="s">
        <v>206</v>
      </c>
      <c r="B21" s="180" t="s">
        <v>227</v>
      </c>
      <c r="C21" s="151">
        <f t="shared" ref="C21:J21" si="5">+C16</f>
        <v>5134.7691129348905</v>
      </c>
      <c r="D21" s="181">
        <f t="shared" si="5"/>
        <v>5384.8719584348901</v>
      </c>
      <c r="E21" s="181">
        <f t="shared" ref="E21" si="6">+E16</f>
        <v>5434.8925275348902</v>
      </c>
      <c r="F21" s="181">
        <f t="shared" si="5"/>
        <v>4566.1560229348906</v>
      </c>
      <c r="G21" s="181">
        <f t="shared" si="5"/>
        <v>5987.9873074548905</v>
      </c>
      <c r="H21" s="151">
        <f t="shared" si="5"/>
        <v>5921.3910229348894</v>
      </c>
      <c r="I21" s="151">
        <f t="shared" ref="I21" si="7">+I16</f>
        <v>5965.7730229348908</v>
      </c>
      <c r="J21" s="152">
        <f t="shared" si="5"/>
        <v>6697.6940229348911</v>
      </c>
    </row>
    <row r="22" spans="1:12" x14ac:dyDescent="0.35">
      <c r="A22" s="143" t="s">
        <v>208</v>
      </c>
      <c r="B22" s="149" t="s">
        <v>160</v>
      </c>
      <c r="C22" s="145" t="str">
        <f t="shared" ref="C22:E24" si="8">F22</f>
        <v>***</v>
      </c>
      <c r="D22" s="173" t="str">
        <f t="shared" si="8"/>
        <v>***</v>
      </c>
      <c r="E22" s="173" t="str">
        <f t="shared" si="8"/>
        <v>***</v>
      </c>
      <c r="F22" s="173" t="str">
        <f>+F18</f>
        <v>***</v>
      </c>
      <c r="G22" s="173" t="str">
        <f>+F22</f>
        <v>***</v>
      </c>
      <c r="H22" s="145" t="str">
        <f>+H18</f>
        <v>***</v>
      </c>
      <c r="I22" s="145" t="str">
        <f>+I18</f>
        <v>***</v>
      </c>
      <c r="J22" s="146" t="str">
        <f>+J18</f>
        <v>***</v>
      </c>
    </row>
    <row r="23" spans="1:12" x14ac:dyDescent="0.35">
      <c r="A23" s="143" t="s">
        <v>209</v>
      </c>
      <c r="B23" s="144" t="s">
        <v>210</v>
      </c>
      <c r="C23" s="182" t="s">
        <v>237</v>
      </c>
      <c r="D23" s="179" t="str">
        <f>+C23</f>
        <v>******</v>
      </c>
      <c r="E23" s="179" t="str">
        <f>+D23</f>
        <v>******</v>
      </c>
      <c r="F23" s="179" t="s">
        <v>211</v>
      </c>
      <c r="G23" s="179" t="str">
        <f>+F23</f>
        <v>N.A</v>
      </c>
      <c r="H23" s="182" t="str">
        <f>+C23</f>
        <v>******</v>
      </c>
      <c r="I23" s="182" t="str">
        <f>+D23</f>
        <v>******</v>
      </c>
      <c r="J23" s="148" t="s">
        <v>211</v>
      </c>
    </row>
    <row r="24" spans="1:12" x14ac:dyDescent="0.35">
      <c r="A24" s="143" t="s">
        <v>212</v>
      </c>
      <c r="B24" s="149" t="s">
        <v>213</v>
      </c>
      <c r="C24" s="182" t="str">
        <f t="shared" si="8"/>
        <v>*******</v>
      </c>
      <c r="D24" s="179" t="str">
        <f t="shared" si="8"/>
        <v>*******</v>
      </c>
      <c r="E24" s="179" t="str">
        <f t="shared" si="8"/>
        <v>*******</v>
      </c>
      <c r="F24" s="179" t="str">
        <f>+A40</f>
        <v>*******</v>
      </c>
      <c r="G24" s="179" t="str">
        <f>+F24</f>
        <v>*******</v>
      </c>
      <c r="H24" s="182" t="str">
        <f>+G24</f>
        <v>*******</v>
      </c>
      <c r="I24" s="182" t="str">
        <f>+H24</f>
        <v>*******</v>
      </c>
      <c r="J24" s="148" t="str">
        <f>+G24</f>
        <v>*******</v>
      </c>
    </row>
    <row r="25" spans="1:12" ht="15" thickBot="1" x14ac:dyDescent="0.4">
      <c r="A25" s="154" t="s">
        <v>214</v>
      </c>
      <c r="B25" s="155" t="s">
        <v>215</v>
      </c>
      <c r="C25" s="156"/>
      <c r="D25" s="183"/>
      <c r="E25" s="183"/>
      <c r="F25" s="183"/>
      <c r="G25" s="183"/>
      <c r="H25" s="156"/>
      <c r="I25" s="211"/>
      <c r="J25" s="157"/>
    </row>
    <row r="26" spans="1:12" ht="15" thickTop="1" x14ac:dyDescent="0.35">
      <c r="A26" s="159"/>
      <c r="B26" s="160"/>
      <c r="C26" s="160"/>
      <c r="D26" s="160"/>
      <c r="E26" s="160"/>
      <c r="F26" s="161"/>
      <c r="G26" s="161"/>
      <c r="H26" s="161"/>
      <c r="I26" s="161"/>
      <c r="J26" s="161"/>
    </row>
    <row r="27" spans="1:12" x14ac:dyDescent="0.35">
      <c r="A27" s="162"/>
      <c r="B27" s="266" t="s">
        <v>228</v>
      </c>
      <c r="C27" s="184"/>
      <c r="D27" s="184"/>
      <c r="E27" s="184"/>
      <c r="F27" s="184"/>
      <c r="G27" s="184"/>
      <c r="H27" s="184"/>
      <c r="I27" s="184"/>
      <c r="J27" s="184"/>
    </row>
    <row r="28" spans="1:12" x14ac:dyDescent="0.35">
      <c r="A28" s="162" t="s">
        <v>158</v>
      </c>
      <c r="B28" s="825"/>
      <c r="C28" s="825"/>
      <c r="D28" s="825"/>
      <c r="E28" s="825"/>
      <c r="F28" s="825"/>
      <c r="G28" s="825"/>
      <c r="H28" s="825"/>
      <c r="I28" s="825"/>
      <c r="J28" s="825"/>
    </row>
    <row r="29" spans="1:12" x14ac:dyDescent="0.35">
      <c r="A29" s="186" t="s">
        <v>190</v>
      </c>
      <c r="B29" s="825" t="s">
        <v>414</v>
      </c>
      <c r="C29" s="825"/>
      <c r="D29" s="825"/>
      <c r="E29" s="825"/>
      <c r="F29" s="825"/>
      <c r="G29" s="825"/>
      <c r="H29" s="825"/>
      <c r="I29" s="825"/>
      <c r="J29" s="825"/>
    </row>
    <row r="30" spans="1:12" ht="28.5" customHeight="1" x14ac:dyDescent="0.35">
      <c r="A30" s="187" t="s">
        <v>217</v>
      </c>
      <c r="B30" s="824" t="s">
        <v>271</v>
      </c>
      <c r="C30" s="824"/>
      <c r="D30" s="824"/>
      <c r="E30" s="824"/>
      <c r="F30" s="824"/>
      <c r="G30" s="824"/>
      <c r="H30" s="824"/>
      <c r="I30" s="824"/>
      <c r="J30" s="824"/>
      <c r="K30" s="824"/>
      <c r="L30" s="824"/>
    </row>
    <row r="31" spans="1:12" ht="58.65" customHeight="1" x14ac:dyDescent="0.35">
      <c r="A31" s="187" t="s">
        <v>133</v>
      </c>
      <c r="B31" s="824" t="s">
        <v>335</v>
      </c>
      <c r="C31" s="824"/>
      <c r="D31" s="824"/>
      <c r="E31" s="824"/>
      <c r="F31" s="824"/>
      <c r="G31" s="824"/>
      <c r="H31" s="824"/>
      <c r="I31" s="824"/>
      <c r="J31" s="824"/>
    </row>
    <row r="32" spans="1:12" ht="61.5" customHeight="1" x14ac:dyDescent="0.35">
      <c r="A32" s="187" t="s">
        <v>218</v>
      </c>
      <c r="B32" s="838" t="s">
        <v>410</v>
      </c>
      <c r="C32" s="839"/>
      <c r="D32" s="839"/>
      <c r="E32" s="839"/>
      <c r="F32" s="839"/>
      <c r="G32" s="839"/>
      <c r="H32" s="839"/>
      <c r="I32" s="839"/>
      <c r="J32" s="839"/>
    </row>
    <row r="33" spans="1:10" x14ac:dyDescent="0.35">
      <c r="A33" s="162"/>
      <c r="B33" s="190"/>
      <c r="C33" s="190"/>
      <c r="D33" s="190"/>
      <c r="E33" s="694"/>
      <c r="F33" s="190"/>
      <c r="G33" s="190"/>
      <c r="H33" s="190"/>
      <c r="I33" s="694"/>
      <c r="J33" s="190"/>
    </row>
    <row r="34" spans="1:10" x14ac:dyDescent="0.35">
      <c r="A34" s="162" t="s">
        <v>102</v>
      </c>
      <c r="B34" s="825" t="s">
        <v>229</v>
      </c>
      <c r="C34" s="825"/>
      <c r="D34" s="825"/>
      <c r="E34" s="825"/>
      <c r="F34" s="825"/>
      <c r="G34" s="825"/>
      <c r="H34" s="825"/>
      <c r="I34" s="825"/>
      <c r="J34" s="825"/>
    </row>
    <row r="35" spans="1:10" ht="29.25" customHeight="1" x14ac:dyDescent="0.35">
      <c r="A35" s="162" t="s">
        <v>230</v>
      </c>
      <c r="B35" s="824" t="s">
        <v>231</v>
      </c>
      <c r="C35" s="824"/>
      <c r="D35" s="824"/>
      <c r="E35" s="824"/>
      <c r="F35" s="824"/>
      <c r="G35" s="824"/>
      <c r="H35" s="824"/>
      <c r="I35" s="824"/>
      <c r="J35" s="824"/>
    </row>
    <row r="36" spans="1:10" x14ac:dyDescent="0.35">
      <c r="A36" s="162" t="s">
        <v>232</v>
      </c>
      <c r="B36" s="825" t="s">
        <v>233</v>
      </c>
      <c r="C36" s="825"/>
      <c r="D36" s="825"/>
      <c r="E36" s="825"/>
      <c r="F36" s="825"/>
      <c r="G36" s="825"/>
      <c r="H36" s="825"/>
      <c r="I36" s="825"/>
      <c r="J36" s="825"/>
    </row>
    <row r="37" spans="1:10" ht="43.5" customHeight="1" x14ac:dyDescent="0.35">
      <c r="A37" s="185" t="s">
        <v>234</v>
      </c>
      <c r="B37" s="824" t="s">
        <v>235</v>
      </c>
      <c r="C37" s="824"/>
      <c r="D37" s="824"/>
      <c r="E37" s="824"/>
      <c r="F37" s="824"/>
      <c r="G37" s="824"/>
      <c r="H37" s="824"/>
      <c r="I37" s="824"/>
      <c r="J37" s="824"/>
    </row>
    <row r="38" spans="1:10" x14ac:dyDescent="0.35">
      <c r="A38" s="185" t="s">
        <v>236</v>
      </c>
      <c r="B38" s="825" t="s">
        <v>473</v>
      </c>
      <c r="C38" s="825"/>
      <c r="D38" s="825"/>
      <c r="E38" s="825"/>
      <c r="F38" s="825"/>
      <c r="G38" s="825"/>
      <c r="H38" s="825"/>
      <c r="I38" s="825"/>
      <c r="J38" s="825"/>
    </row>
    <row r="39" spans="1:10" x14ac:dyDescent="0.35">
      <c r="A39" s="162" t="s">
        <v>237</v>
      </c>
      <c r="B39" s="825" t="s">
        <v>238</v>
      </c>
      <c r="C39" s="825"/>
      <c r="D39" s="825"/>
      <c r="E39" s="825"/>
      <c r="F39" s="825"/>
      <c r="G39" s="825"/>
      <c r="H39" s="825"/>
      <c r="I39" s="825"/>
      <c r="J39" s="825"/>
    </row>
    <row r="40" spans="1:10" ht="30" customHeight="1" x14ac:dyDescent="0.35">
      <c r="A40" s="162" t="s">
        <v>239</v>
      </c>
      <c r="B40" s="824" t="s">
        <v>240</v>
      </c>
      <c r="C40" s="824"/>
      <c r="D40" s="824"/>
      <c r="E40" s="824"/>
      <c r="F40" s="824"/>
      <c r="G40" s="824"/>
      <c r="H40" s="824"/>
      <c r="I40" s="824"/>
      <c r="J40" s="824"/>
    </row>
    <row r="41" spans="1:10" x14ac:dyDescent="0.35">
      <c r="A41" s="138"/>
      <c r="B41" s="139"/>
      <c r="C41" s="139"/>
      <c r="D41" s="139"/>
      <c r="E41" s="139"/>
      <c r="F41" s="139"/>
      <c r="G41" s="139"/>
      <c r="H41" s="139"/>
      <c r="I41" s="139"/>
      <c r="J41" s="139"/>
    </row>
    <row r="42" spans="1:10" x14ac:dyDescent="0.35">
      <c r="A42" s="186" t="s">
        <v>190</v>
      </c>
      <c r="B42" s="825" t="s">
        <v>464</v>
      </c>
      <c r="C42" s="825"/>
      <c r="D42" s="825"/>
      <c r="E42" s="825"/>
      <c r="F42" s="825"/>
      <c r="G42" s="825"/>
      <c r="H42" s="825"/>
      <c r="I42" s="825"/>
      <c r="J42" s="825"/>
    </row>
    <row r="43" spans="1:10" hidden="1" x14ac:dyDescent="0.35">
      <c r="A43" s="187" t="s">
        <v>133</v>
      </c>
      <c r="B43" s="188" t="s">
        <v>216</v>
      </c>
      <c r="C43" s="139"/>
      <c r="D43" s="139"/>
      <c r="E43" s="139"/>
      <c r="F43" s="139"/>
      <c r="G43" s="139"/>
      <c r="H43" s="139"/>
      <c r="I43" s="139"/>
      <c r="J43" s="139"/>
    </row>
    <row r="44" spans="1:10" ht="39.75" hidden="1" customHeight="1" x14ac:dyDescent="0.35">
      <c r="A44" s="187" t="s">
        <v>218</v>
      </c>
      <c r="B44" s="824" t="s">
        <v>242</v>
      </c>
      <c r="C44" s="824"/>
      <c r="D44" s="824"/>
      <c r="E44" s="824"/>
      <c r="F44" s="824"/>
      <c r="G44" s="824"/>
      <c r="H44" s="824"/>
      <c r="I44" s="824"/>
      <c r="J44" s="824"/>
    </row>
    <row r="45" spans="1:10" x14ac:dyDescent="0.35">
      <c r="A45" s="187"/>
      <c r="B45" s="825" t="s">
        <v>158</v>
      </c>
      <c r="C45" s="825"/>
      <c r="D45" s="825"/>
      <c r="E45" s="825"/>
      <c r="F45" s="825"/>
      <c r="G45" s="825"/>
      <c r="H45" s="825"/>
      <c r="I45" s="825"/>
      <c r="J45" s="825"/>
    </row>
    <row r="46" spans="1:10" ht="100.5" customHeight="1" x14ac:dyDescent="0.35">
      <c r="A46" s="844" t="s">
        <v>501</v>
      </c>
      <c r="B46" s="845"/>
      <c r="C46" s="845"/>
      <c r="D46" s="845"/>
      <c r="E46" s="845"/>
      <c r="F46" s="845"/>
      <c r="G46" s="845"/>
      <c r="H46" s="845"/>
      <c r="I46" s="845"/>
      <c r="J46" s="845"/>
    </row>
  </sheetData>
  <sheetProtection algorithmName="SHA-512" hashValue="2O0d4wreC2gRPjg2EMdfUtfFUbAtS2A2GjUWkd2LYIOFZpNCRhUUlH4PP+zUDp4L8G9i1S7Ln5JR+IBOXJURSQ==" saltValue="FD/dxhdLi8O+pilQIxHsFg==" spinCount="100000" sheet="1" objects="1" scenarios="1"/>
  <mergeCells count="22">
    <mergeCell ref="B42:J42"/>
    <mergeCell ref="B44:J44"/>
    <mergeCell ref="B45:J45"/>
    <mergeCell ref="A46:J46"/>
    <mergeCell ref="B35:J35"/>
    <mergeCell ref="B36:J36"/>
    <mergeCell ref="B37:J37"/>
    <mergeCell ref="B38:J38"/>
    <mergeCell ref="B39:J39"/>
    <mergeCell ref="B40:J40"/>
    <mergeCell ref="A5:A7"/>
    <mergeCell ref="B5:B7"/>
    <mergeCell ref="B28:J28"/>
    <mergeCell ref="B29:J29"/>
    <mergeCell ref="B31:J31"/>
    <mergeCell ref="B30:J30"/>
    <mergeCell ref="K30:L30"/>
    <mergeCell ref="B34:J34"/>
    <mergeCell ref="C5:C6"/>
    <mergeCell ref="C3:G4"/>
    <mergeCell ref="H3:J4"/>
    <mergeCell ref="B32:J32"/>
  </mergeCells>
  <hyperlinks>
    <hyperlink ref="B27" location="AMAZONAS!A46" display="Ver Nota Informativa" xr:uid="{00000000-0004-0000-0800-000000000000}"/>
  </hyperlinks>
  <pageMargins left="0.7" right="0.7" top="0.75" bottom="0.75" header="0.3" footer="0.3"/>
  <pageSetup orientation="portrait" r:id="rId1"/>
  <ignoredErrors>
    <ignoredError sqref="J10:J12 F12 A29:A31 A42:A44 C12:D12 H10:H12" numberStoredAsText="1"/>
    <ignoredError sqref="F13:G13 J13:J14 J16:J23 D16 D13:D14 C17:D23 F16:H23 F14:H14"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1</vt:i4>
      </vt:variant>
    </vt:vector>
  </HeadingPairs>
  <TitlesOfParts>
    <vt:vector size="24" baseType="lpstr">
      <vt:lpstr>RUBROS</vt:lpstr>
      <vt:lpstr>Tma</vt:lpstr>
      <vt:lpstr>SP</vt:lpstr>
      <vt:lpstr>Calculo IP ZDF</vt:lpstr>
      <vt:lpstr>COMBUSTIBLES</vt:lpstr>
      <vt:lpstr>GAS CTE</vt:lpstr>
      <vt:lpstr>GAS EXTRA</vt:lpstr>
      <vt:lpstr>BIODIESEL</vt:lpstr>
      <vt:lpstr>AMAZONAS</vt:lpstr>
      <vt:lpstr>ARAUCA</vt:lpstr>
      <vt:lpstr>BOYACA</vt:lpstr>
      <vt:lpstr>CESAR</vt:lpstr>
      <vt:lpstr>CHOCO</vt:lpstr>
      <vt:lpstr>GUAINIA</vt:lpstr>
      <vt:lpstr>LA GUAJIRA</vt:lpstr>
      <vt:lpstr>NARIÑO</vt:lpstr>
      <vt:lpstr>NORTE SANTANDER</vt:lpstr>
      <vt:lpstr>PUTUMAYO</vt:lpstr>
      <vt:lpstr>VAUPES</vt:lpstr>
      <vt:lpstr>VICHADA</vt:lpstr>
      <vt:lpstr>ELECTROCOMBUSTIBLE</vt:lpstr>
      <vt:lpstr>BI ECP </vt:lpstr>
      <vt:lpstr>BI REFICAR</vt:lpstr>
      <vt:lpstr>B102T5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Andrea Leon Castillo</dc:creator>
  <cp:lastModifiedBy>Fabian Cardona Flor (Ecopetrol S.A)</cp:lastModifiedBy>
  <dcterms:created xsi:type="dcterms:W3CDTF">2019-03-31T15:51:33Z</dcterms:created>
  <dcterms:modified xsi:type="dcterms:W3CDTF">2021-12-31T22:08:41Z</dcterms:modified>
</cp:coreProperties>
</file>