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27"/>
  <workbookPr codeName="ThisWorkbook"/>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2/10 Octubre 2022/Publicaciones/Octubre 01/"/>
    </mc:Choice>
  </mc:AlternateContent>
  <xr:revisionPtr revIDLastSave="0" documentId="8_{1A923141-DC49-4C7A-92FF-41D078B28461}" xr6:coauthVersionLast="47" xr6:coauthVersionMax="47" xr10:uidLastSave="{00000000-0000-0000-0000-000000000000}"/>
  <workbookProtection workbookAlgorithmName="SHA-512" workbookHashValue="zdh6PDTJQo8ckxfiEKNlgjVUrxLvk6UtwBh9vwKQVix32ajaxPoSRrsgZXs5jWmmYJvJtN3pyj2CE4sAMILf8w==" workbookSaltValue="1dL+/u2kZ+L12+MbA+yJlA==" workbookSpinCount="100000" lockStructure="1"/>
  <bookViews>
    <workbookView xWindow="-108" yWindow="-108" windowWidth="23256" windowHeight="12576" tabRatio="965" firstSheet="7" activeTab="7" xr2:uid="{00000000-000D-0000-FFFF-FFFF00000000}"/>
  </bookViews>
  <sheets>
    <sheet name="RUBROS" sheetId="2" state="hidden" r:id="rId1"/>
    <sheet name="Tma" sheetId="38" state="hidden" r:id="rId2"/>
    <sheet name="SP" sheetId="1" state="hidden" r:id="rId3"/>
    <sheet name="Calculo IP ZDF" sheetId="3" state="hidden" r:id="rId4"/>
    <sheet name="GAS CTE" sheetId="5" state="hidden" r:id="rId5"/>
    <sheet name="BIODIESEL" sheetId="7" state="hidden" r:id="rId6"/>
    <sheet name="AMAZONAS" sheetId="9" r:id="rId7"/>
    <sheet name="ARAUCA" sheetId="10" r:id="rId8"/>
    <sheet name="BOYACA" sheetId="11" r:id="rId9"/>
    <sheet name="CESAR" sheetId="12" r:id="rId10"/>
    <sheet name="CHOCO" sheetId="15" r:id="rId11"/>
    <sheet name="NARIÑO" sheetId="20" r:id="rId12"/>
    <sheet name="GUAINIA" sheetId="17" r:id="rId13"/>
    <sheet name="LA GUAJIRA" sheetId="19" r:id="rId14"/>
    <sheet name="NORTE SANTANDER" sheetId="21" r:id="rId15"/>
    <sheet name="PUTUMAYO" sheetId="34" r:id="rId16"/>
    <sheet name="VAUPES" sheetId="23" r:id="rId17"/>
    <sheet name="VICHADA" sheetId="28" r:id="rId18"/>
    <sheet name="ELECTROCOMBUSTIBLE" sheetId="24" r:id="rId19"/>
    <sheet name="BI ECP " sheetId="30" state="hidden" r:id="rId20"/>
    <sheet name="BI REFICAR" sheetId="29" state="hidden" r:id="rId21"/>
  </sheets>
  <externalReferences>
    <externalReference r:id="rId22"/>
    <externalReference r:id="rId23"/>
    <externalReference r:id="rId24"/>
    <externalReference r:id="rId25"/>
    <externalReference r:id="rId26"/>
    <externalReference r:id="rId27"/>
  </externalReferences>
  <definedNames>
    <definedName name="\A" localSheetId="19">#REF!</definedName>
    <definedName name="\A" localSheetId="10">#REF!</definedName>
    <definedName name="\A" localSheetId="12">#REF!</definedName>
    <definedName name="\A" localSheetId="13">#REF!</definedName>
    <definedName name="\A" localSheetId="11">#REF!</definedName>
    <definedName name="\A" localSheetId="14">#REF!</definedName>
    <definedName name="\A" localSheetId="15">#REF!</definedName>
    <definedName name="\A" localSheetId="16">#REF!</definedName>
    <definedName name="\A" localSheetId="17">#REF!</definedName>
    <definedName name="\A">#REF!</definedName>
    <definedName name="\L" localSheetId="19">#REF!</definedName>
    <definedName name="\L" localSheetId="10">#REF!</definedName>
    <definedName name="\L" localSheetId="12">#REF!</definedName>
    <definedName name="\L" localSheetId="13">#REF!</definedName>
    <definedName name="\L" localSheetId="11">#REF!</definedName>
    <definedName name="\L" localSheetId="14">#REF!</definedName>
    <definedName name="\L" localSheetId="15">#REF!</definedName>
    <definedName name="\L" localSheetId="16">#REF!</definedName>
    <definedName name="\L" localSheetId="17">#REF!</definedName>
    <definedName name="\L">#REF!</definedName>
    <definedName name="\P" localSheetId="19">#REF!</definedName>
    <definedName name="\P" localSheetId="10">#REF!</definedName>
    <definedName name="\P" localSheetId="12">#REF!</definedName>
    <definedName name="\P" localSheetId="13">#REF!</definedName>
    <definedName name="\P" localSheetId="11">#REF!</definedName>
    <definedName name="\P" localSheetId="14">#REF!</definedName>
    <definedName name="\P" localSheetId="15">#REF!</definedName>
    <definedName name="\P" localSheetId="16">#REF!</definedName>
    <definedName name="\P" localSheetId="17">#REF!</definedName>
    <definedName name="\P">#REF!</definedName>
    <definedName name="_xlnm._FilterDatabase" localSheetId="19" hidden="1">'BI ECP '!$A$1:$V$46</definedName>
    <definedName name="_xlnm._FilterDatabase" localSheetId="20" hidden="1">'BI REFICAR'!$A$1:$Y$22</definedName>
    <definedName name="a" localSheetId="19">[1]TARIF2002!#REF!</definedName>
    <definedName name="a" localSheetId="10">[1]TARIF2002!#REF!</definedName>
    <definedName name="a" localSheetId="12">[1]TARIF2002!#REF!</definedName>
    <definedName name="a" localSheetId="13">[1]TARIF2002!#REF!</definedName>
    <definedName name="a" localSheetId="11">[1]TARIF2002!#REF!</definedName>
    <definedName name="a" localSheetId="14">[1]TARIF2002!#REF!</definedName>
    <definedName name="a" localSheetId="15">[1]TARIF2002!#REF!</definedName>
    <definedName name="a" localSheetId="16">[1]TARIF2002!#REF!</definedName>
    <definedName name="a" localSheetId="17">[1]TARIF2002!#REF!</definedName>
    <definedName name="a">[1]TARIF2002!#REF!</definedName>
    <definedName name="A_IMPRESIÓN_IM" localSheetId="19">#REF!</definedName>
    <definedName name="A_IMPRESIÓN_IM" localSheetId="10">#REF!</definedName>
    <definedName name="A_IMPRESIÓN_IM" localSheetId="12">#REF!</definedName>
    <definedName name="A_IMPRESIÓN_IM" localSheetId="13">#REF!</definedName>
    <definedName name="A_IMPRESIÓN_IM" localSheetId="11">#REF!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#REF!</definedName>
    <definedName name="aa" localSheetId="19">#REF!</definedName>
    <definedName name="aa" localSheetId="15">#REF!</definedName>
    <definedName name="aa" localSheetId="16">#REF!</definedName>
    <definedName name="aa" localSheetId="17">#REF!</definedName>
    <definedName name="aa">#REF!</definedName>
    <definedName name="ADI" localSheetId="19">#REF!</definedName>
    <definedName name="ADI" localSheetId="10">#REF!</definedName>
    <definedName name="ADI" localSheetId="12">#REF!</definedName>
    <definedName name="ADI" localSheetId="13">#REF!</definedName>
    <definedName name="ADI" localSheetId="11">#REF!</definedName>
    <definedName name="ADI" localSheetId="14">#REF!</definedName>
    <definedName name="ADI" localSheetId="15">#REF!</definedName>
    <definedName name="ADI" localSheetId="16">#REF!</definedName>
    <definedName name="ADI" localSheetId="17">#REF!</definedName>
    <definedName name="ADI">#REF!</definedName>
    <definedName name="B102T5">RUBROS!$B$102</definedName>
    <definedName name="base" localSheetId="19">#REF!</definedName>
    <definedName name="base" localSheetId="10">#REF!</definedName>
    <definedName name="base" localSheetId="12">#REF!</definedName>
    <definedName name="base" localSheetId="13">#REF!</definedName>
    <definedName name="base" localSheetId="11">#REF!</definedName>
    <definedName name="base" localSheetId="14">#REF!</definedName>
    <definedName name="base" localSheetId="15">#REF!</definedName>
    <definedName name="base" localSheetId="16">#REF!</definedName>
    <definedName name="base" localSheetId="17">#REF!</definedName>
    <definedName name="base">#REF!</definedName>
    <definedName name="base_VaR" localSheetId="19">#REF!</definedName>
    <definedName name="base_VaR" localSheetId="10">#REF!</definedName>
    <definedName name="base_VaR" localSheetId="12">#REF!</definedName>
    <definedName name="base_VaR" localSheetId="13">#REF!</definedName>
    <definedName name="base_VaR" localSheetId="11">#REF!</definedName>
    <definedName name="base_VaR" localSheetId="14">#REF!</definedName>
    <definedName name="base_VaR" localSheetId="15">#REF!</definedName>
    <definedName name="base_VaR" localSheetId="16">#REF!</definedName>
    <definedName name="base_VaR" localSheetId="17">#REF!</definedName>
    <definedName name="base_VaR">#REF!</definedName>
    <definedName name="cc" localSheetId="19">#REF!</definedName>
    <definedName name="cc" localSheetId="15">#REF!</definedName>
    <definedName name="cc" localSheetId="16">#REF!</definedName>
    <definedName name="cc" localSheetId="17">#REF!</definedName>
    <definedName name="cc">#REF!</definedName>
    <definedName name="CONTADO" localSheetId="19">#REF!</definedName>
    <definedName name="CONTADO" localSheetId="10">#REF!</definedName>
    <definedName name="CONTADO" localSheetId="12">#REF!</definedName>
    <definedName name="CONTADO" localSheetId="13">#REF!</definedName>
    <definedName name="CONTADO" localSheetId="11">#REF!</definedName>
    <definedName name="CONTADO" localSheetId="14">#REF!</definedName>
    <definedName name="CONTADO" localSheetId="15">#REF!</definedName>
    <definedName name="CONTADO" localSheetId="16">#REF!</definedName>
    <definedName name="CONTADO" localSheetId="17">#REF!</definedName>
    <definedName name="CONTADO">#REF!</definedName>
    <definedName name="CREDITO" localSheetId="19">#REF!</definedName>
    <definedName name="CREDITO" localSheetId="10">#REF!</definedName>
    <definedName name="CREDITO" localSheetId="12">#REF!</definedName>
    <definedName name="CREDITO" localSheetId="13">#REF!</definedName>
    <definedName name="CREDITO" localSheetId="11">#REF!</definedName>
    <definedName name="CREDITO" localSheetId="14">#REF!</definedName>
    <definedName name="CREDITO" localSheetId="15">#REF!</definedName>
    <definedName name="CREDITO" localSheetId="16">#REF!</definedName>
    <definedName name="CREDITO" localSheetId="17">#REF!</definedName>
    <definedName name="CREDITO">#REF!</definedName>
    <definedName name="DAT" localSheetId="19">#REF!</definedName>
    <definedName name="DAT" localSheetId="10">#REF!</definedName>
    <definedName name="DAT" localSheetId="12">#REF!</definedName>
    <definedName name="DAT" localSheetId="13">#REF!</definedName>
    <definedName name="DAT" localSheetId="11">#REF!</definedName>
    <definedName name="DAT" localSheetId="14">#REF!</definedName>
    <definedName name="DAT" localSheetId="15">#REF!</definedName>
    <definedName name="DAT" localSheetId="16">#REF!</definedName>
    <definedName name="DAT" localSheetId="17">#REF!</definedName>
    <definedName name="DAT">#REF!</definedName>
    <definedName name="dd" localSheetId="19">#REF!</definedName>
    <definedName name="dd" localSheetId="15">#REF!</definedName>
    <definedName name="dd" localSheetId="16">#REF!</definedName>
    <definedName name="dd" localSheetId="17">#REF!</definedName>
    <definedName name="dd">#REF!</definedName>
    <definedName name="E_03" localSheetId="19">#REF!</definedName>
    <definedName name="E_03" localSheetId="10">#REF!</definedName>
    <definedName name="E_03" localSheetId="12">#REF!</definedName>
    <definedName name="E_03" localSheetId="13">#REF!</definedName>
    <definedName name="E_03" localSheetId="11">#REF!</definedName>
    <definedName name="E_03" localSheetId="14">#REF!</definedName>
    <definedName name="E_03" localSheetId="15">#REF!</definedName>
    <definedName name="E_03" localSheetId="16">#REF!</definedName>
    <definedName name="E_03" localSheetId="17">#REF!</definedName>
    <definedName name="E_03">#REF!</definedName>
    <definedName name="ee" localSheetId="19">#REF!</definedName>
    <definedName name="ee" localSheetId="15">#REF!</definedName>
    <definedName name="ee" localSheetId="16">#REF!</definedName>
    <definedName name="ee" localSheetId="17">#REF!</definedName>
    <definedName name="ee">#REF!</definedName>
    <definedName name="ERR" localSheetId="19">[2]TARIF2002!#REF!</definedName>
    <definedName name="ERR" localSheetId="10">[2]TARIF2002!#REF!</definedName>
    <definedName name="ERR" localSheetId="12">[2]TARIF2002!#REF!</definedName>
    <definedName name="ERR" localSheetId="13">[2]TARIF2002!#REF!</definedName>
    <definedName name="ERR" localSheetId="11">[2]TARIF2002!#REF!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[2]TARIF2002!#REF!</definedName>
    <definedName name="ERROR" localSheetId="19">#REF!</definedName>
    <definedName name="ERROR" localSheetId="10">#REF!</definedName>
    <definedName name="ERROR" localSheetId="12">#REF!</definedName>
    <definedName name="ERROR" localSheetId="13">#REF!</definedName>
    <definedName name="ERROR" localSheetId="11">#REF!</definedName>
    <definedName name="ERROR" localSheetId="14">#REF!</definedName>
    <definedName name="ERROR" localSheetId="15">#REF!</definedName>
    <definedName name="ERROR" localSheetId="16">#REF!</definedName>
    <definedName name="ERROR" localSheetId="17">#REF!</definedName>
    <definedName name="ERROR">#REF!</definedName>
    <definedName name="ERROR1" localSheetId="19">#REF!</definedName>
    <definedName name="ERROR1" localSheetId="10">#REF!</definedName>
    <definedName name="ERROR1" localSheetId="12">#REF!</definedName>
    <definedName name="ERROR1" localSheetId="13">#REF!</definedName>
    <definedName name="ERROR1" localSheetId="11">#REF!</definedName>
    <definedName name="ERROR1" localSheetId="14">#REF!</definedName>
    <definedName name="ERROR1" localSheetId="15">#REF!</definedName>
    <definedName name="ERROR1" localSheetId="16">#REF!</definedName>
    <definedName name="ERROR1" localSheetId="17">#REF!</definedName>
    <definedName name="ERROR1">#REF!</definedName>
    <definedName name="ERROR2" localSheetId="19">#REF!</definedName>
    <definedName name="ERROR2" localSheetId="10">#REF!</definedName>
    <definedName name="ERROR2" localSheetId="12">#REF!</definedName>
    <definedName name="ERROR2" localSheetId="13">#REF!</definedName>
    <definedName name="ERROR2" localSheetId="11">#REF!</definedName>
    <definedName name="ERROR2" localSheetId="14">#REF!</definedName>
    <definedName name="ERROR2" localSheetId="15">#REF!</definedName>
    <definedName name="ERROR2" localSheetId="16">#REF!</definedName>
    <definedName name="ERROR2" localSheetId="17">#REF!</definedName>
    <definedName name="ERROR2">#REF!</definedName>
    <definedName name="ERROR3" localSheetId="19">[2]TARIF2002!#REF!</definedName>
    <definedName name="ERROR3" localSheetId="10">[2]TARIF2002!#REF!</definedName>
    <definedName name="ERROR3" localSheetId="12">[2]TARIF2002!#REF!</definedName>
    <definedName name="ERROR3" localSheetId="13">[2]TARIF2002!#REF!</definedName>
    <definedName name="ERROR3" localSheetId="11">[2]TARIF2002!#REF!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[2]TARIF2002!#REF!</definedName>
    <definedName name="ERROR5" localSheetId="19">[2]TARIF2002!#REF!</definedName>
    <definedName name="ERROR5" localSheetId="10">[2]TARIF2002!#REF!</definedName>
    <definedName name="ERROR5" localSheetId="12">[2]TARIF2002!#REF!</definedName>
    <definedName name="ERROR5" localSheetId="13">[2]TARIF2002!#REF!</definedName>
    <definedName name="ERROR5" localSheetId="11">[2]TARIF2002!#REF!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[2]TARIF2002!#REF!</definedName>
    <definedName name="fdffda" localSheetId="19">#REF!</definedName>
    <definedName name="fdffda" localSheetId="15">#REF!</definedName>
    <definedName name="fdffda" localSheetId="16">#REF!</definedName>
    <definedName name="fdffda" localSheetId="17">#REF!</definedName>
    <definedName name="fdffda">#REF!</definedName>
    <definedName name="ff" localSheetId="19">#REF!</definedName>
    <definedName name="ff" localSheetId="15">#REF!</definedName>
    <definedName name="ff" localSheetId="16">#REF!</definedName>
    <definedName name="ff" localSheetId="17">#REF!</definedName>
    <definedName name="ff">#REF!</definedName>
    <definedName name="fff" localSheetId="19">#REF!</definedName>
    <definedName name="fff" localSheetId="15">#REF!</definedName>
    <definedName name="fff" localSheetId="16">#REF!</definedName>
    <definedName name="fff" localSheetId="17">#REF!</definedName>
    <definedName name="fff">#REF!</definedName>
    <definedName name="ffg" localSheetId="19">#REF!</definedName>
    <definedName name="ffg" localSheetId="15">#REF!</definedName>
    <definedName name="ffg" localSheetId="16">#REF!</definedName>
    <definedName name="ffg" localSheetId="17">#REF!</definedName>
    <definedName name="ffg">#REF!</definedName>
    <definedName name="gggg" localSheetId="19">#REF!</definedName>
    <definedName name="gggg" localSheetId="15">#REF!</definedName>
    <definedName name="gggg" localSheetId="16">#REF!</definedName>
    <definedName name="gggg" localSheetId="17">#REF!</definedName>
    <definedName name="gggg">#REF!</definedName>
    <definedName name="ggggg" localSheetId="19">[2]TARIF2002!#REF!</definedName>
    <definedName name="ggggg" localSheetId="15">[2]TARIF2002!#REF!</definedName>
    <definedName name="ggggg" localSheetId="16">[2]TARIF2002!#REF!</definedName>
    <definedName name="ggggg" localSheetId="17">[2]TARIF2002!#REF!</definedName>
    <definedName name="ggggg">[2]TARIF2002!#REF!</definedName>
    <definedName name="GHGDHDH" localSheetId="19">[2]TARIF2002!#REF!</definedName>
    <definedName name="GHGDHDH" localSheetId="15">[2]TARIF2002!#REF!</definedName>
    <definedName name="GHGDHDH" localSheetId="17">[2]TARIF2002!#REF!</definedName>
    <definedName name="GHGDHDH">[2]TARIF2002!#REF!</definedName>
    <definedName name="GHGHDH" localSheetId="19">[2]TARIF2002!#REF!</definedName>
    <definedName name="GHGHDH" localSheetId="15">[2]TARIF2002!#REF!</definedName>
    <definedName name="GHGHDH" localSheetId="17">[2]TARIF2002!#REF!</definedName>
    <definedName name="GHGHDH">[2]TARIF2002!#REF!</definedName>
    <definedName name="GHGHH" localSheetId="19">[2]TARIF2002!#REF!</definedName>
    <definedName name="GHGHH" localSheetId="15">[2]TARIF2002!#REF!</definedName>
    <definedName name="GHGHH" localSheetId="17">[2]TARIF2002!#REF!</definedName>
    <definedName name="GHGHH">[2]TARIF2002!#REF!</definedName>
    <definedName name="GHHDHDFH" localSheetId="19">#REF!</definedName>
    <definedName name="GHHDHDFH" localSheetId="15">#REF!</definedName>
    <definedName name="GHHDHDFH" localSheetId="17">#REF!</definedName>
    <definedName name="GHHDHDFH">#REF!</definedName>
    <definedName name="HDGHH" localSheetId="19">[2]TARIF2002!#REF!</definedName>
    <definedName name="HDGHH" localSheetId="15">[2]TARIF2002!#REF!</definedName>
    <definedName name="HDGHH" localSheetId="17">[2]TARIF2002!#REF!</definedName>
    <definedName name="HDGHH">[2]TARIF2002!#REF!</definedName>
    <definedName name="HFDGHH" localSheetId="19">[2]TARIF2002!#REF!</definedName>
    <definedName name="HFDGHH" localSheetId="15">[2]TARIF2002!#REF!</definedName>
    <definedName name="HFDGHH" localSheetId="17">[2]TARIF2002!#REF!</definedName>
    <definedName name="HFDGHH">[2]TARIF2002!#REF!</definedName>
    <definedName name="HGFHFH" localSheetId="19">#REF!</definedName>
    <definedName name="HGFHFH" localSheetId="15">#REF!</definedName>
    <definedName name="HGFHFH" localSheetId="17">#REF!</definedName>
    <definedName name="HGFHFH">#REF!</definedName>
    <definedName name="HGFHGFHGFH" localSheetId="19">#REF!</definedName>
    <definedName name="HGFHGFHGFH" localSheetId="15">#REF!</definedName>
    <definedName name="HGFHGFHGFH" localSheetId="17">#REF!</definedName>
    <definedName name="HGFHGFHGFH">#REF!</definedName>
    <definedName name="HGFHGH" localSheetId="19">[2]TARIF2002!#REF!</definedName>
    <definedName name="HGFHGH" localSheetId="15">[2]TARIF2002!#REF!</definedName>
    <definedName name="HGFHGH" localSheetId="17">[2]TARIF2002!#REF!</definedName>
    <definedName name="HGFHGH">[2]TARIF2002!#REF!</definedName>
    <definedName name="HGFHH" localSheetId="19">#REF!</definedName>
    <definedName name="HGFHH" localSheetId="15">#REF!</definedName>
    <definedName name="HGFHH" localSheetId="17">#REF!</definedName>
    <definedName name="HGFHH">#REF!</definedName>
    <definedName name="HGFHSHFH" localSheetId="19">#REF!</definedName>
    <definedName name="HGFHSHFH" localSheetId="15">#REF!</definedName>
    <definedName name="HGFHSHFH" localSheetId="17">#REF!</definedName>
    <definedName name="HGFHSHFH">#REF!</definedName>
    <definedName name="HGHDGHDH" localSheetId="19">[2]TARIF2002!#REF!</definedName>
    <definedName name="HGHDGHDH" localSheetId="15">[2]TARIF2002!#REF!</definedName>
    <definedName name="HGHDGHDH" localSheetId="17">[2]TARIF2002!#REF!</definedName>
    <definedName name="HGHDGHDH">[2]TARIF2002!#REF!</definedName>
    <definedName name="HGHGDFH" localSheetId="19">#REF!</definedName>
    <definedName name="HGHGDFH" localSheetId="15">#REF!</definedName>
    <definedName name="HGHGDFH" localSheetId="17">#REF!</definedName>
    <definedName name="HGHGDFH">#REF!</definedName>
    <definedName name="HGHGH" localSheetId="19">[2]TARIF2002!#REF!</definedName>
    <definedName name="HGHGH" localSheetId="15">[2]TARIF2002!#REF!</definedName>
    <definedName name="HGHGH" localSheetId="17">[2]TARIF2002!#REF!</definedName>
    <definedName name="HGHGH">[2]TARIF2002!#REF!</definedName>
    <definedName name="HGHGHH" localSheetId="19">[3]TARIF2002!#REF!</definedName>
    <definedName name="HGHGHH" localSheetId="15">[3]TARIF2002!#REF!</definedName>
    <definedName name="HGHGHH" localSheetId="17">[3]TARIF2002!#REF!</definedName>
    <definedName name="HGHGHH">[3]TARIF2002!#REF!</definedName>
    <definedName name="hhhh" localSheetId="19">[2]TARIF2002!#REF!</definedName>
    <definedName name="hhhh" localSheetId="15">[2]TARIF2002!#REF!</definedName>
    <definedName name="hhhh" localSheetId="16">[2]TARIF2002!#REF!</definedName>
    <definedName name="hhhh" localSheetId="17">[2]TARIF2002!#REF!</definedName>
    <definedName name="hhhh">[2]TARIF2002!#REF!</definedName>
    <definedName name="hkkkk" localSheetId="19">[2]TARIF2002!#REF!</definedName>
    <definedName name="hkkkk" localSheetId="15">[2]TARIF2002!#REF!</definedName>
    <definedName name="hkkkk" localSheetId="16">[2]TARIF2002!#REF!</definedName>
    <definedName name="hkkkk" localSheetId="17">[2]TARIF2002!#REF!</definedName>
    <definedName name="hkkkk">[2]TARIF2002!#REF!</definedName>
    <definedName name="j" localSheetId="19">#REF!</definedName>
    <definedName name="j" localSheetId="10">#REF!</definedName>
    <definedName name="j" localSheetId="12">#REF!</definedName>
    <definedName name="j" localSheetId="13">#REF!</definedName>
    <definedName name="j" localSheetId="11">#REF!</definedName>
    <definedName name="j" localSheetId="14">#REF!</definedName>
    <definedName name="j" localSheetId="15">#REF!</definedName>
    <definedName name="j" localSheetId="16">#REF!</definedName>
    <definedName name="j" localSheetId="17">#REF!</definedName>
    <definedName name="j">#REF!</definedName>
    <definedName name="JA" localSheetId="19">#REF!</definedName>
    <definedName name="JA" localSheetId="10">#REF!</definedName>
    <definedName name="JA" localSheetId="12">#REF!</definedName>
    <definedName name="JA" localSheetId="13">#REF!</definedName>
    <definedName name="JA" localSheetId="11">#REF!</definedName>
    <definedName name="JA" localSheetId="14">#REF!</definedName>
    <definedName name="JA" localSheetId="15">#REF!</definedName>
    <definedName name="JA" localSheetId="16">#REF!</definedName>
    <definedName name="JA" localSheetId="17">#REF!</definedName>
    <definedName name="JA">#REF!</definedName>
    <definedName name="jjj" localSheetId="19">[3]TARIF2002!#REF!</definedName>
    <definedName name="jjj" localSheetId="15">[3]TARIF2002!#REF!</definedName>
    <definedName name="jjj" localSheetId="16">[3]TARIF2002!#REF!</definedName>
    <definedName name="jjj" localSheetId="17">[3]TARIF2002!#REF!</definedName>
    <definedName name="jjj">[3]TARIF2002!#REF!</definedName>
    <definedName name="kkhkhk" localSheetId="19">[2]TARIF2002!#REF!</definedName>
    <definedName name="kkhkhk" localSheetId="15">[2]TARIF2002!#REF!</definedName>
    <definedName name="kkhkhk" localSheetId="16">[2]TARIF2002!#REF!</definedName>
    <definedName name="kkhkhk" localSheetId="17">[2]TARIF2002!#REF!</definedName>
    <definedName name="kkhkhk">[2]TARIF2002!#REF!</definedName>
    <definedName name="MATRIZRICS">'[4]RICS NUEVA HOJA DIARIA'!$A$1:$AB$42</definedName>
    <definedName name="MES" localSheetId="19">#REF!</definedName>
    <definedName name="MES" localSheetId="10">#REF!</definedName>
    <definedName name="MES" localSheetId="12">#REF!</definedName>
    <definedName name="MES" localSheetId="13">#REF!</definedName>
    <definedName name="MES" localSheetId="11">#REF!</definedName>
    <definedName name="MES" localSheetId="14">#REF!</definedName>
    <definedName name="MES" localSheetId="15">#REF!</definedName>
    <definedName name="MES" localSheetId="16">#REF!</definedName>
    <definedName name="MES" localSheetId="17">#REF!</definedName>
    <definedName name="MES">#REF!</definedName>
    <definedName name="NTE" localSheetId="19">#REF!</definedName>
    <definedName name="NTE" localSheetId="10">#REF!</definedName>
    <definedName name="NTE" localSheetId="12">#REF!</definedName>
    <definedName name="NTE" localSheetId="13">#REF!</definedName>
    <definedName name="NTE" localSheetId="11">#REF!</definedName>
    <definedName name="NTE" localSheetId="14">#REF!</definedName>
    <definedName name="NTE" localSheetId="15">#REF!</definedName>
    <definedName name="NTE" localSheetId="16">#REF!</definedName>
    <definedName name="NTE" localSheetId="17">#REF!</definedName>
    <definedName name="NTE">#REF!</definedName>
    <definedName name="Q" localSheetId="19">[3]TARIF2002!#REF!</definedName>
    <definedName name="Q" localSheetId="10">[3]TARIF2002!#REF!</definedName>
    <definedName name="Q" localSheetId="12">[3]TARIF2002!#REF!</definedName>
    <definedName name="Q" localSheetId="13">[3]TARIF2002!#REF!</definedName>
    <definedName name="Q" localSheetId="11">[3]TARIF2002!#REF!</definedName>
    <definedName name="Q" localSheetId="14">[3]TARIF2002!#REF!</definedName>
    <definedName name="Q" localSheetId="15">[3]TARIF2002!#REF!</definedName>
    <definedName name="Q" localSheetId="16">[3]TARIF2002!#REF!</definedName>
    <definedName name="Q" localSheetId="17">[3]TARIF2002!#REF!</definedName>
    <definedName name="Q">[3]TARIF2002!#REF!</definedName>
    <definedName name="QE" localSheetId="19">[2]TARIF2002!#REF!</definedName>
    <definedName name="QE" localSheetId="10">[2]TARIF2002!#REF!</definedName>
    <definedName name="QE" localSheetId="12">[2]TARIF2002!#REF!</definedName>
    <definedName name="QE" localSheetId="13">[2]TARIF2002!#REF!</definedName>
    <definedName name="QE" localSheetId="11">[2]TARIF2002!#REF!</definedName>
    <definedName name="QE" localSheetId="14">[2]TARIF2002!#REF!</definedName>
    <definedName name="QE" localSheetId="15">[2]TARIF2002!#REF!</definedName>
    <definedName name="QE" localSheetId="16">[2]TARIF2002!#REF!</definedName>
    <definedName name="QE" localSheetId="17">[2]TARIF2002!#REF!</definedName>
    <definedName name="QE">[2]TARIF2002!#REF!</definedName>
    <definedName name="QE_TE" localSheetId="19">[2]TARIF2002!#REF!</definedName>
    <definedName name="QE_TE" localSheetId="10">[2]TARIF2002!#REF!</definedName>
    <definedName name="QE_TE" localSheetId="12">[2]TARIF2002!#REF!</definedName>
    <definedName name="QE_TE" localSheetId="13">[2]TARIF2002!#REF!</definedName>
    <definedName name="QE_TE" localSheetId="11">[2]TARIF2002!#REF!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[2]TARIF2002!#REF!</definedName>
    <definedName name="QI" localSheetId="19">[2]TARIF2002!#REF!</definedName>
    <definedName name="QI" localSheetId="10">[2]TARIF2002!#REF!</definedName>
    <definedName name="QI" localSheetId="12">[2]TARIF2002!#REF!</definedName>
    <definedName name="QI" localSheetId="13">[2]TARIF2002!#REF!</definedName>
    <definedName name="QI" localSheetId="11">[2]TARIF2002!#REF!</definedName>
    <definedName name="QI" localSheetId="14">[2]TARIF2002!#REF!</definedName>
    <definedName name="QI" localSheetId="15">[2]TARIF2002!#REF!</definedName>
    <definedName name="QI" localSheetId="16">[2]TARIF2002!#REF!</definedName>
    <definedName name="QI" localSheetId="17">[2]TARIF2002!#REF!</definedName>
    <definedName name="QI">[2]TARIF2002!#REF!</definedName>
    <definedName name="QI_TI" localSheetId="19">[2]TARIF2002!#REF!</definedName>
    <definedName name="QI_TI" localSheetId="10">[2]TARIF2002!#REF!</definedName>
    <definedName name="QI_TI" localSheetId="12">[2]TARIF2002!#REF!</definedName>
    <definedName name="QI_TI" localSheetId="13">[2]TARIF2002!#REF!</definedName>
    <definedName name="QI_TI" localSheetId="11">[2]TARIF2002!#REF!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[2]TARIF2002!#REF!</definedName>
    <definedName name="QN" localSheetId="19">[2]TARIF2002!#REF!</definedName>
    <definedName name="QN" localSheetId="10">[2]TARIF2002!#REF!</definedName>
    <definedName name="QN" localSheetId="12">[2]TARIF2002!#REF!</definedName>
    <definedName name="QN" localSheetId="13">[2]TARIF2002!#REF!</definedName>
    <definedName name="QN" localSheetId="11">[2]TARIF2002!#REF!</definedName>
    <definedName name="QN" localSheetId="14">[2]TARIF2002!#REF!</definedName>
    <definedName name="QN" localSheetId="15">[2]TARIF2002!#REF!</definedName>
    <definedName name="QN" localSheetId="16">[2]TARIF2002!#REF!</definedName>
    <definedName name="QN" localSheetId="17">[2]TARIF2002!#REF!</definedName>
    <definedName name="QN">[2]TARIF2002!#REF!</definedName>
    <definedName name="QN_QI" localSheetId="19">[2]TARIF2002!#REF!</definedName>
    <definedName name="QN_QI" localSheetId="10">[2]TARIF2002!#REF!</definedName>
    <definedName name="QN_QI" localSheetId="12">[2]TARIF2002!#REF!</definedName>
    <definedName name="QN_QI" localSheetId="13">[2]TARIF2002!#REF!</definedName>
    <definedName name="QN_QI" localSheetId="11">[2]TARIF2002!#REF!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[2]TARIF2002!#REF!</definedName>
    <definedName name="QNS" localSheetId="19">[3]TARIF2002!#REF!</definedName>
    <definedName name="QNS" localSheetId="10">[3]TARIF2002!#REF!</definedName>
    <definedName name="QNS" localSheetId="12">[3]TARIF2002!#REF!</definedName>
    <definedName name="QNS" localSheetId="13">[3]TARIF2002!#REF!</definedName>
    <definedName name="QNS" localSheetId="11">[3]TARIF2002!#REF!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[3]TARIF2002!#REF!</definedName>
    <definedName name="REG" localSheetId="19">#REF!</definedName>
    <definedName name="REG" localSheetId="10">#REF!</definedName>
    <definedName name="REG" localSheetId="12">#REF!</definedName>
    <definedName name="REG" localSheetId="13">#REF!</definedName>
    <definedName name="REG" localSheetId="11">#REF!</definedName>
    <definedName name="REG" localSheetId="14">#REF!</definedName>
    <definedName name="REG" localSheetId="15">#REF!</definedName>
    <definedName name="REG" localSheetId="16">#REF!</definedName>
    <definedName name="REG" localSheetId="17">#REF!</definedName>
    <definedName name="REG">#REF!</definedName>
    <definedName name="REGULAR" localSheetId="19">#REF!</definedName>
    <definedName name="REGULAR" localSheetId="10">#REF!</definedName>
    <definedName name="REGULAR" localSheetId="12">#REF!</definedName>
    <definedName name="REGULAR" localSheetId="13">#REF!</definedName>
    <definedName name="REGULAR" localSheetId="11">#REF!</definedName>
    <definedName name="REGULAR" localSheetId="14">#REF!</definedName>
    <definedName name="REGULAR" localSheetId="15">#REF!</definedName>
    <definedName name="REGULAR" localSheetId="16">#REF!</definedName>
    <definedName name="REGULAR" localSheetId="17">#REF!</definedName>
    <definedName name="REGULAR">#REF!</definedName>
    <definedName name="SOL" localSheetId="19">#REF!</definedName>
    <definedName name="SOL" localSheetId="10">#REF!</definedName>
    <definedName name="SOL" localSheetId="12">#REF!</definedName>
    <definedName name="SOL" localSheetId="13">#REF!</definedName>
    <definedName name="SOL" localSheetId="11">#REF!</definedName>
    <definedName name="SOL" localSheetId="14">#REF!</definedName>
    <definedName name="SOL" localSheetId="15">#REF!</definedName>
    <definedName name="SOL" localSheetId="16">#REF!</definedName>
    <definedName name="SOL" localSheetId="17">#REF!</definedName>
    <definedName name="SOL">#REF!</definedName>
    <definedName name="TE" localSheetId="19">[2]TARIF2002!#REF!</definedName>
    <definedName name="TE" localSheetId="10">[2]TARIF2002!#REF!</definedName>
    <definedName name="TE" localSheetId="12">[2]TARIF2002!#REF!</definedName>
    <definedName name="TE" localSheetId="13">[2]TARIF2002!#REF!</definedName>
    <definedName name="TE" localSheetId="11">[2]TARIF2002!#REF!</definedName>
    <definedName name="TE" localSheetId="14">[2]TARIF2002!#REF!</definedName>
    <definedName name="TE" localSheetId="15">[2]TARIF2002!#REF!</definedName>
    <definedName name="TE" localSheetId="16">[2]TARIF2002!#REF!</definedName>
    <definedName name="TE" localSheetId="17">[2]TARIF2002!#REF!</definedName>
    <definedName name="TE">[2]TARIF2002!#REF!</definedName>
    <definedName name="TI" localSheetId="19">[2]TARIF2002!#REF!</definedName>
    <definedName name="TI" localSheetId="10">[2]TARIF2002!#REF!</definedName>
    <definedName name="TI" localSheetId="12">[2]TARIF2002!#REF!</definedName>
    <definedName name="TI" localSheetId="13">[2]TARIF2002!#REF!</definedName>
    <definedName name="TI" localSheetId="11">[2]TARIF2002!#REF!</definedName>
    <definedName name="TI" localSheetId="14">[2]TARIF2002!#REF!</definedName>
    <definedName name="TI" localSheetId="15">[2]TARIF2002!#REF!</definedName>
    <definedName name="TI" localSheetId="16">[2]TARIF2002!#REF!</definedName>
    <definedName name="TI" localSheetId="17">[2]TARIF2002!#REF!</definedName>
    <definedName name="TI">[2]TARIF2002!#REF!</definedName>
    <definedName name="TITU" localSheetId="19">#REF!</definedName>
    <definedName name="TITU" localSheetId="10">#REF!</definedName>
    <definedName name="TITU" localSheetId="12">#REF!</definedName>
    <definedName name="TITU" localSheetId="13">#REF!</definedName>
    <definedName name="TITU" localSheetId="11">#REF!</definedName>
    <definedName name="TITU" localSheetId="14">#REF!</definedName>
    <definedName name="TITU" localSheetId="15">#REF!</definedName>
    <definedName name="TITU" localSheetId="16">#REF!</definedName>
    <definedName name="TITU" localSheetId="17">#REF!</definedName>
    <definedName name="TITU">#REF!</definedName>
    <definedName name="TOT" localSheetId="19">#REF!</definedName>
    <definedName name="TOT" localSheetId="10">#REF!</definedName>
    <definedName name="TOT" localSheetId="12">#REF!</definedName>
    <definedName name="TOT" localSheetId="13">#REF!</definedName>
    <definedName name="TOT" localSheetId="11">#REF!</definedName>
    <definedName name="TOT" localSheetId="14">#REF!</definedName>
    <definedName name="TOT" localSheetId="15">#REF!</definedName>
    <definedName name="TOT" localSheetId="16">#REF!</definedName>
    <definedName name="TOT" localSheetId="17">#REF!</definedName>
    <definedName name="TOT">#REF!</definedName>
    <definedName name="VAPUES" localSheetId="19">#REF!</definedName>
    <definedName name="VAPUES" localSheetId="15">#REF!</definedName>
    <definedName name="VAPUES" localSheetId="17">#REF!</definedName>
    <definedName name="VAPUES">#REF!</definedName>
    <definedName name="VAUPES2" localSheetId="19">#REF!</definedName>
    <definedName name="VAUPES2" localSheetId="10">#REF!</definedName>
    <definedName name="VAUPES2" localSheetId="12">#REF!</definedName>
    <definedName name="VAUPES2" localSheetId="13">#REF!</definedName>
    <definedName name="VAUPES2" localSheetId="11">#REF!</definedName>
    <definedName name="VAUPES2" localSheetId="14">#REF!</definedName>
    <definedName name="VAUPES2" localSheetId="15">#REF!</definedName>
    <definedName name="VAUPES2" localSheetId="16">#REF!</definedName>
    <definedName name="VAUPES2" localSheetId="17">#REF!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7" i="21" l="1"/>
  <c r="I35" i="12"/>
  <c r="I47" i="12"/>
  <c r="I46" i="12"/>
  <c r="I43" i="12"/>
  <c r="I42" i="12"/>
  <c r="I41" i="12"/>
  <c r="I45" i="12" s="1"/>
  <c r="I39" i="12"/>
  <c r="I38" i="12"/>
  <c r="I37" i="12"/>
  <c r="I36" i="12"/>
  <c r="D47" i="28"/>
  <c r="D46" i="28"/>
  <c r="D43" i="28"/>
  <c r="D42" i="28"/>
  <c r="D38" i="28"/>
  <c r="D37" i="28"/>
  <c r="D23" i="28"/>
  <c r="D22" i="28"/>
  <c r="D19" i="28"/>
  <c r="D18" i="28"/>
  <c r="D14" i="28"/>
  <c r="D13" i="28"/>
  <c r="D23" i="23"/>
  <c r="D22" i="23"/>
  <c r="D19" i="23"/>
  <c r="D18" i="23"/>
  <c r="D15" i="34"/>
  <c r="D14" i="34"/>
  <c r="E22" i="21"/>
  <c r="E18" i="21"/>
  <c r="E15" i="21"/>
  <c r="E14" i="21"/>
  <c r="E13" i="21"/>
  <c r="E11" i="21"/>
  <c r="D60" i="19"/>
  <c r="D22" i="19"/>
  <c r="D11" i="19"/>
  <c r="D25" i="17"/>
  <c r="D24" i="17"/>
  <c r="D21" i="17"/>
  <c r="D20" i="17"/>
  <c r="D16" i="17"/>
  <c r="D15" i="17"/>
  <c r="D14" i="17"/>
  <c r="D22" i="20"/>
  <c r="D15" i="20"/>
  <c r="D14" i="20"/>
  <c r="D13" i="20"/>
  <c r="D11" i="20"/>
  <c r="D21" i="15"/>
  <c r="D19" i="15"/>
  <c r="D14" i="15"/>
  <c r="D13" i="15"/>
  <c r="D35" i="12"/>
  <c r="D14" i="12"/>
  <c r="D13" i="12"/>
  <c r="D11" i="12"/>
  <c r="D24" i="11"/>
  <c r="D23" i="11"/>
  <c r="D20" i="11"/>
  <c r="D19" i="11"/>
  <c r="D15" i="11"/>
  <c r="D14" i="11"/>
  <c r="D11" i="11"/>
  <c r="D24" i="10"/>
  <c r="D23" i="10"/>
  <c r="D20" i="10"/>
  <c r="D19" i="10"/>
  <c r="D11" i="10"/>
  <c r="D23" i="9"/>
  <c r="D13" i="5"/>
  <c r="D12" i="5"/>
  <c r="D10" i="5"/>
  <c r="C28" i="3" l="1"/>
  <c r="C33" i="3"/>
  <c r="H45" i="28"/>
  <c r="H41" i="28"/>
  <c r="H21" i="28"/>
  <c r="H17" i="28"/>
  <c r="H21" i="23"/>
  <c r="H17" i="23"/>
  <c r="H11" i="10"/>
  <c r="L166" i="2"/>
  <c r="J11" i="21" l="1"/>
  <c r="O11" i="21"/>
  <c r="O10" i="21"/>
  <c r="O9" i="21"/>
  <c r="O6" i="21"/>
  <c r="O5" i="21"/>
  <c r="T6" i="2" l="1"/>
  <c r="T5" i="2"/>
  <c r="X6" i="2"/>
  <c r="X5" i="2"/>
  <c r="W6" i="2"/>
  <c r="W5" i="2"/>
  <c r="W4" i="2"/>
  <c r="Z7" i="2"/>
  <c r="Z6" i="2"/>
  <c r="AA6" i="2"/>
  <c r="AA5" i="2"/>
  <c r="Z5" i="2"/>
  <c r="Z15" i="2"/>
  <c r="E15" i="2"/>
  <c r="AA7" i="2" l="1"/>
  <c r="K6" i="34"/>
  <c r="L13" i="20"/>
  <c r="M13" i="20"/>
  <c r="O13" i="20"/>
  <c r="N13" i="20"/>
  <c r="L6" i="20"/>
  <c r="E22" i="20"/>
  <c r="L6" i="15"/>
  <c r="E21" i="15"/>
  <c r="E19" i="15"/>
  <c r="K24" i="11"/>
  <c r="K22" i="11"/>
  <c r="K20" i="11"/>
  <c r="K19" i="11"/>
  <c r="K18" i="11"/>
  <c r="K7" i="11"/>
  <c r="K6" i="11"/>
  <c r="K5" i="11"/>
  <c r="E24" i="11"/>
  <c r="E23" i="11"/>
  <c r="K23" i="11" s="1"/>
  <c r="E20" i="11"/>
  <c r="E19" i="11"/>
  <c r="L6" i="9"/>
  <c r="K45" i="12"/>
  <c r="K41" i="12"/>
  <c r="K36" i="12"/>
  <c r="K30" i="12"/>
  <c r="J6" i="12"/>
  <c r="E47" i="12"/>
  <c r="E46" i="12"/>
  <c r="E45" i="12"/>
  <c r="E43" i="12"/>
  <c r="E36" i="12"/>
  <c r="L45" i="28"/>
  <c r="L36" i="28"/>
  <c r="L35" i="28"/>
  <c r="L34" i="28"/>
  <c r="L21" i="28"/>
  <c r="L14" i="28"/>
  <c r="L38" i="28" s="1"/>
  <c r="L13" i="28"/>
  <c r="L37" i="28" s="1"/>
  <c r="E46" i="28"/>
  <c r="L46" i="28" s="1"/>
  <c r="E42" i="28"/>
  <c r="E22" i="28"/>
  <c r="L22" i="28" s="1"/>
  <c r="E18" i="28"/>
  <c r="E22" i="23"/>
  <c r="E18" i="23"/>
  <c r="L23" i="21"/>
  <c r="L22" i="21"/>
  <c r="L19" i="21"/>
  <c r="L18" i="21"/>
  <c r="L24" i="17"/>
  <c r="L15" i="17"/>
  <c r="L14" i="17"/>
  <c r="E24" i="17"/>
  <c r="E20" i="17"/>
  <c r="K14" i="10"/>
  <c r="K13" i="10"/>
  <c r="K12" i="10"/>
  <c r="E24" i="10"/>
  <c r="E23" i="10"/>
  <c r="K23" i="10" s="1"/>
  <c r="E20" i="10"/>
  <c r="E19" i="10"/>
  <c r="E14" i="9"/>
  <c r="E13" i="9"/>
  <c r="AC13" i="2"/>
  <c r="C1" i="9"/>
  <c r="N47" i="28"/>
  <c r="N46" i="28"/>
  <c r="N34" i="28"/>
  <c r="N23" i="28"/>
  <c r="N22" i="28"/>
  <c r="N14" i="28"/>
  <c r="N38" i="28" s="1"/>
  <c r="N13" i="28"/>
  <c r="N37" i="28" s="1"/>
  <c r="M12" i="23"/>
  <c r="M14" i="19"/>
  <c r="M13" i="19"/>
  <c r="N24" i="17"/>
  <c r="N23" i="17"/>
  <c r="L23" i="17" s="1"/>
  <c r="N20" i="17"/>
  <c r="L20" i="17" s="1"/>
  <c r="N15" i="17"/>
  <c r="N14" i="17"/>
  <c r="M15" i="17"/>
  <c r="M14" i="17"/>
  <c r="M10" i="17"/>
  <c r="N10" i="17"/>
  <c r="M23" i="10" l="1"/>
  <c r="M19" i="10"/>
  <c r="K19" i="10" s="1"/>
  <c r="M14" i="10"/>
  <c r="M13" i="10"/>
  <c r="L14" i="10"/>
  <c r="L13" i="10"/>
  <c r="C6" i="5" l="1"/>
  <c r="D7" i="5" s="1"/>
  <c r="C6" i="7"/>
  <c r="B6" i="7"/>
  <c r="B6" i="5"/>
  <c r="D8" i="5" s="1"/>
  <c r="D9" i="5" l="1"/>
  <c r="D57" i="19" s="1"/>
  <c r="H8" i="5"/>
  <c r="I8" i="5"/>
  <c r="G8" i="5"/>
  <c r="F8" i="5"/>
  <c r="E8" i="5"/>
  <c r="E12" i="7"/>
  <c r="H35" i="12"/>
  <c r="L35" i="12"/>
  <c r="L33" i="12"/>
  <c r="H12" i="7"/>
  <c r="G13" i="7"/>
  <c r="N11" i="21"/>
  <c r="N9" i="21"/>
  <c r="I13" i="21"/>
  <c r="J13" i="21" s="1"/>
  <c r="C13" i="21"/>
  <c r="I11" i="21"/>
  <c r="P39" i="28"/>
  <c r="P36" i="28"/>
  <c r="P14" i="28"/>
  <c r="P38" i="28" s="1"/>
  <c r="O14" i="28"/>
  <c r="M14" i="28"/>
  <c r="M13" i="28"/>
  <c r="P13" i="28"/>
  <c r="P37" i="28" s="1"/>
  <c r="O13" i="28"/>
  <c r="P10" i="28"/>
  <c r="P34" i="28" s="1"/>
  <c r="P9" i="28"/>
  <c r="P33" i="28" s="1"/>
  <c r="N14" i="34"/>
  <c r="M14" i="34"/>
  <c r="C14" i="34"/>
  <c r="E14" i="34" s="1"/>
  <c r="O10" i="23"/>
  <c r="O9" i="23"/>
  <c r="O6" i="23"/>
  <c r="O5" i="23"/>
  <c r="I73" i="19"/>
  <c r="I72" i="19"/>
  <c r="I60" i="19"/>
  <c r="O14" i="19"/>
  <c r="O13" i="19"/>
  <c r="O11" i="19"/>
  <c r="O9" i="19"/>
  <c r="O6" i="19"/>
  <c r="O5" i="19"/>
  <c r="I11" i="19"/>
  <c r="K12" i="19"/>
  <c r="P14" i="17"/>
  <c r="P9" i="17"/>
  <c r="P6" i="17"/>
  <c r="P5" i="17"/>
  <c r="O11" i="10"/>
  <c r="O22" i="10"/>
  <c r="M22" i="10" s="1"/>
  <c r="K22" i="10" s="1"/>
  <c r="B28" i="23"/>
  <c r="B29" i="10"/>
  <c r="L9" i="38"/>
  <c r="AY42" i="2"/>
  <c r="K14" i="34" l="1"/>
  <c r="G18" i="38"/>
  <c r="E21" i="38"/>
  <c r="E23" i="38" s="1"/>
  <c r="E25" i="38" s="1"/>
  <c r="K9" i="12" l="1"/>
  <c r="H11" i="12"/>
  <c r="M9" i="9"/>
  <c r="N20" i="34"/>
  <c r="N9" i="34"/>
  <c r="N6" i="34"/>
  <c r="N5" i="34"/>
  <c r="O14" i="20"/>
  <c r="P13" i="20"/>
  <c r="O9" i="20"/>
  <c r="O6" i="20"/>
  <c r="O5" i="20"/>
  <c r="I11" i="20"/>
  <c r="O11" i="20" s="1"/>
  <c r="O12" i="15"/>
  <c r="O9" i="15"/>
  <c r="L46" i="12"/>
  <c r="L52" i="12"/>
  <c r="M55" i="12"/>
  <c r="M63" i="12" s="1"/>
  <c r="M67" i="12" s="1"/>
  <c r="L56" i="12"/>
  <c r="M56" i="12"/>
  <c r="L57" i="12"/>
  <c r="M57" i="12"/>
  <c r="M58" i="12"/>
  <c r="L60" i="12"/>
  <c r="M60" i="12"/>
  <c r="M62" i="12"/>
  <c r="M69" i="12"/>
  <c r="L70" i="12"/>
  <c r="M70" i="12"/>
  <c r="L76" i="12"/>
  <c r="M79" i="12"/>
  <c r="M87" i="12" s="1"/>
  <c r="M91" i="12" s="1"/>
  <c r="L80" i="12"/>
  <c r="M80" i="12"/>
  <c r="L81" i="12"/>
  <c r="M81" i="12"/>
  <c r="M82" i="12"/>
  <c r="L84" i="12"/>
  <c r="M84" i="12"/>
  <c r="M86" i="12"/>
  <c r="M93" i="12"/>
  <c r="L94" i="12"/>
  <c r="M94" i="12"/>
  <c r="N10" i="11"/>
  <c r="N9" i="11"/>
  <c r="N6" i="11"/>
  <c r="N5" i="11"/>
  <c r="I13" i="11"/>
  <c r="H10" i="7"/>
  <c r="I11" i="11"/>
  <c r="N11" i="11" s="1"/>
  <c r="H14" i="9"/>
  <c r="H13" i="9"/>
  <c r="O7" i="5"/>
  <c r="O9" i="5" s="1"/>
  <c r="O8" i="5"/>
  <c r="I8" i="7"/>
  <c r="J8" i="7"/>
  <c r="J7" i="7"/>
  <c r="I7" i="7"/>
  <c r="C13" i="28"/>
  <c r="C13" i="23"/>
  <c r="I14" i="34"/>
  <c r="C14" i="21"/>
  <c r="P14" i="20"/>
  <c r="N14" i="20"/>
  <c r="C14" i="20"/>
  <c r="E14" i="20" s="1"/>
  <c r="L14" i="20" s="1"/>
  <c r="AA54" i="2"/>
  <c r="C13" i="20"/>
  <c r="N14" i="19"/>
  <c r="L14" i="19"/>
  <c r="C14" i="19"/>
  <c r="D14" i="19" s="1"/>
  <c r="N13" i="19"/>
  <c r="L13" i="19"/>
  <c r="C13" i="19"/>
  <c r="D13" i="19" s="1"/>
  <c r="C15" i="17"/>
  <c r="H15" i="17" s="1"/>
  <c r="O14" i="17"/>
  <c r="C14" i="17"/>
  <c r="N13" i="15"/>
  <c r="C13" i="15"/>
  <c r="C38" i="12"/>
  <c r="C37" i="12"/>
  <c r="E37" i="12" s="1"/>
  <c r="J13" i="12"/>
  <c r="C13" i="12"/>
  <c r="E13" i="12" s="1"/>
  <c r="M14" i="11"/>
  <c r="L14" i="11"/>
  <c r="AU28" i="2"/>
  <c r="C14" i="10"/>
  <c r="L13" i="9"/>
  <c r="K13" i="9"/>
  <c r="C13" i="10"/>
  <c r="C13" i="9"/>
  <c r="D13" i="9" s="1"/>
  <c r="E10" i="7"/>
  <c r="E13" i="28" l="1"/>
  <c r="H13" i="28"/>
  <c r="H13" i="23"/>
  <c r="D13" i="23"/>
  <c r="E14" i="17"/>
  <c r="H14" i="17"/>
  <c r="H13" i="10"/>
  <c r="D13" i="10"/>
  <c r="H14" i="10"/>
  <c r="D14" i="10"/>
  <c r="G13" i="23"/>
  <c r="M13" i="23" s="1"/>
  <c r="K13" i="23"/>
  <c r="E13" i="23"/>
  <c r="L38" i="12"/>
  <c r="E38" i="12"/>
  <c r="G15" i="17"/>
  <c r="E15" i="17"/>
  <c r="I13" i="20"/>
  <c r="E13" i="20"/>
  <c r="I13" i="15"/>
  <c r="E13" i="15"/>
  <c r="L13" i="15" s="1"/>
  <c r="E37" i="28"/>
  <c r="G14" i="10"/>
  <c r="E14" i="10"/>
  <c r="G13" i="10"/>
  <c r="E13" i="10"/>
  <c r="K13" i="19"/>
  <c r="G13" i="19"/>
  <c r="K14" i="19"/>
  <c r="G14" i="19"/>
  <c r="J14" i="17"/>
  <c r="G14" i="17"/>
  <c r="O13" i="15"/>
  <c r="J13" i="23"/>
  <c r="I13" i="23"/>
  <c r="J9" i="7"/>
  <c r="L55" i="12" s="1"/>
  <c r="I9" i="7"/>
  <c r="P8" i="15" s="1"/>
  <c r="J12" i="7"/>
  <c r="I12" i="7"/>
  <c r="J11" i="20" s="1"/>
  <c r="D12" i="7"/>
  <c r="J10" i="7"/>
  <c r="I10" i="7"/>
  <c r="D10" i="7"/>
  <c r="E12" i="5"/>
  <c r="E10" i="5"/>
  <c r="O7" i="7"/>
  <c r="H8" i="7"/>
  <c r="H7" i="7"/>
  <c r="O9" i="34"/>
  <c r="P9" i="20"/>
  <c r="P9" i="15"/>
  <c r="K12" i="7"/>
  <c r="O9" i="11"/>
  <c r="E8" i="7"/>
  <c r="M23" i="34"/>
  <c r="M22" i="34"/>
  <c r="M19" i="34"/>
  <c r="M18" i="34"/>
  <c r="M6" i="34"/>
  <c r="L9" i="15" l="1"/>
  <c r="K9" i="10"/>
  <c r="L9" i="21"/>
  <c r="K9" i="34"/>
  <c r="K9" i="19"/>
  <c r="L9" i="28"/>
  <c r="K9" i="23"/>
  <c r="L9" i="17"/>
  <c r="J9" i="12"/>
  <c r="K33" i="12" s="1"/>
  <c r="K9" i="11"/>
  <c r="L33" i="28"/>
  <c r="L9" i="20"/>
  <c r="L9" i="9"/>
  <c r="H10" i="5"/>
  <c r="E35" i="12"/>
  <c r="F11" i="21"/>
  <c r="K11" i="11"/>
  <c r="E11" i="12"/>
  <c r="E11" i="11"/>
  <c r="E11" i="19"/>
  <c r="L11" i="21"/>
  <c r="J11" i="12"/>
  <c r="K35" i="12" s="1"/>
  <c r="E11" i="20"/>
  <c r="L11" i="20" s="1"/>
  <c r="E11" i="10"/>
  <c r="K11" i="10" s="1"/>
  <c r="H12" i="5"/>
  <c r="L79" i="12"/>
  <c r="P8" i="20"/>
  <c r="O8" i="34"/>
  <c r="O8" i="11"/>
  <c r="H9" i="7"/>
  <c r="O8" i="21" s="1"/>
  <c r="J11" i="11"/>
  <c r="N6" i="20"/>
  <c r="N6" i="15"/>
  <c r="M23" i="11"/>
  <c r="M22" i="11"/>
  <c r="M6" i="11"/>
  <c r="AX41" i="2"/>
  <c r="AX40" i="2"/>
  <c r="AW41" i="2"/>
  <c r="AW40" i="2"/>
  <c r="AV41" i="2"/>
  <c r="AV40" i="2"/>
  <c r="C13" i="7"/>
  <c r="D13" i="7" s="1"/>
  <c r="E13" i="7" s="1"/>
  <c r="F13" i="7" s="1"/>
  <c r="H13" i="7" s="1"/>
  <c r="J13" i="7" s="1"/>
  <c r="E13" i="5"/>
  <c r="C14" i="28"/>
  <c r="C14" i="23"/>
  <c r="C15" i="34"/>
  <c r="E15" i="34" s="1"/>
  <c r="C15" i="21"/>
  <c r="C15" i="20"/>
  <c r="C15" i="19"/>
  <c r="C16" i="17"/>
  <c r="C14" i="15"/>
  <c r="C14" i="12"/>
  <c r="E14" i="12" s="1"/>
  <c r="C15" i="11"/>
  <c r="C15" i="10"/>
  <c r="D15" i="10" s="1"/>
  <c r="C14" i="9"/>
  <c r="D14" i="9" s="1"/>
  <c r="AP28" i="2"/>
  <c r="AC40" i="2"/>
  <c r="AC41" i="2"/>
  <c r="AD40" i="2"/>
  <c r="AD41" i="2"/>
  <c r="AL40" i="2"/>
  <c r="F12" i="7"/>
  <c r="D10" i="24" s="1"/>
  <c r="F10" i="7"/>
  <c r="F8" i="7"/>
  <c r="F7" i="7"/>
  <c r="B36" i="3"/>
  <c r="L3" i="7"/>
  <c r="G36" i="3" l="1"/>
  <c r="D8" i="20" s="1"/>
  <c r="D17" i="20" s="1"/>
  <c r="D21" i="20" s="1"/>
  <c r="H36" i="3"/>
  <c r="E14" i="28"/>
  <c r="H14" i="28"/>
  <c r="H14" i="23"/>
  <c r="D14" i="23"/>
  <c r="G15" i="19"/>
  <c r="D15" i="19"/>
  <c r="E16" i="17"/>
  <c r="L16" i="17" s="1"/>
  <c r="H16" i="17"/>
  <c r="K15" i="10"/>
  <c r="H15" i="10"/>
  <c r="K15" i="34"/>
  <c r="K14" i="23"/>
  <c r="E14" i="23"/>
  <c r="I15" i="20"/>
  <c r="E15" i="20"/>
  <c r="I14" i="15"/>
  <c r="E14" i="15"/>
  <c r="I15" i="11"/>
  <c r="E15" i="11"/>
  <c r="K15" i="11" s="1"/>
  <c r="E38" i="28"/>
  <c r="G16" i="17"/>
  <c r="N16" i="17"/>
  <c r="G15" i="10"/>
  <c r="M15" i="10" s="1"/>
  <c r="E15" i="10"/>
  <c r="J14" i="23"/>
  <c r="G14" i="23"/>
  <c r="M14" i="23" s="1"/>
  <c r="O8" i="23"/>
  <c r="O8" i="19"/>
  <c r="P8" i="28"/>
  <c r="O8" i="10"/>
  <c r="I57" i="19"/>
  <c r="P8" i="17"/>
  <c r="M8" i="9"/>
  <c r="K8" i="12"/>
  <c r="I15" i="34"/>
  <c r="N15" i="34"/>
  <c r="N15" i="19"/>
  <c r="K15" i="19"/>
  <c r="O8" i="15"/>
  <c r="N8" i="11"/>
  <c r="O8" i="20"/>
  <c r="N8" i="34"/>
  <c r="I36" i="3"/>
  <c r="J36" i="3"/>
  <c r="G8" i="20" s="1"/>
  <c r="F9" i="7"/>
  <c r="D8" i="24" s="1"/>
  <c r="L15" i="20" l="1"/>
  <c r="L14" i="15"/>
  <c r="P32" i="28"/>
  <c r="M47" i="28"/>
  <c r="P47" i="28" s="1"/>
  <c r="M46" i="28"/>
  <c r="M45" i="28"/>
  <c r="K47" i="28"/>
  <c r="M38" i="28"/>
  <c r="M37" i="28"/>
  <c r="M34" i="28"/>
  <c r="M23" i="28"/>
  <c r="P23" i="28" s="1"/>
  <c r="M22" i="28"/>
  <c r="M21" i="28"/>
  <c r="K14" i="28"/>
  <c r="F39" i="28"/>
  <c r="F34" i="28"/>
  <c r="F33" i="28"/>
  <c r="F14" i="28"/>
  <c r="F38" i="28" s="1"/>
  <c r="F13" i="28"/>
  <c r="F37" i="28" s="1"/>
  <c r="L21" i="23"/>
  <c r="K21" i="23"/>
  <c r="L17" i="23"/>
  <c r="L14" i="23"/>
  <c r="L13" i="23"/>
  <c r="O13" i="23" s="1"/>
  <c r="K12" i="23"/>
  <c r="F21" i="23"/>
  <c r="M21" i="23" s="1"/>
  <c r="F17" i="23"/>
  <c r="L68" i="19"/>
  <c r="L67" i="19"/>
  <c r="K67" i="19"/>
  <c r="F68" i="19"/>
  <c r="F67" i="19"/>
  <c r="I67" i="19" s="1"/>
  <c r="L24" i="19"/>
  <c r="L23" i="19"/>
  <c r="L20" i="19"/>
  <c r="L19" i="19"/>
  <c r="L18" i="19"/>
  <c r="L22" i="19" s="1"/>
  <c r="K18" i="19"/>
  <c r="L12" i="19"/>
  <c r="F24" i="19"/>
  <c r="F23" i="19"/>
  <c r="F20" i="19"/>
  <c r="F19" i="19"/>
  <c r="F18" i="19"/>
  <c r="F22" i="19" s="1"/>
  <c r="M23" i="17"/>
  <c r="M24" i="17"/>
  <c r="M20" i="17"/>
  <c r="M16" i="17"/>
  <c r="F23" i="17"/>
  <c r="G23" i="17" s="1"/>
  <c r="H23" i="17" s="1"/>
  <c r="F19" i="17"/>
  <c r="J17" i="23" l="1"/>
  <c r="M17" i="23"/>
  <c r="G19" i="17"/>
  <c r="H19" i="17" s="1"/>
  <c r="J19" i="17"/>
  <c r="F11" i="17"/>
  <c r="J11" i="17" s="1"/>
  <c r="N11" i="17" s="1"/>
  <c r="AE57" i="2" l="1"/>
  <c r="AE56" i="2"/>
  <c r="AE55" i="2"/>
  <c r="AE54" i="2"/>
  <c r="AE53" i="2"/>
  <c r="AE52" i="2"/>
  <c r="AE51" i="2"/>
  <c r="AE50" i="2"/>
  <c r="AE49" i="2"/>
  <c r="AD57" i="2"/>
  <c r="AD56" i="2"/>
  <c r="AD55" i="2"/>
  <c r="AD54" i="2"/>
  <c r="AD53" i="2"/>
  <c r="AD52" i="2"/>
  <c r="AD51" i="2"/>
  <c r="AD50" i="2"/>
  <c r="AD49" i="2"/>
  <c r="AC57" i="2"/>
  <c r="AC56" i="2"/>
  <c r="AC55" i="2"/>
  <c r="AC54" i="2"/>
  <c r="AC53" i="2"/>
  <c r="AC52" i="2"/>
  <c r="AC51" i="2"/>
  <c r="AC50" i="2"/>
  <c r="AC49" i="2"/>
  <c r="AY43" i="2"/>
  <c r="AY41" i="2"/>
  <c r="AY40" i="2"/>
  <c r="AY39" i="2"/>
  <c r="AX43" i="2"/>
  <c r="AX42" i="2"/>
  <c r="AX46" i="2"/>
  <c r="AX39" i="2"/>
  <c r="AW43" i="2"/>
  <c r="AW42" i="2"/>
  <c r="AW39" i="2"/>
  <c r="AV43" i="2"/>
  <c r="AV42" i="2"/>
  <c r="AV39" i="2"/>
  <c r="AU43" i="2"/>
  <c r="AU42" i="2"/>
  <c r="AU41" i="2"/>
  <c r="AU40" i="2"/>
  <c r="AU39" i="2"/>
  <c r="AU32" i="2"/>
  <c r="AU31" i="2"/>
  <c r="AU30" i="2"/>
  <c r="AU29" i="2"/>
  <c r="AD21" i="2"/>
  <c r="AD20" i="2"/>
  <c r="AD19" i="2"/>
  <c r="AD18" i="2"/>
  <c r="AD17" i="2"/>
  <c r="AD16" i="2"/>
  <c r="AD15" i="2"/>
  <c r="AC21" i="2"/>
  <c r="AC20" i="2"/>
  <c r="AC19" i="2"/>
  <c r="AC18" i="2"/>
  <c r="AC17" i="2"/>
  <c r="AC16" i="2"/>
  <c r="AC15" i="2"/>
  <c r="C14" i="11" s="1"/>
  <c r="E14" i="11" s="1"/>
  <c r="AC14" i="2"/>
  <c r="AD14" i="2"/>
  <c r="AD13" i="2"/>
  <c r="O9" i="28"/>
  <c r="N9" i="23"/>
  <c r="H60" i="19"/>
  <c r="G8" i="7"/>
  <c r="G12" i="7"/>
  <c r="N11" i="19" s="1"/>
  <c r="G10" i="7"/>
  <c r="N9" i="10" s="1"/>
  <c r="I11" i="10"/>
  <c r="K6" i="19"/>
  <c r="F10" i="5"/>
  <c r="F12" i="5"/>
  <c r="K30" i="28"/>
  <c r="K6" i="28"/>
  <c r="G10" i="5"/>
  <c r="G12" i="5"/>
  <c r="C36" i="3"/>
  <c r="C29" i="3"/>
  <c r="M9" i="21" l="1"/>
  <c r="I10" i="5"/>
  <c r="G11" i="21"/>
  <c r="M11" i="21"/>
  <c r="F11" i="10"/>
  <c r="L11" i="10" s="1"/>
  <c r="I12" i="5"/>
  <c r="K14" i="11"/>
  <c r="L58" i="19"/>
  <c r="M9" i="17"/>
  <c r="M33" i="28"/>
  <c r="M9" i="28"/>
  <c r="L9" i="19"/>
  <c r="L9" i="10"/>
  <c r="L9" i="23"/>
  <c r="K11" i="19"/>
  <c r="F11" i="19"/>
  <c r="L11" i="19" s="1"/>
  <c r="F60" i="19"/>
  <c r="L60" i="19" s="1"/>
  <c r="L36" i="3"/>
  <c r="M36" i="3"/>
  <c r="I8" i="20" s="1"/>
  <c r="N11" i="20"/>
  <c r="F11" i="12"/>
  <c r="G11" i="20"/>
  <c r="G11" i="11"/>
  <c r="M11" i="11"/>
  <c r="F11" i="20"/>
  <c r="L11" i="11"/>
  <c r="F11" i="11"/>
  <c r="M9" i="34"/>
  <c r="N9" i="15"/>
  <c r="M9" i="11"/>
  <c r="N9" i="20"/>
  <c r="K9" i="28"/>
  <c r="L9" i="34"/>
  <c r="M9" i="20"/>
  <c r="M9" i="15"/>
  <c r="L9" i="11"/>
  <c r="K9" i="9"/>
  <c r="K33" i="28"/>
  <c r="N11" i="10"/>
  <c r="O9" i="17"/>
  <c r="N9" i="19"/>
  <c r="K6" i="9"/>
  <c r="L6" i="34"/>
  <c r="M6" i="20"/>
  <c r="M6" i="15"/>
  <c r="L6" i="11"/>
  <c r="G11" i="19" l="1"/>
  <c r="M11" i="19" s="1"/>
  <c r="G11" i="10"/>
  <c r="M11" i="10" s="1"/>
  <c r="N9" i="17"/>
  <c r="N9" i="28"/>
  <c r="N33" i="28" s="1"/>
  <c r="M9" i="19"/>
  <c r="M9" i="23"/>
  <c r="M9" i="10"/>
  <c r="AA52" i="2"/>
  <c r="AA50" i="2"/>
  <c r="AB57" i="2"/>
  <c r="Y57" i="2"/>
  <c r="AA57" i="2"/>
  <c r="X57" i="2"/>
  <c r="AA56" i="2"/>
  <c r="Z57" i="2" l="1"/>
  <c r="W57" i="2"/>
  <c r="Z56" i="2"/>
  <c r="Z54" i="2"/>
  <c r="Z52" i="2"/>
  <c r="Z50" i="2"/>
  <c r="AA21" i="2"/>
  <c r="AA20" i="2"/>
  <c r="AA19" i="2"/>
  <c r="AA18" i="2"/>
  <c r="AA17" i="2"/>
  <c r="AA16" i="2"/>
  <c r="AA15" i="2"/>
  <c r="AA14" i="2"/>
  <c r="AA13" i="2"/>
  <c r="Z21" i="2"/>
  <c r="Z19" i="2"/>
  <c r="Z20" i="2"/>
  <c r="Z16" i="2"/>
  <c r="Z14" i="2"/>
  <c r="Z17" i="2"/>
  <c r="Z13" i="2"/>
  <c r="O12" i="7" l="1"/>
  <c r="P12" i="7" s="1"/>
  <c r="O10" i="7"/>
  <c r="P10" i="7" s="1"/>
  <c r="R10" i="7"/>
  <c r="O8" i="7"/>
  <c r="P8" i="7" s="1"/>
  <c r="O9" i="7" l="1"/>
  <c r="B28" i="3"/>
  <c r="J28" i="3" l="1"/>
  <c r="G28" i="3"/>
  <c r="D8" i="9" s="1"/>
  <c r="D16" i="9" s="1"/>
  <c r="D21" i="9" s="1"/>
  <c r="H28" i="3"/>
  <c r="I28" i="3"/>
  <c r="G8" i="9"/>
  <c r="E8" i="9"/>
  <c r="E16" i="9" s="1"/>
  <c r="E21" i="9" s="1"/>
  <c r="O30" i="28"/>
  <c r="O29" i="28"/>
  <c r="W50" i="2" l="1"/>
  <c r="O6" i="28"/>
  <c r="O5" i="28"/>
  <c r="N6" i="23"/>
  <c r="N5" i="23"/>
  <c r="N6" i="19"/>
  <c r="N5" i="19"/>
  <c r="O6" i="17"/>
  <c r="O5" i="17"/>
  <c r="N6" i="10" l="1"/>
  <c r="N5" i="10"/>
  <c r="O5" i="11"/>
  <c r="K9" i="21"/>
  <c r="K11" i="21"/>
  <c r="D11" i="21"/>
  <c r="L10" i="7"/>
  <c r="M10" i="7" s="1"/>
  <c r="D6" i="7"/>
  <c r="R12" i="7"/>
  <c r="S12" i="7" s="1"/>
  <c r="L12" i="7"/>
  <c r="M12" i="7" s="1"/>
  <c r="R8" i="7"/>
  <c r="S8" i="7" s="1"/>
  <c r="R7" i="7"/>
  <c r="S7" i="7" s="1"/>
  <c r="L8" i="7"/>
  <c r="M8" i="7" s="1"/>
  <c r="M12" i="5"/>
  <c r="N12" i="5" s="1"/>
  <c r="M10" i="5"/>
  <c r="N10" i="5" s="1"/>
  <c r="M8" i="5"/>
  <c r="N8" i="5" s="1"/>
  <c r="K10" i="5"/>
  <c r="L10" i="5" s="1"/>
  <c r="K12" i="5"/>
  <c r="L12" i="5" s="1"/>
  <c r="J14" i="5"/>
  <c r="E7" i="7" l="1"/>
  <c r="E9" i="7" s="1"/>
  <c r="G7" i="7"/>
  <c r="L7" i="7"/>
  <c r="M7" i="7" s="1"/>
  <c r="R9" i="7"/>
  <c r="S9" i="7" s="1"/>
  <c r="G9" i="7" l="1"/>
  <c r="P7" i="7"/>
  <c r="J8" i="5"/>
  <c r="K48" i="19"/>
  <c r="J48" i="19"/>
  <c r="H48" i="19"/>
  <c r="F48" i="19"/>
  <c r="E48" i="19"/>
  <c r="E47" i="19"/>
  <c r="J47" i="19" s="1"/>
  <c r="C46" i="19"/>
  <c r="K44" i="19"/>
  <c r="J44" i="19"/>
  <c r="H44" i="19"/>
  <c r="F44" i="19"/>
  <c r="E44" i="19"/>
  <c r="K43" i="19"/>
  <c r="J43" i="19"/>
  <c r="H43" i="19"/>
  <c r="F43" i="19"/>
  <c r="E43" i="19"/>
  <c r="K42" i="19"/>
  <c r="K46" i="19" s="1"/>
  <c r="E42" i="19"/>
  <c r="E46" i="19" s="1"/>
  <c r="C39" i="19"/>
  <c r="J39" i="19" s="1"/>
  <c r="K39" i="19" s="1"/>
  <c r="C38" i="19"/>
  <c r="H38" i="19" s="1"/>
  <c r="C37" i="19"/>
  <c r="E37" i="19" s="1"/>
  <c r="J36" i="19"/>
  <c r="H36" i="19"/>
  <c r="F36" i="19"/>
  <c r="E36" i="19"/>
  <c r="K35" i="19"/>
  <c r="H35" i="19"/>
  <c r="F35" i="19"/>
  <c r="E35" i="19"/>
  <c r="C35" i="19"/>
  <c r="J35" i="19" s="1"/>
  <c r="K34" i="19"/>
  <c r="K33" i="19"/>
  <c r="J33" i="19"/>
  <c r="K32" i="19"/>
  <c r="H32" i="19"/>
  <c r="H30" i="19"/>
  <c r="K30" i="19" s="1"/>
  <c r="H29" i="19"/>
  <c r="K29" i="19" s="1"/>
  <c r="H11" i="19"/>
  <c r="C11" i="19"/>
  <c r="K94" i="12"/>
  <c r="J94" i="12"/>
  <c r="I94" i="12"/>
  <c r="G94" i="12"/>
  <c r="D94" i="12"/>
  <c r="I93" i="12"/>
  <c r="D93" i="12"/>
  <c r="J90" i="12"/>
  <c r="G90" i="12"/>
  <c r="I90" i="12" s="1"/>
  <c r="K89" i="12"/>
  <c r="L89" i="12" s="1"/>
  <c r="M89" i="12" s="1"/>
  <c r="J89" i="12"/>
  <c r="I89" i="12"/>
  <c r="G89" i="12"/>
  <c r="D89" i="12"/>
  <c r="G88" i="12"/>
  <c r="D88" i="12"/>
  <c r="C85" i="12"/>
  <c r="C84" i="12"/>
  <c r="J83" i="12"/>
  <c r="I83" i="12"/>
  <c r="G83" i="12"/>
  <c r="D83" i="12"/>
  <c r="L83" i="12" s="1"/>
  <c r="K82" i="12"/>
  <c r="J82" i="12"/>
  <c r="I82" i="12"/>
  <c r="L82" i="12" s="1"/>
  <c r="L87" i="12" s="1"/>
  <c r="L91" i="12" s="1"/>
  <c r="G82" i="12"/>
  <c r="D82" i="12"/>
  <c r="C82" i="12"/>
  <c r="K81" i="12"/>
  <c r="C81" i="12"/>
  <c r="K80" i="12"/>
  <c r="C80" i="12"/>
  <c r="I77" i="12"/>
  <c r="L77" i="12" s="1"/>
  <c r="K58" i="12"/>
  <c r="J58" i="12"/>
  <c r="I58" i="12"/>
  <c r="L58" i="12" s="1"/>
  <c r="G58" i="12"/>
  <c r="D58" i="12"/>
  <c r="C58" i="12"/>
  <c r="K56" i="12"/>
  <c r="C61" i="12"/>
  <c r="C60" i="12"/>
  <c r="C44" i="3"/>
  <c r="D44" i="3" s="1"/>
  <c r="E44" i="3"/>
  <c r="B44" i="3"/>
  <c r="C32" i="19" s="1"/>
  <c r="E43" i="3"/>
  <c r="C43" i="3"/>
  <c r="L43" i="3" s="1"/>
  <c r="C42" i="3"/>
  <c r="L42" i="3" s="1"/>
  <c r="E42" i="3"/>
  <c r="B43" i="3"/>
  <c r="H43" i="3" s="1"/>
  <c r="D79" i="12" s="1"/>
  <c r="B42" i="3"/>
  <c r="C55" i="12" s="1"/>
  <c r="K70" i="12"/>
  <c r="J70" i="12"/>
  <c r="I70" i="12"/>
  <c r="G70" i="12"/>
  <c r="D70" i="12"/>
  <c r="I69" i="12"/>
  <c r="D69" i="12"/>
  <c r="J66" i="12"/>
  <c r="G66" i="12"/>
  <c r="I66" i="12" s="1"/>
  <c r="K65" i="12"/>
  <c r="L65" i="12" s="1"/>
  <c r="M65" i="12" s="1"/>
  <c r="J65" i="12"/>
  <c r="I65" i="12"/>
  <c r="G65" i="12"/>
  <c r="D65" i="12"/>
  <c r="G64" i="12"/>
  <c r="D64" i="12"/>
  <c r="J59" i="12"/>
  <c r="I59" i="12"/>
  <c r="G59" i="12"/>
  <c r="D59" i="12"/>
  <c r="L59" i="12" s="1"/>
  <c r="C57" i="12"/>
  <c r="C56" i="12"/>
  <c r="I53" i="12"/>
  <c r="L53" i="12" s="1"/>
  <c r="N8" i="21" l="1"/>
  <c r="L32" i="12"/>
  <c r="G92" i="12"/>
  <c r="C92" i="12" s="1"/>
  <c r="M88" i="12"/>
  <c r="L63" i="12"/>
  <c r="L67" i="12" s="1"/>
  <c r="M59" i="12"/>
  <c r="K59" i="12" s="1"/>
  <c r="M83" i="12"/>
  <c r="K83" i="12" s="1"/>
  <c r="J64" i="12"/>
  <c r="M64" i="12"/>
  <c r="H57" i="19"/>
  <c r="N8" i="10"/>
  <c r="N8" i="19"/>
  <c r="O8" i="17"/>
  <c r="O8" i="28"/>
  <c r="N8" i="23"/>
  <c r="P9" i="7"/>
  <c r="F13" i="19"/>
  <c r="F14" i="19"/>
  <c r="L15" i="19"/>
  <c r="F15" i="19"/>
  <c r="H37" i="19"/>
  <c r="J37" i="19"/>
  <c r="I61" i="12"/>
  <c r="I85" i="12"/>
  <c r="C41" i="19"/>
  <c r="C45" i="19" s="1"/>
  <c r="K38" i="19"/>
  <c r="F44" i="3"/>
  <c r="F32" i="19" s="1"/>
  <c r="J88" i="12"/>
  <c r="G84" i="12"/>
  <c r="J85" i="12"/>
  <c r="I88" i="12"/>
  <c r="O43" i="3"/>
  <c r="I79" i="12" s="1"/>
  <c r="F42" i="19"/>
  <c r="F46" i="19" s="1"/>
  <c r="C79" i="12"/>
  <c r="C87" i="12" s="1"/>
  <c r="C91" i="12" s="1"/>
  <c r="H42" i="3"/>
  <c r="D55" i="12" s="1"/>
  <c r="D43" i="3"/>
  <c r="F43" i="3" s="1"/>
  <c r="G79" i="12" s="1"/>
  <c r="J55" i="12"/>
  <c r="J79" i="12"/>
  <c r="O42" i="3"/>
  <c r="I55" i="12" s="1"/>
  <c r="H44" i="3"/>
  <c r="E32" i="19" s="1"/>
  <c r="F37" i="19"/>
  <c r="J38" i="19"/>
  <c r="K37" i="19"/>
  <c r="E39" i="19"/>
  <c r="F39" i="19"/>
  <c r="K36" i="19"/>
  <c r="K41" i="19" s="1"/>
  <c r="K45" i="19" s="1"/>
  <c r="E38" i="19"/>
  <c r="H39" i="19"/>
  <c r="F38" i="19"/>
  <c r="D92" i="12"/>
  <c r="I92" i="12"/>
  <c r="K84" i="12"/>
  <c r="D84" i="12"/>
  <c r="K85" i="12"/>
  <c r="C90" i="12"/>
  <c r="K90" i="12" s="1"/>
  <c r="M90" i="12" s="1"/>
  <c r="L90" i="12" s="1"/>
  <c r="D90" i="12"/>
  <c r="I84" i="12"/>
  <c r="D85" i="12"/>
  <c r="J84" i="12"/>
  <c r="G85" i="12"/>
  <c r="I64" i="12"/>
  <c r="G68" i="12"/>
  <c r="C68" i="12" s="1"/>
  <c r="G60" i="12"/>
  <c r="C63" i="12"/>
  <c r="C67" i="12" s="1"/>
  <c r="L44" i="3"/>
  <c r="D42" i="3"/>
  <c r="F42" i="3" s="1"/>
  <c r="G55" i="12" s="1"/>
  <c r="J68" i="12"/>
  <c r="K69" i="12"/>
  <c r="J61" i="12"/>
  <c r="D60" i="12"/>
  <c r="K61" i="12"/>
  <c r="C66" i="12"/>
  <c r="K66" i="12" s="1"/>
  <c r="M66" i="12" s="1"/>
  <c r="L66" i="12" s="1"/>
  <c r="D66" i="12"/>
  <c r="I60" i="12"/>
  <c r="D61" i="12"/>
  <c r="J60" i="12"/>
  <c r="G61" i="12"/>
  <c r="L64" i="12" l="1"/>
  <c r="M68" i="12"/>
  <c r="L68" i="12" s="1"/>
  <c r="L85" i="12"/>
  <c r="M85" i="12"/>
  <c r="K64" i="12"/>
  <c r="M92" i="12"/>
  <c r="L92" i="12" s="1"/>
  <c r="L88" i="12"/>
  <c r="L61" i="12"/>
  <c r="M61" i="12"/>
  <c r="H41" i="19"/>
  <c r="H45" i="19" s="1"/>
  <c r="K93" i="12"/>
  <c r="J92" i="12"/>
  <c r="I87" i="12"/>
  <c r="I91" i="12" s="1"/>
  <c r="D87" i="12"/>
  <c r="D91" i="12" s="1"/>
  <c r="I68" i="12"/>
  <c r="D68" i="12"/>
  <c r="J87" i="12"/>
  <c r="J91" i="12" s="1"/>
  <c r="E41" i="19"/>
  <c r="E45" i="19" s="1"/>
  <c r="H42" i="19"/>
  <c r="H46" i="19" s="1"/>
  <c r="F41" i="19"/>
  <c r="F45" i="19" s="1"/>
  <c r="G87" i="12"/>
  <c r="G91" i="12" s="1"/>
  <c r="K88" i="12"/>
  <c r="G63" i="12"/>
  <c r="G67" i="12" s="1"/>
  <c r="J63" i="12"/>
  <c r="J67" i="12" s="1"/>
  <c r="K60" i="12"/>
  <c r="M11" i="20"/>
  <c r="J42" i="19" l="1"/>
  <c r="J46" i="19" s="1"/>
  <c r="K68" i="12"/>
  <c r="K92" i="12"/>
  <c r="K8" i="5" l="1"/>
  <c r="L8" i="5" s="1"/>
  <c r="W9" i="2" l="1"/>
  <c r="I7" i="5" l="1"/>
  <c r="I9" i="5" s="1"/>
  <c r="H7" i="5"/>
  <c r="H9" i="5" s="1"/>
  <c r="E7" i="5"/>
  <c r="E9" i="5" s="1"/>
  <c r="G7" i="5"/>
  <c r="G9" i="5" s="1"/>
  <c r="J32" i="19"/>
  <c r="K55" i="12"/>
  <c r="M7" i="5"/>
  <c r="F7" i="5"/>
  <c r="F9" i="5" s="1"/>
  <c r="M8" i="21" s="1"/>
  <c r="K8" i="21"/>
  <c r="K7" i="5"/>
  <c r="L7" i="5" s="1"/>
  <c r="E9" i="38"/>
  <c r="E11" i="38" s="1"/>
  <c r="E13" i="38" s="1"/>
  <c r="O12" i="38"/>
  <c r="I11" i="38"/>
  <c r="J11" i="38" s="1"/>
  <c r="K11" i="38" s="1"/>
  <c r="L11" i="38" s="1"/>
  <c r="M11" i="38" s="1"/>
  <c r="N11" i="38" s="1"/>
  <c r="O11" i="38" s="1"/>
  <c r="P11" i="38" s="1"/>
  <c r="I10" i="38"/>
  <c r="J10" i="38" s="1"/>
  <c r="K10" i="38" s="1"/>
  <c r="L10" i="38" s="1"/>
  <c r="M10" i="38" s="1"/>
  <c r="N10" i="38" s="1"/>
  <c r="O10" i="38" s="1"/>
  <c r="P10" i="38" s="1"/>
  <c r="I9" i="38"/>
  <c r="J9" i="38" s="1"/>
  <c r="K9" i="38" s="1"/>
  <c r="K79" i="12" l="1"/>
  <c r="K87" i="12" s="1"/>
  <c r="K91" i="12" s="1"/>
  <c r="L8" i="20"/>
  <c r="L17" i="20" s="1"/>
  <c r="L21" i="20" s="1"/>
  <c r="K8" i="34"/>
  <c r="K17" i="34" s="1"/>
  <c r="K21" i="34" s="1"/>
  <c r="L8" i="17"/>
  <c r="L18" i="17" s="1"/>
  <c r="L22" i="17" s="1"/>
  <c r="L8" i="21"/>
  <c r="J8" i="12"/>
  <c r="K32" i="12" s="1"/>
  <c r="K8" i="19"/>
  <c r="L32" i="28"/>
  <c r="L40" i="28" s="1"/>
  <c r="L44" i="28" s="1"/>
  <c r="K8" i="23"/>
  <c r="L8" i="15"/>
  <c r="L16" i="15" s="1"/>
  <c r="L20" i="15" s="1"/>
  <c r="L8" i="28"/>
  <c r="L16" i="28" s="1"/>
  <c r="L20" i="28" s="1"/>
  <c r="K8" i="11"/>
  <c r="K17" i="11" s="1"/>
  <c r="K21" i="11" s="1"/>
  <c r="L8" i="9"/>
  <c r="K8" i="10"/>
  <c r="K17" i="10" s="1"/>
  <c r="K21" i="10" s="1"/>
  <c r="N8" i="28"/>
  <c r="M8" i="23"/>
  <c r="M16" i="23" s="1"/>
  <c r="M20" i="23" s="1"/>
  <c r="M8" i="19"/>
  <c r="N8" i="17"/>
  <c r="M8" i="10"/>
  <c r="M17" i="10" s="1"/>
  <c r="M21" i="10" s="1"/>
  <c r="F57" i="19"/>
  <c r="L57" i="19" s="1"/>
  <c r="M8" i="17"/>
  <c r="M32" i="28"/>
  <c r="M8" i="28"/>
  <c r="L8" i="23"/>
  <c r="L8" i="19"/>
  <c r="L17" i="19" s="1"/>
  <c r="L21" i="19" s="1"/>
  <c r="L8" i="10"/>
  <c r="M9" i="38"/>
  <c r="N9" i="38" s="1"/>
  <c r="M8" i="34"/>
  <c r="N8" i="20"/>
  <c r="N8" i="15"/>
  <c r="M8" i="11"/>
  <c r="L8" i="34"/>
  <c r="M8" i="20"/>
  <c r="M8" i="15"/>
  <c r="L8" i="11"/>
  <c r="K8" i="9"/>
  <c r="K8" i="28"/>
  <c r="K32" i="28"/>
  <c r="N7" i="5"/>
  <c r="M9" i="5"/>
  <c r="N9" i="5" s="1"/>
  <c r="N32" i="28" l="1"/>
  <c r="O9" i="38"/>
  <c r="P9" i="38" s="1"/>
  <c r="K9" i="5"/>
  <c r="L9" i="5" s="1"/>
  <c r="L9" i="7" l="1"/>
  <c r="M9" i="7" s="1"/>
  <c r="F8" i="9" l="1"/>
  <c r="B1" i="34"/>
  <c r="V12" i="30" l="1"/>
  <c r="V15" i="30" s="1"/>
  <c r="V25" i="30" s="1"/>
  <c r="V28" i="30" s="1"/>
  <c r="V37" i="30" s="1"/>
  <c r="V2" i="30"/>
  <c r="H24" i="34" l="1"/>
  <c r="J24" i="34" s="1"/>
  <c r="C24" i="34"/>
  <c r="L23" i="34"/>
  <c r="C23" i="34"/>
  <c r="L22" i="34"/>
  <c r="F22" i="34"/>
  <c r="H20" i="34"/>
  <c r="J20" i="34" s="1"/>
  <c r="O20" i="34" s="1"/>
  <c r="C20" i="34"/>
  <c r="L19" i="34"/>
  <c r="C19" i="34"/>
  <c r="L18" i="34"/>
  <c r="J18" i="34"/>
  <c r="H18" i="34"/>
  <c r="F18" i="34"/>
  <c r="G18" i="34" s="1"/>
  <c r="J13" i="34"/>
  <c r="O13" i="34" s="1"/>
  <c r="C13" i="34"/>
  <c r="L12" i="34"/>
  <c r="M12" i="34" s="1"/>
  <c r="C12" i="34"/>
  <c r="C11" i="34"/>
  <c r="O10" i="34"/>
  <c r="L10" i="34"/>
  <c r="M10" i="34" s="1"/>
  <c r="C10" i="34"/>
  <c r="C9" i="34"/>
  <c r="L24" i="34" l="1"/>
  <c r="N24" i="34"/>
  <c r="O24" i="34"/>
  <c r="M24" i="34"/>
  <c r="H22" i="34"/>
  <c r="J22" i="34" s="1"/>
  <c r="G22" i="34"/>
  <c r="J11" i="34"/>
  <c r="O11" i="34" s="1"/>
  <c r="C11" i="23"/>
  <c r="F11" i="23" s="1"/>
  <c r="F11" i="34"/>
  <c r="H11" i="34"/>
  <c r="L20" i="34"/>
  <c r="M20" i="34" s="1"/>
  <c r="B1" i="10"/>
  <c r="J11" i="23" l="1"/>
  <c r="O11" i="23"/>
  <c r="L11" i="34"/>
  <c r="G11" i="34"/>
  <c r="M11" i="34" s="1"/>
  <c r="U2" i="30"/>
  <c r="Y41" i="30" l="1"/>
  <c r="L29" i="2" l="1"/>
  <c r="B29" i="11"/>
  <c r="B103" i="12" s="1"/>
  <c r="B29" i="15" s="1"/>
  <c r="B30" i="17" s="1"/>
  <c r="B78" i="19" s="1"/>
  <c r="B29" i="20" l="1"/>
  <c r="B29" i="21" s="1"/>
  <c r="B53" i="28"/>
  <c r="M5" i="30"/>
  <c r="O46" i="30"/>
  <c r="M44" i="30"/>
  <c r="M45" i="30" s="1"/>
  <c r="M46" i="30" s="1"/>
  <c r="B29" i="34" l="1"/>
  <c r="C12" i="17"/>
  <c r="K11" i="17"/>
  <c r="I11" i="17"/>
  <c r="M11" i="17" s="1"/>
  <c r="C10" i="17"/>
  <c r="J11" i="9"/>
  <c r="I11" i="9"/>
  <c r="F11" i="9"/>
  <c r="G11" i="9" s="1"/>
  <c r="C11" i="20"/>
  <c r="L11" i="9" l="1"/>
  <c r="H11" i="9"/>
  <c r="K11" i="23"/>
  <c r="I11" i="23"/>
  <c r="N11" i="23"/>
  <c r="C11" i="15"/>
  <c r="O11" i="15" s="1"/>
  <c r="O11" i="28" l="1"/>
  <c r="N11" i="28"/>
  <c r="M11" i="28"/>
  <c r="J11" i="28"/>
  <c r="H11" i="15"/>
  <c r="F11" i="15"/>
  <c r="K11" i="15"/>
  <c r="J11" i="15"/>
  <c r="G11" i="28"/>
  <c r="I11" i="28"/>
  <c r="K11" i="28"/>
  <c r="N35" i="28" l="1"/>
  <c r="F35" i="28"/>
  <c r="P11" i="28"/>
  <c r="G11" i="15"/>
  <c r="N11" i="15"/>
  <c r="M35" i="28"/>
  <c r="M6" i="9"/>
  <c r="M5" i="9"/>
  <c r="P35" i="28" l="1"/>
  <c r="P40" i="28" s="1"/>
  <c r="P44" i="28" s="1"/>
  <c r="P16" i="28"/>
  <c r="P20" i="28" s="1"/>
  <c r="P43" i="30"/>
  <c r="Y43" i="30" s="1"/>
  <c r="J60" i="19" l="1"/>
  <c r="J57" i="19"/>
  <c r="H55" i="19"/>
  <c r="H54" i="19"/>
  <c r="J11" i="19"/>
  <c r="O6" i="11"/>
  <c r="M60" i="19" l="1"/>
  <c r="M58" i="19"/>
  <c r="M57" i="19"/>
  <c r="K6" i="12" l="1"/>
  <c r="K6" i="17"/>
  <c r="P6" i="15"/>
  <c r="K5" i="12"/>
  <c r="J6" i="19" l="1"/>
  <c r="P5" i="15"/>
  <c r="K5" i="17"/>
  <c r="M55" i="19" l="1"/>
  <c r="J6" i="20"/>
  <c r="J5" i="19"/>
  <c r="M13" i="29"/>
  <c r="M12" i="29"/>
  <c r="P6" i="20" l="1"/>
  <c r="J5" i="20"/>
  <c r="J54" i="19"/>
  <c r="M54" i="19" s="1"/>
  <c r="J6" i="34" l="1"/>
  <c r="O6" i="34" s="1"/>
  <c r="N6" i="21"/>
  <c r="P5" i="20"/>
  <c r="O10" i="30"/>
  <c r="O23" i="30" s="1"/>
  <c r="M19" i="30"/>
  <c r="M32" i="30" s="1"/>
  <c r="M18" i="30"/>
  <c r="M31" i="30"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J5" i="34" l="1"/>
  <c r="O5" i="34" s="1"/>
  <c r="M11" i="29"/>
  <c r="M21" i="29" s="1"/>
  <c r="M22" i="29" s="1"/>
  <c r="U12" i="30"/>
  <c r="U13" i="30" s="1"/>
  <c r="U14" i="30" s="1"/>
  <c r="M9" i="29"/>
  <c r="M19" i="29" s="1"/>
  <c r="M14" i="29"/>
  <c r="M10" i="29"/>
  <c r="M20" i="29" s="1"/>
  <c r="M15" i="29"/>
  <c r="N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O36" i="28"/>
  <c r="J36" i="28"/>
  <c r="I36" i="28"/>
  <c r="G36" i="28"/>
  <c r="G34" i="28"/>
  <c r="G33" i="28"/>
  <c r="I47" i="28"/>
  <c r="C47" i="28"/>
  <c r="K46" i="28"/>
  <c r="C46" i="28"/>
  <c r="G45" i="28"/>
  <c r="N45" i="28" s="1"/>
  <c r="I43" i="28"/>
  <c r="C43" i="28"/>
  <c r="K42" i="28"/>
  <c r="C42" i="28"/>
  <c r="K41" i="28"/>
  <c r="J41" i="28"/>
  <c r="I41" i="28"/>
  <c r="G41" i="28"/>
  <c r="O32" i="28"/>
  <c r="I23" i="28"/>
  <c r="C23" i="28"/>
  <c r="K22" i="28"/>
  <c r="C22" i="28"/>
  <c r="G21" i="28"/>
  <c r="N21" i="28" s="1"/>
  <c r="I19" i="28"/>
  <c r="C19" i="28"/>
  <c r="K18" i="28"/>
  <c r="C18" i="28"/>
  <c r="K17" i="28"/>
  <c r="J17" i="28"/>
  <c r="I17" i="28"/>
  <c r="G17" i="28"/>
  <c r="J39" i="28"/>
  <c r="K12" i="28"/>
  <c r="K36" i="28" s="1"/>
  <c r="O35" i="28"/>
  <c r="K35" i="28"/>
  <c r="J35" i="28"/>
  <c r="I35" i="28"/>
  <c r="G35" i="28"/>
  <c r="C35" i="28"/>
  <c r="O10" i="28"/>
  <c r="O34" i="28" s="1"/>
  <c r="K10" i="28"/>
  <c r="K34" i="28" s="1"/>
  <c r="C10" i="28"/>
  <c r="C34" i="28" s="1"/>
  <c r="O33" i="28"/>
  <c r="C9" i="28"/>
  <c r="C33" i="28" s="1"/>
  <c r="B1" i="28"/>
  <c r="J23" i="28" l="1"/>
  <c r="K23" i="28" s="1"/>
  <c r="O23" i="28" s="1"/>
  <c r="E23" i="28"/>
  <c r="L23" i="28" s="1"/>
  <c r="J19" i="28"/>
  <c r="O19" i="28" s="1"/>
  <c r="E19" i="28"/>
  <c r="J43" i="28"/>
  <c r="O43" i="28" s="1"/>
  <c r="E43" i="28"/>
  <c r="J47" i="28"/>
  <c r="O47" i="28" s="1"/>
  <c r="E47" i="28"/>
  <c r="L47" i="28" s="1"/>
  <c r="I21" i="28"/>
  <c r="J21" i="28" s="1"/>
  <c r="K21" i="28"/>
  <c r="I45" i="28"/>
  <c r="J45" i="28" s="1"/>
  <c r="K45" i="28"/>
  <c r="C36" i="28"/>
  <c r="M12" i="28"/>
  <c r="U25" i="30"/>
  <c r="U26" i="30" s="1"/>
  <c r="U27" i="30" s="1"/>
  <c r="C39" i="28"/>
  <c r="K39" i="28"/>
  <c r="G39" i="28"/>
  <c r="K19" i="28"/>
  <c r="P19" i="28" s="1"/>
  <c r="I39" i="28"/>
  <c r="K43" i="28" l="1"/>
  <c r="P43" i="28" s="1"/>
  <c r="F36" i="28"/>
  <c r="N12" i="28"/>
  <c r="M36" i="28"/>
  <c r="M40" i="28" s="1"/>
  <c r="M44" i="28" s="1"/>
  <c r="M16" i="28"/>
  <c r="M20" i="28" s="1"/>
  <c r="U28" i="30"/>
  <c r="U29" i="30" s="1"/>
  <c r="U30" i="30" s="1"/>
  <c r="U31" i="30" s="1"/>
  <c r="U32" i="30" s="1"/>
  <c r="U33" i="30" s="1"/>
  <c r="U34" i="30" s="1"/>
  <c r="U35" i="30" s="1"/>
  <c r="U36" i="30" s="1"/>
  <c r="O39" i="28"/>
  <c r="N36" i="28" l="1"/>
  <c r="N40" i="28" s="1"/>
  <c r="N44" i="28" s="1"/>
  <c r="N16" i="28"/>
  <c r="N20" i="28" s="1"/>
  <c r="U37" i="30"/>
  <c r="U38" i="30" s="1"/>
  <c r="U39" i="30" s="1"/>
  <c r="U40" i="30" s="1"/>
  <c r="U41" i="30" s="1"/>
  <c r="U42" i="30" s="1"/>
  <c r="U43" i="30" s="1"/>
  <c r="U44" i="30" s="1"/>
  <c r="U45" i="30" s="1"/>
  <c r="U46" i="30" s="1"/>
  <c r="H57" i="20"/>
  <c r="F57" i="20"/>
  <c r="J57" i="20" s="1"/>
  <c r="J56" i="20"/>
  <c r="F56" i="20"/>
  <c r="H56" i="20" s="1"/>
  <c r="C35" i="12" l="1"/>
  <c r="J50" i="20" l="1"/>
  <c r="H50" i="20"/>
  <c r="M10" i="9"/>
  <c r="M12" i="9"/>
  <c r="K12" i="9"/>
  <c r="J12" i="9"/>
  <c r="I12" i="9"/>
  <c r="F12" i="9"/>
  <c r="B10" i="24"/>
  <c r="B11" i="24"/>
  <c r="B8" i="24"/>
  <c r="C8" i="24"/>
  <c r="C10" i="24"/>
  <c r="C11" i="24"/>
  <c r="D11" i="24" s="1"/>
  <c r="A5" i="24"/>
  <c r="I23" i="23"/>
  <c r="E23" i="23" s="1"/>
  <c r="C23" i="23"/>
  <c r="C22" i="23"/>
  <c r="G21" i="23"/>
  <c r="I21" i="23" s="1"/>
  <c r="J21" i="23" s="1"/>
  <c r="I19" i="23"/>
  <c r="C19" i="23"/>
  <c r="K18" i="23"/>
  <c r="C18" i="23"/>
  <c r="K17" i="23"/>
  <c r="I17" i="23"/>
  <c r="G17" i="23"/>
  <c r="L12" i="23"/>
  <c r="L16" i="23" s="1"/>
  <c r="L20" i="23" s="1"/>
  <c r="N10" i="23"/>
  <c r="K10" i="23"/>
  <c r="C10" i="23"/>
  <c r="C9" i="23"/>
  <c r="B1" i="23"/>
  <c r="H24" i="21"/>
  <c r="I24" i="21" s="1"/>
  <c r="C24" i="21"/>
  <c r="K23" i="21"/>
  <c r="C23" i="21"/>
  <c r="K22" i="21"/>
  <c r="M22" i="21" s="1"/>
  <c r="D22" i="21"/>
  <c r="F22" i="21" s="1"/>
  <c r="H20" i="21"/>
  <c r="I20" i="21" s="1"/>
  <c r="C20" i="21"/>
  <c r="K19" i="21"/>
  <c r="C19" i="21"/>
  <c r="K18" i="21"/>
  <c r="M18" i="21" s="1"/>
  <c r="I18" i="21"/>
  <c r="H18" i="21"/>
  <c r="D18" i="21"/>
  <c r="J18" i="21" s="1"/>
  <c r="K12" i="21"/>
  <c r="C12" i="21"/>
  <c r="H11" i="21"/>
  <c r="C11" i="21"/>
  <c r="N10" i="21"/>
  <c r="C10" i="21"/>
  <c r="C9" i="21"/>
  <c r="B1" i="21"/>
  <c r="K24" i="21" l="1"/>
  <c r="J24" i="21"/>
  <c r="N20" i="21"/>
  <c r="J20" i="21"/>
  <c r="O20" i="21" s="1"/>
  <c r="J19" i="23"/>
  <c r="E19" i="23"/>
  <c r="N24" i="21"/>
  <c r="L24" i="21"/>
  <c r="O24" i="21" s="1"/>
  <c r="G18" i="21"/>
  <c r="F18" i="21"/>
  <c r="H22" i="21"/>
  <c r="I22" i="21" s="1"/>
  <c r="J22" i="21" s="1"/>
  <c r="G22" i="21"/>
  <c r="F19" i="23"/>
  <c r="M19" i="23" s="1"/>
  <c r="K19" i="23"/>
  <c r="L19" i="23"/>
  <c r="J23" i="23"/>
  <c r="K23" i="23" s="1"/>
  <c r="N23" i="23" s="1"/>
  <c r="F22" i="23"/>
  <c r="M22" i="23" s="1"/>
  <c r="L22" i="23"/>
  <c r="K22" i="23"/>
  <c r="F18" i="23"/>
  <c r="M18" i="23" s="1"/>
  <c r="L18" i="23"/>
  <c r="F23" i="23"/>
  <c r="M23" i="23" s="1"/>
  <c r="L23" i="23"/>
  <c r="O23" i="23" s="1"/>
  <c r="G12" i="9"/>
  <c r="H12" i="9" s="1"/>
  <c r="L12" i="9"/>
  <c r="K20" i="21"/>
  <c r="L20" i="21" s="1"/>
  <c r="F50" i="20"/>
  <c r="C50" i="20"/>
  <c r="B43" i="20"/>
  <c r="C58" i="20" l="1"/>
  <c r="F58" i="20"/>
  <c r="P24" i="20" l="1"/>
  <c r="M24" i="20"/>
  <c r="K24" i="20"/>
  <c r="J24" i="20"/>
  <c r="H24" i="20"/>
  <c r="F24" i="20"/>
  <c r="J23" i="20"/>
  <c r="F23" i="20"/>
  <c r="K20" i="20"/>
  <c r="H20" i="20"/>
  <c r="K19" i="20"/>
  <c r="M19" i="20" s="1"/>
  <c r="J19" i="20"/>
  <c r="H19" i="20"/>
  <c r="F19" i="20"/>
  <c r="G19" i="20" s="1"/>
  <c r="H18" i="20"/>
  <c r="H22" i="20" s="1"/>
  <c r="F22" i="20" s="1"/>
  <c r="F18" i="20"/>
  <c r="G18" i="20" s="1"/>
  <c r="K12" i="20"/>
  <c r="M12" i="20" s="1"/>
  <c r="N12" i="20" s="1"/>
  <c r="J12" i="20"/>
  <c r="H12" i="20"/>
  <c r="F12" i="20"/>
  <c r="K11" i="20"/>
  <c r="P11" i="20"/>
  <c r="H11" i="20"/>
  <c r="C10" i="20"/>
  <c r="C9" i="20"/>
  <c r="B1" i="20"/>
  <c r="K68" i="19"/>
  <c r="M68" i="19" s="1"/>
  <c r="C60" i="19"/>
  <c r="K58" i="19"/>
  <c r="E57" i="19"/>
  <c r="K57" i="19" s="1"/>
  <c r="C57" i="19"/>
  <c r="C22" i="19"/>
  <c r="N20" i="19"/>
  <c r="J20" i="19"/>
  <c r="E20" i="19"/>
  <c r="M20" i="19" s="1"/>
  <c r="N19" i="19"/>
  <c r="K19" i="19"/>
  <c r="N18" i="19"/>
  <c r="N22" i="19" s="1"/>
  <c r="C73" i="19"/>
  <c r="M72" i="19"/>
  <c r="J72" i="19"/>
  <c r="C72" i="19"/>
  <c r="C71" i="19"/>
  <c r="J68" i="19"/>
  <c r="H68" i="19"/>
  <c r="E68" i="19"/>
  <c r="I68" i="19" s="1"/>
  <c r="E67" i="19"/>
  <c r="H67" i="19" s="1"/>
  <c r="C61" i="19"/>
  <c r="E60" i="19"/>
  <c r="K60" i="19" s="1"/>
  <c r="N24" i="19"/>
  <c r="M73" i="19" s="1"/>
  <c r="K24" i="19"/>
  <c r="K73" i="19" s="1"/>
  <c r="J24" i="19"/>
  <c r="J73" i="19" s="1"/>
  <c r="H24" i="19"/>
  <c r="H73" i="19" s="1"/>
  <c r="E24" i="19"/>
  <c r="H72" i="19"/>
  <c r="E23" i="19"/>
  <c r="M23" i="19" s="1"/>
  <c r="J19" i="19"/>
  <c r="E19" i="19"/>
  <c r="M19" i="19" s="1"/>
  <c r="E18" i="19"/>
  <c r="J12" i="19"/>
  <c r="H12" i="19"/>
  <c r="E12" i="19"/>
  <c r="M12" i="19" s="1"/>
  <c r="B1" i="19"/>
  <c r="I25" i="17"/>
  <c r="E25" i="17" s="1"/>
  <c r="C25" i="17"/>
  <c r="C24" i="17"/>
  <c r="I23" i="17"/>
  <c r="I21" i="17"/>
  <c r="E21" i="17" s="1"/>
  <c r="C21" i="17"/>
  <c r="C20" i="17"/>
  <c r="K19" i="17"/>
  <c r="I19" i="17"/>
  <c r="K13" i="17"/>
  <c r="O13" i="17" s="1"/>
  <c r="C13" i="17"/>
  <c r="M12" i="17"/>
  <c r="O11" i="17"/>
  <c r="O10" i="17"/>
  <c r="C9" i="17"/>
  <c r="B1" i="17"/>
  <c r="M18" i="15"/>
  <c r="G24" i="19" l="1"/>
  <c r="M24" i="19"/>
  <c r="G18" i="19"/>
  <c r="G22" i="19" s="1"/>
  <c r="M18" i="19"/>
  <c r="M22" i="19" s="1"/>
  <c r="M18" i="17"/>
  <c r="M22" i="17" s="1"/>
  <c r="N12" i="17"/>
  <c r="N18" i="17" s="1"/>
  <c r="N22" i="17" s="1"/>
  <c r="K23" i="19"/>
  <c r="K72" i="19" s="1"/>
  <c r="G23" i="19"/>
  <c r="O19" i="19"/>
  <c r="G19" i="19"/>
  <c r="O20" i="19"/>
  <c r="G20" i="19"/>
  <c r="E73" i="19"/>
  <c r="O24" i="19"/>
  <c r="E22" i="19"/>
  <c r="O18" i="19"/>
  <c r="O22" i="19" s="1"/>
  <c r="K21" i="17"/>
  <c r="O21" i="17" s="1"/>
  <c r="J21" i="17"/>
  <c r="K25" i="17"/>
  <c r="J25" i="17"/>
  <c r="K23" i="17"/>
  <c r="J23" i="17"/>
  <c r="M71" i="19"/>
  <c r="F71" i="19"/>
  <c r="L71" i="19"/>
  <c r="F72" i="19"/>
  <c r="L72" i="19"/>
  <c r="F73" i="19"/>
  <c r="L73" i="19"/>
  <c r="J61" i="19"/>
  <c r="L61" i="19"/>
  <c r="F61" i="19"/>
  <c r="P19" i="20"/>
  <c r="N19" i="20"/>
  <c r="G24" i="20"/>
  <c r="N24" i="20"/>
  <c r="P12" i="20"/>
  <c r="G12" i="20"/>
  <c r="M23" i="20"/>
  <c r="G23" i="20"/>
  <c r="N23" i="20" s="1"/>
  <c r="N12" i="19"/>
  <c r="F12" i="19"/>
  <c r="K59" i="19"/>
  <c r="M59" i="19" s="1"/>
  <c r="J34" i="19"/>
  <c r="J41" i="19" s="1"/>
  <c r="J45" i="19" s="1"/>
  <c r="J18" i="19"/>
  <c r="E71" i="19"/>
  <c r="I71" i="19" s="1"/>
  <c r="C22" i="20"/>
  <c r="F20" i="20"/>
  <c r="N20" i="20" s="1"/>
  <c r="C20" i="20"/>
  <c r="J22" i="20"/>
  <c r="G22" i="20" s="1"/>
  <c r="K18" i="20"/>
  <c r="M18" i="20" s="1"/>
  <c r="J18" i="20"/>
  <c r="J20" i="20"/>
  <c r="G20" i="20" s="1"/>
  <c r="M67" i="19"/>
  <c r="J67" i="19"/>
  <c r="J71" i="19" s="1"/>
  <c r="J22" i="19"/>
  <c r="K22" i="19"/>
  <c r="K61" i="19"/>
  <c r="H71" i="19"/>
  <c r="K71" i="19"/>
  <c r="H22" i="19"/>
  <c r="E61" i="19"/>
  <c r="M61" i="19" s="1"/>
  <c r="H61" i="19"/>
  <c r="E72" i="19"/>
  <c r="P21" i="17"/>
  <c r="M12" i="15"/>
  <c r="P23" i="15"/>
  <c r="M23" i="15"/>
  <c r="K23" i="15"/>
  <c r="J23" i="15"/>
  <c r="H23" i="15"/>
  <c r="F23" i="15"/>
  <c r="J22" i="15"/>
  <c r="F22" i="15"/>
  <c r="K19" i="15"/>
  <c r="H19" i="15"/>
  <c r="F19" i="15" s="1"/>
  <c r="K18" i="15"/>
  <c r="P18" i="15" s="1"/>
  <c r="J18" i="15"/>
  <c r="H18" i="15"/>
  <c r="F18" i="15"/>
  <c r="H17" i="15"/>
  <c r="K17" i="15" s="1"/>
  <c r="P17" i="15" s="1"/>
  <c r="F17" i="15"/>
  <c r="G17" i="15" s="1"/>
  <c r="K12" i="15"/>
  <c r="J12" i="15"/>
  <c r="H12" i="15"/>
  <c r="F12" i="15"/>
  <c r="N12" i="15" s="1"/>
  <c r="P11" i="15"/>
  <c r="M11" i="15"/>
  <c r="C10" i="15"/>
  <c r="C9" i="15"/>
  <c r="B1" i="15"/>
  <c r="C47" i="12"/>
  <c r="K23" i="12"/>
  <c r="L47" i="12" s="1"/>
  <c r="J23" i="12"/>
  <c r="K47" i="12" s="1"/>
  <c r="I23" i="12"/>
  <c r="J47" i="12" s="1"/>
  <c r="H23" i="12"/>
  <c r="H47" i="12" s="1"/>
  <c r="G23" i="12"/>
  <c r="G47" i="12" s="1"/>
  <c r="F23" i="12"/>
  <c r="D47" i="12" s="1"/>
  <c r="J46" i="12"/>
  <c r="G46" i="12"/>
  <c r="C46" i="12"/>
  <c r="F22" i="12"/>
  <c r="G17" i="12"/>
  <c r="F17" i="12"/>
  <c r="G41" i="12"/>
  <c r="D41" i="12"/>
  <c r="H41" i="12" s="1"/>
  <c r="H45" i="12" s="1"/>
  <c r="C45" i="12"/>
  <c r="J42" i="12"/>
  <c r="G42" i="12"/>
  <c r="D42" i="12"/>
  <c r="I18" i="12"/>
  <c r="H18" i="12"/>
  <c r="J18" i="12" s="1"/>
  <c r="G18" i="12"/>
  <c r="F18" i="12"/>
  <c r="C36" i="12"/>
  <c r="I12" i="12"/>
  <c r="H12" i="12"/>
  <c r="G12" i="12"/>
  <c r="F12" i="12"/>
  <c r="J35" i="12"/>
  <c r="G35" i="12"/>
  <c r="C34" i="12"/>
  <c r="C33" i="12"/>
  <c r="B1" i="12"/>
  <c r="I11" i="12"/>
  <c r="K11" i="12"/>
  <c r="G11" i="12"/>
  <c r="C11" i="12"/>
  <c r="B1" i="11"/>
  <c r="H22" i="12"/>
  <c r="H46" i="12" s="1"/>
  <c r="I19" i="12"/>
  <c r="G19" i="12"/>
  <c r="F19" i="12" s="1"/>
  <c r="K57" i="12"/>
  <c r="K63" i="12" s="1"/>
  <c r="K67" i="12" s="1"/>
  <c r="C10" i="12"/>
  <c r="C9" i="12"/>
  <c r="O11" i="11"/>
  <c r="H11" i="11"/>
  <c r="C11" i="11"/>
  <c r="H24" i="11"/>
  <c r="J24" i="11" s="1"/>
  <c r="L24" i="11" s="1"/>
  <c r="C24" i="11"/>
  <c r="L23" i="11"/>
  <c r="C23" i="11"/>
  <c r="L22" i="11"/>
  <c r="F22" i="11"/>
  <c r="H20" i="11"/>
  <c r="J20" i="11" s="1"/>
  <c r="O20" i="11" s="1"/>
  <c r="C20" i="11"/>
  <c r="L19" i="11"/>
  <c r="M19" i="11" s="1"/>
  <c r="C19" i="11"/>
  <c r="L18" i="11"/>
  <c r="M18" i="11" s="1"/>
  <c r="J18" i="11"/>
  <c r="H18" i="11"/>
  <c r="F18" i="11"/>
  <c r="G18" i="11" s="1"/>
  <c r="J13" i="11"/>
  <c r="O13" i="11" s="1"/>
  <c r="C13" i="11"/>
  <c r="L12" i="11"/>
  <c r="M12" i="11" s="1"/>
  <c r="C12" i="11"/>
  <c r="O10" i="11"/>
  <c r="L10" i="11"/>
  <c r="M10" i="11" s="1"/>
  <c r="C10" i="11"/>
  <c r="C9" i="11"/>
  <c r="J11" i="10"/>
  <c r="C11" i="10"/>
  <c r="L25" i="17" l="1"/>
  <c r="M25" i="17" s="1"/>
  <c r="K42" i="12"/>
  <c r="L42" i="12" s="1"/>
  <c r="H42" i="12"/>
  <c r="P25" i="17"/>
  <c r="N25" i="17"/>
  <c r="O12" i="19"/>
  <c r="G12" i="19"/>
  <c r="P18" i="20"/>
  <c r="N18" i="20"/>
  <c r="G18" i="15"/>
  <c r="N18" i="15"/>
  <c r="G19" i="15"/>
  <c r="N19" i="15"/>
  <c r="G23" i="15"/>
  <c r="N23" i="15"/>
  <c r="J36" i="12"/>
  <c r="O24" i="11"/>
  <c r="M24" i="11"/>
  <c r="P12" i="15"/>
  <c r="G12" i="15"/>
  <c r="M22" i="15"/>
  <c r="G22" i="15"/>
  <c r="N22" i="15" s="1"/>
  <c r="H22" i="11"/>
  <c r="J22" i="11" s="1"/>
  <c r="G22" i="11"/>
  <c r="J22" i="12"/>
  <c r="D46" i="12"/>
  <c r="J12" i="12"/>
  <c r="K18" i="12"/>
  <c r="J58" i="20"/>
  <c r="H58" i="20"/>
  <c r="K22" i="20"/>
  <c r="M22" i="20" s="1"/>
  <c r="M20" i="20"/>
  <c r="P20" i="20" s="1"/>
  <c r="C69" i="19"/>
  <c r="K20" i="19"/>
  <c r="M17" i="15"/>
  <c r="N17" i="15" s="1"/>
  <c r="J17" i="15"/>
  <c r="H21" i="15"/>
  <c r="F21" i="15" s="1"/>
  <c r="K21" i="15"/>
  <c r="M21" i="15" s="1"/>
  <c r="N21" i="15" s="1"/>
  <c r="J19" i="15"/>
  <c r="C19" i="15"/>
  <c r="D36" i="12"/>
  <c r="G36" i="12"/>
  <c r="J41" i="12"/>
  <c r="G45" i="12"/>
  <c r="C19" i="12"/>
  <c r="K34" i="12"/>
  <c r="J17" i="12"/>
  <c r="H19" i="12"/>
  <c r="H17" i="12"/>
  <c r="G21" i="12"/>
  <c r="I17" i="12"/>
  <c r="L20" i="11"/>
  <c r="M20" i="11" s="1"/>
  <c r="O25" i="17" l="1"/>
  <c r="L36" i="12"/>
  <c r="H36" i="12"/>
  <c r="F69" i="19"/>
  <c r="L69" i="19"/>
  <c r="P22" i="20"/>
  <c r="N22" i="20"/>
  <c r="L34" i="12"/>
  <c r="L45" i="12"/>
  <c r="L41" i="12"/>
  <c r="J45" i="12"/>
  <c r="C21" i="15"/>
  <c r="P21" i="15" s="1"/>
  <c r="M69" i="19"/>
  <c r="H69" i="19"/>
  <c r="E69" i="19"/>
  <c r="I69" i="19" s="1"/>
  <c r="J69" i="19"/>
  <c r="K69" i="19"/>
  <c r="J21" i="15"/>
  <c r="G21" i="15" s="1"/>
  <c r="M19" i="15"/>
  <c r="P19" i="15" s="1"/>
  <c r="K46" i="12"/>
  <c r="J19" i="12"/>
  <c r="C43" i="12"/>
  <c r="K21" i="12"/>
  <c r="K17" i="12"/>
  <c r="D45" i="12"/>
  <c r="I21" i="12"/>
  <c r="H21" i="12"/>
  <c r="F21" i="12"/>
  <c r="C21" i="12"/>
  <c r="K19" i="12" l="1"/>
  <c r="J21" i="12"/>
  <c r="J43" i="12"/>
  <c r="G43" i="12"/>
  <c r="K43" i="12"/>
  <c r="L43" i="12" s="1"/>
  <c r="D43" i="12"/>
  <c r="H43" i="12" s="1"/>
  <c r="K12" i="12"/>
  <c r="M11" i="9" l="1"/>
  <c r="K11" i="9"/>
  <c r="I24" i="10" l="1"/>
  <c r="I20" i="10"/>
  <c r="L23" i="10"/>
  <c r="F23" i="9"/>
  <c r="F22" i="10"/>
  <c r="J18" i="10"/>
  <c r="O18" i="10" s="1"/>
  <c r="M18" i="10" s="1"/>
  <c r="K18" i="10" s="1"/>
  <c r="I18" i="10"/>
  <c r="F18" i="10"/>
  <c r="G18" i="10" s="1"/>
  <c r="H18" i="10" s="1"/>
  <c r="L12" i="10"/>
  <c r="N10" i="10"/>
  <c r="L10" i="10"/>
  <c r="C24" i="10"/>
  <c r="C23" i="10"/>
  <c r="L22" i="10"/>
  <c r="C20" i="10"/>
  <c r="L19" i="10"/>
  <c r="C19" i="10"/>
  <c r="L18" i="10"/>
  <c r="C12" i="10"/>
  <c r="E12" i="10" s="1"/>
  <c r="C10" i="10"/>
  <c r="C9" i="10"/>
  <c r="J20" i="10" l="1"/>
  <c r="K20" i="10"/>
  <c r="J24" i="10"/>
  <c r="L24" i="10" s="1"/>
  <c r="N24" i="10" s="1"/>
  <c r="O24" i="10" s="1"/>
  <c r="K24" i="10"/>
  <c r="M24" i="10"/>
  <c r="I22" i="10"/>
  <c r="J22" i="10" s="1"/>
  <c r="G22" i="10"/>
  <c r="H22" i="10" s="1"/>
  <c r="G23" i="9"/>
  <c r="H23" i="9" s="1"/>
  <c r="L23" i="9"/>
  <c r="C41" i="3"/>
  <c r="R41" i="3" s="1"/>
  <c r="I32" i="28" s="1"/>
  <c r="E30" i="3"/>
  <c r="E34" i="3"/>
  <c r="E38" i="3"/>
  <c r="E28" i="3"/>
  <c r="E29" i="3"/>
  <c r="E41" i="3"/>
  <c r="E31" i="3"/>
  <c r="E35" i="3"/>
  <c r="P20" i="29" s="1"/>
  <c r="E39" i="3"/>
  <c r="E37" i="3"/>
  <c r="E32" i="3"/>
  <c r="E36" i="3"/>
  <c r="E40" i="3"/>
  <c r="E33" i="3"/>
  <c r="B41" i="3"/>
  <c r="B29" i="3"/>
  <c r="B38" i="3"/>
  <c r="C38" i="3"/>
  <c r="C32" i="3"/>
  <c r="R32" i="3" s="1"/>
  <c r="H32" i="12" s="1"/>
  <c r="C30" i="3"/>
  <c r="C39" i="3"/>
  <c r="R39" i="3" s="1"/>
  <c r="I8" i="23" s="1"/>
  <c r="C34" i="3"/>
  <c r="R34" i="3" s="1"/>
  <c r="I8" i="17" s="1"/>
  <c r="N20" i="10"/>
  <c r="O20" i="10" s="1"/>
  <c r="L20" i="10"/>
  <c r="M20" i="10" s="1"/>
  <c r="B39" i="3"/>
  <c r="B34" i="3"/>
  <c r="B32" i="3"/>
  <c r="B30" i="3"/>
  <c r="C40" i="3"/>
  <c r="C37" i="3"/>
  <c r="R37" i="3" s="1"/>
  <c r="I8" i="21" s="1"/>
  <c r="C35" i="3"/>
  <c r="R35" i="3" s="1"/>
  <c r="H8" i="19" s="1"/>
  <c r="C31" i="3"/>
  <c r="B40" i="3"/>
  <c r="B37" i="3"/>
  <c r="B35" i="3"/>
  <c r="B33" i="3"/>
  <c r="B31" i="3"/>
  <c r="J31" i="3" l="1"/>
  <c r="H31" i="3"/>
  <c r="G31" i="3"/>
  <c r="D8" i="12" s="1"/>
  <c r="D16" i="12" s="1"/>
  <c r="D20" i="12" s="1"/>
  <c r="H34" i="3"/>
  <c r="E8" i="17" s="1"/>
  <c r="E18" i="17" s="1"/>
  <c r="E22" i="17" s="1"/>
  <c r="G34" i="3"/>
  <c r="D8" i="17" s="1"/>
  <c r="D18" i="17" s="1"/>
  <c r="D22" i="17" s="1"/>
  <c r="J33" i="3"/>
  <c r="G33" i="3"/>
  <c r="D8" i="15" s="1"/>
  <c r="D16" i="15" s="1"/>
  <c r="D20" i="15" s="1"/>
  <c r="H33" i="3"/>
  <c r="I37" i="3"/>
  <c r="G8" i="21" s="1"/>
  <c r="G37" i="3"/>
  <c r="E8" i="21" s="1"/>
  <c r="E17" i="21" s="1"/>
  <c r="E21" i="21" s="1"/>
  <c r="H37" i="3"/>
  <c r="F8" i="21" s="1"/>
  <c r="J38" i="3"/>
  <c r="G38" i="3"/>
  <c r="D8" i="34" s="1"/>
  <c r="D17" i="34" s="1"/>
  <c r="D21" i="34" s="1"/>
  <c r="H38" i="3"/>
  <c r="K35" i="3"/>
  <c r="G8" i="19" s="1"/>
  <c r="G17" i="19" s="1"/>
  <c r="G21" i="19" s="1"/>
  <c r="H35" i="3"/>
  <c r="G35" i="3"/>
  <c r="D8" i="19" s="1"/>
  <c r="D17" i="19" s="1"/>
  <c r="D21" i="19" s="1"/>
  <c r="H29" i="3"/>
  <c r="E8" i="10" s="1"/>
  <c r="E17" i="10" s="1"/>
  <c r="E21" i="10" s="1"/>
  <c r="G29" i="3"/>
  <c r="D8" i="10" s="1"/>
  <c r="D17" i="10" s="1"/>
  <c r="D21" i="10" s="1"/>
  <c r="G39" i="3"/>
  <c r="D8" i="23" s="1"/>
  <c r="D16" i="23" s="1"/>
  <c r="D20" i="23" s="1"/>
  <c r="H39" i="3"/>
  <c r="E8" i="23" s="1"/>
  <c r="E16" i="23" s="1"/>
  <c r="E20" i="23" s="1"/>
  <c r="G40" i="3"/>
  <c r="D8" i="28" s="1"/>
  <c r="D16" i="28" s="1"/>
  <c r="D20" i="28" s="1"/>
  <c r="H40" i="3"/>
  <c r="E8" i="28" s="1"/>
  <c r="E16" i="28" s="1"/>
  <c r="E20" i="28" s="1"/>
  <c r="J30" i="3"/>
  <c r="G8" i="11" s="1"/>
  <c r="G30" i="3"/>
  <c r="D8" i="11" s="1"/>
  <c r="D17" i="11" s="1"/>
  <c r="D21" i="11" s="1"/>
  <c r="H30" i="3"/>
  <c r="G32" i="3"/>
  <c r="D32" i="12" s="1"/>
  <c r="H32" i="3"/>
  <c r="E32" i="12" s="1"/>
  <c r="H41" i="3"/>
  <c r="E32" i="28" s="1"/>
  <c r="E40" i="28" s="1"/>
  <c r="E44" i="28" s="1"/>
  <c r="G41" i="3"/>
  <c r="D32" i="28" s="1"/>
  <c r="D40" i="28" s="1"/>
  <c r="D44" i="28" s="1"/>
  <c r="I34" i="3"/>
  <c r="F8" i="17" s="1"/>
  <c r="K34" i="3"/>
  <c r="G8" i="17" s="1"/>
  <c r="G18" i="17" s="1"/>
  <c r="G22" i="17" s="1"/>
  <c r="I29" i="3"/>
  <c r="F8" i="10" s="1"/>
  <c r="K29" i="3"/>
  <c r="G8" i="10" s="1"/>
  <c r="G17" i="10" s="1"/>
  <c r="G21" i="10" s="1"/>
  <c r="I39" i="3"/>
  <c r="F8" i="23" s="1"/>
  <c r="K39" i="3"/>
  <c r="G8" i="23" s="1"/>
  <c r="G16" i="23" s="1"/>
  <c r="G20" i="23" s="1"/>
  <c r="I41" i="3"/>
  <c r="F32" i="28" s="1"/>
  <c r="F40" i="28" s="1"/>
  <c r="F44" i="28" s="1"/>
  <c r="K41" i="3"/>
  <c r="G32" i="28" s="1"/>
  <c r="J40" i="3"/>
  <c r="K40" i="3"/>
  <c r="G8" i="28" s="1"/>
  <c r="I35" i="3"/>
  <c r="F8" i="19" s="1"/>
  <c r="F17" i="19" s="1"/>
  <c r="F21" i="19" s="1"/>
  <c r="H8" i="9"/>
  <c r="H16" i="9" s="1"/>
  <c r="H21" i="9" s="1"/>
  <c r="M28" i="3"/>
  <c r="J8" i="9" s="1"/>
  <c r="L32" i="3"/>
  <c r="M32" i="3"/>
  <c r="I32" i="12" s="1"/>
  <c r="I40" i="12" s="1"/>
  <c r="I44" i="12" s="1"/>
  <c r="L30" i="3"/>
  <c r="J8" i="11" s="1"/>
  <c r="M30" i="3"/>
  <c r="I8" i="11" s="1"/>
  <c r="L38" i="3"/>
  <c r="M38" i="3"/>
  <c r="I8" i="34" s="1"/>
  <c r="I17" i="34" s="1"/>
  <c r="I21" i="34" s="1"/>
  <c r="L33" i="3"/>
  <c r="J8" i="15" s="1"/>
  <c r="M33" i="3"/>
  <c r="I8" i="15" s="1"/>
  <c r="I16" i="15" s="1"/>
  <c r="I20" i="15" s="1"/>
  <c r="L31" i="3"/>
  <c r="M31" i="3"/>
  <c r="H8" i="12" s="1"/>
  <c r="D28" i="3"/>
  <c r="F28" i="3" s="1"/>
  <c r="L28" i="3"/>
  <c r="I38" i="3"/>
  <c r="F8" i="34" s="1"/>
  <c r="G8" i="34"/>
  <c r="I31" i="3"/>
  <c r="F8" i="12"/>
  <c r="I30" i="3"/>
  <c r="F8" i="11" s="1"/>
  <c r="I33" i="3"/>
  <c r="F8" i="15" s="1"/>
  <c r="G8" i="15"/>
  <c r="Q29" i="3"/>
  <c r="Q34" i="3"/>
  <c r="Q39" i="3"/>
  <c r="Q41" i="3"/>
  <c r="I40" i="3"/>
  <c r="F8" i="28" s="1"/>
  <c r="F16" i="28" s="1"/>
  <c r="F20" i="28" s="1"/>
  <c r="M40" i="3"/>
  <c r="J8" i="28" s="1"/>
  <c r="R40" i="3"/>
  <c r="I8" i="28" s="1"/>
  <c r="M29" i="3"/>
  <c r="J8" i="10" s="1"/>
  <c r="R29" i="3"/>
  <c r="I8" i="10" s="1"/>
  <c r="Q35" i="3"/>
  <c r="Q40" i="3"/>
  <c r="D8" i="21"/>
  <c r="F8" i="20"/>
  <c r="E8" i="34"/>
  <c r="E17" i="34" s="1"/>
  <c r="E21" i="34" s="1"/>
  <c r="E8" i="11"/>
  <c r="E17" i="11" s="1"/>
  <c r="E21" i="11" s="1"/>
  <c r="E8" i="19"/>
  <c r="C8" i="19"/>
  <c r="M37" i="3"/>
  <c r="J8" i="21" s="1"/>
  <c r="D37" i="3"/>
  <c r="D38" i="3"/>
  <c r="P12" i="30" s="1"/>
  <c r="Y12" i="30" s="1"/>
  <c r="M34" i="3"/>
  <c r="J8" i="17" s="1"/>
  <c r="D34" i="3"/>
  <c r="E8" i="20"/>
  <c r="E17" i="20" s="1"/>
  <c r="E21" i="20" s="1"/>
  <c r="M39" i="3"/>
  <c r="J8" i="23" s="1"/>
  <c r="J16" i="23" s="1"/>
  <c r="J20" i="23" s="1"/>
  <c r="D39" i="3"/>
  <c r="D36" i="3"/>
  <c r="D33" i="3"/>
  <c r="D32" i="3"/>
  <c r="M35" i="3"/>
  <c r="D35" i="3"/>
  <c r="P15" i="29" s="1"/>
  <c r="O31" i="3"/>
  <c r="D31" i="3"/>
  <c r="O30" i="3"/>
  <c r="M41" i="3"/>
  <c r="J32" i="28" s="1"/>
  <c r="D41" i="3"/>
  <c r="E8" i="12"/>
  <c r="E16" i="12" s="1"/>
  <c r="E20" i="12" s="1"/>
  <c r="E8" i="15"/>
  <c r="E16" i="15" s="1"/>
  <c r="E20" i="15" s="1"/>
  <c r="P16" i="30"/>
  <c r="Y16" i="30" s="1"/>
  <c r="P15" i="30"/>
  <c r="Y15" i="30" s="1"/>
  <c r="P45" i="30"/>
  <c r="Y45" i="30" s="1"/>
  <c r="P27" i="30"/>
  <c r="Y27" i="30" s="1"/>
  <c r="P25" i="30"/>
  <c r="Y25" i="30" s="1"/>
  <c r="P21" i="30"/>
  <c r="Y21" i="30" s="1"/>
  <c r="P26" i="30"/>
  <c r="Y26" i="30" s="1"/>
  <c r="P17" i="30"/>
  <c r="Y17" i="30" s="1"/>
  <c r="P38" i="30"/>
  <c r="Y38" i="30" s="1"/>
  <c r="P36" i="30"/>
  <c r="Y36" i="30" s="1"/>
  <c r="P40" i="30"/>
  <c r="Y40" i="30" s="1"/>
  <c r="P30" i="30"/>
  <c r="Y30" i="30" s="1"/>
  <c r="P29" i="30"/>
  <c r="Y29" i="30" s="1"/>
  <c r="P46" i="30"/>
  <c r="Y46" i="30" s="1"/>
  <c r="P39" i="30"/>
  <c r="Y39" i="30" s="1"/>
  <c r="P34" i="30"/>
  <c r="Y34" i="30" s="1"/>
  <c r="P37" i="30"/>
  <c r="Y37" i="30" s="1"/>
  <c r="C8" i="34"/>
  <c r="P42" i="30"/>
  <c r="Y42" i="30" s="1"/>
  <c r="P22" i="29"/>
  <c r="P28" i="30"/>
  <c r="Y28" i="30" s="1"/>
  <c r="P20" i="30"/>
  <c r="Y20" i="30" s="1"/>
  <c r="P19" i="29"/>
  <c r="P22" i="30"/>
  <c r="Y22" i="30" s="1"/>
  <c r="P21" i="29"/>
  <c r="P19" i="30"/>
  <c r="Y19" i="30" s="1"/>
  <c r="P18" i="29"/>
  <c r="P18" i="30"/>
  <c r="Y18" i="30" s="1"/>
  <c r="P17" i="29"/>
  <c r="D30" i="3"/>
  <c r="F30" i="3" s="1"/>
  <c r="D40" i="3"/>
  <c r="P24" i="30"/>
  <c r="Y24" i="30" s="1"/>
  <c r="P23" i="30"/>
  <c r="Y23" i="30" s="1"/>
  <c r="C8" i="10"/>
  <c r="P10" i="29"/>
  <c r="P4" i="29"/>
  <c r="P11" i="29"/>
  <c r="P35" i="30"/>
  <c r="Y35" i="30" s="1"/>
  <c r="P5" i="29"/>
  <c r="P8" i="29"/>
  <c r="P32" i="30"/>
  <c r="Y32" i="30" s="1"/>
  <c r="P7" i="29"/>
  <c r="P31" i="30"/>
  <c r="Y31" i="30" s="1"/>
  <c r="P6" i="29"/>
  <c r="P9" i="29"/>
  <c r="P33" i="30"/>
  <c r="Y33" i="30" s="1"/>
  <c r="P2" i="29"/>
  <c r="P3" i="29"/>
  <c r="K49" i="1"/>
  <c r="K47" i="1"/>
  <c r="D29" i="3"/>
  <c r="F29" i="3" s="1"/>
  <c r="H8" i="10" s="1"/>
  <c r="H17" i="10" s="1"/>
  <c r="H21" i="10" s="1"/>
  <c r="C8" i="28"/>
  <c r="C32" i="28"/>
  <c r="J32" i="12"/>
  <c r="K48" i="1"/>
  <c r="C8" i="15"/>
  <c r="I8" i="12"/>
  <c r="C8" i="17"/>
  <c r="C8" i="9"/>
  <c r="C8" i="20"/>
  <c r="C8" i="21"/>
  <c r="C8" i="11"/>
  <c r="C8" i="23"/>
  <c r="K8" i="20"/>
  <c r="C8" i="12"/>
  <c r="C32" i="12"/>
  <c r="J8" i="19" l="1"/>
  <c r="I8" i="19"/>
  <c r="D63" i="12"/>
  <c r="D67" i="12" s="1"/>
  <c r="I63" i="12"/>
  <c r="I67" i="12" s="1"/>
  <c r="J8" i="34"/>
  <c r="J8" i="20"/>
  <c r="P2" i="30"/>
  <c r="Y2" i="30" s="1"/>
  <c r="P11" i="30"/>
  <c r="Y11" i="30" s="1"/>
  <c r="P13" i="30"/>
  <c r="Y13" i="30" s="1"/>
  <c r="P4" i="30"/>
  <c r="Y4" i="30" s="1"/>
  <c r="F33" i="3"/>
  <c r="H8" i="15" s="1"/>
  <c r="P3" i="30"/>
  <c r="Y3" i="30" s="1"/>
  <c r="P14" i="30"/>
  <c r="Y14" i="30" s="1"/>
  <c r="F41" i="3"/>
  <c r="H32" i="28" s="1"/>
  <c r="P44" i="30"/>
  <c r="Y44" i="30" s="1"/>
  <c r="F39" i="3"/>
  <c r="H8" i="23" s="1"/>
  <c r="H16" i="23" s="1"/>
  <c r="H20" i="23" s="1"/>
  <c r="F37" i="3"/>
  <c r="H8" i="21" s="1"/>
  <c r="H8" i="11"/>
  <c r="F38" i="3"/>
  <c r="P5" i="30"/>
  <c r="Y5" i="30" s="1"/>
  <c r="P12" i="29"/>
  <c r="P7" i="30"/>
  <c r="Y7" i="30" s="1"/>
  <c r="P14" i="29"/>
  <c r="P8" i="30"/>
  <c r="Y8" i="30" s="1"/>
  <c r="F34" i="3"/>
  <c r="H8" i="17" s="1"/>
  <c r="H18" i="17" s="1"/>
  <c r="H22" i="17" s="1"/>
  <c r="F40" i="3"/>
  <c r="H8" i="28" s="1"/>
  <c r="H16" i="28" s="1"/>
  <c r="H20" i="28" s="1"/>
  <c r="P6" i="30"/>
  <c r="Y6" i="30" s="1"/>
  <c r="P13" i="29"/>
  <c r="P9" i="30"/>
  <c r="P16" i="29"/>
  <c r="F31" i="3"/>
  <c r="G8" i="12" s="1"/>
  <c r="F36" i="3"/>
  <c r="F32" i="3"/>
  <c r="F35" i="3"/>
  <c r="K8" i="17"/>
  <c r="I24" i="9"/>
  <c r="J24" i="9" s="1"/>
  <c r="E24" i="9" s="1"/>
  <c r="J23" i="9"/>
  <c r="I20" i="9"/>
  <c r="J20" i="9" s="1"/>
  <c r="E20" i="9" s="1"/>
  <c r="I19" i="9"/>
  <c r="J19" i="9" s="1"/>
  <c r="I18" i="9"/>
  <c r="C18" i="9" s="1"/>
  <c r="I17" i="9"/>
  <c r="C20" i="9" l="1"/>
  <c r="H8" i="34"/>
  <c r="I8" i="9"/>
  <c r="P10" i="30"/>
  <c r="Y10" i="30" s="1"/>
  <c r="Y9" i="30"/>
  <c r="H8" i="20"/>
  <c r="G32" i="12"/>
  <c r="F20" i="9"/>
  <c r="K20" i="9"/>
  <c r="M20" i="9"/>
  <c r="M19" i="9"/>
  <c r="K19" i="9"/>
  <c r="F19" i="9"/>
  <c r="K24" i="9"/>
  <c r="F24" i="9"/>
  <c r="M24" i="9"/>
  <c r="J17" i="9"/>
  <c r="E17" i="9" s="1"/>
  <c r="C17" i="9"/>
  <c r="I22" i="9"/>
  <c r="K23" i="9"/>
  <c r="C24" i="9"/>
  <c r="J18" i="9"/>
  <c r="E18" i="9" s="1"/>
  <c r="B5" i="7"/>
  <c r="H5" i="7" s="1"/>
  <c r="G20" i="9" l="1"/>
  <c r="L20" i="9"/>
  <c r="G24" i="9"/>
  <c r="L24" i="9"/>
  <c r="H24" i="9" s="1"/>
  <c r="D24" i="9" s="1"/>
  <c r="G19" i="9"/>
  <c r="L19" i="9"/>
  <c r="E5" i="7"/>
  <c r="M18" i="9"/>
  <c r="M22" i="9" s="1"/>
  <c r="K18" i="9"/>
  <c r="L18" i="9" s="1"/>
  <c r="L22" i="9" s="1"/>
  <c r="H22" i="9" s="1"/>
  <c r="D22" i="9" s="1"/>
  <c r="M17" i="9"/>
  <c r="K17" i="9"/>
  <c r="F18" i="9"/>
  <c r="F17" i="9"/>
  <c r="J22" i="9"/>
  <c r="C22" i="9"/>
  <c r="C5" i="7"/>
  <c r="F22" i="9" l="1"/>
  <c r="E22" i="9"/>
  <c r="I5" i="7"/>
  <c r="F5" i="7"/>
  <c r="G17" i="9"/>
  <c r="L17" i="9"/>
  <c r="K22" i="9"/>
  <c r="G22" i="9" s="1"/>
  <c r="G18" i="9"/>
  <c r="D5" i="7"/>
  <c r="G5" i="7" s="1"/>
  <c r="J5" i="7"/>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G81" i="2"/>
  <c r="J81" i="2" s="1"/>
  <c r="M81" i="2" s="1"/>
  <c r="P81" i="2" s="1"/>
  <c r="S81" i="2" s="1"/>
  <c r="E81" i="2"/>
  <c r="H81" i="2" s="1"/>
  <c r="K81" i="2" s="1"/>
  <c r="N81" i="2" s="1"/>
  <c r="Q81" i="2" s="1"/>
  <c r="G80" i="2"/>
  <c r="J80" i="2" s="1"/>
  <c r="M80" i="2" s="1"/>
  <c r="P80" i="2" s="1"/>
  <c r="S80" i="2" s="1"/>
  <c r="P71" i="2"/>
  <c r="S71" i="2" s="1"/>
  <c r="N71" i="2"/>
  <c r="Q71" i="2" s="1"/>
  <c r="K71" i="2"/>
  <c r="G70" i="2"/>
  <c r="J70" i="2" s="1"/>
  <c r="M70" i="2" s="1"/>
  <c r="P70" i="2" s="1"/>
  <c r="S70" i="2" s="1"/>
  <c r="E70" i="2"/>
  <c r="H70" i="2" s="1"/>
  <c r="K70" i="2" s="1"/>
  <c r="N70" i="2" s="1"/>
  <c r="Q70" i="2" s="1"/>
  <c r="G69" i="2"/>
  <c r="J69" i="2" s="1"/>
  <c r="M69" i="2" s="1"/>
  <c r="P69" i="2" s="1"/>
  <c r="S69" i="2" s="1"/>
  <c r="J68" i="2"/>
  <c r="M68" i="2" s="1"/>
  <c r="P68" i="2" s="1"/>
  <c r="S68" i="2" s="1"/>
  <c r="G68" i="2"/>
  <c r="J67" i="2"/>
  <c r="M67" i="2" s="1"/>
  <c r="P67" i="2" s="1"/>
  <c r="S67" i="2" s="1"/>
  <c r="H67" i="2"/>
  <c r="K67" i="2" s="1"/>
  <c r="N67" i="2" s="1"/>
  <c r="Q67" i="2" s="1"/>
  <c r="J66" i="2"/>
  <c r="M66" i="2" s="1"/>
  <c r="P66" i="2" s="1"/>
  <c r="S66" i="2" s="1"/>
  <c r="G66" i="2"/>
  <c r="E66" i="2"/>
  <c r="H66" i="2" s="1"/>
  <c r="K66" i="2" s="1"/>
  <c r="N66" i="2" s="1"/>
  <c r="Q66" i="2" s="1"/>
  <c r="G65" i="2"/>
  <c r="J65" i="2" s="1"/>
  <c r="M65" i="2" s="1"/>
  <c r="P65" i="2" s="1"/>
  <c r="S65" i="2" s="1"/>
  <c r="G64" i="2"/>
  <c r="J64" i="2" s="1"/>
  <c r="M64" i="2" s="1"/>
  <c r="P64" i="2" s="1"/>
  <c r="S64" i="2" s="1"/>
  <c r="E64" i="2"/>
  <c r="H64" i="2" s="1"/>
  <c r="K64" i="2" s="1"/>
  <c r="N64" i="2" s="1"/>
  <c r="Q64" i="2" s="1"/>
  <c r="G63" i="2"/>
  <c r="J63" i="2" s="1"/>
  <c r="M63" i="2" s="1"/>
  <c r="P63" i="2" s="1"/>
  <c r="S63" i="2" s="1"/>
  <c r="P57" i="2"/>
  <c r="S57" i="2" s="1"/>
  <c r="V57" i="2" s="1"/>
  <c r="O57" i="2"/>
  <c r="R57" i="2" s="1"/>
  <c r="U57" i="2" s="1"/>
  <c r="N57" i="2"/>
  <c r="Q57" i="2" s="1"/>
  <c r="T57" i="2" s="1"/>
  <c r="G56" i="2"/>
  <c r="J56" i="2" s="1"/>
  <c r="M56" i="2" s="1"/>
  <c r="P56" i="2" s="1"/>
  <c r="S56" i="2" s="1"/>
  <c r="V56" i="2" s="1"/>
  <c r="Y56" i="2" s="1"/>
  <c r="AB56" i="2" s="1"/>
  <c r="F56" i="2"/>
  <c r="I56" i="2" s="1"/>
  <c r="L56" i="2" s="1"/>
  <c r="O56" i="2" s="1"/>
  <c r="R56" i="2" s="1"/>
  <c r="U56" i="2" s="1"/>
  <c r="X56" i="2" s="1"/>
  <c r="E56" i="2"/>
  <c r="H56" i="2" s="1"/>
  <c r="K56" i="2" s="1"/>
  <c r="N56" i="2" s="1"/>
  <c r="Q56" i="2" s="1"/>
  <c r="T56" i="2" s="1"/>
  <c r="W56" i="2" s="1"/>
  <c r="M55" i="2"/>
  <c r="P55" i="2" s="1"/>
  <c r="S55" i="2" s="1"/>
  <c r="V55" i="2" s="1"/>
  <c r="Y55" i="2" s="1"/>
  <c r="AB55" i="2" s="1"/>
  <c r="G55" i="2"/>
  <c r="J55" i="2" s="1"/>
  <c r="F55" i="2"/>
  <c r="I55" i="2" s="1"/>
  <c r="L55" i="2" s="1"/>
  <c r="O55" i="2" s="1"/>
  <c r="R55" i="2" s="1"/>
  <c r="U55" i="2" s="1"/>
  <c r="X55" i="2" s="1"/>
  <c r="AA55" i="2" s="1"/>
  <c r="E55" i="2"/>
  <c r="H55" i="2" s="1"/>
  <c r="K55" i="2" s="1"/>
  <c r="N55" i="2" s="1"/>
  <c r="Q55" i="2" s="1"/>
  <c r="T55" i="2" s="1"/>
  <c r="W55" i="2" s="1"/>
  <c r="Z55" i="2" s="1"/>
  <c r="I54" i="2"/>
  <c r="L54" i="2" s="1"/>
  <c r="O54" i="2" s="1"/>
  <c r="R54" i="2" s="1"/>
  <c r="U54" i="2" s="1"/>
  <c r="X54" i="2" s="1"/>
  <c r="G54" i="2"/>
  <c r="J54" i="2" s="1"/>
  <c r="M54" i="2" s="1"/>
  <c r="P54" i="2" s="1"/>
  <c r="S54" i="2" s="1"/>
  <c r="V54" i="2" s="1"/>
  <c r="Y54" i="2" s="1"/>
  <c r="AB54" i="2" s="1"/>
  <c r="F54" i="2"/>
  <c r="E54" i="2"/>
  <c r="H54" i="2" s="1"/>
  <c r="K54" i="2" s="1"/>
  <c r="N54" i="2" s="1"/>
  <c r="Q54" i="2" s="1"/>
  <c r="T54" i="2" s="1"/>
  <c r="W54" i="2" s="1"/>
  <c r="G53" i="2"/>
  <c r="J53" i="2" s="1"/>
  <c r="M53" i="2" s="1"/>
  <c r="P53" i="2" s="1"/>
  <c r="S53" i="2" s="1"/>
  <c r="V53" i="2" s="1"/>
  <c r="Y53" i="2" s="1"/>
  <c r="AB53" i="2" s="1"/>
  <c r="F53" i="2"/>
  <c r="I53" i="2" s="1"/>
  <c r="L53" i="2" s="1"/>
  <c r="O53" i="2" s="1"/>
  <c r="R53" i="2" s="1"/>
  <c r="U53" i="2" s="1"/>
  <c r="X53" i="2" s="1"/>
  <c r="AA53" i="2" s="1"/>
  <c r="E53" i="2"/>
  <c r="H53" i="2" s="1"/>
  <c r="K53" i="2" s="1"/>
  <c r="N53" i="2" s="1"/>
  <c r="Q53" i="2" s="1"/>
  <c r="T53" i="2" s="1"/>
  <c r="W53" i="2" s="1"/>
  <c r="Z53" i="2" s="1"/>
  <c r="I52" i="2"/>
  <c r="L52" i="2" s="1"/>
  <c r="O52" i="2" s="1"/>
  <c r="R52" i="2" s="1"/>
  <c r="U52" i="2" s="1"/>
  <c r="X52" i="2" s="1"/>
  <c r="G52" i="2"/>
  <c r="J52" i="2" s="1"/>
  <c r="M52" i="2" s="1"/>
  <c r="P52" i="2" s="1"/>
  <c r="S52" i="2" s="1"/>
  <c r="V52" i="2" s="1"/>
  <c r="Y52" i="2" s="1"/>
  <c r="AB52" i="2" s="1"/>
  <c r="F52" i="2"/>
  <c r="E52" i="2"/>
  <c r="H52" i="2" s="1"/>
  <c r="K52" i="2" s="1"/>
  <c r="N52" i="2" s="1"/>
  <c r="Q52" i="2" s="1"/>
  <c r="T52" i="2" s="1"/>
  <c r="W52" i="2" s="1"/>
  <c r="F15" i="17" s="1"/>
  <c r="P15" i="17" s="1"/>
  <c r="I51" i="2"/>
  <c r="L51" i="2" s="1"/>
  <c r="O51" i="2" s="1"/>
  <c r="R51" i="2" s="1"/>
  <c r="U51" i="2" s="1"/>
  <c r="X51" i="2" s="1"/>
  <c r="AA51" i="2" s="1"/>
  <c r="G51" i="2"/>
  <c r="J51" i="2" s="1"/>
  <c r="M51" i="2" s="1"/>
  <c r="P51" i="2" s="1"/>
  <c r="S51" i="2" s="1"/>
  <c r="V51" i="2" s="1"/>
  <c r="Y51" i="2" s="1"/>
  <c r="AB51" i="2" s="1"/>
  <c r="F51" i="2"/>
  <c r="E51" i="2"/>
  <c r="H51" i="2" s="1"/>
  <c r="K51" i="2" s="1"/>
  <c r="N51" i="2" s="1"/>
  <c r="Q51" i="2" s="1"/>
  <c r="T51" i="2" s="1"/>
  <c r="W51" i="2" s="1"/>
  <c r="Z51" i="2" s="1"/>
  <c r="G50" i="2"/>
  <c r="J50" i="2" s="1"/>
  <c r="M50" i="2" s="1"/>
  <c r="P50" i="2" s="1"/>
  <c r="S50" i="2" s="1"/>
  <c r="V50" i="2" s="1"/>
  <c r="Y50" i="2" s="1"/>
  <c r="AB50" i="2" s="1"/>
  <c r="F50" i="2"/>
  <c r="I50" i="2" s="1"/>
  <c r="L50" i="2" s="1"/>
  <c r="O50" i="2" s="1"/>
  <c r="R50" i="2" s="1"/>
  <c r="U50" i="2" s="1"/>
  <c r="X50" i="2" s="1"/>
  <c r="N14" i="10" s="1"/>
  <c r="E50" i="2"/>
  <c r="H50" i="2" s="1"/>
  <c r="K50" i="2" s="1"/>
  <c r="N50" i="2" s="1"/>
  <c r="Q50" i="2" s="1"/>
  <c r="T50" i="2" s="1"/>
  <c r="Q49" i="2"/>
  <c r="T49" i="2" s="1"/>
  <c r="W49" i="2" s="1"/>
  <c r="Z49" i="2" s="1"/>
  <c r="G49" i="2"/>
  <c r="J49" i="2" s="1"/>
  <c r="M49" i="2" s="1"/>
  <c r="P49" i="2" s="1"/>
  <c r="S49" i="2" s="1"/>
  <c r="V49" i="2" s="1"/>
  <c r="Y49" i="2" s="1"/>
  <c r="AB49" i="2" s="1"/>
  <c r="F49" i="2"/>
  <c r="I49" i="2" s="1"/>
  <c r="L49" i="2" s="1"/>
  <c r="O49" i="2" s="1"/>
  <c r="R49" i="2" s="1"/>
  <c r="U49" i="2" s="1"/>
  <c r="X49" i="2" s="1"/>
  <c r="AA49" i="2" s="1"/>
  <c r="E49" i="2"/>
  <c r="H49" i="2" s="1"/>
  <c r="K49" i="2" s="1"/>
  <c r="N49" i="2" s="1"/>
  <c r="U42" i="2"/>
  <c r="Z42" i="2" s="1"/>
  <c r="AE42" i="2" s="1"/>
  <c r="AJ42" i="2" s="1"/>
  <c r="AO42" i="2" s="1"/>
  <c r="AT42" i="2" s="1"/>
  <c r="S42" i="2"/>
  <c r="X42" i="2" s="1"/>
  <c r="AC42" i="2" s="1"/>
  <c r="AH42" i="2" s="1"/>
  <c r="AM42" i="2" s="1"/>
  <c r="AR42" i="2" s="1"/>
  <c r="P42" i="2"/>
  <c r="O42" i="2"/>
  <c r="T42" i="2" s="1"/>
  <c r="Y42" i="2" s="1"/>
  <c r="AD42" i="2" s="1"/>
  <c r="AI42" i="2" s="1"/>
  <c r="AN42" i="2" s="1"/>
  <c r="AS42" i="2" s="1"/>
  <c r="N42" i="2"/>
  <c r="M42" i="2"/>
  <c r="R42" i="2" s="1"/>
  <c r="W42" i="2" s="1"/>
  <c r="AB42" i="2" s="1"/>
  <c r="AG42" i="2" s="1"/>
  <c r="AL42" i="2" s="1"/>
  <c r="AQ42" i="2" s="1"/>
  <c r="L42" i="2"/>
  <c r="Q42" i="2" s="1"/>
  <c r="V42" i="2" s="1"/>
  <c r="AA42" i="2" s="1"/>
  <c r="AF42" i="2" s="1"/>
  <c r="AK42" i="2" s="1"/>
  <c r="AP42" i="2" s="1"/>
  <c r="T41" i="2"/>
  <c r="Y41" i="2" s="1"/>
  <c r="AI41" i="2" s="1"/>
  <c r="AN41" i="2" s="1"/>
  <c r="R41" i="2"/>
  <c r="W41" i="2" s="1"/>
  <c r="AB41" i="2" s="1"/>
  <c r="AG41" i="2" s="1"/>
  <c r="AL41" i="2" s="1"/>
  <c r="O41" i="2"/>
  <c r="N41" i="2"/>
  <c r="S41" i="2" s="1"/>
  <c r="X41" i="2" s="1"/>
  <c r="AH41" i="2" s="1"/>
  <c r="AM41" i="2" s="1"/>
  <c r="M41" i="2"/>
  <c r="L41" i="2"/>
  <c r="Q41" i="2" s="1"/>
  <c r="V41" i="2" s="1"/>
  <c r="K41" i="2"/>
  <c r="P41" i="2" s="1"/>
  <c r="U41" i="2" s="1"/>
  <c r="Z41" i="2" s="1"/>
  <c r="AE41" i="2" s="1"/>
  <c r="AJ41" i="2" s="1"/>
  <c r="AO41" i="2" s="1"/>
  <c r="AT41" i="2" s="1"/>
  <c r="T40" i="2"/>
  <c r="Y40" i="2" s="1"/>
  <c r="AI40" i="2" s="1"/>
  <c r="AN40" i="2" s="1"/>
  <c r="O40" i="2"/>
  <c r="N40" i="2"/>
  <c r="S40" i="2" s="1"/>
  <c r="X40" i="2" s="1"/>
  <c r="M40" i="2"/>
  <c r="R40" i="2" s="1"/>
  <c r="W40" i="2" s="1"/>
  <c r="AB40" i="2" s="1"/>
  <c r="AG40" i="2" s="1"/>
  <c r="L40" i="2"/>
  <c r="Q40" i="2" s="1"/>
  <c r="V40" i="2" s="1"/>
  <c r="K40" i="2"/>
  <c r="P40" i="2" s="1"/>
  <c r="U40" i="2" s="1"/>
  <c r="Z40" i="2" s="1"/>
  <c r="AE40" i="2" s="1"/>
  <c r="AJ40" i="2" s="1"/>
  <c r="AO40" i="2" s="1"/>
  <c r="AT40" i="2" s="1"/>
  <c r="R39" i="2"/>
  <c r="R43" i="2" s="1"/>
  <c r="W43" i="2" s="1"/>
  <c r="AB43" i="2" s="1"/>
  <c r="AG43" i="2" s="1"/>
  <c r="AL43" i="2" s="1"/>
  <c r="AQ43" i="2" s="1"/>
  <c r="O39" i="2"/>
  <c r="T39" i="2" s="1"/>
  <c r="N39" i="2"/>
  <c r="S39" i="2" s="1"/>
  <c r="M39" i="2"/>
  <c r="L39" i="2"/>
  <c r="Q39" i="2" s="1"/>
  <c r="V39" i="2" s="1"/>
  <c r="AA39" i="2" s="1"/>
  <c r="AF39" i="2" s="1"/>
  <c r="AK39" i="2" s="1"/>
  <c r="AP39" i="2" s="1"/>
  <c r="K39" i="2"/>
  <c r="P39" i="2" s="1"/>
  <c r="U39" i="2" s="1"/>
  <c r="U43" i="2" s="1"/>
  <c r="Z43" i="2" s="1"/>
  <c r="AE43" i="2" s="1"/>
  <c r="AJ43" i="2" s="1"/>
  <c r="AO43" i="2" s="1"/>
  <c r="AT43" i="2" s="1"/>
  <c r="Q31" i="2"/>
  <c r="V31" i="2" s="1"/>
  <c r="AA31" i="2" s="1"/>
  <c r="AF31" i="2" s="1"/>
  <c r="AK31" i="2" s="1"/>
  <c r="AP31" i="2" s="1"/>
  <c r="O31" i="2"/>
  <c r="T31" i="2" s="1"/>
  <c r="Y31" i="2" s="1"/>
  <c r="AD31" i="2" s="1"/>
  <c r="AI31" i="2" s="1"/>
  <c r="AN31" i="2" s="1"/>
  <c r="N31" i="2"/>
  <c r="S31" i="2" s="1"/>
  <c r="X31" i="2" s="1"/>
  <c r="AC31" i="2" s="1"/>
  <c r="AH31" i="2" s="1"/>
  <c r="AM31" i="2" s="1"/>
  <c r="M31" i="2"/>
  <c r="R31" i="2" s="1"/>
  <c r="W31" i="2" s="1"/>
  <c r="AB31" i="2" s="1"/>
  <c r="AG31" i="2" s="1"/>
  <c r="AL31" i="2" s="1"/>
  <c r="L31" i="2"/>
  <c r="K31" i="2"/>
  <c r="P31" i="2" s="1"/>
  <c r="U31" i="2" s="1"/>
  <c r="Z31" i="2" s="1"/>
  <c r="AE31" i="2" s="1"/>
  <c r="O30" i="2"/>
  <c r="T30" i="2" s="1"/>
  <c r="Y30" i="2" s="1"/>
  <c r="AD30" i="2" s="1"/>
  <c r="AI30" i="2" s="1"/>
  <c r="AN30" i="2" s="1"/>
  <c r="N30" i="2"/>
  <c r="S30" i="2" s="1"/>
  <c r="X30" i="2" s="1"/>
  <c r="AC30" i="2" s="1"/>
  <c r="AH30" i="2" s="1"/>
  <c r="AM30" i="2" s="1"/>
  <c r="M30" i="2"/>
  <c r="R30" i="2" s="1"/>
  <c r="W30" i="2" s="1"/>
  <c r="AB30" i="2" s="1"/>
  <c r="AG30" i="2" s="1"/>
  <c r="AL30" i="2" s="1"/>
  <c r="L30" i="2"/>
  <c r="Q30" i="2" s="1"/>
  <c r="V30" i="2" s="1"/>
  <c r="AA30" i="2" s="1"/>
  <c r="AF30" i="2" s="1"/>
  <c r="AK30" i="2" s="1"/>
  <c r="AP30" i="2" s="1"/>
  <c r="F16" i="17" s="1"/>
  <c r="P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H20" i="2"/>
  <c r="K20" i="2" s="1"/>
  <c r="N20" i="2" s="1"/>
  <c r="Q20" i="2" s="1"/>
  <c r="T20" i="2" s="1"/>
  <c r="W20" i="2" s="1"/>
  <c r="G20" i="2"/>
  <c r="J20" i="2" s="1"/>
  <c r="M20" i="2" s="1"/>
  <c r="P20" i="2" s="1"/>
  <c r="S20" i="2" s="1"/>
  <c r="V20" i="2" s="1"/>
  <c r="Y20" i="2" s="1"/>
  <c r="F20" i="2"/>
  <c r="I20" i="2" s="1"/>
  <c r="L20" i="2" s="1"/>
  <c r="O20" i="2" s="1"/>
  <c r="R20" i="2" s="1"/>
  <c r="U20" i="2" s="1"/>
  <c r="X20" i="2" s="1"/>
  <c r="K13" i="28" s="1"/>
  <c r="E20" i="2"/>
  <c r="G19" i="2"/>
  <c r="J19" i="2" s="1"/>
  <c r="M19" i="2" s="1"/>
  <c r="P19" i="2" s="1"/>
  <c r="S19" i="2" s="1"/>
  <c r="V19" i="2" s="1"/>
  <c r="Y19" i="2" s="1"/>
  <c r="F19" i="2"/>
  <c r="I19" i="2" s="1"/>
  <c r="L19" i="2" s="1"/>
  <c r="O19" i="2" s="1"/>
  <c r="R19" i="2" s="1"/>
  <c r="U19" i="2" s="1"/>
  <c r="X19" i="2" s="1"/>
  <c r="E19" i="2"/>
  <c r="H19" i="2" s="1"/>
  <c r="K19" i="2" s="1"/>
  <c r="N19" i="2" s="1"/>
  <c r="Q19" i="2" s="1"/>
  <c r="T19" i="2" s="1"/>
  <c r="W19" i="2" s="1"/>
  <c r="H18" i="2"/>
  <c r="K18" i="2" s="1"/>
  <c r="N18" i="2" s="1"/>
  <c r="Q18" i="2" s="1"/>
  <c r="T18" i="2" s="1"/>
  <c r="W18" i="2" s="1"/>
  <c r="Z18" i="2" s="1"/>
  <c r="G18" i="2"/>
  <c r="J18" i="2" s="1"/>
  <c r="M18" i="2" s="1"/>
  <c r="P18" i="2" s="1"/>
  <c r="S18" i="2" s="1"/>
  <c r="V18" i="2" s="1"/>
  <c r="Y18" i="2" s="1"/>
  <c r="F18" i="2"/>
  <c r="I18" i="2" s="1"/>
  <c r="L18" i="2" s="1"/>
  <c r="O18" i="2" s="1"/>
  <c r="R18" i="2" s="1"/>
  <c r="U18" i="2" s="1"/>
  <c r="X18" i="2" s="1"/>
  <c r="E18" i="2"/>
  <c r="G17" i="2"/>
  <c r="J17" i="2" s="1"/>
  <c r="M17" i="2" s="1"/>
  <c r="P17" i="2" s="1"/>
  <c r="S17" i="2" s="1"/>
  <c r="V17" i="2" s="1"/>
  <c r="Y17" i="2" s="1"/>
  <c r="F17" i="2"/>
  <c r="I17" i="2" s="1"/>
  <c r="L17" i="2" s="1"/>
  <c r="O17" i="2" s="1"/>
  <c r="R17" i="2" s="1"/>
  <c r="U17" i="2" s="1"/>
  <c r="X17" i="2" s="1"/>
  <c r="E17" i="2"/>
  <c r="H17" i="2" s="1"/>
  <c r="K17" i="2" s="1"/>
  <c r="N17" i="2" s="1"/>
  <c r="Q17" i="2" s="1"/>
  <c r="T17" i="2" s="1"/>
  <c r="W17" i="2" s="1"/>
  <c r="I16" i="2"/>
  <c r="L16" i="2" s="1"/>
  <c r="O16" i="2" s="1"/>
  <c r="R16" i="2" s="1"/>
  <c r="U16" i="2" s="1"/>
  <c r="X16" i="2" s="1"/>
  <c r="G16" i="2"/>
  <c r="J16" i="2" s="1"/>
  <c r="M16" i="2" s="1"/>
  <c r="P16" i="2" s="1"/>
  <c r="S16" i="2" s="1"/>
  <c r="V16" i="2" s="1"/>
  <c r="Y16" i="2" s="1"/>
  <c r="F16" i="2"/>
  <c r="E16" i="2"/>
  <c r="H16" i="2" s="1"/>
  <c r="K16" i="2" s="1"/>
  <c r="N16" i="2" s="1"/>
  <c r="Q16" i="2" s="1"/>
  <c r="T16" i="2" s="1"/>
  <c r="W16" i="2" s="1"/>
  <c r="F14" i="17" s="1"/>
  <c r="F18" i="17" s="1"/>
  <c r="F22" i="17" s="1"/>
  <c r="G15" i="2"/>
  <c r="J15" i="2" s="1"/>
  <c r="M15" i="2" s="1"/>
  <c r="P15" i="2" s="1"/>
  <c r="S15" i="2" s="1"/>
  <c r="V15" i="2" s="1"/>
  <c r="Y15" i="2" s="1"/>
  <c r="F15" i="2"/>
  <c r="I15" i="2" s="1"/>
  <c r="L15" i="2" s="1"/>
  <c r="O15" i="2" s="1"/>
  <c r="R15" i="2" s="1"/>
  <c r="U15" i="2" s="1"/>
  <c r="X15" i="2" s="1"/>
  <c r="H15" i="2"/>
  <c r="K15" i="2" s="1"/>
  <c r="N15" i="2" s="1"/>
  <c r="Q15" i="2" s="1"/>
  <c r="T15" i="2" s="1"/>
  <c r="W15" i="2" s="1"/>
  <c r="F14" i="11" s="1"/>
  <c r="G14" i="2"/>
  <c r="J14" i="2" s="1"/>
  <c r="M14" i="2" s="1"/>
  <c r="P14" i="2" s="1"/>
  <c r="S14" i="2" s="1"/>
  <c r="V14" i="2" s="1"/>
  <c r="Y14" i="2" s="1"/>
  <c r="F14" i="2"/>
  <c r="I14" i="2" s="1"/>
  <c r="L14" i="2" s="1"/>
  <c r="O14" i="2" s="1"/>
  <c r="R14" i="2" s="1"/>
  <c r="U14" i="2" s="1"/>
  <c r="X14" i="2" s="1"/>
  <c r="E14" i="2"/>
  <c r="H14" i="2" s="1"/>
  <c r="K14" i="2" s="1"/>
  <c r="N14" i="2" s="1"/>
  <c r="Q14" i="2" s="1"/>
  <c r="T14" i="2" s="1"/>
  <c r="W14" i="2" s="1"/>
  <c r="Q13" i="2"/>
  <c r="T13" i="2" s="1"/>
  <c r="W13" i="2" s="1"/>
  <c r="G13" i="2"/>
  <c r="J13" i="2" s="1"/>
  <c r="M13" i="2" s="1"/>
  <c r="F13" i="2"/>
  <c r="I13" i="2" s="1"/>
  <c r="L13" i="2" s="1"/>
  <c r="E13" i="2"/>
  <c r="H13" i="2" s="1"/>
  <c r="K13" i="2" s="1"/>
  <c r="N13" i="2" s="1"/>
  <c r="P18" i="17" l="1"/>
  <c r="P22" i="17" s="1"/>
  <c r="H14" i="11"/>
  <c r="G14" i="11"/>
  <c r="AT45" i="2"/>
  <c r="F13" i="23"/>
  <c r="C39" i="12"/>
  <c r="E39" i="12" s="1"/>
  <c r="E40" i="12" s="1"/>
  <c r="E44" i="12" s="1"/>
  <c r="H14" i="12"/>
  <c r="I14" i="12"/>
  <c r="F14" i="12"/>
  <c r="J14" i="12"/>
  <c r="G14" i="12"/>
  <c r="K14" i="17"/>
  <c r="I14" i="17"/>
  <c r="C18" i="17"/>
  <c r="C22" i="17" s="1"/>
  <c r="O14" i="11"/>
  <c r="N14" i="11" s="1"/>
  <c r="C37" i="28"/>
  <c r="H37" i="28" s="1"/>
  <c r="G13" i="28"/>
  <c r="C16" i="28"/>
  <c r="C20" i="28" s="1"/>
  <c r="C62" i="19"/>
  <c r="J13" i="19"/>
  <c r="H13" i="19"/>
  <c r="I13" i="19" s="1"/>
  <c r="E13" i="19"/>
  <c r="C17" i="19"/>
  <c r="C21" i="19" s="1"/>
  <c r="F13" i="10"/>
  <c r="AF40" i="2"/>
  <c r="AK40" i="2" s="1"/>
  <c r="AP40" i="2" s="1"/>
  <c r="AA40" i="2"/>
  <c r="K37" i="12"/>
  <c r="L37" i="12" s="1"/>
  <c r="M14" i="9"/>
  <c r="J14" i="9"/>
  <c r="K14" i="9"/>
  <c r="L14" i="9" s="1"/>
  <c r="L16" i="9" s="1"/>
  <c r="L21" i="9" s="1"/>
  <c r="I14" i="9"/>
  <c r="F14" i="9"/>
  <c r="G14" i="9" s="1"/>
  <c r="AH40" i="2"/>
  <c r="AM40" i="2" s="1"/>
  <c r="C64" i="19"/>
  <c r="H15" i="19"/>
  <c r="I15" i="19" s="1"/>
  <c r="E15" i="19"/>
  <c r="J15" i="19"/>
  <c r="I14" i="21"/>
  <c r="J14" i="21" s="1"/>
  <c r="H14" i="21"/>
  <c r="K14" i="21"/>
  <c r="N14" i="21" s="1"/>
  <c r="D14" i="21"/>
  <c r="I14" i="28"/>
  <c r="I38" i="28" s="1"/>
  <c r="C38" i="28"/>
  <c r="H38" i="28" s="1"/>
  <c r="K38" i="28"/>
  <c r="J14" i="28"/>
  <c r="J38" i="28" s="1"/>
  <c r="G14" i="28"/>
  <c r="G38" i="28" s="1"/>
  <c r="O38" i="28"/>
  <c r="AF29" i="2"/>
  <c r="AK29" i="2" s="1"/>
  <c r="AP29" i="2" s="1"/>
  <c r="F15" i="11" s="1"/>
  <c r="AA29" i="2"/>
  <c r="K15" i="17"/>
  <c r="I15" i="17"/>
  <c r="J15" i="17" s="1"/>
  <c r="O15" i="17"/>
  <c r="AA41" i="2"/>
  <c r="AF41" i="2" s="1"/>
  <c r="AK41" i="2" s="1"/>
  <c r="AP41" i="2" s="1"/>
  <c r="K37" i="28"/>
  <c r="O16" i="17"/>
  <c r="I16" i="17"/>
  <c r="J16" i="17" s="1"/>
  <c r="K16" i="17"/>
  <c r="E14" i="19"/>
  <c r="J14" i="19"/>
  <c r="H14" i="19"/>
  <c r="I14" i="19" s="1"/>
  <c r="C63" i="19"/>
  <c r="C17" i="11"/>
  <c r="C21" i="11" s="1"/>
  <c r="T32" i="2"/>
  <c r="Y32" i="2" s="1"/>
  <c r="AD32" i="2" s="1"/>
  <c r="AI32" i="2" s="1"/>
  <c r="AN32" i="2" s="1"/>
  <c r="Y28" i="2"/>
  <c r="AD28" i="2" s="1"/>
  <c r="AI28" i="2" s="1"/>
  <c r="AN28" i="2" s="1"/>
  <c r="K21" i="2"/>
  <c r="N21" i="2" s="1"/>
  <c r="Q21" i="2" s="1"/>
  <c r="T21" i="2" s="1"/>
  <c r="W21" i="2" s="1"/>
  <c r="V28" i="2"/>
  <c r="AA28" i="2" s="1"/>
  <c r="AF28" i="2" s="1"/>
  <c r="AK28" i="2" s="1"/>
  <c r="Q32" i="2"/>
  <c r="V32" i="2" s="1"/>
  <c r="AA32" i="2" s="1"/>
  <c r="AF32" i="2" s="1"/>
  <c r="AK32" i="2" s="1"/>
  <c r="AP32" i="2"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Z39" i="2"/>
  <c r="AE39" i="2" s="1"/>
  <c r="AJ39" i="2" s="1"/>
  <c r="AO39" i="2" s="1"/>
  <c r="AT39" i="2" s="1"/>
  <c r="H40" i="28" l="1"/>
  <c r="H44" i="28" s="1"/>
  <c r="I62" i="19"/>
  <c r="D62" i="19"/>
  <c r="I64" i="19"/>
  <c r="D64" i="19"/>
  <c r="I63" i="19"/>
  <c r="I66" i="19" s="1"/>
  <c r="I70" i="19" s="1"/>
  <c r="D63" i="19"/>
  <c r="O15" i="19"/>
  <c r="O17" i="19" s="1"/>
  <c r="O21" i="19" s="1"/>
  <c r="M15" i="19"/>
  <c r="M17" i="19" s="1"/>
  <c r="M21" i="19" s="1"/>
  <c r="K40" i="28"/>
  <c r="K44" i="28" s="1"/>
  <c r="G14" i="21"/>
  <c r="M14" i="21" s="1"/>
  <c r="F14" i="21"/>
  <c r="L14" i="21" s="1"/>
  <c r="O14" i="21" s="1"/>
  <c r="I17" i="19"/>
  <c r="I21" i="19" s="1"/>
  <c r="J18" i="17"/>
  <c r="J22" i="17" s="1"/>
  <c r="J14" i="11"/>
  <c r="I14" i="11"/>
  <c r="I17" i="11" s="1"/>
  <c r="I21" i="11" s="1"/>
  <c r="L63" i="19"/>
  <c r="F63" i="19"/>
  <c r="F62" i="19"/>
  <c r="L62" i="19"/>
  <c r="F17" i="11"/>
  <c r="F21" i="11" s="1"/>
  <c r="G15" i="11"/>
  <c r="G17" i="11"/>
  <c r="G21" i="11" s="1"/>
  <c r="L64" i="19"/>
  <c r="F64" i="19"/>
  <c r="C40" i="28"/>
  <c r="C44" i="28" s="1"/>
  <c r="E17" i="19"/>
  <c r="E21" i="19" s="1"/>
  <c r="F14" i="23"/>
  <c r="I13" i="10"/>
  <c r="K64" i="19"/>
  <c r="M64" i="19" s="1"/>
  <c r="J64" i="19"/>
  <c r="E64" i="19"/>
  <c r="H64" i="19"/>
  <c r="F14" i="10"/>
  <c r="I14" i="10"/>
  <c r="J14" i="10"/>
  <c r="O14" i="10" s="1"/>
  <c r="I13" i="28"/>
  <c r="G37" i="28"/>
  <c r="G40" i="28" s="1"/>
  <c r="G44" i="28" s="1"/>
  <c r="G16" i="28"/>
  <c r="G20" i="28" s="1"/>
  <c r="I18" i="17"/>
  <c r="I22" i="17" s="1"/>
  <c r="M13" i="9"/>
  <c r="M16" i="9" s="1"/>
  <c r="M21" i="9" s="1"/>
  <c r="K16" i="9"/>
  <c r="K21" i="9" s="1"/>
  <c r="J15" i="11"/>
  <c r="F14" i="20"/>
  <c r="M14" i="20"/>
  <c r="K17" i="19"/>
  <c r="K21" i="19" s="1"/>
  <c r="N13" i="10"/>
  <c r="O13" i="10" s="1"/>
  <c r="D39" i="12"/>
  <c r="H39" i="12" s="1"/>
  <c r="J39" i="12"/>
  <c r="G39" i="12"/>
  <c r="K39" i="12"/>
  <c r="G37" i="12"/>
  <c r="D37" i="12"/>
  <c r="H37" i="12" s="1"/>
  <c r="J37" i="12"/>
  <c r="K18" i="17"/>
  <c r="K22" i="17" s="1"/>
  <c r="H17" i="19"/>
  <c r="H21" i="19" s="1"/>
  <c r="H15" i="11"/>
  <c r="H17" i="11" s="1"/>
  <c r="H21" i="11" s="1"/>
  <c r="H14" i="15"/>
  <c r="J14" i="15"/>
  <c r="M14" i="15"/>
  <c r="O14" i="15" s="1"/>
  <c r="O16" i="15" s="1"/>
  <c r="O20" i="15" s="1"/>
  <c r="K14" i="15"/>
  <c r="F14" i="15"/>
  <c r="G14" i="15" s="1"/>
  <c r="H15" i="21"/>
  <c r="N15" i="21"/>
  <c r="I15" i="21"/>
  <c r="J15" i="21" s="1"/>
  <c r="J17" i="21" s="1"/>
  <c r="J21" i="21" s="1"/>
  <c r="K15" i="21"/>
  <c r="D15" i="21"/>
  <c r="O15" i="21" s="1"/>
  <c r="L15" i="11"/>
  <c r="M15" i="11" s="1"/>
  <c r="M17" i="11" s="1"/>
  <c r="M21" i="11" s="1"/>
  <c r="J13" i="9"/>
  <c r="J16" i="9" s="1"/>
  <c r="J21" i="9" s="1"/>
  <c r="I13" i="9"/>
  <c r="I16" i="9" s="1"/>
  <c r="I21" i="9" s="1"/>
  <c r="F13" i="9"/>
  <c r="C16" i="9"/>
  <c r="C21" i="9" s="1"/>
  <c r="K16" i="28"/>
  <c r="K20" i="28" s="1"/>
  <c r="J17" i="19"/>
  <c r="J21" i="19" s="1"/>
  <c r="O18" i="17"/>
  <c r="O22" i="17" s="1"/>
  <c r="J15" i="10"/>
  <c r="O15" i="10" s="1"/>
  <c r="I15" i="10"/>
  <c r="L15" i="10"/>
  <c r="N15" i="10" s="1"/>
  <c r="F15" i="10"/>
  <c r="I13" i="12"/>
  <c r="I16" i="12" s="1"/>
  <c r="I20" i="12" s="1"/>
  <c r="H13" i="12"/>
  <c r="F13" i="12"/>
  <c r="G13" i="12"/>
  <c r="G16" i="12" s="1"/>
  <c r="G20" i="12" s="1"/>
  <c r="C16" i="12"/>
  <c r="C20" i="12" s="1"/>
  <c r="O37" i="28"/>
  <c r="O40" i="28" s="1"/>
  <c r="O44" i="28" s="1"/>
  <c r="O16" i="28"/>
  <c r="O20" i="28" s="1"/>
  <c r="N17" i="19"/>
  <c r="N21" i="19" s="1"/>
  <c r="F13" i="20"/>
  <c r="G13" i="20" s="1"/>
  <c r="K13" i="20"/>
  <c r="H13" i="20"/>
  <c r="J13" i="20"/>
  <c r="C17" i="20"/>
  <c r="C21" i="20" s="1"/>
  <c r="H62" i="19"/>
  <c r="E62" i="19"/>
  <c r="J62" i="19"/>
  <c r="K62" i="19"/>
  <c r="M62" i="19" s="1"/>
  <c r="C66" i="19"/>
  <c r="C70" i="19" s="1"/>
  <c r="L14" i="34"/>
  <c r="N17" i="34" s="1"/>
  <c r="N21" i="34" s="1"/>
  <c r="J14" i="34"/>
  <c r="H14" i="34"/>
  <c r="F14" i="34"/>
  <c r="C17" i="34"/>
  <c r="C21" i="34" s="1"/>
  <c r="K38" i="12"/>
  <c r="K63" i="19"/>
  <c r="M63" i="19"/>
  <c r="H63" i="19"/>
  <c r="J63" i="19"/>
  <c r="E63" i="19"/>
  <c r="M13" i="15"/>
  <c r="F13" i="15"/>
  <c r="P13" i="15"/>
  <c r="K13" i="15"/>
  <c r="J13" i="15"/>
  <c r="H13" i="15"/>
  <c r="C16" i="15"/>
  <c r="C20" i="15" s="1"/>
  <c r="C17" i="10"/>
  <c r="C21" i="10" s="1"/>
  <c r="K14" i="12"/>
  <c r="D66" i="19" l="1"/>
  <c r="D70" i="19" s="1"/>
  <c r="J17" i="11"/>
  <c r="J21" i="11" s="1"/>
  <c r="G15" i="21"/>
  <c r="M15" i="21" s="1"/>
  <c r="F15" i="21"/>
  <c r="L15" i="21" s="1"/>
  <c r="F16" i="23"/>
  <c r="F20" i="23" s="1"/>
  <c r="O14" i="23"/>
  <c r="O16" i="23" s="1"/>
  <c r="O20" i="23" s="1"/>
  <c r="J66" i="19"/>
  <c r="J70" i="19" s="1"/>
  <c r="O17" i="10"/>
  <c r="O21" i="10" s="1"/>
  <c r="L66" i="19"/>
  <c r="L70" i="19" s="1"/>
  <c r="F17" i="10"/>
  <c r="F21" i="10" s="1"/>
  <c r="F66" i="19"/>
  <c r="F70" i="19" s="1"/>
  <c r="P14" i="15"/>
  <c r="P16" i="15" s="1"/>
  <c r="P20" i="15" s="1"/>
  <c r="N14" i="15"/>
  <c r="N16" i="15" s="1"/>
  <c r="N20" i="15" s="1"/>
  <c r="L39" i="12"/>
  <c r="L40" i="12" s="1"/>
  <c r="L44" i="12" s="1"/>
  <c r="L17" i="11"/>
  <c r="L21" i="11" s="1"/>
  <c r="O15" i="11"/>
  <c r="G14" i="34"/>
  <c r="N17" i="10"/>
  <c r="N21" i="10" s="1"/>
  <c r="H14" i="20"/>
  <c r="G14" i="20"/>
  <c r="F16" i="15"/>
  <c r="F20" i="15" s="1"/>
  <c r="G13" i="15"/>
  <c r="G16" i="15" s="1"/>
  <c r="G20" i="15" s="1"/>
  <c r="J16" i="15"/>
  <c r="J20" i="15" s="1"/>
  <c r="F16" i="9"/>
  <c r="F21" i="9" s="1"/>
  <c r="G13" i="9"/>
  <c r="G16" i="9" s="1"/>
  <c r="G21" i="9" s="1"/>
  <c r="M16" i="15"/>
  <c r="M20" i="15" s="1"/>
  <c r="F16" i="12"/>
  <c r="F20" i="12" s="1"/>
  <c r="K13" i="12"/>
  <c r="K16" i="12" s="1"/>
  <c r="K20" i="12" s="1"/>
  <c r="J16" i="12"/>
  <c r="J20" i="12" s="1"/>
  <c r="H16" i="12"/>
  <c r="H20" i="12" s="1"/>
  <c r="C40" i="12"/>
  <c r="C44" i="12" s="1"/>
  <c r="E66" i="19"/>
  <c r="E70" i="19" s="1"/>
  <c r="L17" i="10"/>
  <c r="L21" i="10" s="1"/>
  <c r="I14" i="23"/>
  <c r="N14" i="23"/>
  <c r="K16" i="23"/>
  <c r="K20" i="23" s="1"/>
  <c r="C16" i="23"/>
  <c r="C20" i="23" s="1"/>
  <c r="D13" i="21"/>
  <c r="K13" i="21"/>
  <c r="C17" i="21"/>
  <c r="C21" i="21" s="1"/>
  <c r="N13" i="23"/>
  <c r="H16" i="15"/>
  <c r="H20" i="15" s="1"/>
  <c r="H66" i="19"/>
  <c r="H70" i="19" s="1"/>
  <c r="M66" i="19"/>
  <c r="M70" i="19" s="1"/>
  <c r="J13" i="28"/>
  <c r="I37" i="28"/>
  <c r="I40" i="28" s="1"/>
  <c r="I44" i="28" s="1"/>
  <c r="I16" i="28"/>
  <c r="I20" i="28" s="1"/>
  <c r="K66" i="19"/>
  <c r="K70" i="19" s="1"/>
  <c r="F15" i="20"/>
  <c r="M15" i="20"/>
  <c r="K15" i="20"/>
  <c r="J15" i="20"/>
  <c r="H15" i="20"/>
  <c r="J13" i="10"/>
  <c r="J17" i="10" s="1"/>
  <c r="J21" i="10" s="1"/>
  <c r="I17" i="10"/>
  <c r="I21" i="10" s="1"/>
  <c r="O14" i="34"/>
  <c r="K16" i="15"/>
  <c r="K20" i="15" s="1"/>
  <c r="J38" i="12"/>
  <c r="J40" i="12" s="1"/>
  <c r="J44" i="12" s="1"/>
  <c r="D38" i="12"/>
  <c r="G38" i="12"/>
  <c r="G40" i="12" s="1"/>
  <c r="G44" i="12" s="1"/>
  <c r="H15" i="34"/>
  <c r="H17" i="34" s="1"/>
  <c r="H21" i="34" s="1"/>
  <c r="F15" i="34"/>
  <c r="M15" i="34" s="1"/>
  <c r="O15" i="34"/>
  <c r="L15" i="34"/>
  <c r="L17" i="34" s="1"/>
  <c r="L21" i="34" s="1"/>
  <c r="J15" i="34"/>
  <c r="J17" i="34" s="1"/>
  <c r="J21" i="34" s="1"/>
  <c r="D40" i="12" l="1"/>
  <c r="D44" i="12" s="1"/>
  <c r="H38" i="12"/>
  <c r="H40" i="12" s="1"/>
  <c r="H44" i="12" s="1"/>
  <c r="G13" i="21"/>
  <c r="F13" i="21"/>
  <c r="G17" i="21"/>
  <c r="G21" i="21" s="1"/>
  <c r="M13" i="21"/>
  <c r="M17" i="21" s="1"/>
  <c r="M21" i="21" s="1"/>
  <c r="N15" i="20"/>
  <c r="N17" i="20" s="1"/>
  <c r="N21" i="20" s="1"/>
  <c r="O15" i="20"/>
  <c r="O17" i="20" s="1"/>
  <c r="O21" i="20" s="1"/>
  <c r="O17" i="11"/>
  <c r="O21" i="11" s="1"/>
  <c r="N15" i="11"/>
  <c r="N17" i="11" s="1"/>
  <c r="N21" i="11" s="1"/>
  <c r="M17" i="34"/>
  <c r="M21" i="34" s="1"/>
  <c r="J14" i="20"/>
  <c r="K14" i="20" s="1"/>
  <c r="K17" i="20" s="1"/>
  <c r="K21" i="20" s="1"/>
  <c r="I14" i="20"/>
  <c r="I17" i="20" s="1"/>
  <c r="I21" i="20" s="1"/>
  <c r="H17" i="20"/>
  <c r="H21" i="20" s="1"/>
  <c r="F17" i="34"/>
  <c r="F21" i="34" s="1"/>
  <c r="G15" i="34"/>
  <c r="G17" i="34" s="1"/>
  <c r="G21" i="34" s="1"/>
  <c r="F17" i="20"/>
  <c r="F21" i="20" s="1"/>
  <c r="G15" i="20"/>
  <c r="G17" i="20" s="1"/>
  <c r="G21" i="20" s="1"/>
  <c r="N16" i="23"/>
  <c r="N20" i="23" s="1"/>
  <c r="K40" i="12"/>
  <c r="K44" i="12" s="1"/>
  <c r="N13" i="21"/>
  <c r="N17" i="21" s="1"/>
  <c r="N21" i="21" s="1"/>
  <c r="K21" i="21"/>
  <c r="I16" i="23"/>
  <c r="I20" i="23" s="1"/>
  <c r="J37" i="28"/>
  <c r="J40" i="28" s="1"/>
  <c r="J44" i="28" s="1"/>
  <c r="J16" i="28"/>
  <c r="J20" i="28" s="1"/>
  <c r="H13" i="21"/>
  <c r="D17" i="21"/>
  <c r="D21" i="21" s="1"/>
  <c r="O17" i="34"/>
  <c r="O21" i="34" s="1"/>
  <c r="P15" i="20"/>
  <c r="P17" i="20" s="1"/>
  <c r="P21" i="20" s="1"/>
  <c r="M17" i="20"/>
  <c r="M21" i="20" s="1"/>
  <c r="F17" i="21" l="1"/>
  <c r="F21" i="21" s="1"/>
  <c r="L13" i="21"/>
  <c r="J17" i="20"/>
  <c r="J21" i="20" s="1"/>
  <c r="I17" i="21"/>
  <c r="I21" i="21" s="1"/>
  <c r="H17" i="21"/>
  <c r="H21" i="21" s="1"/>
  <c r="L17" i="21" l="1"/>
  <c r="L21" i="21" s="1"/>
  <c r="O13" i="21"/>
  <c r="O17" i="21" s="1"/>
  <c r="O21"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AC3" authorId="0" shapeId="0" xr:uid="{3DCC39E5-7CC0-4C50-B274-4AEA0F053793}">
      <text>
        <r>
          <rPr>
            <sz val="9"/>
            <color indexed="81"/>
            <rFont val="Tahoma"/>
            <family val="2"/>
          </rPr>
          <t>Inflación Año 2017</t>
        </r>
      </text>
    </commen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s>
  <commentList>
    <comment ref="Q27" authorId="0" shapeId="0" xr:uid="{4F7B621E-63D5-48B5-8621-A5A267EFC692}">
      <text>
        <r>
          <rPr>
            <b/>
            <sz val="8"/>
            <color indexed="81"/>
            <rFont val="Tahoma"/>
            <family val="2"/>
          </rPr>
          <t>De acuerdo con la Resolución 40261 Tabla 2</t>
        </r>
      </text>
    </comment>
    <comment ref="R27" authorId="0" shapeId="0" xr:uid="{A08F9DF2-239E-4FC7-AD30-80B357183B0E}">
      <text>
        <r>
          <rPr>
            <b/>
            <sz val="9"/>
            <color indexed="81"/>
            <rFont val="Tahoma"/>
            <family val="2"/>
          </rPr>
          <t>De acuerdo con la Resolución 40261 Tabla 4</t>
        </r>
      </text>
    </comment>
  </commentList>
</comments>
</file>

<file path=xl/sharedStrings.xml><?xml version="1.0" encoding="utf-8"?>
<sst xmlns="http://schemas.openxmlformats.org/spreadsheetml/2006/main" count="3823" uniqueCount="517">
  <si>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</si>
  <si>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</si>
  <si>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</si>
  <si>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</si>
  <si>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</si>
  <si>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</si>
  <si>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</si>
  <si>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</si>
  <si>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</si>
  <si>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</si>
  <si>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</si>
  <si>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</si>
  <si>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</si>
  <si>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</si>
  <si>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</si>
  <si>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</si>
  <si>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</si>
  <si>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</si>
  <si>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</si>
  <si>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</si>
  <si>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</si>
  <si>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</si>
  <si>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</si>
  <si>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</si>
  <si>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</si>
  <si>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</si>
  <si>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</si>
  <si>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</si>
  <si>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</si>
  <si>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</si>
  <si>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</si>
  <si>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</si>
  <si>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</si>
  <si>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</si>
  <si>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</si>
  <si>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</si>
  <si>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</si>
  <si>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</si>
  <si>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</si>
  <si>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</si>
  <si>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</si>
  <si>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</si>
  <si>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</si>
  <si>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</si>
  <si>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</si>
  <si>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</si>
  <si>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</si>
  <si>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</si>
  <si>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</si>
  <si>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</si>
  <si>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</si>
  <si>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</si>
  <si>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</si>
  <si>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</si>
  <si>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</si>
  <si>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</si>
  <si>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</si>
  <si>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</si>
  <si>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</si>
  <si>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</si>
  <si>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</si>
  <si>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</si>
  <si>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</si>
  <si>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</si>
  <si>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</si>
  <si>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</si>
  <si>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</si>
  <si>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</si>
  <si>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</si>
  <si>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</si>
  <si>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</si>
  <si>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</si>
  <si>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</si>
  <si>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</si>
  <si>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</si>
  <si>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</si>
  <si>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</si>
  <si>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</si>
  <si>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</si>
  <si>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</si>
  <si>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</si>
  <si>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</si>
  <si>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</si>
  <si>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</si>
  <si>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</si>
  <si>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</si>
  <si>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</si>
  <si>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</si>
  <si>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</si>
  <si>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</si>
  <si>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</si>
  <si>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</si>
  <si>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</si>
  <si>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</si>
  <si>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</si>
  <si>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</si>
  <si>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Gasolina Corriente</t>
  </si>
  <si>
    <t>ACPM B2</t>
  </si>
  <si>
    <t>Marcación de las actividades de distribución de la Gasolina Motor Corriente, Corriente Oxigenada, ACPM y ACPM con Biocombustibles</t>
  </si>
  <si>
    <t>Gasolina Corriente Oxigenada 8%</t>
  </si>
  <si>
    <t>ACPM B10</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</si>
  <si>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</si>
  <si>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</si>
  <si>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</si>
  <si>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</si>
  <si>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</si>
  <si>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</si>
  <si>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</si>
  <si>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</si>
  <si>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</si>
  <si>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</si>
  <si>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</si>
  <si>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</si>
  <si>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</si>
  <si>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</si>
  <si>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</si>
  <si>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</si>
  <si>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</si>
  <si>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</si>
  <si>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</si>
  <si>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</si>
  <si>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</si>
  <si>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</si>
  <si>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</si>
  <si>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</si>
  <si>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Ingreso al productor</t>
  </si>
  <si>
    <t>Tarifa de marcación</t>
  </si>
  <si>
    <t>(*)</t>
  </si>
  <si>
    <t>Impuesto Nacional a la Gasolina y al ACPM</t>
  </si>
  <si>
    <t>Impuesto sobre las Ventas</t>
  </si>
  <si>
    <t>(3)</t>
  </si>
  <si>
    <t>Impuesto al carbono</t>
  </si>
  <si>
    <t>(**)</t>
  </si>
  <si>
    <t>(***)</t>
  </si>
  <si>
    <t>Sobretasa</t>
  </si>
  <si>
    <t>(****)</t>
  </si>
  <si>
    <t>Transporte planta de abasto a estación de servicio</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</si>
  <si>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</si>
  <si>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</si>
  <si>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</si>
  <si>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</si>
  <si>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</si>
  <si>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</si>
  <si>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</si>
  <si>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</si>
  <si>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</si>
  <si>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</si>
  <si>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</si>
  <si>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</si>
  <si>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</si>
  <si>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</si>
  <si>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</si>
  <si>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</si>
  <si>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</si>
  <si>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BIOCOMBUSTIBLE B100</t>
  </si>
  <si>
    <t xml:space="preserve">Biodiesel B2 con destino a mezcla </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</si>
  <si>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</si>
  <si>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</si>
  <si>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</si>
  <si>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</si>
  <si>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</si>
  <si>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</si>
  <si>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</si>
  <si>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</si>
  <si>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</si>
  <si>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</si>
  <si>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</si>
  <si>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</si>
  <si>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</si>
  <si>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</si>
  <si>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</si>
  <si>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</si>
  <si>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</si>
  <si>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</si>
  <si>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</si>
  <si>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</si>
  <si>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</si>
  <si>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</si>
  <si>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</si>
  <si>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</si>
  <si>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</si>
  <si>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</si>
  <si>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</si>
  <si>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</si>
  <si>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</si>
  <si>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</si>
  <si>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</si>
  <si>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</si>
  <si>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</si>
  <si>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</si>
  <si>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</si>
  <si>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</si>
  <si>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</si>
  <si>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</si>
  <si>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</si>
  <si>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</si>
  <si>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</si>
  <si>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</si>
  <si>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</si>
  <si>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</si>
  <si>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</si>
  <si>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</si>
  <si>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</si>
  <si>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</si>
  <si>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</si>
  <si>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</si>
  <si>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</si>
  <si>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</si>
  <si>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</si>
  <si>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</si>
  <si>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</si>
  <si>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</si>
  <si>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</si>
  <si>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</si>
  <si>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</si>
  <si>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</si>
  <si>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</si>
  <si>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</si>
  <si>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</si>
  <si>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</si>
  <si>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</si>
  <si>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</si>
  <si>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</si>
  <si>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</si>
  <si>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</si>
  <si>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</si>
  <si>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</si>
  <si>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</si>
  <si>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</si>
  <si>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</si>
  <si>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</si>
  <si>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</si>
  <si>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</si>
  <si>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</si>
  <si>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</si>
  <si>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</si>
  <si>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</si>
  <si>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</si>
  <si>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</si>
  <si>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</si>
  <si>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</si>
  <si>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</si>
  <si>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</si>
  <si>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</si>
  <si>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</si>
  <si>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</si>
  <si>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</si>
  <si>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</si>
  <si>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</si>
  <si>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</si>
  <si>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</si>
  <si>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</si>
  <si>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</si>
  <si>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</si>
  <si>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DEPARTAMENTO DE CHOCÓ</t>
  </si>
  <si>
    <t>DEPARTAMENTO DE GUAINIA</t>
  </si>
  <si>
    <t>Valor del transporte de la planta de Inirida a las estaciones de servicio</t>
  </si>
  <si>
    <t>DEPARTAMENTO DE LA GUAJIRA</t>
  </si>
  <si>
    <t>ORIGEN: Refinería de Cartagena                                                PLANTA DE ABASTO:Ayatawocoop  y Discowacoop- ubicadas en el municipio de Maicao; abastecidas desde Galapa  y Baranoa</t>
  </si>
  <si>
    <t>DEPARTAMENTO DE LA GUAJIRA - GRANDES CONSUMIDORES</t>
  </si>
  <si>
    <t>Corresponde al valor del transporte desde la planta de abastecimiento (punto de entrega del poliducto) hasta las plantas de Maicao</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</si>
  <si>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</si>
  <si>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</si>
  <si>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</si>
  <si>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</si>
  <si>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</si>
  <si>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</si>
  <si>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</si>
  <si>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Tarifa de transporte (a. poliductos y b. biocombustibles)</t>
  </si>
  <si>
    <t>Valor correspondiente al flete desde la planta de abastecimiento mayorista hasta las estaciones de servicio de los diferentes municipios.</t>
  </si>
  <si>
    <t>DEPARTAMENTO VAUPES</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</si>
  <si>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</si>
  <si>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</si>
  <si>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</si>
  <si>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</si>
  <si>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</si>
  <si>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</si>
  <si>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</si>
  <si>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</si>
  <si>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</si>
  <si>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</si>
  <si>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</si>
  <si>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</si>
  <si>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</si>
  <si>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</si>
  <si>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</si>
  <si>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</si>
  <si>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</si>
  <si>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</si>
  <si>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</si>
  <si>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</si>
  <si>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</si>
  <si>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</si>
  <si>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r>
      <t>Tarifa de transporte</t>
    </r>
    <r>
      <rPr>
        <b/>
        <i/>
        <sz val="10"/>
        <rFont val="Calibri"/>
        <family val="2"/>
        <scheme val="minor"/>
      </rPr>
      <t xml:space="preserve"> (poliductos y biocombustibles)</t>
    </r>
  </si>
  <si>
    <t>Valor del transporte desde la plantas de abastecimiento (Chimitá, Mansilla, Tocancipá) hasta la Planta de Guainía (Puerto Inírida)</t>
  </si>
  <si>
    <t>PUTUMAYO</t>
  </si>
  <si>
    <t>DEPARTAMENTO DE PUTUMAYO</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</si>
  <si>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</si>
  <si>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</si>
  <si>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</si>
  <si>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</si>
  <si>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</si>
  <si>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</si>
  <si>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</si>
  <si>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</si>
  <si>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</si>
  <si>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</si>
  <si>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</si>
  <si>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Fuente: Resoluciones MME</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</si>
  <si>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</si>
  <si>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</si>
  <si>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</si>
  <si>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</si>
  <si>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</si>
  <si>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</si>
  <si>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</si>
  <si>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</si>
  <si>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</si>
  <si>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</si>
  <si>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</si>
  <si>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</si>
  <si>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</si>
  <si>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</si>
  <si>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</si>
  <si>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</si>
  <si>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</si>
  <si>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</si>
  <si>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</si>
  <si>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</si>
  <si>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</si>
  <si>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</si>
  <si>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</si>
  <si>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</si>
  <si>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</si>
  <si>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</si>
  <si>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</si>
  <si>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</si>
  <si>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</si>
  <si>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</si>
  <si>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</si>
  <si>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</si>
  <si>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</si>
  <si>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</si>
  <si>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</si>
  <si>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</si>
  <si>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</si>
  <si>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</si>
  <si>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</si>
  <si>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</si>
  <si>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</si>
  <si>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</si>
  <si>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</si>
  <si>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</si>
  <si>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</si>
  <si>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</si>
  <si>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</si>
  <si>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</si>
  <si>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</si>
  <si>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</si>
  <si>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</si>
  <si>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</si>
  <si>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</si>
  <si>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</si>
  <si>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</si>
  <si>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</si>
  <si>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</si>
  <si>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</si>
  <si>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</si>
  <si>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</si>
  <si>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</si>
  <si>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Biodiesel B2</t>
  </si>
  <si>
    <t>Biodiesel B2 con destino a mezcla</t>
  </si>
  <si>
    <t>Acpm mezcla</t>
  </si>
  <si>
    <t xml:space="preserve">Acpm mezcla </t>
  </si>
  <si>
    <t>CARGAR HASTA EL 30 DE JUNIO DE 2020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</si>
  <si>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</si>
  <si>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</si>
  <si>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</si>
  <si>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t>Z74</t>
  </si>
  <si>
    <t>Remarcacion</t>
  </si>
  <si>
    <t>OJO!!!!</t>
  </si>
  <si>
    <t>IP GASOLINA</t>
  </si>
  <si>
    <t>BIODIESEL B2B EXTRA</t>
  </si>
  <si>
    <t>GASOLINA MOTOR REGULAR IAD81</t>
  </si>
  <si>
    <t>GASOLINA MOTOR REGULAR</t>
  </si>
  <si>
    <t>ESTRUCTURAS DE PRECIOS PARA GASOLINA MOTOR CORRIENTE OXIGENADA VIGENTES A PARTIR DE 10 DE NOVIEMBRE 2020</t>
  </si>
  <si>
    <t>Punto medio meta inflación Banrep 2021</t>
  </si>
  <si>
    <t>OK actualizada</t>
  </si>
  <si>
    <t>Se ajusta el 1 Feb 21</t>
  </si>
  <si>
    <t>Pdte</t>
  </si>
  <si>
    <t>Punto medio meta inflación Banrep 2020</t>
  </si>
  <si>
    <t>Tarifa de transporte terrestre</t>
  </si>
  <si>
    <t>REVISAR SI CONTINUA</t>
  </si>
  <si>
    <t>B12 ZDF</t>
  </si>
  <si>
    <t>OCTUBRE</t>
  </si>
  <si>
    <t>B10 A B12</t>
  </si>
  <si>
    <t>B2- ABRIL</t>
  </si>
  <si>
    <t>Biodiesel B12</t>
  </si>
  <si>
    <t>PETRODECOL CARTAGENA 9000014799</t>
  </si>
  <si>
    <t>PRODUCTO</t>
  </si>
  <si>
    <t>Para ser distribuida en territorio Nacional</t>
  </si>
  <si>
    <t>Para ser distribuida en Zonas de Frontera</t>
  </si>
  <si>
    <t>Art 1</t>
  </si>
  <si>
    <t>GMC</t>
  </si>
  <si>
    <r>
      <t>12,94</t>
    </r>
    <r>
      <rPr>
        <sz val="11"/>
        <color rgb="FFFF0000"/>
        <rFont val="Calibri"/>
        <family val="2"/>
        <scheme val="minor"/>
      </rPr>
      <t>**</t>
    </r>
  </si>
  <si>
    <t>Art 2</t>
  </si>
  <si>
    <t>Art 3</t>
  </si>
  <si>
    <t>Art 4</t>
  </si>
  <si>
    <t>** Remarcación: marcación nacional mas marcación para zona de frontera</t>
  </si>
  <si>
    <r>
      <t xml:space="preserve">GMC </t>
    </r>
    <r>
      <rPr>
        <sz val="9"/>
        <color theme="1"/>
        <rFont val="Calibri"/>
        <family val="2"/>
        <scheme val="minor"/>
      </rPr>
      <t>oxigenada</t>
    </r>
  </si>
  <si>
    <r>
      <t xml:space="preserve">ACPM </t>
    </r>
    <r>
      <rPr>
        <sz val="9"/>
        <color theme="1"/>
        <rFont val="Calibri"/>
        <family val="2"/>
        <scheme val="minor"/>
      </rPr>
      <t>mezclado con biocombustible</t>
    </r>
  </si>
  <si>
    <r>
      <t xml:space="preserve">GMC </t>
    </r>
    <r>
      <rPr>
        <i/>
        <sz val="9"/>
        <color theme="1"/>
        <rFont val="Calibri"/>
        <family val="2"/>
        <scheme val="minor"/>
      </rPr>
      <t>Importada</t>
    </r>
  </si>
  <si>
    <r>
      <t xml:space="preserve">GMC </t>
    </r>
    <r>
      <rPr>
        <i/>
        <sz val="9"/>
        <color theme="1"/>
        <rFont val="Calibri"/>
        <family val="2"/>
        <scheme val="minor"/>
      </rPr>
      <t>oxig importada</t>
    </r>
  </si>
  <si>
    <r>
      <t xml:space="preserve">ACPM </t>
    </r>
    <r>
      <rPr>
        <i/>
        <sz val="9"/>
        <color theme="1"/>
        <rFont val="Calibri"/>
        <family val="2"/>
        <scheme val="minor"/>
      </rPr>
      <t>Importada</t>
    </r>
  </si>
  <si>
    <t>4,55.</t>
  </si>
  <si>
    <t>Resolucion 90302 del 30 Abril de 2013</t>
  </si>
  <si>
    <t>2013 Resolucion 90302 Abril de 2013</t>
  </si>
  <si>
    <t>Costos de conversión de las actividades de reconversión socio-laboral -Resolución 90302 del 30 de abril de 2013</t>
  </si>
  <si>
    <t>De acuerdo con lo establecido en la Resolución 40111 de MME se establecerá un incremento escalonado según Paragrafo 3 Tabla 2</t>
  </si>
  <si>
    <t>De acuerdo con lo establecido en la Resolución 40111 de MME Articulo 4</t>
  </si>
  <si>
    <t>En los departamentos y en las circunstancias donde se aplique doble marcación se deberá cobrar la tarifa adicional correspondiente</t>
  </si>
  <si>
    <t>LA GUAJIRA (Rioacha)</t>
  </si>
  <si>
    <t>Incluida</t>
  </si>
  <si>
    <t>CESAR( Valledupar)</t>
  </si>
  <si>
    <t>CESAR (La Jagua, La Paz)</t>
  </si>
  <si>
    <t>DEPARTAMENTO DE CESAR (Valledupar)</t>
  </si>
  <si>
    <t>DEPARTAMENTO DE CESAR (La Jagua, La Paz)</t>
  </si>
  <si>
    <t>DEPARTAMENTO DE LA GUAJIRA (Rioacha)</t>
  </si>
  <si>
    <t>CHEQUEO B4</t>
  </si>
  <si>
    <t>Valor de referencia de sobretasa según  la Ley 2093 del 29 Junio 2021 por medio de la cual se modifican las Leyes 488 de 1998 y 788 de 2002</t>
  </si>
  <si>
    <t>N/A</t>
  </si>
  <si>
    <t>(5)</t>
  </si>
  <si>
    <t>De acuerdo con lo establecido en la Resolución 40111 de MME se establecerá un incremento escalonado según Paragrafo 1 Tabla 1 para la Gasolina Motor corriente y paragrafo 3 Tabla 2 para la mezcla Bio</t>
  </si>
  <si>
    <t>De acuerdo con lo establecido en la Resolución 40111 de MME se establecerá un incremento escalonado según Paragrafo 1 Tabla 1 para la Gasolina Motor corriente en Cesar municipio de Rio de Oro y paragrafo 3 Tabla 2 para la mezcla Bio</t>
  </si>
  <si>
    <t xml:space="preserve">De acuerdo con lo establecido en la Resolución 40111 de MME </t>
  </si>
  <si>
    <t>CHOCO</t>
  </si>
  <si>
    <t>GUAJIRA</t>
  </si>
  <si>
    <t>CDF CESAR RIO DE ORO</t>
  </si>
  <si>
    <t>ELECTROCOMBUSTIBLE (EC0)</t>
  </si>
  <si>
    <t>ELECTROCOMBUSTIBLE (EC2)</t>
  </si>
  <si>
    <t>CHEQUEO B10</t>
  </si>
  <si>
    <t>CHEQUEO B12</t>
  </si>
  <si>
    <t>B10 A B12 resolución 40111</t>
  </si>
  <si>
    <r>
      <t xml:space="preserve">B5 ZDF
</t>
    </r>
    <r>
      <rPr>
        <sz val="9"/>
        <color theme="1"/>
        <rFont val="Calibri"/>
        <family val="2"/>
        <scheme val="minor"/>
      </rPr>
      <t>(a partir Oct 2021)</t>
    </r>
  </si>
  <si>
    <t xml:space="preserve">ESTRUCTURAS DE PRECIOS PARA LA MEZCLA DE BIOCOMBUSTIBLE PARA USO EN MOTORES DIESEL CON EL ACPM VIGENTES A PARTIR </t>
  </si>
  <si>
    <t>GASOLINA M CORRIENTE OXIGENADA E5 
(a partir Oct 2021)</t>
  </si>
  <si>
    <r>
      <t xml:space="preserve">VICHADA </t>
    </r>
    <r>
      <rPr>
        <sz val="8"/>
        <rFont val="Calibri"/>
        <family val="2"/>
        <scheme val="minor"/>
      </rPr>
      <t>(Puerto Carreño)</t>
    </r>
  </si>
  <si>
    <r>
      <t xml:space="preserve">VICHADA </t>
    </r>
    <r>
      <rPr>
        <sz val="8"/>
        <rFont val="Calibri"/>
        <family val="2"/>
        <scheme val="minor"/>
      </rPr>
      <t>(Cumaribo/Primavera)</t>
    </r>
  </si>
  <si>
    <t>Biodiesel B5</t>
  </si>
  <si>
    <t>CHEQUEO B5</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</si>
  <si>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</si>
  <si>
    <t>DEPARTAMENTO DE CESAR (casco urbano Rió de Oro)</t>
  </si>
  <si>
    <t>Oxigenada 5%</t>
  </si>
  <si>
    <t xml:space="preserve">Biodiesel B5 con destino a mezcla </t>
  </si>
  <si>
    <t>Punto medio meta inflación Banrep 2019</t>
  </si>
  <si>
    <t>Punto medio meta inflación Banrep 2018</t>
  </si>
  <si>
    <t>Punto medio meta inflación Banrep 2022</t>
  </si>
  <si>
    <t>DEPARTAMENTO VICHADA (Cumaribo, La Primavera)</t>
  </si>
  <si>
    <t>VICHADA (Cumaribo, La Primavera)</t>
  </si>
  <si>
    <t>Oxigena 5%</t>
  </si>
  <si>
    <t>EC3</t>
  </si>
  <si>
    <t>ELECTROCOMBUSTIBLE (EC3)</t>
  </si>
  <si>
    <t>Biodiesel B3</t>
  </si>
  <si>
    <t>Oxigenada 6%</t>
  </si>
  <si>
    <t>Oxigena 6%</t>
  </si>
  <si>
    <t>Biodiesel B11</t>
  </si>
  <si>
    <t>B11 ZDF</t>
  </si>
  <si>
    <t>(6) La base gravable y tarifa del impuesto nacional a la Gasolina, ACPM e impuesto al carbono que entrarán en vigencia a partir del 1° de febrero de 2022 se publica de acuerdo con el proyecto de resolución  disponible en el sitio web de la Unidad Administrativa Especial Dirección de Impuestos y Aduanas Nacionales -DIAN para dicha vigencia. En todo caso el presente valor corresponderá al definido en firme por la DIAN</t>
  </si>
  <si>
    <t>Impuesto al carbono (6)</t>
  </si>
  <si>
    <t>Impuesto Nacional a la gasolina y al ACPM (6)</t>
  </si>
  <si>
    <t xml:space="preserve">Impuesto Nacional a la gasolina y al ACPM </t>
  </si>
  <si>
    <t>3. Impuesto al carbono</t>
  </si>
  <si>
    <t xml:space="preserve">Acpm  </t>
  </si>
  <si>
    <t>B10 ZDF</t>
  </si>
  <si>
    <t>DEPARTAMENTO VICHADA (Puerto Carreño)</t>
  </si>
  <si>
    <r>
      <t>13,33</t>
    </r>
    <r>
      <rPr>
        <sz val="11"/>
        <color rgb="FFFF0000"/>
        <rFont val="Calibri"/>
        <family val="2"/>
        <scheme val="minor"/>
      </rPr>
      <t>**</t>
    </r>
  </si>
  <si>
    <t xml:space="preserve"> PLANTA DE ABASTO: Plantas autorizadas por el plan de abastecimiento del MME</t>
  </si>
  <si>
    <t xml:space="preserve"> Plantas de abasto: las autorizadas de acuerdo con el plan de abastecimiento del MME</t>
  </si>
  <si>
    <t>De acuerdo con lo establecido en la Resoluccion 91349 de 2014 del MME para combustible de origen nacional o importado a ser distribuido en zonas de frontera, aplica la tarifa de marcación o remarcación vigente a la fecha según corresponda</t>
  </si>
  <si>
    <t xml:space="preserve">Biodiesel B2 </t>
  </si>
  <si>
    <t>OJO ACTUALIZAR</t>
  </si>
  <si>
    <r>
      <t xml:space="preserve">GAS CORRIENTE </t>
    </r>
    <r>
      <rPr>
        <b/>
        <sz val="12"/>
        <rFont val="Calibri"/>
        <family val="2"/>
        <scheme val="minor"/>
      </rPr>
      <t xml:space="preserve"> </t>
    </r>
    <r>
      <rPr>
        <b/>
        <sz val="16"/>
        <rFont val="Calibri"/>
        <family val="2"/>
        <scheme val="minor"/>
      </rPr>
      <t>E10</t>
    </r>
  </si>
  <si>
    <r>
      <t xml:space="preserve">GAS CORRIENTE
 </t>
    </r>
    <r>
      <rPr>
        <b/>
        <sz val="11"/>
        <color theme="1"/>
        <rFont val="Calibri"/>
        <family val="2"/>
        <scheme val="minor"/>
      </rPr>
      <t xml:space="preserve"> E4</t>
    </r>
  </si>
  <si>
    <r>
      <t xml:space="preserve">GAS CORRIENTE 
</t>
    </r>
    <r>
      <rPr>
        <b/>
        <sz val="16"/>
        <color rgb="FFFF0000"/>
        <rFont val="Calibri"/>
        <family val="2"/>
        <scheme val="minor"/>
      </rPr>
      <t>E5</t>
    </r>
  </si>
  <si>
    <r>
      <t xml:space="preserve">GAS CORRIENTE 
</t>
    </r>
    <r>
      <rPr>
        <b/>
        <sz val="12"/>
        <rFont val="Calibri"/>
        <family val="2"/>
        <scheme val="minor"/>
      </rPr>
      <t xml:space="preserve"> </t>
    </r>
    <r>
      <rPr>
        <b/>
        <sz val="16"/>
        <rFont val="Calibri"/>
        <family val="2"/>
        <scheme val="minor"/>
      </rPr>
      <t>E6</t>
    </r>
  </si>
  <si>
    <t>Gasolina Corriente E10</t>
  </si>
  <si>
    <t>Gasolina Corriente E5</t>
  </si>
  <si>
    <t>Por encima del Cupo</t>
  </si>
  <si>
    <t>Oxigenada 4%</t>
  </si>
  <si>
    <t>RESOLUCION VIGENTE 40421 VIGENTE A PARTIR DEL 2 JUL 2022</t>
  </si>
  <si>
    <t>Gasolina Corriente E4</t>
  </si>
  <si>
    <t>Oxigena 4%</t>
  </si>
  <si>
    <t>02.07.2022</t>
  </si>
  <si>
    <t>22.09.2022</t>
  </si>
  <si>
    <t>RESOLUCION VIGENTE 40242 VIGENTE A PARTIR DEL 2 JUL 2022</t>
  </si>
  <si>
    <t>Z74 (ECP) / Z51 (MNAL)</t>
  </si>
  <si>
    <t>AÑO</t>
  </si>
  <si>
    <t>Septiembre</t>
  </si>
  <si>
    <t>año</t>
  </si>
  <si>
    <t>gal</t>
  </si>
  <si>
    <t>%</t>
  </si>
  <si>
    <t>GMR</t>
  </si>
  <si>
    <t>ACPM Base para Mezcla</t>
  </si>
  <si>
    <t>ACPM Base</t>
  </si>
  <si>
    <t>SIN CUPO</t>
  </si>
  <si>
    <t>40242 VIGENTE A PARTIR DEL 15 JUL 2022</t>
  </si>
  <si>
    <t>Biodiesel B2 ZDF</t>
  </si>
  <si>
    <t>CON CUPO</t>
  </si>
  <si>
    <t>Vigencia: 01 de Octubre de 2022; 00:00 horas</t>
  </si>
  <si>
    <t xml:space="preserve">Biodiesel B5 </t>
  </si>
  <si>
    <t>Gasolina Corriente  E5</t>
  </si>
  <si>
    <r>
      <t xml:space="preserve">GAS CORRIENTE
 </t>
    </r>
    <r>
      <rPr>
        <b/>
        <sz val="11"/>
        <color theme="1"/>
        <rFont val="Calibri"/>
        <family val="2"/>
        <scheme val="minor"/>
      </rPr>
      <t xml:space="preserve"> E2</t>
    </r>
  </si>
  <si>
    <t>Oxigenada 2%</t>
  </si>
  <si>
    <t>Gasolina Corriente E2</t>
  </si>
  <si>
    <t>2%</t>
  </si>
  <si>
    <t>4%</t>
  </si>
  <si>
    <t>Oxigena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</si>
</sst>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 numFmtId="173" formatCode="&quot;Oxigenada&quot;\ \4\%"/>
    <numFmt numFmtId="174" formatCode="0.000"/>
    <numFmt numFmtId="175" formatCode="0.0000"/>
    <numFmt numFmtId="176" formatCode="0.00000"/>
    <numFmt numFmtId="177" formatCode="_-* #,##0.000_-;\-* #,##0.000_-;_-* &quot;-&quot;_-;_-@_-"/>
    <numFmt numFmtId="178" formatCode="&quot;Oxigenada&quot;\ 0\%"/>
    <numFmt numFmtId="179" formatCode="_-* #,##0.0000000_-;\-* #,##0.0000000_-;_-* &quot;-&quot;_-;_-@_-"/>
    <numFmt numFmtId="180" formatCode="_-* #,##0.0_-;\-* #,##0.0_-;_-* &quot;-&quot;??_-;_-@_-"/>
    <numFmt numFmtId="181" formatCode="_-* #,##0_-;\-* #,##0_-;_-* &quot;-&quot;??_-;_-@_-"/>
  </numFmts>
  <fonts count="90"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name val="Arial"/>
      <family val="2"/>
    </font>
    <font>
      <sz val="14"/>
      <color theme="0"/>
      <name val="Arial"/>
      <family val="2"/>
    </font>
    <font>
      <sz val="8"/>
      <color theme="0"/>
      <name val="Arial"/>
      <family val="2"/>
    </font>
    <font>
      <b/>
      <sz val="11"/>
      <name val="Arial"/>
      <family val="2"/>
    </font>
    <font>
      <sz val="10"/>
      <color theme="0" tint="-0.499984740745262"/>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sz val="10"/>
      <color rgb="FFC0000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1"/>
      <name val="Calibri"/>
      <family val="2"/>
    </font>
    <font>
      <sz val="11"/>
      <color rgb="FFFF0000"/>
      <name val="Arial"/>
      <family val="2"/>
    </font>
    <font>
      <sz val="11"/>
      <color theme="0" tint="-4.9989318521683403E-2"/>
      <name val="Calibri"/>
      <family val="2"/>
      <scheme val="minor"/>
    </font>
    <font>
      <i/>
      <sz val="11"/>
      <color theme="1"/>
      <name val="Calibri"/>
      <family val="2"/>
      <scheme val="minor"/>
    </font>
    <font>
      <i/>
      <sz val="9"/>
      <color theme="1"/>
      <name val="Calibri"/>
      <family val="2"/>
      <scheme val="minor"/>
    </font>
    <font>
      <sz val="10"/>
      <color theme="3" tint="0.39997558519241921"/>
      <name val="Calibri"/>
      <family val="2"/>
      <scheme val="minor"/>
    </font>
    <font>
      <b/>
      <sz val="16"/>
      <color rgb="FFFF0000"/>
      <name val="Calibri"/>
      <family val="2"/>
      <scheme val="minor"/>
    </font>
    <font>
      <sz val="11"/>
      <color theme="0" tint="-0.14999847407452621"/>
      <name val="Calibri"/>
      <family val="2"/>
      <scheme val="minor"/>
    </font>
    <font>
      <sz val="11"/>
      <color theme="0" tint="-0.249977111117893"/>
      <name val="Calibri"/>
      <family val="2"/>
    </font>
    <font>
      <b/>
      <sz val="8"/>
      <color indexed="81"/>
      <name val="Tahoma"/>
      <family val="2"/>
    </font>
    <font>
      <b/>
      <sz val="8"/>
      <color theme="1"/>
      <name val="Calibri"/>
      <family val="2"/>
      <scheme val="minor"/>
    </font>
    <font>
      <sz val="8"/>
      <name val="Calibri"/>
      <family val="2"/>
      <scheme val="minor"/>
    </font>
    <font>
      <sz val="12"/>
      <color rgb="FFFF0000"/>
      <name val="Calibri"/>
      <family val="2"/>
    </font>
    <font>
      <b/>
      <sz val="10"/>
      <color theme="1"/>
      <name val="Verdana"/>
      <family val="2"/>
    </font>
    <font>
      <u/>
      <sz val="11"/>
      <color theme="10"/>
      <name val="Calibri"/>
      <family val="2"/>
      <scheme val="minor"/>
    </font>
    <font>
      <b/>
      <sz val="8"/>
      <name val="Calibri"/>
      <family val="2"/>
      <scheme val="minor"/>
    </font>
    <font>
      <b/>
      <sz val="12"/>
      <name val="Calibri"/>
      <family val="2"/>
      <scheme val="minor"/>
    </font>
    <font>
      <sz val="12"/>
      <color theme="1"/>
      <name val="Calibri"/>
      <family val="2"/>
      <scheme val="minor"/>
    </font>
    <font>
      <b/>
      <sz val="11"/>
      <name val="Calibri"/>
      <family val="2"/>
      <scheme val="minor"/>
    </font>
    <font>
      <b/>
      <sz val="12"/>
      <name val="Arial"/>
      <family val="2"/>
    </font>
    <font>
      <b/>
      <sz val="10"/>
      <color theme="2" tint="-0.249977111117893"/>
      <name val="Calibri"/>
      <family val="2"/>
      <scheme val="minor"/>
    </font>
    <font>
      <b/>
      <sz val="10"/>
      <color theme="0" tint="-0.249977111117893"/>
      <name val="Calibri"/>
      <family val="2"/>
      <scheme val="minor"/>
    </font>
    <font>
      <sz val="14"/>
      <name val="Arial"/>
      <family val="2"/>
    </font>
    <font>
      <sz val="16"/>
      <color rgb="FFFF0000"/>
      <name val="Calibri"/>
      <family val="2"/>
      <scheme val="minor"/>
    </font>
  </fonts>
  <fills count="34">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59999389629810485"/>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diagonal/>
    </border>
    <border>
      <left/>
      <right/>
      <top/>
      <bottom style="double">
        <color rgb="FF92D050"/>
      </bottom>
      <diagonal/>
    </border>
    <border>
      <left/>
      <right/>
      <top style="thin">
        <color indexed="64"/>
      </top>
      <bottom style="dotted">
        <color rgb="FF92D050"/>
      </bottom>
      <diagonal/>
    </border>
    <border>
      <left style="mediumDashed">
        <color theme="0" tint="-0.24994659260841701"/>
      </left>
      <right style="mediumDashed">
        <color theme="0" tint="-0.24994659260841701"/>
      </right>
      <top style="mediumDashed">
        <color theme="0" tint="-0.24994659260841701"/>
      </top>
      <bottom/>
      <diagonal/>
    </border>
    <border>
      <left style="mediumDashed">
        <color theme="0" tint="-0.24994659260841701"/>
      </left>
      <right style="mediumDashed">
        <color theme="0" tint="-0.24994659260841701"/>
      </right>
      <top/>
      <bottom/>
      <diagonal/>
    </border>
    <border>
      <left style="mediumDashed">
        <color theme="0" tint="-0.24994659260841701"/>
      </left>
      <right style="mediumDashed">
        <color theme="0" tint="-0.24994659260841701"/>
      </right>
      <top/>
      <bottom style="mediumDashed">
        <color theme="0" tint="-0.24994659260841701"/>
      </bottom>
      <diagonal/>
    </border>
    <border>
      <left style="dotted">
        <color rgb="FF92D050"/>
      </left>
      <right style="dotted">
        <color rgb="FF92D050"/>
      </right>
      <top/>
      <bottom style="double">
        <color rgb="FF92D050"/>
      </bottom>
      <diagonal/>
    </border>
    <border>
      <left style="thin">
        <color theme="0"/>
      </left>
      <right style="dotted">
        <color rgb="FF92D050"/>
      </right>
      <top style="thin">
        <color theme="0"/>
      </top>
      <bottom style="thin">
        <color theme="0"/>
      </bottom>
      <diagonal/>
    </border>
    <border>
      <left style="dotted">
        <color rgb="FF92D050"/>
      </left>
      <right style="dotted">
        <color rgb="FF92D05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14">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31" fillId="0" borderId="0" applyNumberFormat="0" applyFill="0" applyBorder="0" applyAlignment="0" applyProtection="0">
      <alignment vertical="top"/>
      <protection locked="0"/>
    </xf>
    <xf numFmtId="0" fontId="43" fillId="0" borderId="0"/>
    <xf numFmtId="41" fontId="1" fillId="0" borderId="0" applyFont="0" applyFill="0" applyBorder="0" applyAlignment="0" applyProtection="0"/>
    <xf numFmtId="0" fontId="80" fillId="0" borderId="0" applyNumberFormat="0" applyFill="0" applyBorder="0" applyAlignment="0" applyProtection="0"/>
    <xf numFmtId="9" fontId="9" fillId="0" borderId="0" applyFont="0" applyFill="0" applyBorder="0" applyAlignment="0" applyProtection="0"/>
  </cellStyleXfs>
  <cellXfs count="974">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1" xfId="0" applyBorder="1"/>
    <xf numFmtId="10" fontId="0" fillId="0" borderId="1" xfId="0" applyNumberFormat="1" applyBorder="1"/>
    <xf numFmtId="10" fontId="0" fillId="0"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4" fillId="9" borderId="0" xfId="0" applyFont="1" applyFill="1" applyAlignment="1" applyProtection="1">
      <alignment vertical="center"/>
      <protection hidden="1"/>
    </xf>
    <xf numFmtId="0" fontId="14" fillId="0" borderId="0" xfId="0" applyFont="1" applyBorder="1" applyAlignment="1" applyProtection="1">
      <alignment vertical="center"/>
      <protection hidden="1"/>
    </xf>
    <xf numFmtId="0" fontId="15" fillId="11" borderId="0" xfId="0" applyFont="1" applyFill="1" applyBorder="1" applyAlignment="1" applyProtection="1">
      <alignment horizontal="center" vertical="center"/>
      <protection hidden="1"/>
    </xf>
    <xf numFmtId="15" fontId="16" fillId="12" borderId="26" xfId="0" quotePrefix="1" applyNumberFormat="1" applyFont="1" applyFill="1" applyBorder="1" applyAlignment="1" applyProtection="1">
      <alignment horizontal="center" vertical="center" wrapText="1"/>
      <protection hidden="1"/>
    </xf>
    <xf numFmtId="43" fontId="17" fillId="0" borderId="23" xfId="4" applyFont="1" applyFill="1" applyBorder="1" applyAlignment="1" applyProtection="1">
      <alignment vertical="center" wrapText="1"/>
      <protection hidden="1"/>
    </xf>
    <xf numFmtId="43" fontId="17" fillId="0" borderId="24" xfId="4" applyFont="1" applyFill="1" applyBorder="1" applyAlignment="1" applyProtection="1">
      <alignment horizontal="center" vertical="center" wrapText="1"/>
      <protection hidden="1"/>
    </xf>
    <xf numFmtId="0" fontId="18" fillId="0" borderId="0" xfId="0" applyFont="1" applyBorder="1" applyAlignment="1" applyProtection="1">
      <alignment horizontal="justify" vertical="top" wrapText="1"/>
      <protection hidden="1"/>
    </xf>
    <xf numFmtId="0" fontId="15" fillId="13" borderId="0" xfId="0" applyFont="1" applyFill="1" applyBorder="1" applyAlignment="1" applyProtection="1">
      <alignment vertical="center"/>
      <protection hidden="1"/>
    </xf>
    <xf numFmtId="0" fontId="13" fillId="12" borderId="34" xfId="0" quotePrefix="1" applyFont="1" applyFill="1" applyBorder="1" applyAlignment="1" applyProtection="1">
      <alignment horizontal="center" vertical="center" wrapText="1"/>
      <protection hidden="1"/>
    </xf>
    <xf numFmtId="15" fontId="16" fillId="12" borderId="35" xfId="0" applyNumberFormat="1" applyFont="1" applyFill="1" applyBorder="1" applyAlignment="1" applyProtection="1">
      <alignment horizontal="center" vertical="center" wrapText="1"/>
      <protection hidden="1"/>
    </xf>
    <xf numFmtId="0" fontId="17" fillId="0" borderId="29" xfId="0" applyFont="1" applyFill="1" applyBorder="1" applyAlignment="1" applyProtection="1">
      <alignment horizontal="left" vertical="center" wrapText="1"/>
      <protection hidden="1"/>
    </xf>
    <xf numFmtId="0" fontId="17" fillId="0" borderId="36" xfId="0" applyFont="1" applyFill="1" applyBorder="1" applyAlignment="1" applyProtection="1">
      <alignment horizontal="left" vertical="center" wrapText="1"/>
      <protection hidden="1"/>
    </xf>
    <xf numFmtId="43" fontId="17" fillId="0" borderId="23" xfId="4" applyFont="1" applyFill="1" applyBorder="1" applyAlignment="1" applyProtection="1">
      <alignment horizontal="right" vertical="center" wrapText="1"/>
      <protection hidden="1"/>
    </xf>
    <xf numFmtId="43" fontId="17" fillId="13" borderId="24" xfId="4" applyFont="1" applyFill="1" applyBorder="1" applyAlignment="1" applyProtection="1">
      <alignment horizontal="right" vertical="center" wrapText="1"/>
      <protection hidden="1"/>
    </xf>
    <xf numFmtId="0" fontId="17" fillId="0" borderId="30" xfId="0" applyFont="1" applyFill="1" applyBorder="1" applyAlignment="1" applyProtection="1">
      <alignment horizontal="left" vertical="center" wrapText="1"/>
      <protection hidden="1"/>
    </xf>
    <xf numFmtId="0" fontId="17" fillId="0" borderId="37" xfId="0" applyFont="1" applyFill="1" applyBorder="1" applyAlignment="1" applyProtection="1">
      <alignment horizontal="left" vertical="center" wrapText="1"/>
      <protection hidden="1"/>
    </xf>
    <xf numFmtId="43" fontId="17" fillId="0" borderId="26" xfId="4" applyFont="1" applyFill="1" applyBorder="1" applyAlignment="1" applyProtection="1">
      <alignment horizontal="right" vertical="center" wrapText="1"/>
      <protection hidden="1"/>
    </xf>
    <xf numFmtId="2" fontId="17" fillId="0" borderId="27" xfId="0" applyNumberFormat="1" applyFont="1" applyFill="1" applyBorder="1" applyAlignment="1" applyProtection="1">
      <alignment horizontal="right" vertical="center" wrapText="1"/>
      <protection hidden="1"/>
    </xf>
    <xf numFmtId="0" fontId="14" fillId="13" borderId="0" xfId="0" applyFont="1" applyFill="1" applyBorder="1" applyAlignment="1" applyProtection="1">
      <alignment vertical="center"/>
      <protection hidden="1"/>
    </xf>
    <xf numFmtId="43" fontId="17" fillId="9" borderId="0" xfId="4" applyFont="1" applyFill="1" applyBorder="1" applyAlignment="1" applyProtection="1">
      <alignment vertical="center" wrapText="1"/>
      <protection hidden="1"/>
    </xf>
    <xf numFmtId="43" fontId="17"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18" fillId="0" borderId="0" xfId="0" applyFont="1" applyFill="1" applyBorder="1" applyAlignment="1" applyProtection="1">
      <alignment horizontal="justify" vertical="center" wrapText="1"/>
      <protection hidden="1"/>
    </xf>
    <xf numFmtId="0" fontId="22" fillId="0" borderId="0" xfId="0" applyFont="1" applyFill="1" applyBorder="1" applyAlignment="1" applyProtection="1">
      <alignment horizontal="left" vertical="center" wrapText="1"/>
      <protection hidden="1"/>
    </xf>
    <xf numFmtId="43" fontId="22"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18" fillId="0" borderId="0" xfId="0" applyFont="1" applyFill="1" applyAlignment="1" applyProtection="1">
      <alignment horizontal="justify" vertical="center" wrapText="1"/>
      <protection hidden="1"/>
    </xf>
    <xf numFmtId="43" fontId="17" fillId="0" borderId="24" xfId="4" applyFont="1" applyFill="1" applyBorder="1" applyAlignment="1" applyProtection="1">
      <alignment horizontal="right" vertical="center" wrapText="1"/>
      <protection hidden="1"/>
    </xf>
    <xf numFmtId="0" fontId="24" fillId="0" borderId="0" xfId="0" applyFont="1"/>
    <xf numFmtId="0" fontId="25" fillId="12" borderId="43" xfId="0" applyFont="1" applyFill="1" applyBorder="1" applyAlignment="1" applyProtection="1">
      <alignment horizontal="center" vertical="center" wrapText="1"/>
      <protection hidden="1"/>
    </xf>
    <xf numFmtId="0" fontId="25" fillId="14" borderId="43" xfId="0" applyFont="1" applyFill="1" applyBorder="1" applyAlignment="1" applyProtection="1">
      <alignment horizontal="center" vertical="center" wrapText="1"/>
      <protection hidden="1"/>
    </xf>
    <xf numFmtId="9" fontId="23" fillId="12" borderId="43" xfId="0" quotePrefix="1" applyNumberFormat="1" applyFont="1" applyFill="1" applyBorder="1" applyAlignment="1" applyProtection="1">
      <alignment horizontal="center" vertical="center" wrapText="1"/>
      <protection hidden="1"/>
    </xf>
    <xf numFmtId="9" fontId="23" fillId="14" borderId="43" xfId="0" quotePrefix="1" applyNumberFormat="1" applyFont="1" applyFill="1" applyBorder="1" applyAlignment="1" applyProtection="1">
      <alignment horizontal="center" vertical="center" wrapText="1"/>
      <protection hidden="1"/>
    </xf>
    <xf numFmtId="15" fontId="23" fillId="12" borderId="48" xfId="0" quotePrefix="1" applyNumberFormat="1" applyFont="1" applyFill="1" applyBorder="1" applyAlignment="1" applyProtection="1">
      <alignment horizontal="center" vertical="center" wrapText="1"/>
      <protection hidden="1"/>
    </xf>
    <xf numFmtId="15" fontId="23" fillId="14" borderId="48" xfId="0" quotePrefix="1" applyNumberFormat="1" applyFont="1" applyFill="1" applyBorder="1" applyAlignment="1" applyProtection="1">
      <alignment horizontal="center" vertical="center" wrapText="1"/>
      <protection hidden="1"/>
    </xf>
    <xf numFmtId="167" fontId="22" fillId="0" borderId="49" xfId="4" applyNumberFormat="1" applyFont="1" applyBorder="1" applyAlignment="1" applyProtection="1">
      <alignment horizontal="left" vertical="center" wrapText="1"/>
      <protection hidden="1"/>
    </xf>
    <xf numFmtId="167" fontId="22" fillId="0" borderId="50" xfId="4" applyNumberFormat="1" applyFont="1" applyBorder="1" applyAlignment="1" applyProtection="1">
      <alignment horizontal="left" vertical="center" wrapText="1"/>
      <protection hidden="1"/>
    </xf>
    <xf numFmtId="43" fontId="22" fillId="9" borderId="43" xfId="4" applyFont="1" applyFill="1" applyBorder="1" applyAlignment="1" applyProtection="1">
      <alignment horizontal="center" vertical="center" wrapText="1"/>
      <protection hidden="1"/>
    </xf>
    <xf numFmtId="0" fontId="22" fillId="0" borderId="29" xfId="0" applyFont="1" applyFill="1" applyBorder="1" applyAlignment="1" applyProtection="1">
      <alignment horizontal="left" vertical="center" wrapText="1"/>
      <protection hidden="1"/>
    </xf>
    <xf numFmtId="167" fontId="22" fillId="9" borderId="43" xfId="4" applyNumberFormat="1" applyFont="1" applyFill="1" applyBorder="1" applyAlignment="1" applyProtection="1">
      <alignment horizontal="center" vertical="center" wrapText="1"/>
      <protection hidden="1"/>
    </xf>
    <xf numFmtId="167" fontId="22" fillId="0" borderId="43" xfId="4" applyNumberFormat="1" applyFont="1" applyFill="1" applyBorder="1" applyAlignment="1" applyProtection="1">
      <alignment horizontal="center" vertical="center" wrapText="1"/>
      <protection hidden="1"/>
    </xf>
    <xf numFmtId="43" fontId="22" fillId="0" borderId="50" xfId="4" applyNumberFormat="1" applyFont="1" applyBorder="1" applyAlignment="1" applyProtection="1">
      <alignment horizontal="left" vertical="center" wrapText="1"/>
      <protection hidden="1"/>
    </xf>
    <xf numFmtId="0" fontId="22" fillId="0" borderId="51" xfId="0" applyFont="1" applyBorder="1" applyAlignment="1" applyProtection="1">
      <alignment horizontal="left" vertical="center" wrapText="1"/>
      <protection hidden="1"/>
    </xf>
    <xf numFmtId="43" fontId="22" fillId="9" borderId="48" xfId="4" applyFont="1" applyFill="1" applyBorder="1" applyAlignment="1" applyProtection="1">
      <alignment horizontal="center" vertical="center" wrapText="1"/>
      <protection hidden="1"/>
    </xf>
    <xf numFmtId="0" fontId="26" fillId="0" borderId="0" xfId="3" applyFont="1" applyFill="1" applyAlignment="1" applyProtection="1">
      <alignment vertical="center"/>
      <protection hidden="1"/>
    </xf>
    <xf numFmtId="0" fontId="26" fillId="0" borderId="0" xfId="3" applyFont="1" applyAlignment="1" applyProtection="1">
      <alignment vertical="center"/>
      <protection hidden="1"/>
    </xf>
    <xf numFmtId="0" fontId="28" fillId="16" borderId="29" xfId="3" quotePrefix="1" applyFont="1" applyFill="1" applyBorder="1" applyAlignment="1" applyProtection="1">
      <alignment horizontal="left" vertical="center"/>
      <protection hidden="1"/>
    </xf>
    <xf numFmtId="0" fontId="27" fillId="12" borderId="29" xfId="3" applyFont="1" applyFill="1" applyBorder="1" applyAlignment="1" applyProtection="1">
      <alignment horizontal="center" vertical="center" wrapText="1"/>
      <protection hidden="1"/>
    </xf>
    <xf numFmtId="0" fontId="27" fillId="12" borderId="24" xfId="3" applyFont="1" applyFill="1" applyBorder="1" applyAlignment="1" applyProtection="1">
      <alignment horizontal="center" vertical="center" wrapText="1"/>
      <protection hidden="1"/>
    </xf>
    <xf numFmtId="0" fontId="26" fillId="0" borderId="29" xfId="0" applyFont="1" applyBorder="1" applyAlignment="1" applyProtection="1">
      <alignment horizontal="center" vertical="center" wrapText="1"/>
      <protection hidden="1"/>
    </xf>
    <xf numFmtId="43" fontId="26" fillId="13" borderId="24" xfId="8" applyFont="1" applyFill="1" applyBorder="1" applyAlignment="1" applyProtection="1">
      <alignment vertical="center" wrapText="1"/>
      <protection hidden="1"/>
    </xf>
    <xf numFmtId="43" fontId="26" fillId="13" borderId="29" xfId="8" applyFont="1" applyFill="1" applyBorder="1" applyAlignment="1" applyProtection="1">
      <alignment horizontal="center" vertical="center" wrapText="1"/>
      <protection hidden="1"/>
    </xf>
    <xf numFmtId="43" fontId="26" fillId="13" borderId="24" xfId="8" applyFont="1" applyFill="1" applyBorder="1" applyAlignment="1" applyProtection="1">
      <alignment horizontal="center" vertical="center" wrapText="1"/>
      <protection hidden="1"/>
    </xf>
    <xf numFmtId="43" fontId="26" fillId="13" borderId="36" xfId="8" applyFont="1" applyFill="1" applyBorder="1" applyAlignment="1" applyProtection="1">
      <alignment horizontal="center" vertical="center" wrapText="1"/>
      <protection hidden="1"/>
    </xf>
    <xf numFmtId="43" fontId="26" fillId="0" borderId="24" xfId="8" applyFont="1" applyFill="1" applyBorder="1" applyAlignment="1" applyProtection="1">
      <alignment horizontal="center" vertical="center" wrapText="1"/>
      <protection hidden="1"/>
    </xf>
    <xf numFmtId="0" fontId="26" fillId="0" borderId="24" xfId="0" applyFont="1" applyBorder="1" applyAlignment="1" applyProtection="1">
      <alignment horizontal="left" vertical="center" wrapText="1"/>
      <protection hidden="1"/>
    </xf>
    <xf numFmtId="0" fontId="26" fillId="17" borderId="29" xfId="0" applyFont="1" applyFill="1" applyBorder="1" applyAlignment="1" applyProtection="1">
      <alignment horizontal="center" vertical="center" wrapText="1"/>
      <protection hidden="1"/>
    </xf>
    <xf numFmtId="43" fontId="26" fillId="17" borderId="29" xfId="8" applyFont="1" applyFill="1" applyBorder="1" applyAlignment="1" applyProtection="1">
      <alignment horizontal="center" vertical="center" wrapText="1"/>
      <protection hidden="1"/>
    </xf>
    <xf numFmtId="43" fontId="26" fillId="17" borderId="24" xfId="8" applyFont="1" applyFill="1" applyBorder="1" applyAlignment="1" applyProtection="1">
      <alignment horizontal="center" vertical="center" wrapText="1"/>
      <protection hidden="1"/>
    </xf>
    <xf numFmtId="43" fontId="26" fillId="13" borderId="29" xfId="8" quotePrefix="1" applyFont="1" applyFill="1" applyBorder="1" applyAlignment="1" applyProtection="1">
      <alignment horizontal="center" vertical="center" wrapText="1"/>
      <protection hidden="1"/>
    </xf>
    <xf numFmtId="0" fontId="26" fillId="17" borderId="30" xfId="0" applyFont="1" applyFill="1" applyBorder="1" applyAlignment="1" applyProtection="1">
      <alignment horizontal="center" vertical="center" wrapText="1"/>
      <protection hidden="1"/>
    </xf>
    <xf numFmtId="0" fontId="26" fillId="17" borderId="27" xfId="0" applyFont="1" applyFill="1" applyBorder="1" applyAlignment="1" applyProtection="1">
      <alignment horizontal="left" vertical="center" wrapText="1"/>
      <protection hidden="1"/>
    </xf>
    <xf numFmtId="43" fontId="26" fillId="17" borderId="30" xfId="8" applyFont="1" applyFill="1" applyBorder="1" applyAlignment="1" applyProtection="1">
      <alignment horizontal="center" vertical="center" wrapText="1"/>
      <protection hidden="1"/>
    </xf>
    <xf numFmtId="43" fontId="26" fillId="17" borderId="27" xfId="8" applyFont="1" applyFill="1" applyBorder="1" applyAlignment="1" applyProtection="1">
      <alignment horizontal="center" vertical="center" wrapText="1"/>
      <protection hidden="1"/>
    </xf>
    <xf numFmtId="43" fontId="26" fillId="17" borderId="37" xfId="8" applyFont="1" applyFill="1" applyBorder="1" applyAlignment="1" applyProtection="1">
      <alignment horizontal="center" vertical="center" wrapText="1"/>
      <protection hidden="1"/>
    </xf>
    <xf numFmtId="0" fontId="19" fillId="0" borderId="0" xfId="0" applyFont="1" applyFill="1" applyBorder="1" applyAlignment="1" applyProtection="1">
      <alignment horizontal="center" vertical="center" wrapText="1"/>
      <protection hidden="1"/>
    </xf>
    <xf numFmtId="0" fontId="19" fillId="0" borderId="0" xfId="0" applyFont="1" applyFill="1" applyBorder="1" applyAlignment="1" applyProtection="1">
      <alignment horizontal="left" vertical="center" wrapText="1"/>
      <protection hidden="1"/>
    </xf>
    <xf numFmtId="43" fontId="19" fillId="0" borderId="0" xfId="8" applyFont="1" applyFill="1" applyBorder="1" applyAlignment="1" applyProtection="1">
      <alignment vertical="center" wrapText="1"/>
      <protection hidden="1"/>
    </xf>
    <xf numFmtId="0" fontId="26" fillId="0" borderId="0" xfId="3" quotePrefix="1" applyFont="1" applyFill="1" applyBorder="1" applyAlignment="1" applyProtection="1">
      <alignment horizontal="right" vertical="center" wrapText="1"/>
      <protection hidden="1"/>
    </xf>
    <xf numFmtId="0" fontId="30" fillId="0" borderId="0" xfId="3" applyFont="1" applyFill="1" applyBorder="1" applyAlignment="1" applyProtection="1">
      <alignment horizontal="left" vertical="center" wrapText="1"/>
      <protection hidden="1"/>
    </xf>
    <xf numFmtId="0" fontId="26" fillId="0" borderId="0" xfId="3" applyFont="1" applyFill="1" applyAlignment="1" applyProtection="1">
      <alignment horizontal="left" vertical="center"/>
      <protection hidden="1"/>
    </xf>
    <xf numFmtId="0" fontId="26" fillId="0" borderId="0" xfId="3" applyFont="1" applyFill="1" applyBorder="1" applyAlignment="1" applyProtection="1">
      <alignment vertical="center"/>
      <protection hidden="1"/>
    </xf>
    <xf numFmtId="0" fontId="26" fillId="0" borderId="0" xfId="3" quotePrefix="1" applyFont="1" applyFill="1" applyBorder="1" applyAlignment="1" applyProtection="1">
      <alignment vertical="center" wrapText="1"/>
      <protection hidden="1"/>
    </xf>
    <xf numFmtId="0" fontId="28" fillId="16" borderId="53" xfId="3" quotePrefix="1" applyFont="1" applyFill="1" applyBorder="1" applyAlignment="1" applyProtection="1">
      <alignment horizontal="left" vertical="center" wrapText="1"/>
      <protection hidden="1"/>
    </xf>
    <xf numFmtId="0" fontId="27" fillId="16" borderId="54" xfId="3" applyFont="1" applyFill="1" applyBorder="1" applyAlignment="1" applyProtection="1">
      <alignment vertical="center" wrapText="1"/>
      <protection hidden="1"/>
    </xf>
    <xf numFmtId="0" fontId="28" fillId="16" borderId="29" xfId="3" quotePrefix="1" applyFont="1" applyFill="1" applyBorder="1" applyAlignment="1" applyProtection="1">
      <alignment horizontal="left" vertical="center" wrapText="1"/>
      <protection hidden="1"/>
    </xf>
    <xf numFmtId="0" fontId="27" fillId="12" borderId="23" xfId="3" applyFont="1" applyFill="1" applyBorder="1" applyAlignment="1" applyProtection="1">
      <alignment horizontal="center" vertical="center" wrapText="1"/>
      <protection hidden="1"/>
    </xf>
    <xf numFmtId="9" fontId="27" fillId="12" borderId="24" xfId="3" quotePrefix="1" applyNumberFormat="1" applyFont="1" applyFill="1" applyBorder="1" applyAlignment="1" applyProtection="1">
      <alignment horizontal="center" vertical="center" wrapText="1"/>
      <protection hidden="1"/>
    </xf>
    <xf numFmtId="43" fontId="26" fillId="13" borderId="23" xfId="8" applyFont="1" applyFill="1" applyBorder="1" applyAlignment="1" applyProtection="1">
      <alignment horizontal="center" vertical="center" wrapText="1"/>
      <protection hidden="1"/>
    </xf>
    <xf numFmtId="43" fontId="26" fillId="13" borderId="23" xfId="8" quotePrefix="1" applyFont="1" applyFill="1" applyBorder="1" applyAlignment="1" applyProtection="1">
      <alignment horizontal="center" vertical="center" wrapText="1"/>
      <protection hidden="1"/>
    </xf>
    <xf numFmtId="43" fontId="26" fillId="13" borderId="24" xfId="8" quotePrefix="1" applyFont="1" applyFill="1" applyBorder="1" applyAlignment="1" applyProtection="1">
      <alignment horizontal="center" vertical="center" wrapText="1"/>
      <protection hidden="1"/>
    </xf>
    <xf numFmtId="43" fontId="26" fillId="0" borderId="29" xfId="6" quotePrefix="1" applyFont="1" applyFill="1" applyBorder="1" applyAlignment="1" applyProtection="1">
      <alignment horizontal="center" vertical="center" wrapText="1"/>
      <protection hidden="1"/>
    </xf>
    <xf numFmtId="43" fontId="26" fillId="0" borderId="23" xfId="6" quotePrefix="1" applyFont="1" applyFill="1" applyBorder="1" applyAlignment="1" applyProtection="1">
      <alignment horizontal="center" vertical="center" wrapText="1"/>
      <protection hidden="1"/>
    </xf>
    <xf numFmtId="43" fontId="26" fillId="0" borderId="24" xfId="6" quotePrefix="1" applyFont="1" applyFill="1" applyBorder="1" applyAlignment="1" applyProtection="1">
      <alignment horizontal="center" vertical="center" wrapText="1"/>
      <protection hidden="1"/>
    </xf>
    <xf numFmtId="43" fontId="26" fillId="0" borderId="23" xfId="8" applyFont="1" applyFill="1" applyBorder="1" applyAlignment="1" applyProtection="1">
      <alignment horizontal="center" vertical="center" wrapText="1"/>
      <protection hidden="1"/>
    </xf>
    <xf numFmtId="0" fontId="26" fillId="17" borderId="24" xfId="0" applyFont="1" applyFill="1" applyBorder="1" applyAlignment="1" applyProtection="1">
      <alignment horizontal="left" vertical="center" wrapText="1"/>
      <protection hidden="1"/>
    </xf>
    <xf numFmtId="43" fontId="26" fillId="17" borderId="23" xfId="8" applyFont="1" applyFill="1" applyBorder="1" applyAlignment="1" applyProtection="1">
      <alignment horizontal="center" vertical="center" wrapText="1"/>
      <protection hidden="1"/>
    </xf>
    <xf numFmtId="43" fontId="26" fillId="0" borderId="29" xfId="8" applyFont="1" applyFill="1" applyBorder="1" applyAlignment="1" applyProtection="1">
      <alignment horizontal="center" vertical="center" wrapText="1"/>
      <protection hidden="1"/>
    </xf>
    <xf numFmtId="43" fontId="26" fillId="17" borderId="26" xfId="8" applyFont="1" applyFill="1" applyBorder="1" applyAlignment="1" applyProtection="1">
      <alignment horizontal="center" vertical="center" wrapText="1"/>
      <protection hidden="1"/>
    </xf>
    <xf numFmtId="0" fontId="31" fillId="0" borderId="0" xfId="9" applyFont="1" applyFill="1" applyBorder="1" applyAlignment="1" applyProtection="1">
      <alignment vertical="center" wrapText="1"/>
      <protection hidden="1"/>
    </xf>
    <xf numFmtId="0" fontId="26" fillId="0" borderId="0" xfId="3" applyFont="1" applyFill="1" applyBorder="1" applyAlignment="1" applyProtection="1">
      <alignment horizontal="right" vertical="center" wrapText="1"/>
      <protection hidden="1"/>
    </xf>
    <xf numFmtId="0" fontId="30" fillId="0" borderId="0" xfId="3" quotePrefix="1" applyFont="1" applyFill="1" applyBorder="1" applyAlignment="1" applyProtection="1">
      <alignment horizontal="right" vertical="center" wrapText="1"/>
      <protection hidden="1"/>
    </xf>
    <xf numFmtId="0" fontId="30" fillId="0" borderId="0" xfId="3" quotePrefix="1" applyFont="1" applyFill="1" applyAlignment="1" applyProtection="1">
      <alignment horizontal="right" vertical="center"/>
      <protection hidden="1"/>
    </xf>
    <xf numFmtId="0" fontId="30" fillId="0" borderId="0" xfId="3" applyFont="1" applyAlignment="1" applyProtection="1">
      <alignment vertical="center"/>
      <protection hidden="1"/>
    </xf>
    <xf numFmtId="9" fontId="27" fillId="12" borderId="23" xfId="7" quotePrefix="1" applyFont="1" applyFill="1" applyBorder="1" applyAlignment="1" applyProtection="1">
      <alignment horizontal="center" vertical="center" wrapText="1"/>
      <protection hidden="1"/>
    </xf>
    <xf numFmtId="0" fontId="30" fillId="0" borderId="0" xfId="3" applyFont="1" applyFill="1" applyBorder="1" applyAlignment="1" applyProtection="1">
      <alignment horizontal="left" vertical="center" wrapText="1"/>
      <protection hidden="1"/>
    </xf>
    <xf numFmtId="43" fontId="0" fillId="0" borderId="0" xfId="0" applyNumberFormat="1"/>
    <xf numFmtId="164" fontId="0" fillId="0" borderId="1" xfId="1" applyNumberFormat="1" applyFont="1" applyBorder="1"/>
    <xf numFmtId="0" fontId="10" fillId="0" borderId="0" xfId="0" applyFont="1" applyAlignment="1" applyProtection="1">
      <alignment vertical="center"/>
      <protection hidden="1"/>
    </xf>
    <xf numFmtId="0" fontId="28" fillId="16" borderId="53" xfId="3" quotePrefix="1" applyFont="1" applyFill="1" applyBorder="1" applyAlignment="1" applyProtection="1">
      <alignment horizontal="left" vertical="center"/>
      <protection hidden="1"/>
    </xf>
    <xf numFmtId="0" fontId="27" fillId="16" borderId="54" xfId="3" applyFont="1" applyFill="1" applyBorder="1" applyAlignment="1" applyProtection="1">
      <alignment vertical="center"/>
      <protection hidden="1"/>
    </xf>
    <xf numFmtId="43" fontId="26" fillId="0" borderId="57" xfId="8" applyFont="1" applyFill="1" applyBorder="1" applyAlignment="1" applyProtection="1">
      <alignment horizontal="center" vertical="center" wrapText="1"/>
      <protection hidden="1"/>
    </xf>
    <xf numFmtId="43" fontId="26" fillId="0" borderId="57" xfId="0" applyNumberFormat="1" applyFont="1" applyBorder="1" applyAlignment="1" applyProtection="1">
      <alignment horizontal="center" vertical="center" wrapText="1"/>
      <protection hidden="1"/>
    </xf>
    <xf numFmtId="43" fontId="26" fillId="13" borderId="36" xfId="8" quotePrefix="1" applyFont="1" applyFill="1" applyBorder="1" applyAlignment="1" applyProtection="1">
      <alignment horizontal="center" vertical="center" wrapText="1"/>
      <protection hidden="1"/>
    </xf>
    <xf numFmtId="43" fontId="26" fillId="13" borderId="57" xfId="8" applyFont="1" applyFill="1" applyBorder="1" applyAlignment="1" applyProtection="1">
      <alignment horizontal="center" vertical="center" wrapText="1"/>
      <protection hidden="1"/>
    </xf>
    <xf numFmtId="43" fontId="26" fillId="13" borderId="58" xfId="8" applyFont="1" applyFill="1" applyBorder="1" applyAlignment="1" applyProtection="1">
      <alignment horizontal="center" vertical="center" wrapText="1"/>
      <protection hidden="1"/>
    </xf>
    <xf numFmtId="43" fontId="26" fillId="13" borderId="59" xfId="8" applyFont="1" applyFill="1" applyBorder="1" applyAlignment="1" applyProtection="1">
      <alignment horizontal="center" vertical="center" wrapText="1"/>
      <protection hidden="1"/>
    </xf>
    <xf numFmtId="165" fontId="26" fillId="17" borderId="57" xfId="0" applyNumberFormat="1" applyFont="1" applyFill="1" applyBorder="1" applyAlignment="1" applyProtection="1">
      <alignment horizontal="center" vertical="center" wrapText="1"/>
      <protection hidden="1"/>
    </xf>
    <xf numFmtId="43" fontId="26" fillId="17" borderId="0" xfId="8" applyFont="1" applyFill="1" applyBorder="1" applyAlignment="1" applyProtection="1">
      <alignment horizontal="center" vertical="center" wrapText="1"/>
      <protection hidden="1"/>
    </xf>
    <xf numFmtId="43" fontId="26" fillId="17" borderId="60" xfId="8" applyFont="1" applyFill="1" applyBorder="1" applyAlignment="1" applyProtection="1">
      <alignment horizontal="center" vertical="center" wrapText="1"/>
      <protection hidden="1"/>
    </xf>
    <xf numFmtId="43" fontId="26" fillId="17" borderId="57" xfId="8" applyFont="1" applyFill="1" applyBorder="1" applyAlignment="1" applyProtection="1">
      <alignment horizontal="center" vertical="center" wrapText="1"/>
      <protection hidden="1"/>
    </xf>
    <xf numFmtId="43" fontId="26" fillId="13" borderId="20" xfId="8" applyFont="1" applyFill="1" applyBorder="1" applyAlignment="1" applyProtection="1">
      <alignment horizontal="center" vertical="center" wrapText="1"/>
      <protection hidden="1"/>
    </xf>
    <xf numFmtId="43" fontId="26" fillId="0" borderId="36" xfId="8" applyFont="1" applyFill="1" applyBorder="1" applyAlignment="1" applyProtection="1">
      <alignment horizontal="center" vertical="center" wrapText="1"/>
      <protection hidden="1"/>
    </xf>
    <xf numFmtId="0" fontId="26" fillId="17" borderId="61" xfId="0" applyFont="1" applyFill="1" applyBorder="1" applyAlignment="1" applyProtection="1">
      <alignment horizontal="center" vertical="center" wrapText="1"/>
      <protection hidden="1"/>
    </xf>
    <xf numFmtId="43" fontId="26" fillId="17" borderId="61" xfId="8" applyFont="1" applyFill="1" applyBorder="1" applyAlignment="1" applyProtection="1">
      <alignment horizontal="center" vertical="center" wrapText="1"/>
      <protection hidden="1"/>
    </xf>
    <xf numFmtId="164" fontId="0" fillId="20" borderId="1" xfId="1" applyNumberFormat="1" applyFont="1" applyFill="1" applyBorder="1"/>
    <xf numFmtId="165" fontId="26" fillId="0" borderId="57" xfId="0" applyNumberFormat="1" applyFont="1" applyFill="1" applyBorder="1" applyAlignment="1" applyProtection="1">
      <alignment horizontal="left" vertical="center" wrapText="1"/>
      <protection hidden="1"/>
    </xf>
    <xf numFmtId="43" fontId="26" fillId="0" borderId="57" xfId="8" applyNumberFormat="1" applyFont="1" applyFill="1" applyBorder="1" applyAlignment="1" applyProtection="1">
      <alignment horizontal="center" vertical="center" wrapText="1"/>
      <protection hidden="1"/>
    </xf>
    <xf numFmtId="0" fontId="26" fillId="0" borderId="0" xfId="3" applyFont="1" applyFill="1" applyBorder="1" applyAlignment="1" applyProtection="1">
      <alignment vertical="center" wrapText="1"/>
      <protection hidden="1"/>
    </xf>
    <xf numFmtId="0" fontId="10" fillId="0" borderId="0" xfId="0" applyFont="1" applyProtection="1">
      <protection hidden="1"/>
    </xf>
    <xf numFmtId="0" fontId="30" fillId="0" borderId="0" xfId="3" applyFont="1" applyFill="1" applyBorder="1" applyAlignment="1" applyProtection="1">
      <alignment horizontal="justify" vertical="center" wrapText="1"/>
      <protection hidden="1"/>
    </xf>
    <xf numFmtId="0" fontId="26" fillId="0" borderId="24" xfId="0" applyFont="1" applyFill="1" applyBorder="1" applyAlignment="1" applyProtection="1">
      <alignment horizontal="left" vertical="center" wrapText="1"/>
      <protection hidden="1"/>
    </xf>
    <xf numFmtId="43" fontId="26" fillId="0" borderId="56" xfId="8" applyFont="1" applyFill="1" applyBorder="1" applyAlignment="1" applyProtection="1">
      <alignment horizontal="center" vertical="center" wrapText="1"/>
      <protection hidden="1"/>
    </xf>
    <xf numFmtId="43" fontId="26" fillId="0" borderId="60" xfId="8" applyFont="1" applyFill="1" applyBorder="1" applyAlignment="1" applyProtection="1">
      <alignment horizontal="center" vertical="center" wrapText="1"/>
      <protection hidden="1"/>
    </xf>
    <xf numFmtId="43" fontId="26" fillId="0" borderId="62" xfId="8" applyFont="1" applyFill="1" applyBorder="1" applyAlignment="1" applyProtection="1">
      <alignment horizontal="center" vertical="center" wrapText="1"/>
      <protection hidden="1"/>
    </xf>
    <xf numFmtId="165" fontId="26" fillId="17" borderId="60" xfId="0" applyNumberFormat="1" applyFont="1" applyFill="1" applyBorder="1" applyAlignment="1" applyProtection="1">
      <alignment horizontal="center" vertical="center" wrapText="1"/>
      <protection hidden="1"/>
    </xf>
    <xf numFmtId="43" fontId="26" fillId="13" borderId="60" xfId="8" applyFont="1" applyFill="1" applyBorder="1" applyAlignment="1" applyProtection="1">
      <alignment horizontal="center" vertical="center" wrapText="1"/>
      <protection hidden="1"/>
    </xf>
    <xf numFmtId="43" fontId="26" fillId="13" borderId="60" xfId="8" quotePrefix="1" applyFont="1" applyFill="1" applyBorder="1" applyAlignment="1" applyProtection="1">
      <alignment horizontal="center" vertical="center" wrapText="1"/>
      <protection hidden="1"/>
    </xf>
    <xf numFmtId="43" fontId="26" fillId="13" borderId="63" xfId="8" applyFont="1" applyFill="1" applyBorder="1" applyAlignment="1" applyProtection="1">
      <alignment horizontal="center" vertical="center" wrapText="1"/>
      <protection hidden="1"/>
    </xf>
    <xf numFmtId="43" fontId="26" fillId="17" borderId="17" xfId="8" applyFont="1" applyFill="1" applyBorder="1" applyAlignment="1" applyProtection="1">
      <alignment horizontal="center" vertical="center" wrapText="1"/>
      <protection hidden="1"/>
    </xf>
    <xf numFmtId="43" fontId="26" fillId="13" borderId="55" xfId="8" applyFont="1" applyFill="1" applyBorder="1" applyAlignment="1" applyProtection="1">
      <alignment horizontal="center" vertical="center" wrapText="1"/>
      <protection hidden="1"/>
    </xf>
    <xf numFmtId="43" fontId="26" fillId="17" borderId="64" xfId="8" applyFont="1" applyFill="1" applyBorder="1" applyAlignment="1" applyProtection="1">
      <alignment horizontal="center" vertical="center" wrapText="1"/>
      <protection hidden="1"/>
    </xf>
    <xf numFmtId="43" fontId="26" fillId="0" borderId="65" xfId="8" applyFont="1" applyFill="1" applyBorder="1" applyAlignment="1" applyProtection="1">
      <alignment horizontal="left" vertical="center"/>
      <protection hidden="1"/>
    </xf>
    <xf numFmtId="0" fontId="26" fillId="0" borderId="0" xfId="3" quotePrefix="1" applyFont="1" applyFill="1" applyBorder="1" applyAlignment="1" applyProtection="1">
      <alignment vertical="center"/>
      <protection hidden="1"/>
    </xf>
    <xf numFmtId="43" fontId="26" fillId="13" borderId="56" xfId="8" applyFont="1" applyFill="1" applyBorder="1" applyAlignment="1" applyProtection="1">
      <alignment horizontal="center" vertical="center" wrapText="1"/>
      <protection hidden="1"/>
    </xf>
    <xf numFmtId="43" fontId="26" fillId="17" borderId="56" xfId="8" applyFont="1" applyFill="1" applyBorder="1" applyAlignment="1" applyProtection="1">
      <alignment horizontal="center" vertical="center" wrapText="1"/>
      <protection hidden="1"/>
    </xf>
    <xf numFmtId="43" fontId="26" fillId="17" borderId="66" xfId="8" applyFont="1" applyFill="1" applyBorder="1" applyAlignment="1" applyProtection="1">
      <alignment horizontal="center" vertical="center" wrapText="1"/>
      <protection hidden="1"/>
    </xf>
    <xf numFmtId="0" fontId="30" fillId="0" borderId="0" xfId="3" applyFont="1" applyFill="1" applyBorder="1" applyAlignment="1" applyProtection="1">
      <alignment horizontal="left" vertical="center" wrapText="1"/>
      <protection hidden="1"/>
    </xf>
    <xf numFmtId="0" fontId="27" fillId="12" borderId="24" xfId="3" applyFont="1" applyFill="1" applyBorder="1" applyAlignment="1" applyProtection="1">
      <alignment horizontal="center" vertical="center" wrapText="1"/>
      <protection hidden="1"/>
    </xf>
    <xf numFmtId="0" fontId="30" fillId="0" borderId="0" xfId="3" applyFont="1" applyFill="1" applyBorder="1" applyAlignment="1" applyProtection="1">
      <alignment horizontal="justify" vertical="center" wrapText="1"/>
      <protection hidden="1"/>
    </xf>
    <xf numFmtId="0" fontId="26" fillId="0" borderId="0" xfId="3" applyFont="1" applyFill="1" applyBorder="1" applyAlignment="1" applyProtection="1">
      <alignment horizontal="left" vertical="center"/>
      <protection hidden="1"/>
    </xf>
    <xf numFmtId="167" fontId="22" fillId="8" borderId="50" xfId="4" applyNumberFormat="1" applyFont="1" applyFill="1" applyBorder="1" applyAlignment="1" applyProtection="1">
      <alignment horizontal="left" vertical="center" wrapText="1"/>
      <protection hidden="1"/>
    </xf>
    <xf numFmtId="167" fontId="22" fillId="3" borderId="50" xfId="4" applyNumberFormat="1" applyFont="1" applyFill="1" applyBorder="1" applyAlignment="1" applyProtection="1">
      <alignment horizontal="left" vertical="center" wrapText="1"/>
      <protection hidden="1"/>
    </xf>
    <xf numFmtId="0" fontId="26" fillId="0" borderId="0" xfId="3" applyFont="1" applyFill="1" applyAlignment="1" applyProtection="1">
      <alignment vertical="center" wrapText="1"/>
      <protection hidden="1"/>
    </xf>
    <xf numFmtId="0" fontId="26" fillId="0" borderId="0" xfId="3" applyFont="1" applyAlignment="1" applyProtection="1">
      <alignment vertical="center" wrapText="1"/>
      <protection hidden="1"/>
    </xf>
    <xf numFmtId="0" fontId="19" fillId="0" borderId="0" xfId="3" applyFont="1" applyFill="1" applyBorder="1" applyAlignment="1" applyProtection="1">
      <alignment vertical="center" wrapText="1"/>
      <protection hidden="1"/>
    </xf>
    <xf numFmtId="0" fontId="27" fillId="12" borderId="56" xfId="3" applyFont="1" applyFill="1" applyBorder="1" applyAlignment="1" applyProtection="1">
      <alignment horizontal="center" vertical="center" wrapText="1"/>
      <protection hidden="1"/>
    </xf>
    <xf numFmtId="43" fontId="26" fillId="13" borderId="67" xfId="8" applyFont="1" applyFill="1" applyBorder="1" applyAlignment="1" applyProtection="1">
      <alignment horizontal="center" vertical="center" wrapText="1"/>
      <protection hidden="1"/>
    </xf>
    <xf numFmtId="43" fontId="26" fillId="13" borderId="56" xfId="8" quotePrefix="1" applyFont="1" applyFill="1" applyBorder="1" applyAlignment="1" applyProtection="1">
      <alignment horizontal="center" vertical="center" wrapText="1"/>
      <protection hidden="1"/>
    </xf>
    <xf numFmtId="43" fontId="26" fillId="0" borderId="67" xfId="8" applyFont="1" applyFill="1" applyBorder="1" applyAlignment="1" applyProtection="1">
      <alignment horizontal="center" vertical="center" wrapText="1"/>
      <protection hidden="1"/>
    </xf>
    <xf numFmtId="43" fontId="26" fillId="0" borderId="57" xfId="0" applyNumberFormat="1" applyFont="1" applyBorder="1" applyAlignment="1" applyProtection="1">
      <alignment horizontal="right" vertical="center" wrapText="1"/>
      <protection hidden="1"/>
    </xf>
    <xf numFmtId="43" fontId="26" fillId="23" borderId="23" xfId="8" applyFont="1" applyFill="1" applyBorder="1" applyAlignment="1" applyProtection="1">
      <alignment horizontal="center" vertical="center" wrapText="1"/>
      <protection hidden="1"/>
    </xf>
    <xf numFmtId="43" fontId="26" fillId="23" borderId="56" xfId="8" applyFont="1" applyFill="1" applyBorder="1" applyAlignment="1" applyProtection="1">
      <alignment horizontal="center" vertical="center" wrapText="1"/>
      <protection hidden="1"/>
    </xf>
    <xf numFmtId="43" fontId="26" fillId="17" borderId="67" xfId="8" applyFont="1" applyFill="1" applyBorder="1" applyAlignment="1" applyProtection="1">
      <alignment horizontal="center" vertical="center" wrapText="1"/>
      <protection hidden="1"/>
    </xf>
    <xf numFmtId="43" fontId="26" fillId="23" borderId="24" xfId="8" applyFont="1" applyFill="1" applyBorder="1" applyAlignment="1" applyProtection="1">
      <alignment horizontal="center" vertical="center" wrapText="1"/>
      <protection hidden="1"/>
    </xf>
    <xf numFmtId="43" fontId="26" fillId="0" borderId="57" xfId="0" applyNumberFormat="1" applyFont="1" applyFill="1" applyBorder="1" applyAlignment="1" applyProtection="1">
      <alignment horizontal="right" vertical="center" wrapText="1"/>
      <protection hidden="1"/>
    </xf>
    <xf numFmtId="43" fontId="26" fillId="17" borderId="57" xfId="0" applyNumberFormat="1" applyFont="1" applyFill="1" applyBorder="1" applyAlignment="1" applyProtection="1">
      <alignment horizontal="right" vertical="center" wrapText="1"/>
      <protection hidden="1"/>
    </xf>
    <xf numFmtId="43" fontId="26" fillId="13" borderId="57" xfId="8" applyFont="1" applyFill="1" applyBorder="1" applyAlignment="1" applyProtection="1">
      <alignment horizontal="right" vertical="center" wrapText="1"/>
      <protection hidden="1"/>
    </xf>
    <xf numFmtId="0" fontId="26" fillId="17" borderId="61" xfId="0" applyFont="1" applyFill="1" applyBorder="1" applyAlignment="1" applyProtection="1">
      <alignment horizontal="right" vertical="center" wrapText="1"/>
      <protection hidden="1"/>
    </xf>
    <xf numFmtId="43" fontId="26" fillId="17" borderId="68" xfId="8" applyFont="1" applyFill="1" applyBorder="1" applyAlignment="1" applyProtection="1">
      <alignment horizontal="center" vertical="center" wrapText="1"/>
      <protection hidden="1"/>
    </xf>
    <xf numFmtId="0" fontId="33"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0" fillId="0" borderId="0" xfId="3" applyFont="1" applyFill="1" applyBorder="1" applyAlignment="1" applyProtection="1">
      <alignment vertical="center" wrapText="1"/>
      <protection hidden="1"/>
    </xf>
    <xf numFmtId="0" fontId="27" fillId="12" borderId="60" xfId="3" applyFont="1" applyFill="1" applyBorder="1" applyAlignment="1" applyProtection="1">
      <alignment horizontal="center" vertical="center" wrapText="1"/>
      <protection hidden="1"/>
    </xf>
    <xf numFmtId="2" fontId="26" fillId="0" borderId="57" xfId="0" applyNumberFormat="1" applyFont="1" applyBorder="1" applyAlignment="1" applyProtection="1">
      <alignment horizontal="right" vertical="center" wrapText="1"/>
      <protection hidden="1"/>
    </xf>
    <xf numFmtId="164" fontId="26" fillId="0" borderId="57" xfId="1" applyNumberFormat="1" applyFont="1" applyBorder="1" applyAlignment="1" applyProtection="1">
      <alignment horizontal="right" vertical="center" wrapText="1"/>
      <protection hidden="1"/>
    </xf>
    <xf numFmtId="0" fontId="31" fillId="0" borderId="0" xfId="9" applyFill="1" applyBorder="1" applyAlignment="1" applyProtection="1">
      <alignment vertical="center" wrapText="1"/>
      <protection hidden="1"/>
    </xf>
    <xf numFmtId="43" fontId="26" fillId="0" borderId="57" xfId="0" quotePrefix="1" applyNumberFormat="1" applyFont="1" applyBorder="1" applyAlignment="1" applyProtection="1">
      <alignment horizontal="center" vertical="center" wrapText="1"/>
      <protection hidden="1"/>
    </xf>
    <xf numFmtId="43" fontId="26" fillId="0" borderId="57" xfId="0" quotePrefix="1" applyNumberFormat="1" applyFont="1" applyBorder="1" applyAlignment="1" applyProtection="1">
      <alignment horizontal="right" vertical="center" wrapText="1"/>
      <protection hidden="1"/>
    </xf>
    <xf numFmtId="170" fontId="26" fillId="0" borderId="57" xfId="0" applyNumberFormat="1" applyFont="1" applyBorder="1" applyAlignment="1" applyProtection="1">
      <alignment horizontal="center" vertical="center" wrapText="1"/>
      <protection hidden="1"/>
    </xf>
    <xf numFmtId="43" fontId="26" fillId="0" borderId="67" xfId="0" applyNumberFormat="1" applyFont="1" applyFill="1" applyBorder="1" applyAlignment="1" applyProtection="1">
      <alignment horizontal="center" vertical="center" wrapText="1"/>
      <protection hidden="1"/>
    </xf>
    <xf numFmtId="43" fontId="26" fillId="0" borderId="57" xfId="0" applyNumberFormat="1" applyFont="1" applyFill="1" applyBorder="1" applyAlignment="1" applyProtection="1">
      <alignment horizontal="center" vertical="center" wrapText="1"/>
      <protection hidden="1"/>
    </xf>
    <xf numFmtId="0" fontId="27" fillId="16" borderId="29" xfId="3" quotePrefix="1" applyFont="1" applyFill="1" applyBorder="1" applyAlignment="1" applyProtection="1">
      <alignment horizontal="left" vertical="center" wrapText="1"/>
      <protection hidden="1"/>
    </xf>
    <xf numFmtId="9" fontId="27" fillId="12" borderId="29" xfId="7" quotePrefix="1" applyFont="1" applyFill="1" applyBorder="1" applyAlignment="1" applyProtection="1">
      <alignment horizontal="center" vertical="center" wrapText="1"/>
      <protection hidden="1"/>
    </xf>
    <xf numFmtId="169" fontId="27" fillId="12" borderId="60" xfId="3" quotePrefix="1" applyNumberFormat="1" applyFont="1" applyFill="1" applyBorder="1" applyAlignment="1" applyProtection="1">
      <alignment horizontal="center" vertical="center" wrapText="1"/>
      <protection hidden="1"/>
    </xf>
    <xf numFmtId="0" fontId="30" fillId="0" borderId="0" xfId="3" applyFont="1" applyFill="1" applyBorder="1" applyAlignment="1" applyProtection="1">
      <alignment horizontal="left" vertical="center" wrapText="1"/>
      <protection hidden="1"/>
    </xf>
    <xf numFmtId="0" fontId="19" fillId="0" borderId="0" xfId="3" applyFont="1" applyAlignment="1" applyProtection="1">
      <alignment horizontal="justify" vertical="center" wrapText="1"/>
      <protection hidden="1"/>
    </xf>
    <xf numFmtId="0" fontId="27" fillId="12" borderId="24" xfId="3" applyFont="1" applyFill="1" applyBorder="1" applyAlignment="1" applyProtection="1">
      <alignment horizontal="center" vertical="center" wrapText="1"/>
      <protection hidden="1"/>
    </xf>
    <xf numFmtId="0" fontId="30" fillId="0" borderId="0" xfId="3" applyFont="1" applyFill="1" applyBorder="1" applyAlignment="1" applyProtection="1">
      <alignment horizontal="justify" vertical="center" wrapText="1"/>
      <protection hidden="1"/>
    </xf>
    <xf numFmtId="0" fontId="27" fillId="12" borderId="18" xfId="3" applyFont="1" applyFill="1" applyBorder="1" applyAlignment="1" applyProtection="1">
      <alignment horizontal="center" vertical="center" wrapText="1"/>
      <protection hidden="1"/>
    </xf>
    <xf numFmtId="0" fontId="27" fillId="12" borderId="70" xfId="3" applyFont="1" applyFill="1" applyBorder="1" applyAlignment="1" applyProtection="1">
      <alignment horizontal="center" vertical="center" wrapText="1"/>
      <protection hidden="1"/>
    </xf>
    <xf numFmtId="9" fontId="27" fillId="12" borderId="70" xfId="3" quotePrefix="1" applyNumberFormat="1" applyFont="1" applyFill="1" applyBorder="1" applyAlignment="1" applyProtection="1">
      <alignment horizontal="center" vertical="center" wrapText="1"/>
      <protection hidden="1"/>
    </xf>
    <xf numFmtId="43" fontId="26" fillId="17" borderId="52" xfId="8" applyFont="1" applyFill="1" applyBorder="1" applyAlignment="1" applyProtection="1">
      <alignment horizontal="center" vertical="center" wrapText="1"/>
      <protection hidden="1"/>
    </xf>
    <xf numFmtId="43" fontId="26" fillId="17" borderId="71" xfId="8" applyFont="1" applyFill="1" applyBorder="1" applyAlignment="1" applyProtection="1">
      <alignment horizontal="center" vertical="center" wrapText="1"/>
      <protection hidden="1"/>
    </xf>
    <xf numFmtId="43" fontId="26" fillId="13" borderId="31" xfId="8" applyFont="1" applyFill="1" applyBorder="1" applyAlignment="1" applyProtection="1">
      <alignment horizontal="center" vertical="center" wrapText="1"/>
      <protection hidden="1"/>
    </xf>
    <xf numFmtId="43" fontId="26" fillId="13" borderId="72" xfId="8" applyFont="1" applyFill="1" applyBorder="1" applyAlignment="1" applyProtection="1">
      <alignment horizontal="center" vertical="center" wrapText="1"/>
      <protection hidden="1"/>
    </xf>
    <xf numFmtId="43" fontId="26" fillId="13" borderId="73" xfId="8" applyFont="1" applyFill="1" applyBorder="1" applyAlignment="1" applyProtection="1">
      <alignment horizontal="center" vertical="center" wrapText="1"/>
      <protection hidden="1"/>
    </xf>
    <xf numFmtId="43" fontId="26" fillId="0" borderId="57"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28" fillId="16" borderId="28" xfId="3" quotePrefix="1" applyFont="1" applyFill="1" applyBorder="1" applyAlignment="1" applyProtection="1">
      <alignment horizontal="left" vertical="center"/>
      <protection hidden="1"/>
    </xf>
    <xf numFmtId="0" fontId="27" fillId="24" borderId="75" xfId="3" applyFont="1" applyFill="1" applyBorder="1" applyAlignment="1" applyProtection="1">
      <alignment horizontal="center" vertical="center" wrapText="1"/>
      <protection hidden="1"/>
    </xf>
    <xf numFmtId="0" fontId="27" fillId="24" borderId="76" xfId="3" applyFont="1" applyFill="1" applyBorder="1" applyAlignment="1" applyProtection="1">
      <alignment horizontal="center" vertical="center" wrapText="1"/>
      <protection hidden="1"/>
    </xf>
    <xf numFmtId="168" fontId="38" fillId="24" borderId="67" xfId="3" quotePrefix="1" applyNumberFormat="1" applyFont="1" applyFill="1" applyBorder="1" applyAlignment="1" applyProtection="1">
      <alignment horizontal="center" vertical="center" wrapText="1"/>
      <protection hidden="1"/>
    </xf>
    <xf numFmtId="9" fontId="38" fillId="24" borderId="24" xfId="7" applyFont="1" applyFill="1" applyBorder="1" applyAlignment="1" applyProtection="1">
      <alignment horizontal="center" vertical="center" wrapText="1"/>
      <protection hidden="1"/>
    </xf>
    <xf numFmtId="0" fontId="27" fillId="24" borderId="67" xfId="3" applyFont="1" applyFill="1" applyBorder="1" applyAlignment="1" applyProtection="1">
      <alignment horizontal="center" vertical="center" wrapText="1"/>
      <protection hidden="1"/>
    </xf>
    <xf numFmtId="0" fontId="27" fillId="24" borderId="24" xfId="3" applyFont="1" applyFill="1" applyBorder="1" applyAlignment="1" applyProtection="1">
      <alignment horizontal="center" vertical="center" wrapText="1"/>
      <protection hidden="1"/>
    </xf>
    <xf numFmtId="0" fontId="26" fillId="0" borderId="56" xfId="0" applyFont="1" applyBorder="1" applyAlignment="1" applyProtection="1">
      <alignment horizontal="left" vertical="center" wrapText="1"/>
      <protection hidden="1"/>
    </xf>
    <xf numFmtId="43" fontId="26" fillId="0" borderId="29" xfId="8" quotePrefix="1" applyFont="1" applyFill="1" applyBorder="1" applyAlignment="1" applyProtection="1">
      <alignment horizontal="center" vertical="center" wrapText="1"/>
      <protection hidden="1"/>
    </xf>
    <xf numFmtId="0" fontId="26" fillId="17" borderId="56" xfId="0" applyFont="1" applyFill="1" applyBorder="1" applyAlignment="1" applyProtection="1">
      <alignment horizontal="left" vertical="center" wrapText="1"/>
      <protection hidden="1"/>
    </xf>
    <xf numFmtId="0" fontId="26" fillId="17" borderId="66" xfId="0" applyFont="1" applyFill="1" applyBorder="1" applyAlignment="1" applyProtection="1">
      <alignment horizontal="left" vertical="center" wrapText="1"/>
      <protection hidden="1"/>
    </xf>
    <xf numFmtId="0" fontId="39" fillId="0" borderId="0" xfId="0" applyFont="1" applyFill="1" applyBorder="1" applyAlignment="1" applyProtection="1">
      <alignment horizontal="left" vertical="center" wrapText="1"/>
      <protection hidden="1"/>
    </xf>
    <xf numFmtId="43" fontId="39" fillId="0" borderId="0" xfId="8" applyFont="1" applyFill="1" applyBorder="1" applyAlignment="1" applyProtection="1">
      <alignment vertical="center" wrapText="1"/>
      <protection hidden="1"/>
    </xf>
    <xf numFmtId="0" fontId="30" fillId="0" borderId="0" xfId="3" applyFont="1" applyFill="1" applyAlignment="1" applyProtection="1">
      <alignment vertical="center"/>
      <protection hidden="1"/>
    </xf>
    <xf numFmtId="0" fontId="26" fillId="0" borderId="0" xfId="3" quotePrefix="1" applyFont="1" applyFill="1" applyAlignment="1" applyProtection="1">
      <alignment horizontal="right" vertical="center"/>
      <protection hidden="1"/>
    </xf>
    <xf numFmtId="0" fontId="40" fillId="0" borderId="0" xfId="0" applyFont="1" applyAlignment="1" applyProtection="1">
      <alignment horizontal="centerContinuous"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40" fillId="0" borderId="0" xfId="0" quotePrefix="1" applyFont="1" applyAlignment="1" applyProtection="1">
      <alignment horizontal="left" vertical="center"/>
      <protection hidden="1"/>
    </xf>
    <xf numFmtId="4" fontId="40" fillId="0" borderId="0" xfId="10" applyNumberFormat="1" applyFont="1" applyFill="1" applyBorder="1" applyAlignment="1" applyProtection="1">
      <alignment horizontal="center" vertical="center"/>
      <protection hidden="1"/>
    </xf>
    <xf numFmtId="0" fontId="44" fillId="0" borderId="0" xfId="2" applyFont="1" applyFill="1" applyBorder="1" applyAlignment="1" applyProtection="1">
      <alignment vertical="center"/>
      <protection hidden="1"/>
    </xf>
    <xf numFmtId="0" fontId="44" fillId="0" borderId="0" xfId="2" applyFont="1" applyFill="1" applyBorder="1" applyAlignment="1" applyProtection="1">
      <alignment vertical="center" wrapText="1"/>
      <protection hidden="1"/>
    </xf>
    <xf numFmtId="0" fontId="45" fillId="0" borderId="0" xfId="0" applyFont="1" applyFill="1" applyAlignment="1" applyProtection="1">
      <alignment vertical="center"/>
      <protection hidden="1"/>
    </xf>
    <xf numFmtId="4" fontId="46" fillId="0" borderId="0" xfId="10" applyNumberFormat="1" applyFont="1" applyFill="1" applyBorder="1" applyAlignment="1" applyProtection="1">
      <alignment horizontal="center" vertical="center"/>
      <protection hidden="1"/>
    </xf>
    <xf numFmtId="0" fontId="46" fillId="0" borderId="0" xfId="0" applyFont="1" applyAlignment="1" applyProtection="1">
      <alignment horizontal="center" vertical="center"/>
      <protection hidden="1"/>
    </xf>
    <xf numFmtId="0" fontId="46" fillId="0" borderId="0" xfId="0" applyFont="1" applyAlignment="1" applyProtection="1">
      <alignment vertical="center"/>
      <protection hidden="1"/>
    </xf>
    <xf numFmtId="0" fontId="47" fillId="0" borderId="0" xfId="2" applyFont="1" applyFill="1" applyBorder="1" applyAlignment="1" applyProtection="1">
      <alignment vertical="center"/>
      <protection hidden="1"/>
    </xf>
    <xf numFmtId="2" fontId="40" fillId="0" borderId="29" xfId="0" applyNumberFormat="1" applyFont="1" applyFill="1" applyBorder="1" applyAlignment="1" applyProtection="1">
      <alignment vertical="center"/>
      <protection hidden="1"/>
    </xf>
    <xf numFmtId="2" fontId="40" fillId="0" borderId="23" xfId="0" applyNumberFormat="1" applyFont="1" applyFill="1" applyBorder="1" applyAlignment="1" applyProtection="1">
      <alignment horizontal="center" vertical="center"/>
      <protection hidden="1"/>
    </xf>
    <xf numFmtId="4" fontId="40" fillId="0" borderId="23" xfId="0" applyNumberFormat="1" applyFont="1" applyFill="1" applyBorder="1" applyAlignment="1" applyProtection="1">
      <alignment horizontal="center" vertical="center"/>
      <protection hidden="1"/>
    </xf>
    <xf numFmtId="4" fontId="40" fillId="0" borderId="24" xfId="0" applyNumberFormat="1" applyFont="1" applyFill="1" applyBorder="1" applyAlignment="1" applyProtection="1">
      <alignment horizontal="center" vertical="center"/>
      <protection hidden="1"/>
    </xf>
    <xf numFmtId="4" fontId="40" fillId="0" borderId="23" xfId="0" quotePrefix="1" applyNumberFormat="1" applyFont="1" applyFill="1" applyBorder="1" applyAlignment="1" applyProtection="1">
      <alignment horizontal="center" vertical="center"/>
      <protection hidden="1"/>
    </xf>
    <xf numFmtId="4" fontId="40" fillId="0" borderId="24" xfId="0" quotePrefix="1" applyNumberFormat="1" applyFont="1" applyFill="1" applyBorder="1" applyAlignment="1" applyProtection="1">
      <alignment horizontal="center" vertical="center"/>
      <protection hidden="1"/>
    </xf>
    <xf numFmtId="2" fontId="40" fillId="0" borderId="29" xfId="0" applyNumberFormat="1" applyFont="1" applyBorder="1" applyAlignment="1" applyProtection="1">
      <alignment horizontal="left" vertical="center"/>
      <protection hidden="1"/>
    </xf>
    <xf numFmtId="3" fontId="40" fillId="0" borderId="23" xfId="0" quotePrefix="1" applyNumberFormat="1" applyFont="1" applyFill="1" applyBorder="1" applyAlignment="1" applyProtection="1">
      <alignment horizontal="center" vertical="center"/>
      <protection hidden="1"/>
    </xf>
    <xf numFmtId="3" fontId="40" fillId="0" borderId="24" xfId="0" quotePrefix="1" applyNumberFormat="1" applyFont="1" applyFill="1" applyBorder="1" applyAlignment="1" applyProtection="1">
      <alignment horizontal="center" vertical="center"/>
      <protection hidden="1"/>
    </xf>
    <xf numFmtId="2" fontId="40" fillId="0" borderId="29" xfId="0" applyNumberFormat="1" applyFont="1" applyBorder="1" applyAlignment="1" applyProtection="1">
      <alignment vertical="center"/>
      <protection hidden="1"/>
    </xf>
    <xf numFmtId="2" fontId="40" fillId="0" borderId="30" xfId="0" applyNumberFormat="1" applyFont="1" applyBorder="1" applyAlignment="1" applyProtection="1">
      <alignment horizontal="left" vertical="center"/>
      <protection hidden="1"/>
    </xf>
    <xf numFmtId="3" fontId="40" fillId="0" borderId="26" xfId="0" quotePrefix="1" applyNumberFormat="1" applyFont="1" applyFill="1" applyBorder="1" applyAlignment="1" applyProtection="1">
      <alignment horizontal="center" vertical="center"/>
      <protection hidden="1"/>
    </xf>
    <xf numFmtId="3" fontId="40" fillId="0" borderId="27" xfId="0" quotePrefix="1" applyNumberFormat="1" applyFont="1" applyFill="1" applyBorder="1" applyAlignment="1" applyProtection="1">
      <alignment horizontal="center" vertical="center"/>
      <protection hidden="1"/>
    </xf>
    <xf numFmtId="43" fontId="26" fillId="13" borderId="34" xfId="8" applyFont="1" applyFill="1" applyBorder="1" applyAlignment="1" applyProtection="1">
      <alignment horizontal="center" vertical="center" wrapText="1"/>
      <protection hidden="1"/>
    </xf>
    <xf numFmtId="43" fontId="26" fillId="17" borderId="78" xfId="8" applyFont="1" applyFill="1" applyBorder="1" applyAlignment="1" applyProtection="1">
      <alignment horizontal="center" vertical="center" wrapText="1"/>
      <protection hidden="1"/>
    </xf>
    <xf numFmtId="43" fontId="26" fillId="13" borderId="22" xfId="8" applyFont="1" applyFill="1" applyBorder="1" applyAlignment="1" applyProtection="1">
      <alignment horizontal="center" vertical="center" wrapText="1"/>
      <protection hidden="1"/>
    </xf>
    <xf numFmtId="165" fontId="26" fillId="17" borderId="56" xfId="0" applyNumberFormat="1" applyFont="1" applyFill="1" applyBorder="1" applyAlignment="1" applyProtection="1">
      <alignment horizontal="center" vertical="center" wrapText="1"/>
      <protection hidden="1"/>
    </xf>
    <xf numFmtId="43" fontId="26" fillId="0" borderId="29" xfId="0" applyNumberFormat="1" applyFont="1" applyBorder="1" applyAlignment="1" applyProtection="1">
      <alignment horizontal="right" vertical="center" wrapText="1"/>
      <protection hidden="1"/>
    </xf>
    <xf numFmtId="2" fontId="48" fillId="8" borderId="1" xfId="0" applyNumberFormat="1" applyFont="1" applyFill="1" applyBorder="1"/>
    <xf numFmtId="0" fontId="30" fillId="0" borderId="0" xfId="3" applyFont="1" applyFill="1" applyBorder="1" applyAlignment="1" applyProtection="1">
      <alignment horizontal="left" vertical="center" wrapText="1"/>
      <protection hidden="1"/>
    </xf>
    <xf numFmtId="0" fontId="27" fillId="12" borderId="24" xfId="3" applyFont="1" applyFill="1" applyBorder="1" applyAlignment="1" applyProtection="1">
      <alignment horizontal="center" vertical="center" wrapText="1"/>
      <protection hidden="1"/>
    </xf>
    <xf numFmtId="0" fontId="27" fillId="12" borderId="29"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49" fillId="0" borderId="0" xfId="0" applyFont="1"/>
    <xf numFmtId="0" fontId="50"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51" fillId="0" borderId="0" xfId="0" applyFont="1"/>
    <xf numFmtId="10" fontId="52" fillId="8" borderId="1" xfId="0" applyNumberFormat="1" applyFont="1" applyFill="1" applyBorder="1" applyAlignment="1">
      <alignment horizontal="center"/>
    </xf>
    <xf numFmtId="0" fontId="52" fillId="8" borderId="1" xfId="0" applyFont="1" applyFill="1" applyBorder="1" applyAlignment="1">
      <alignment horizontal="center"/>
    </xf>
    <xf numFmtId="0" fontId="53"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55" fillId="5" borderId="1" xfId="1" applyNumberFormat="1" applyFont="1" applyFill="1" applyBorder="1" applyAlignment="1">
      <alignment horizontal="center" vertical="center" wrapText="1"/>
    </xf>
    <xf numFmtId="0" fontId="56" fillId="0" borderId="0" xfId="0" applyFont="1" applyFill="1" applyBorder="1"/>
    <xf numFmtId="0" fontId="56" fillId="0" borderId="0" xfId="0" applyNumberFormat="1" applyFont="1" applyFill="1" applyBorder="1"/>
    <xf numFmtId="4" fontId="56" fillId="0" borderId="0" xfId="0" applyNumberFormat="1" applyFont="1" applyFill="1" applyBorder="1"/>
    <xf numFmtId="171" fontId="56" fillId="0" borderId="0" xfId="0" applyNumberFormat="1" applyFont="1" applyFill="1" applyBorder="1"/>
    <xf numFmtId="171" fontId="56" fillId="3" borderId="0" xfId="0" applyNumberFormat="1" applyFont="1" applyFill="1" applyBorder="1"/>
    <xf numFmtId="0" fontId="57" fillId="3" borderId="0" xfId="0" applyNumberFormat="1" applyFont="1" applyFill="1"/>
    <xf numFmtId="43" fontId="56" fillId="0" borderId="0" xfId="0" applyNumberFormat="1" applyFont="1" applyFill="1" applyBorder="1"/>
    <xf numFmtId="164" fontId="0" fillId="0" borderId="1" xfId="1" applyNumberFormat="1" applyFont="1" applyFill="1" applyBorder="1"/>
    <xf numFmtId="0" fontId="54" fillId="0" borderId="1" xfId="0" applyFont="1" applyBorder="1"/>
    <xf numFmtId="164" fontId="0" fillId="5" borderId="1" xfId="1" applyNumberFormat="1" applyFont="1" applyFill="1" applyBorder="1"/>
    <xf numFmtId="164" fontId="55"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54" fillId="0" borderId="1" xfId="0" applyFont="1" applyBorder="1" applyAlignment="1">
      <alignment horizontal="right"/>
    </xf>
    <xf numFmtId="0" fontId="56" fillId="8" borderId="0" xfId="0" applyFont="1" applyFill="1" applyBorder="1"/>
    <xf numFmtId="43" fontId="56" fillId="8" borderId="0" xfId="0" applyNumberFormat="1" applyFont="1" applyFill="1" applyBorder="1"/>
    <xf numFmtId="0" fontId="57" fillId="8" borderId="0" xfId="0" applyNumberFormat="1" applyFont="1" applyFill="1" applyAlignment="1">
      <alignment horizontal="center"/>
    </xf>
    <xf numFmtId="0" fontId="56" fillId="8" borderId="0" xfId="0" applyNumberFormat="1" applyFont="1" applyFill="1" applyBorder="1"/>
    <xf numFmtId="171" fontId="56" fillId="8" borderId="0" xfId="0" applyNumberFormat="1" applyFont="1" applyFill="1" applyBorder="1"/>
    <xf numFmtId="0" fontId="57" fillId="8" borderId="0" xfId="0" applyNumberFormat="1" applyFont="1" applyFill="1"/>
    <xf numFmtId="4" fontId="56" fillId="8" borderId="0" xfId="0" applyNumberFormat="1" applyFont="1" applyFill="1" applyBorder="1"/>
    <xf numFmtId="0" fontId="0" fillId="26" borderId="1" xfId="0" applyFill="1" applyBorder="1" applyAlignment="1">
      <alignment horizontal="center"/>
    </xf>
    <xf numFmtId="0" fontId="56" fillId="3" borderId="0" xfId="0" applyFont="1" applyFill="1" applyBorder="1"/>
    <xf numFmtId="4" fontId="58" fillId="0" borderId="0" xfId="0" applyNumberFormat="1" applyFont="1" applyFill="1" applyBorder="1"/>
    <xf numFmtId="43" fontId="17" fillId="0" borderId="56" xfId="4" applyFont="1" applyFill="1" applyBorder="1" applyAlignment="1" applyProtection="1">
      <alignment vertical="center" wrapText="1"/>
      <protection hidden="1"/>
    </xf>
    <xf numFmtId="43" fontId="17" fillId="0" borderId="56" xfId="4" applyFont="1" applyFill="1" applyBorder="1" applyAlignment="1" applyProtection="1">
      <alignment horizontal="right" vertical="center" wrapText="1"/>
      <protection hidden="1"/>
    </xf>
    <xf numFmtId="43" fontId="17" fillId="0" borderId="66" xfId="4" applyFont="1" applyFill="1" applyBorder="1" applyAlignment="1" applyProtection="1">
      <alignment horizontal="right" vertical="center" wrapText="1"/>
      <protection hidden="1"/>
    </xf>
    <xf numFmtId="0" fontId="57" fillId="22" borderId="0" xfId="0" applyNumberFormat="1" applyFont="1" applyFill="1"/>
    <xf numFmtId="0" fontId="27" fillId="12" borderId="23" xfId="3" applyFont="1" applyFill="1" applyBorder="1" applyAlignment="1" applyProtection="1">
      <alignment horizontal="center" vertical="center" wrapText="1"/>
      <protection hidden="1"/>
    </xf>
    <xf numFmtId="9" fontId="27" fillId="12" borderId="23" xfId="7" applyFont="1" applyFill="1" applyBorder="1" applyAlignment="1" applyProtection="1">
      <alignment horizontal="center" vertical="center" wrapText="1"/>
      <protection hidden="1"/>
    </xf>
    <xf numFmtId="9" fontId="27" fillId="12" borderId="24" xfId="7" applyFont="1" applyFill="1" applyBorder="1" applyAlignment="1" applyProtection="1">
      <alignment horizontal="center" vertical="center" wrapText="1"/>
      <protection hidden="1"/>
    </xf>
    <xf numFmtId="164" fontId="0" fillId="0" borderId="0" xfId="1" applyNumberFormat="1" applyFont="1"/>
    <xf numFmtId="0" fontId="59" fillId="19" borderId="0" xfId="0" applyFont="1" applyFill="1" applyBorder="1"/>
    <xf numFmtId="0" fontId="60" fillId="19" borderId="0" xfId="0" applyFont="1" applyFill="1" applyBorder="1"/>
    <xf numFmtId="0" fontId="0" fillId="0" borderId="1" xfId="0" applyBorder="1" applyAlignment="1">
      <alignment horizontal="center" vertical="center" wrapText="1"/>
    </xf>
    <xf numFmtId="0" fontId="27" fillId="12" borderId="24" xfId="3" applyFont="1" applyFill="1" applyBorder="1" applyAlignment="1" applyProtection="1">
      <alignment horizontal="center" vertical="center" wrapText="1"/>
      <protection hidden="1"/>
    </xf>
    <xf numFmtId="0" fontId="27" fillId="12" borderId="29" xfId="3" applyFont="1" applyFill="1" applyBorder="1" applyAlignment="1" applyProtection="1">
      <alignment horizontal="center" vertical="center" wrapText="1"/>
      <protection hidden="1"/>
    </xf>
    <xf numFmtId="43" fontId="26" fillId="17" borderId="80" xfId="8" applyFont="1" applyFill="1" applyBorder="1" applyAlignment="1" applyProtection="1">
      <alignment horizontal="center" vertical="center" wrapText="1"/>
      <protection hidden="1"/>
    </xf>
    <xf numFmtId="43" fontId="26" fillId="17" borderId="81" xfId="8" applyFont="1" applyFill="1" applyBorder="1" applyAlignment="1" applyProtection="1">
      <alignment horizontal="center" vertical="center" wrapText="1"/>
      <protection hidden="1"/>
    </xf>
    <xf numFmtId="43" fontId="26" fillId="17" borderId="82" xfId="8" applyFont="1" applyFill="1" applyBorder="1" applyAlignment="1" applyProtection="1">
      <alignment horizontal="center" vertical="center" wrapText="1"/>
      <protection hidden="1"/>
    </xf>
    <xf numFmtId="43" fontId="58" fillId="0" borderId="0" xfId="0" applyNumberFormat="1" applyFont="1" applyFill="1" applyBorder="1"/>
    <xf numFmtId="0" fontId="58" fillId="0" borderId="0" xfId="0" applyFont="1" applyFill="1" applyBorder="1"/>
    <xf numFmtId="0" fontId="63" fillId="3" borderId="0" xfId="0" applyNumberFormat="1" applyFont="1" applyFill="1"/>
    <xf numFmtId="0" fontId="58" fillId="0" borderId="0" xfId="0" applyNumberFormat="1" applyFont="1" applyFill="1" applyBorder="1"/>
    <xf numFmtId="171" fontId="58" fillId="3" borderId="0" xfId="0" applyNumberFormat="1" applyFont="1" applyFill="1" applyBorder="1"/>
    <xf numFmtId="0" fontId="62" fillId="0" borderId="1" xfId="0" applyFont="1" applyBorder="1"/>
    <xf numFmtId="2" fontId="62" fillId="0" borderId="1" xfId="0" applyNumberFormat="1" applyFont="1" applyBorder="1"/>
    <xf numFmtId="43" fontId="56" fillId="3" borderId="0" xfId="0" applyNumberFormat="1" applyFont="1" applyFill="1" applyBorder="1"/>
    <xf numFmtId="0" fontId="56" fillId="3" borderId="0" xfId="0" applyNumberFormat="1" applyFont="1" applyFill="1" applyBorder="1"/>
    <xf numFmtId="4" fontId="56" fillId="3" borderId="0" xfId="0" applyNumberFormat="1" applyFont="1" applyFill="1" applyBorder="1"/>
    <xf numFmtId="0" fontId="14" fillId="3" borderId="0" xfId="0" applyFont="1" applyFill="1" applyBorder="1" applyAlignment="1" applyProtection="1">
      <alignment vertical="center"/>
      <protection hidden="1"/>
    </xf>
    <xf numFmtId="0" fontId="30" fillId="0" borderId="0" xfId="3" applyFont="1" applyFill="1" applyBorder="1" applyAlignment="1" applyProtection="1">
      <alignment horizontal="left" vertical="center" wrapText="1"/>
      <protection hidden="1"/>
    </xf>
    <xf numFmtId="0" fontId="27" fillId="12" borderId="24" xfId="3" applyFont="1" applyFill="1" applyBorder="1" applyAlignment="1" applyProtection="1">
      <alignment horizontal="center" vertical="center" wrapText="1"/>
      <protection hidden="1"/>
    </xf>
    <xf numFmtId="0" fontId="27" fillId="12" borderId="29"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64" fillId="3" borderId="0" xfId="0" applyFont="1" applyFill="1" applyAlignment="1">
      <alignment horizontal="right"/>
    </xf>
    <xf numFmtId="0" fontId="27" fillId="0" borderId="0" xfId="3" applyFont="1" applyFill="1" applyAlignment="1" applyProtection="1">
      <alignment horizontal="left" vertical="center"/>
      <protection hidden="1"/>
    </xf>
    <xf numFmtId="4" fontId="58" fillId="3" borderId="0" xfId="0" applyNumberFormat="1" applyFont="1" applyFill="1" applyBorder="1"/>
    <xf numFmtId="0" fontId="0" fillId="3" borderId="0" xfId="0" applyFill="1"/>
    <xf numFmtId="0" fontId="24" fillId="3" borderId="0" xfId="0" applyFont="1" applyFill="1"/>
    <xf numFmtId="0" fontId="24" fillId="27" borderId="0" xfId="0" applyFont="1" applyFill="1"/>
    <xf numFmtId="0" fontId="66" fillId="19" borderId="0" xfId="0" applyFont="1" applyFill="1" applyBorder="1"/>
    <xf numFmtId="0" fontId="56" fillId="7" borderId="0" xfId="0" applyFont="1" applyFill="1" applyBorder="1"/>
    <xf numFmtId="172" fontId="41" fillId="0" borderId="0" xfId="0" applyNumberFormat="1" applyFont="1" applyAlignment="1" applyProtection="1">
      <alignment vertical="center"/>
      <protection hidden="1"/>
    </xf>
    <xf numFmtId="0" fontId="0" fillId="0" borderId="1" xfId="0" applyBorder="1" applyAlignment="1">
      <alignment horizontal="center" vertical="center" wrapText="1"/>
    </xf>
    <xf numFmtId="2" fontId="0" fillId="0" borderId="1" xfId="0" applyNumberFormat="1" applyFill="1" applyBorder="1"/>
    <xf numFmtId="0" fontId="0" fillId="28" borderId="1" xfId="0" applyFill="1" applyBorder="1" applyAlignment="1">
      <alignment horizontal="center" vertical="center" wrapText="1"/>
    </xf>
    <xf numFmtId="2" fontId="0" fillId="28" borderId="1" xfId="0" applyNumberFormat="1" applyFill="1" applyBorder="1"/>
    <xf numFmtId="0" fontId="0" fillId="28" borderId="0" xfId="0" applyFill="1"/>
    <xf numFmtId="9" fontId="0" fillId="28" borderId="0" xfId="0" applyNumberFormat="1" applyFill="1" applyAlignment="1">
      <alignment horizontal="center"/>
    </xf>
    <xf numFmtId="2" fontId="48" fillId="0" borderId="1" xfId="0" applyNumberFormat="1" applyFont="1" applyFill="1" applyBorder="1"/>
    <xf numFmtId="10" fontId="0" fillId="28" borderId="1" xfId="0" applyNumberFormat="1" applyFill="1" applyBorder="1"/>
    <xf numFmtId="0" fontId="62" fillId="0" borderId="0" xfId="0" applyFont="1"/>
    <xf numFmtId="2" fontId="24" fillId="0" borderId="0" xfId="0" applyNumberFormat="1" applyFont="1"/>
    <xf numFmtId="0" fontId="0" fillId="28" borderId="11"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2" fontId="0" fillId="28" borderId="11" xfId="0" applyNumberFormat="1" applyFill="1" applyBorder="1"/>
    <xf numFmtId="0" fontId="0" fillId="0" borderId="87" xfId="0" applyBorder="1" applyAlignment="1">
      <alignment horizontal="center" vertical="center" wrapText="1"/>
    </xf>
    <xf numFmtId="0" fontId="0" fillId="0" borderId="88" xfId="0" applyBorder="1" applyAlignment="1">
      <alignment horizontal="center" vertical="center" wrapText="1"/>
    </xf>
    <xf numFmtId="2" fontId="0" fillId="7" borderId="87" xfId="0" applyNumberFormat="1" applyFill="1" applyBorder="1"/>
    <xf numFmtId="2" fontId="0" fillId="7" borderId="88" xfId="0" applyNumberFormat="1" applyFill="1" applyBorder="1"/>
    <xf numFmtId="2" fontId="0" fillId="7" borderId="89" xfId="0" applyNumberFormat="1" applyFill="1" applyBorder="1"/>
    <xf numFmtId="2" fontId="0" fillId="7" borderId="90" xfId="0" applyNumberFormat="1" applyFill="1" applyBorder="1"/>
    <xf numFmtId="2" fontId="0" fillId="7" borderId="91" xfId="0" applyNumberFormat="1" applyFill="1" applyBorder="1"/>
    <xf numFmtId="2" fontId="0" fillId="6" borderId="2" xfId="0" applyNumberFormat="1" applyFill="1" applyBorder="1"/>
    <xf numFmtId="2" fontId="0" fillId="7" borderId="11" xfId="0" applyNumberFormat="1" applyFill="1" applyBorder="1"/>
    <xf numFmtId="2" fontId="0" fillId="3" borderId="87" xfId="0" applyNumberFormat="1" applyFill="1" applyBorder="1"/>
    <xf numFmtId="2" fontId="0" fillId="3" borderId="88" xfId="0" applyNumberFormat="1" applyFill="1" applyBorder="1"/>
    <xf numFmtId="2" fontId="0" fillId="3" borderId="89" xfId="0" applyNumberFormat="1" applyFill="1" applyBorder="1"/>
    <xf numFmtId="2" fontId="0" fillId="3" borderId="90" xfId="0" applyNumberFormat="1" applyFill="1" applyBorder="1"/>
    <xf numFmtId="2" fontId="0" fillId="3" borderId="91" xfId="0" applyNumberFormat="1" applyFill="1" applyBorder="1"/>
    <xf numFmtId="2" fontId="0" fillId="27" borderId="11" xfId="0" applyNumberFormat="1" applyFill="1" applyBorder="1"/>
    <xf numFmtId="0" fontId="67" fillId="0" borderId="0" xfId="0" applyFont="1" applyBorder="1" applyAlignment="1" applyProtection="1">
      <alignment vertical="center"/>
      <protection hidden="1"/>
    </xf>
    <xf numFmtId="0" fontId="54" fillId="0" borderId="0" xfId="0" applyFont="1"/>
    <xf numFmtId="2" fontId="0" fillId="0" borderId="0" xfId="0" applyNumberFormat="1"/>
    <xf numFmtId="0" fontId="0" fillId="22" borderId="0" xfId="0" applyFill="1"/>
    <xf numFmtId="43" fontId="0" fillId="3" borderId="0" xfId="0" applyNumberFormat="1" applyFill="1"/>
    <xf numFmtId="164" fontId="0" fillId="27" borderId="1" xfId="1" applyNumberFormat="1" applyFont="1" applyFill="1" applyBorder="1" applyAlignment="1">
      <alignment horizontal="center" vertical="center"/>
    </xf>
    <xf numFmtId="0" fontId="29" fillId="21" borderId="14" xfId="3" applyFont="1" applyFill="1" applyBorder="1" applyAlignment="1" applyProtection="1">
      <alignment vertical="center" wrapText="1"/>
      <protection hidden="1"/>
    </xf>
    <xf numFmtId="0" fontId="29" fillId="21" borderId="32" xfId="3" applyFont="1" applyFill="1" applyBorder="1" applyAlignment="1" applyProtection="1">
      <alignment vertical="center" wrapText="1"/>
      <protection hidden="1"/>
    </xf>
    <xf numFmtId="0" fontId="0" fillId="5" borderId="92" xfId="0" applyFill="1" applyBorder="1" applyAlignment="1">
      <alignment vertical="center"/>
    </xf>
    <xf numFmtId="0" fontId="0" fillId="3" borderId="92" xfId="0" applyFill="1" applyBorder="1" applyAlignment="1">
      <alignment horizontal="center" vertical="center" wrapText="1"/>
    </xf>
    <xf numFmtId="0" fontId="0" fillId="0" borderId="93" xfId="0" applyBorder="1" applyAlignment="1">
      <alignment horizontal="left" vertical="center"/>
    </xf>
    <xf numFmtId="0" fontId="0" fillId="0" borderId="92" xfId="0" applyBorder="1" applyAlignment="1">
      <alignment horizontal="center" vertical="center"/>
    </xf>
    <xf numFmtId="175" fontId="0" fillId="0" borderId="0" xfId="0" applyNumberFormat="1"/>
    <xf numFmtId="176" fontId="0" fillId="0" borderId="0" xfId="0" applyNumberFormat="1"/>
    <xf numFmtId="174" fontId="62" fillId="3" borderId="1" xfId="0" applyNumberFormat="1" applyFont="1" applyFill="1" applyBorder="1"/>
    <xf numFmtId="2" fontId="62" fillId="3" borderId="1" xfId="0" applyNumberFormat="1" applyFont="1" applyFill="1" applyBorder="1"/>
    <xf numFmtId="0" fontId="68" fillId="0" borderId="0" xfId="0" applyFont="1"/>
    <xf numFmtId="0" fontId="69" fillId="0" borderId="93" xfId="0" applyFont="1" applyBorder="1" applyAlignment="1">
      <alignment horizontal="left" vertical="center"/>
    </xf>
    <xf numFmtId="0" fontId="0" fillId="27" borderId="92" xfId="0" applyFill="1" applyBorder="1" applyAlignment="1">
      <alignment vertical="center" wrapText="1"/>
    </xf>
    <xf numFmtId="175" fontId="0" fillId="7" borderId="87" xfId="0" applyNumberFormat="1" applyFill="1" applyBorder="1"/>
    <xf numFmtId="174" fontId="0" fillId="0" borderId="0" xfId="0" applyNumberFormat="1"/>
    <xf numFmtId="2" fontId="26" fillId="0" borderId="0" xfId="3" quotePrefix="1" applyNumberFormat="1" applyFont="1" applyFill="1" applyBorder="1" applyAlignment="1" applyProtection="1">
      <alignment vertical="center" wrapText="1"/>
      <protection hidden="1"/>
    </xf>
    <xf numFmtId="10" fontId="0" fillId="0" borderId="0" xfId="0" applyNumberFormat="1"/>
    <xf numFmtId="173" fontId="27" fillId="12" borderId="23" xfId="3" quotePrefix="1" applyNumberFormat="1" applyFont="1" applyFill="1" applyBorder="1" applyAlignment="1" applyProtection="1">
      <alignment horizontal="center" vertical="center" wrapText="1"/>
      <protection hidden="1"/>
    </xf>
    <xf numFmtId="0" fontId="27" fillId="12" borderId="24" xfId="3" applyFont="1" applyFill="1" applyBorder="1" applyAlignment="1" applyProtection="1">
      <alignment horizontal="center" vertical="center" wrapText="1"/>
      <protection hidden="1"/>
    </xf>
    <xf numFmtId="0" fontId="27" fillId="12" borderId="29"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13" fillId="12" borderId="34" xfId="0" quotePrefix="1" applyFont="1" applyFill="1" applyBorder="1" applyAlignment="1" applyProtection="1">
      <alignment horizontal="center" vertical="center" wrapText="1"/>
      <protection hidden="1"/>
    </xf>
    <xf numFmtId="0" fontId="30" fillId="0" borderId="0" xfId="3" applyFont="1" applyFill="1" applyBorder="1" applyAlignment="1" applyProtection="1">
      <alignment horizontal="left" vertical="center" wrapText="1"/>
      <protection hidden="1"/>
    </xf>
    <xf numFmtId="0" fontId="73" fillId="0" borderId="1" xfId="0" applyFont="1" applyFill="1" applyBorder="1"/>
    <xf numFmtId="164" fontId="73" fillId="0" borderId="1" xfId="1" applyNumberFormat="1" applyFont="1" applyFill="1" applyBorder="1"/>
    <xf numFmtId="43" fontId="73" fillId="0" borderId="0" xfId="0" applyNumberFormat="1" applyFont="1" applyFill="1" applyBorder="1" applyAlignment="1">
      <alignment horizontal="center"/>
    </xf>
    <xf numFmtId="43" fontId="73" fillId="0" borderId="0" xfId="0" applyNumberFormat="1" applyFont="1" applyFill="1"/>
    <xf numFmtId="0" fontId="73" fillId="0" borderId="0" xfId="0" applyFont="1" applyFill="1"/>
    <xf numFmtId="171" fontId="56" fillId="19" borderId="0" xfId="0" applyNumberFormat="1" applyFont="1" applyFill="1" applyBorder="1"/>
    <xf numFmtId="0" fontId="56" fillId="19" borderId="0" xfId="0" applyFont="1" applyFill="1" applyBorder="1"/>
    <xf numFmtId="43" fontId="56" fillId="19" borderId="0" xfId="0" applyNumberFormat="1" applyFont="1" applyFill="1" applyBorder="1"/>
    <xf numFmtId="0" fontId="56" fillId="22" borderId="0" xfId="0" applyFont="1" applyFill="1" applyBorder="1"/>
    <xf numFmtId="43" fontId="56" fillId="22" borderId="0" xfId="0" applyNumberFormat="1" applyFont="1" applyFill="1" applyBorder="1"/>
    <xf numFmtId="171" fontId="56" fillId="22" borderId="0" xfId="0" applyNumberFormat="1" applyFont="1" applyFill="1" applyBorder="1"/>
    <xf numFmtId="43" fontId="56" fillId="25" borderId="0" xfId="0" applyNumberFormat="1" applyFont="1" applyFill="1" applyBorder="1"/>
    <xf numFmtId="0" fontId="56" fillId="25" borderId="0" xfId="0" applyFont="1" applyFill="1" applyBorder="1"/>
    <xf numFmtId="0" fontId="56" fillId="15" borderId="0" xfId="0" applyFont="1" applyFill="1" applyBorder="1"/>
    <xf numFmtId="43" fontId="56" fillId="15" borderId="0" xfId="0" applyNumberFormat="1" applyFont="1" applyFill="1" applyBorder="1"/>
    <xf numFmtId="171" fontId="56" fillId="15" borderId="0" xfId="0" applyNumberFormat="1" applyFont="1" applyFill="1" applyBorder="1"/>
    <xf numFmtId="0" fontId="48" fillId="0" borderId="0" xfId="0" applyFont="1"/>
    <xf numFmtId="165" fontId="14" fillId="3" borderId="0" xfId="0" applyNumberFormat="1" applyFont="1" applyFill="1" applyBorder="1" applyAlignment="1" applyProtection="1">
      <alignment vertical="center"/>
      <protection hidden="1"/>
    </xf>
    <xf numFmtId="43" fontId="14" fillId="3" borderId="0" xfId="0" applyNumberFormat="1" applyFont="1" applyFill="1" applyBorder="1" applyAlignment="1" applyProtection="1">
      <alignment vertical="center"/>
      <protection hidden="1"/>
    </xf>
    <xf numFmtId="0" fontId="14" fillId="27" borderId="0" xfId="0" applyFont="1" applyFill="1" applyBorder="1" applyAlignment="1" applyProtection="1">
      <alignment vertical="center"/>
      <protection hidden="1"/>
    </xf>
    <xf numFmtId="0" fontId="0" fillId="27" borderId="0" xfId="0" applyFill="1"/>
    <xf numFmtId="43" fontId="0" fillId="27" borderId="0" xfId="0" applyNumberFormat="1" applyFill="1"/>
    <xf numFmtId="167" fontId="14" fillId="0" borderId="0" xfId="0" applyNumberFormat="1" applyFont="1" applyBorder="1" applyAlignment="1" applyProtection="1">
      <alignment vertical="center"/>
      <protection hidden="1"/>
    </xf>
    <xf numFmtId="2" fontId="0" fillId="3" borderId="0" xfId="0" applyNumberFormat="1" applyFill="1"/>
    <xf numFmtId="43" fontId="14" fillId="19" borderId="0" xfId="0" applyNumberFormat="1" applyFont="1" applyFill="1" applyBorder="1" applyAlignment="1" applyProtection="1">
      <alignment vertical="center"/>
      <protection hidden="1"/>
    </xf>
    <xf numFmtId="43" fontId="0" fillId="19" borderId="0" xfId="0" applyNumberFormat="1" applyFill="1"/>
    <xf numFmtId="0" fontId="0" fillId="19" borderId="0" xfId="0" applyFill="1"/>
    <xf numFmtId="9" fontId="0" fillId="27" borderId="0" xfId="0" applyNumberFormat="1" applyFill="1" applyAlignment="1">
      <alignment horizontal="center" vertical="center"/>
    </xf>
    <xf numFmtId="9" fontId="24" fillId="3" borderId="0" xfId="0" applyNumberFormat="1" applyFont="1" applyFill="1"/>
    <xf numFmtId="2" fontId="24" fillId="3" borderId="0" xfId="0" applyNumberFormat="1" applyFont="1" applyFill="1"/>
    <xf numFmtId="43" fontId="24" fillId="3" borderId="0" xfId="0" applyNumberFormat="1" applyFont="1" applyFill="1"/>
    <xf numFmtId="0" fontId="24" fillId="19" borderId="0" xfId="0" applyFont="1" applyFill="1"/>
    <xf numFmtId="9" fontId="24" fillId="19" borderId="0" xfId="0" applyNumberFormat="1" applyFont="1" applyFill="1"/>
    <xf numFmtId="2" fontId="24" fillId="19" borderId="0" xfId="0" applyNumberFormat="1" applyFont="1" applyFill="1"/>
    <xf numFmtId="43" fontId="24" fillId="19" borderId="0" xfId="0" applyNumberFormat="1" applyFont="1" applyFill="1"/>
    <xf numFmtId="43" fontId="24" fillId="27" borderId="0" xfId="0" applyNumberFormat="1" applyFont="1" applyFill="1"/>
    <xf numFmtId="0" fontId="30" fillId="0" borderId="0" xfId="3" applyFont="1" applyFill="1" applyBorder="1" applyAlignment="1" applyProtection="1">
      <alignment horizontal="left" vertical="center" wrapText="1"/>
      <protection hidden="1"/>
    </xf>
    <xf numFmtId="0" fontId="30" fillId="0" borderId="0" xfId="3" applyFont="1" applyFill="1" applyBorder="1" applyAlignment="1" applyProtection="1">
      <alignment horizontal="justify" vertical="center" wrapText="1"/>
      <protection hidden="1"/>
    </xf>
    <xf numFmtId="0" fontId="27" fillId="12" borderId="23" xfId="3" applyFont="1" applyFill="1" applyBorder="1" applyAlignment="1" applyProtection="1">
      <alignment horizontal="center" vertical="center" wrapText="1"/>
      <protection hidden="1"/>
    </xf>
    <xf numFmtId="169" fontId="27" fillId="12" borderId="23" xfId="3" quotePrefix="1" applyNumberFormat="1" applyFont="1" applyFill="1" applyBorder="1" applyAlignment="1" applyProtection="1">
      <alignment horizontal="center" vertical="center" wrapText="1"/>
      <protection hidden="1"/>
    </xf>
    <xf numFmtId="178" fontId="27" fillId="12" borderId="23" xfId="3" quotePrefix="1" applyNumberFormat="1" applyFont="1" applyFill="1" applyBorder="1" applyAlignment="1" applyProtection="1">
      <alignment horizontal="center" vertical="center" wrapText="1"/>
      <protection hidden="1"/>
    </xf>
    <xf numFmtId="0" fontId="74" fillId="0" borderId="0" xfId="0" applyFont="1" applyFill="1" applyBorder="1"/>
    <xf numFmtId="43" fontId="74" fillId="19" borderId="0" xfId="0" applyNumberFormat="1" applyFont="1" applyFill="1" applyBorder="1"/>
    <xf numFmtId="0" fontId="74" fillId="0" borderId="0" xfId="0" applyNumberFormat="1" applyFont="1" applyFill="1" applyBorder="1"/>
    <xf numFmtId="171" fontId="74" fillId="0" borderId="0" xfId="0" applyNumberFormat="1" applyFont="1" applyFill="1" applyBorder="1"/>
    <xf numFmtId="0" fontId="10" fillId="0" borderId="0" xfId="0" applyFont="1" applyFill="1"/>
    <xf numFmtId="0" fontId="0" fillId="0" borderId="0" xfId="0" applyFill="1"/>
    <xf numFmtId="0" fontId="10" fillId="0" borderId="83" xfId="0" applyFont="1" applyFill="1" applyBorder="1" applyAlignment="1">
      <alignment horizontal="left"/>
    </xf>
    <xf numFmtId="164" fontId="55" fillId="20" borderId="1" xfId="1" applyNumberFormat="1" applyFont="1" applyFill="1" applyBorder="1" applyAlignment="1">
      <alignment horizontal="center" vertical="center" wrapText="1"/>
    </xf>
    <xf numFmtId="43" fontId="24" fillId="0" borderId="1" xfId="0" applyNumberFormat="1" applyFont="1" applyBorder="1" applyAlignment="1">
      <alignment horizontal="center"/>
    </xf>
    <xf numFmtId="0" fontId="19" fillId="0" borderId="0" xfId="3" applyFont="1" applyAlignment="1" applyProtection="1">
      <alignment horizontal="left" vertical="center" wrapText="1"/>
      <protection hidden="1"/>
    </xf>
    <xf numFmtId="0" fontId="18" fillId="0" borderId="0" xfId="0" applyFont="1" applyBorder="1" applyAlignment="1" applyProtection="1">
      <alignment horizontal="justify" vertical="top" wrapText="1"/>
      <protection hidden="1"/>
    </xf>
    <xf numFmtId="0" fontId="18" fillId="0" borderId="0" xfId="0" applyFont="1" applyFill="1" applyBorder="1" applyAlignment="1" applyProtection="1">
      <alignment horizontal="justify" vertical="center" wrapText="1"/>
      <protection hidden="1"/>
    </xf>
    <xf numFmtId="0" fontId="21" fillId="10" borderId="0" xfId="0" applyFont="1" applyFill="1" applyBorder="1" applyAlignment="1" applyProtection="1">
      <alignment horizontal="center" vertical="center" wrapText="1"/>
      <protection hidden="1"/>
    </xf>
    <xf numFmtId="0" fontId="13" fillId="12" borderId="34" xfId="0" quotePrefix="1" applyFont="1" applyFill="1" applyBorder="1" applyAlignment="1" applyProtection="1">
      <alignment horizontal="center" vertical="center" wrapText="1"/>
      <protection hidden="1"/>
    </xf>
    <xf numFmtId="0" fontId="18" fillId="0" borderId="0" xfId="0" applyFont="1" applyFill="1" applyAlignment="1" applyProtection="1">
      <alignment horizontal="justify" vertical="center" wrapText="1"/>
      <protection hidden="1"/>
    </xf>
    <xf numFmtId="0" fontId="18" fillId="0" borderId="0" xfId="0" applyFont="1" applyFill="1" applyAlignment="1" applyProtection="1">
      <alignment horizontal="justify" vertical="top" wrapText="1"/>
      <protection hidden="1"/>
    </xf>
    <xf numFmtId="164" fontId="76" fillId="29" borderId="1" xfId="1" applyNumberFormat="1" applyFont="1" applyFill="1" applyBorder="1" applyAlignment="1">
      <alignment horizontal="center" vertical="center" wrapText="1"/>
    </xf>
    <xf numFmtId="164" fontId="8" fillId="0" borderId="0" xfId="1" applyNumberFormat="1" applyFont="1" applyBorder="1"/>
    <xf numFmtId="2" fontId="24" fillId="2" borderId="0" xfId="0" applyNumberFormat="1" applyFont="1" applyFill="1"/>
    <xf numFmtId="173" fontId="27" fillId="12" borderId="23" xfId="3" quotePrefix="1" applyNumberFormat="1" applyFont="1" applyFill="1" applyBorder="1" applyAlignment="1" applyProtection="1">
      <alignment horizontal="center" vertical="center" wrapText="1"/>
      <protection hidden="1"/>
    </xf>
    <xf numFmtId="166" fontId="17" fillId="30" borderId="21" xfId="4" applyNumberFormat="1" applyFont="1" applyFill="1" applyBorder="1" applyAlignment="1" applyProtection="1">
      <alignment horizontal="center" vertical="center" wrapText="1"/>
      <protection hidden="1"/>
    </xf>
    <xf numFmtId="167" fontId="22" fillId="30" borderId="46" xfId="4" applyNumberFormat="1" applyFont="1" applyFill="1" applyBorder="1" applyAlignment="1" applyProtection="1">
      <alignment horizontal="center" vertical="center" wrapText="1"/>
      <protection hidden="1"/>
    </xf>
    <xf numFmtId="167" fontId="65" fillId="30" borderId="46" xfId="4" applyNumberFormat="1" applyFont="1" applyFill="1" applyBorder="1" applyAlignment="1" applyProtection="1">
      <alignment horizontal="center" vertical="center" wrapText="1"/>
      <protection hidden="1"/>
    </xf>
    <xf numFmtId="43" fontId="22" fillId="30" borderId="43" xfId="4" applyFont="1" applyFill="1" applyBorder="1" applyAlignment="1" applyProtection="1">
      <alignment horizontal="center" wrapText="1"/>
      <protection hidden="1"/>
    </xf>
    <xf numFmtId="43" fontId="22" fillId="30" borderId="43" xfId="4" applyFont="1" applyFill="1" applyBorder="1" applyAlignment="1" applyProtection="1">
      <alignment horizontal="center" vertical="center" wrapText="1"/>
      <protection hidden="1"/>
    </xf>
    <xf numFmtId="0" fontId="19" fillId="0" borderId="0" xfId="3" applyFont="1" applyAlignment="1" applyProtection="1">
      <alignment horizontal="left" vertical="center" wrapText="1"/>
      <protection hidden="1"/>
    </xf>
    <xf numFmtId="0" fontId="18" fillId="0" borderId="0" xfId="0" applyFont="1" applyBorder="1" applyAlignment="1" applyProtection="1">
      <alignment horizontal="justify" vertical="top" wrapText="1"/>
      <protection hidden="1"/>
    </xf>
    <xf numFmtId="0" fontId="18" fillId="0" borderId="0" xfId="0" applyFont="1" applyFill="1" applyAlignment="1" applyProtection="1">
      <alignment horizontal="justify" vertical="center" wrapText="1"/>
      <protection hidden="1"/>
    </xf>
    <xf numFmtId="0" fontId="18" fillId="0" borderId="0" xfId="0" applyFont="1" applyFill="1" applyAlignment="1" applyProtection="1">
      <alignment horizontal="justify" vertical="top" wrapText="1"/>
      <protection hidden="1"/>
    </xf>
    <xf numFmtId="0" fontId="18" fillId="0" borderId="0" xfId="0" applyFont="1" applyFill="1" applyBorder="1" applyAlignment="1" applyProtection="1">
      <alignment horizontal="justify" vertical="center" wrapText="1"/>
      <protection hidden="1"/>
    </xf>
    <xf numFmtId="0" fontId="21" fillId="10" borderId="0" xfId="0" applyFont="1" applyFill="1" applyBorder="1" applyAlignment="1" applyProtection="1">
      <alignment horizontal="center" vertical="center" wrapText="1"/>
      <protection hidden="1"/>
    </xf>
    <xf numFmtId="0" fontId="13" fillId="12" borderId="34" xfId="0" quotePrefix="1" applyFont="1" applyFill="1" applyBorder="1" applyAlignment="1" applyProtection="1">
      <alignment horizontal="center" vertical="center" wrapText="1"/>
      <protection hidden="1"/>
    </xf>
    <xf numFmtId="2" fontId="56" fillId="3" borderId="0" xfId="0" applyNumberFormat="1" applyFont="1" applyFill="1" applyBorder="1"/>
    <xf numFmtId="171" fontId="78" fillId="28" borderId="1" xfId="0" applyNumberFormat="1" applyFont="1" applyFill="1" applyBorder="1" applyAlignment="1">
      <alignment horizontal="center"/>
    </xf>
    <xf numFmtId="43" fontId="17" fillId="3" borderId="24" xfId="4" applyFont="1" applyFill="1" applyBorder="1" applyAlignment="1" applyProtection="1">
      <alignment horizontal="right" vertical="center" wrapText="1"/>
      <protection hidden="1"/>
    </xf>
    <xf numFmtId="0" fontId="10" fillId="0" borderId="9" xfId="0" applyFont="1" applyBorder="1" applyAlignment="1">
      <alignment vertical="center"/>
    </xf>
    <xf numFmtId="0" fontId="10" fillId="0" borderId="1" xfId="0" applyFont="1" applyBorder="1" applyAlignment="1">
      <alignment vertical="center"/>
    </xf>
    <xf numFmtId="0" fontId="10" fillId="28" borderId="1" xfId="0" applyFont="1" applyFill="1" applyBorder="1" applyAlignment="1">
      <alignment vertical="center"/>
    </xf>
    <xf numFmtId="0" fontId="0" fillId="23" borderId="11" xfId="0" applyFill="1" applyBorder="1" applyAlignment="1">
      <alignment horizontal="center" vertical="center" wrapText="1"/>
    </xf>
    <xf numFmtId="0" fontId="0" fillId="23" borderId="1" xfId="0" applyFill="1" applyBorder="1" applyAlignment="1">
      <alignment horizontal="center" vertical="center" wrapText="1"/>
    </xf>
    <xf numFmtId="2" fontId="0" fillId="23" borderId="11" xfId="0" applyNumberFormat="1" applyFill="1" applyBorder="1"/>
    <xf numFmtId="2" fontId="0" fillId="23" borderId="1" xfId="0" applyNumberFormat="1" applyFill="1" applyBorder="1"/>
    <xf numFmtId="0" fontId="0" fillId="31" borderId="0" xfId="0" applyFill="1"/>
    <xf numFmtId="9" fontId="0" fillId="31" borderId="0" xfId="0" applyNumberFormat="1" applyFill="1" applyAlignment="1">
      <alignment horizontal="center"/>
    </xf>
    <xf numFmtId="0" fontId="0" fillId="31" borderId="1" xfId="0" applyFill="1" applyBorder="1" applyAlignment="1">
      <alignment horizontal="center" vertical="center" wrapText="1"/>
    </xf>
    <xf numFmtId="2" fontId="0" fillId="31" borderId="1" xfId="0" applyNumberFormat="1" applyFill="1" applyBorder="1"/>
    <xf numFmtId="2" fontId="48" fillId="31" borderId="1" xfId="0" applyNumberFormat="1" applyFont="1" applyFill="1" applyBorder="1"/>
    <xf numFmtId="0" fontId="0" fillId="32" borderId="0" xfId="0" applyFill="1"/>
    <xf numFmtId="9" fontId="0" fillId="32" borderId="0" xfId="0" applyNumberFormat="1" applyFill="1" applyAlignment="1">
      <alignment horizontal="center"/>
    </xf>
    <xf numFmtId="0" fontId="0" fillId="32" borderId="1" xfId="0" applyFill="1" applyBorder="1" applyAlignment="1">
      <alignment horizontal="center" vertical="center" wrapText="1"/>
    </xf>
    <xf numFmtId="2" fontId="0" fillId="32" borderId="1" xfId="0" applyNumberFormat="1" applyFill="1" applyBorder="1"/>
    <xf numFmtId="174" fontId="0" fillId="32" borderId="1" xfId="0" applyNumberFormat="1" applyFill="1" applyBorder="1"/>
    <xf numFmtId="0" fontId="0" fillId="32" borderId="11" xfId="0" applyFill="1" applyBorder="1" applyAlignment="1">
      <alignment horizontal="center" vertical="center" wrapText="1"/>
    </xf>
    <xf numFmtId="2" fontId="0" fillId="32" borderId="11" xfId="0" applyNumberFormat="1" applyFill="1" applyBorder="1"/>
    <xf numFmtId="0" fontId="27" fillId="12" borderId="29"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43" fontId="26" fillId="0" borderId="59" xfId="0" applyNumberFormat="1" applyFont="1" applyBorder="1" applyAlignment="1" applyProtection="1">
      <alignment horizontal="center" vertical="center" wrapText="1"/>
      <protection hidden="1"/>
    </xf>
    <xf numFmtId="43" fontId="26" fillId="0" borderId="32" xfId="0" applyNumberFormat="1" applyFont="1" applyBorder="1" applyAlignment="1" applyProtection="1">
      <alignment horizontal="center" vertical="center" wrapText="1"/>
      <protection hidden="1"/>
    </xf>
    <xf numFmtId="43" fontId="26" fillId="17" borderId="58" xfId="8" applyFont="1" applyFill="1" applyBorder="1" applyAlignment="1" applyProtection="1">
      <alignment horizontal="center" vertical="center" wrapText="1"/>
      <protection hidden="1"/>
    </xf>
    <xf numFmtId="43" fontId="26" fillId="0" borderId="59" xfId="8" applyFont="1" applyFill="1" applyBorder="1" applyAlignment="1" applyProtection="1">
      <alignment horizontal="center" vertical="center" wrapText="1"/>
      <protection hidden="1"/>
    </xf>
    <xf numFmtId="43" fontId="26" fillId="13" borderId="32" xfId="8" applyFont="1" applyFill="1" applyBorder="1" applyAlignment="1" applyProtection="1">
      <alignment horizontal="center" vertical="center" wrapText="1"/>
      <protection hidden="1"/>
    </xf>
    <xf numFmtId="43" fontId="26" fillId="31" borderId="57" xfId="0" applyNumberFormat="1" applyFont="1" applyFill="1" applyBorder="1" applyAlignment="1" applyProtection="1">
      <alignment horizontal="right" vertical="center" wrapText="1"/>
      <protection hidden="1"/>
    </xf>
    <xf numFmtId="43" fontId="26" fillId="31" borderId="23" xfId="8" applyFont="1" applyFill="1" applyBorder="1" applyAlignment="1" applyProtection="1">
      <alignment horizontal="center" vertical="center" wrapText="1"/>
      <protection hidden="1"/>
    </xf>
    <xf numFmtId="43" fontId="26" fillId="31" borderId="67" xfId="8" applyFont="1" applyFill="1" applyBorder="1" applyAlignment="1" applyProtection="1">
      <alignment horizontal="center" vertical="center" wrapText="1"/>
      <protection hidden="1"/>
    </xf>
    <xf numFmtId="43" fontId="26" fillId="31" borderId="68" xfId="8" applyFont="1" applyFill="1" applyBorder="1" applyAlignment="1" applyProtection="1">
      <alignment horizontal="center" vertical="center" wrapText="1"/>
      <protection hidden="1"/>
    </xf>
    <xf numFmtId="43" fontId="0" fillId="0" borderId="0" xfId="0" applyNumberFormat="1" applyAlignment="1">
      <alignment horizontal="center"/>
    </xf>
    <xf numFmtId="170" fontId="0" fillId="0" borderId="0" xfId="0" applyNumberFormat="1"/>
    <xf numFmtId="43" fontId="26" fillId="31" borderId="57" xfId="8" applyFont="1" applyFill="1" applyBorder="1" applyAlignment="1" applyProtection="1">
      <alignment horizontal="center" vertical="center" wrapText="1"/>
      <protection hidden="1"/>
    </xf>
    <xf numFmtId="43" fontId="26" fillId="31" borderId="0" xfId="8" applyFont="1" applyFill="1" applyBorder="1" applyAlignment="1" applyProtection="1">
      <alignment horizontal="center" vertical="center" wrapText="1"/>
      <protection hidden="1"/>
    </xf>
    <xf numFmtId="165" fontId="26" fillId="31" borderId="57" xfId="0" applyNumberFormat="1" applyFont="1" applyFill="1" applyBorder="1" applyAlignment="1" applyProtection="1">
      <alignment horizontal="center" vertical="center" wrapText="1"/>
      <protection hidden="1"/>
    </xf>
    <xf numFmtId="43" fontId="26" fillId="31" borderId="37" xfId="8" applyFont="1" applyFill="1" applyBorder="1" applyAlignment="1" applyProtection="1">
      <alignment horizontal="center" vertical="center" wrapText="1"/>
      <protection hidden="1"/>
    </xf>
    <xf numFmtId="43" fontId="26" fillId="0" borderId="36" xfId="8" quotePrefix="1" applyFont="1" applyFill="1" applyBorder="1" applyAlignment="1" applyProtection="1">
      <alignment horizontal="center" vertical="center" wrapText="1"/>
      <protection hidden="1"/>
    </xf>
    <xf numFmtId="43" fontId="26" fillId="30" borderId="57" xfId="8" applyFont="1" applyFill="1" applyBorder="1" applyAlignment="1" applyProtection="1">
      <alignment horizontal="center" vertical="center" wrapText="1"/>
      <protection hidden="1"/>
    </xf>
    <xf numFmtId="43" fontId="26" fillId="30" borderId="57" xfId="8" applyNumberFormat="1" applyFont="1" applyFill="1" applyBorder="1" applyAlignment="1" applyProtection="1">
      <alignment horizontal="center" vertical="center" wrapText="1"/>
      <protection hidden="1"/>
    </xf>
    <xf numFmtId="2" fontId="54" fillId="0" borderId="0" xfId="0" applyNumberFormat="1" applyFont="1"/>
    <xf numFmtId="0" fontId="79" fillId="19" borderId="0" xfId="0" applyFont="1" applyFill="1" applyAlignment="1" applyProtection="1">
      <alignment horizontal="center" vertical="center"/>
      <protection hidden="1"/>
    </xf>
    <xf numFmtId="179" fontId="0" fillId="0" borderId="0" xfId="11" applyNumberFormat="1" applyFont="1"/>
    <xf numFmtId="179" fontId="0" fillId="0" borderId="0" xfId="0" applyNumberFormat="1"/>
    <xf numFmtId="179" fontId="0" fillId="3" borderId="0" xfId="0" applyNumberFormat="1" applyFill="1" applyAlignment="1">
      <alignment horizontal="center"/>
    </xf>
    <xf numFmtId="0" fontId="0" fillId="0" borderId="0" xfId="0"/>
    <xf numFmtId="0" fontId="30" fillId="0" borderId="0" xfId="3" applyFont="1" applyFill="1" applyBorder="1" applyAlignment="1" applyProtection="1">
      <alignment horizontal="left" vertical="center" wrapText="1"/>
      <protection hidden="1"/>
    </xf>
    <xf numFmtId="0" fontId="30" fillId="0" borderId="0" xfId="3" applyFont="1" applyFill="1" applyBorder="1" applyAlignment="1" applyProtection="1">
      <alignment horizontal="justify" vertical="justify" wrapText="1"/>
      <protection hidden="1"/>
    </xf>
    <xf numFmtId="0" fontId="19" fillId="0" borderId="0" xfId="3" applyFont="1" applyAlignment="1" applyProtection="1">
      <alignment horizontal="justify" vertical="center" wrapText="1"/>
      <protection hidden="1"/>
    </xf>
    <xf numFmtId="0" fontId="30" fillId="0" borderId="0" xfId="3" applyFont="1" applyFill="1" applyBorder="1" applyAlignment="1" applyProtection="1">
      <alignment horizontal="justify" vertical="center" wrapText="1"/>
      <protection hidden="1"/>
    </xf>
    <xf numFmtId="0" fontId="29" fillId="16" borderId="14" xfId="3" applyFont="1" applyFill="1" applyBorder="1" applyAlignment="1" applyProtection="1">
      <alignment horizontal="center" vertical="center"/>
      <protection hidden="1"/>
    </xf>
    <xf numFmtId="0" fontId="32" fillId="3" borderId="0" xfId="3" applyFont="1" applyFill="1" applyBorder="1" applyAlignment="1" applyProtection="1">
      <alignment horizontal="justify" vertical="center" wrapText="1"/>
      <protection hidden="1"/>
    </xf>
    <xf numFmtId="0" fontId="29" fillId="16" borderId="7" xfId="3" applyFont="1" applyFill="1" applyBorder="1" applyAlignment="1" applyProtection="1">
      <alignment horizontal="center" vertical="center"/>
      <protection hidden="1"/>
    </xf>
    <xf numFmtId="0" fontId="27" fillId="12" borderId="29"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164" fontId="81" fillId="8" borderId="1" xfId="1" applyNumberFormat="1" applyFont="1" applyFill="1" applyBorder="1" applyAlignment="1">
      <alignment horizontal="center" vertical="center" wrapText="1"/>
    </xf>
    <xf numFmtId="43" fontId="26" fillId="8" borderId="23" xfId="8" applyFont="1" applyFill="1" applyBorder="1" applyAlignment="1" applyProtection="1">
      <alignment horizontal="center" vertical="center" wrapText="1"/>
      <protection hidden="1"/>
    </xf>
    <xf numFmtId="43" fontId="26" fillId="8" borderId="23" xfId="8" quotePrefix="1" applyFont="1" applyFill="1" applyBorder="1" applyAlignment="1" applyProtection="1">
      <alignment horizontal="center" vertical="center" wrapText="1"/>
      <protection hidden="1"/>
    </xf>
    <xf numFmtId="43" fontId="26" fillId="8" borderId="57" xfId="8" applyFont="1" applyFill="1" applyBorder="1" applyAlignment="1" applyProtection="1">
      <alignment horizontal="center" vertical="center" wrapText="1"/>
      <protection hidden="1"/>
    </xf>
    <xf numFmtId="43" fontId="26" fillId="8" borderId="56" xfId="8" applyFont="1" applyFill="1" applyBorder="1" applyAlignment="1" applyProtection="1">
      <alignment horizontal="center" vertical="center" wrapText="1"/>
      <protection hidden="1"/>
    </xf>
    <xf numFmtId="43" fontId="26" fillId="8" borderId="36" xfId="8" applyFont="1" applyFill="1" applyBorder="1" applyAlignment="1" applyProtection="1">
      <alignment horizontal="center" vertical="center" wrapText="1"/>
      <protection hidden="1"/>
    </xf>
    <xf numFmtId="43" fontId="26" fillId="8" borderId="57" xfId="8" applyNumberFormat="1" applyFont="1" applyFill="1" applyBorder="1" applyAlignment="1" applyProtection="1">
      <alignment horizontal="center" vertical="center" wrapText="1"/>
      <protection hidden="1"/>
    </xf>
    <xf numFmtId="2" fontId="26" fillId="8" borderId="57" xfId="0" applyNumberFormat="1" applyFont="1" applyFill="1" applyBorder="1" applyAlignment="1" applyProtection="1">
      <alignment horizontal="right" vertical="center" wrapText="1"/>
      <protection hidden="1"/>
    </xf>
    <xf numFmtId="43" fontId="26" fillId="8" borderId="57" xfId="0" applyNumberFormat="1" applyFont="1" applyFill="1" applyBorder="1" applyAlignment="1" applyProtection="1">
      <alignment horizontal="center" vertical="center" wrapText="1"/>
      <protection hidden="1"/>
    </xf>
    <xf numFmtId="43" fontId="26" fillId="8" borderId="57" xfId="0" applyNumberFormat="1" applyFont="1" applyFill="1" applyBorder="1" applyAlignment="1" applyProtection="1">
      <alignment horizontal="right" vertical="center" wrapText="1"/>
      <protection hidden="1"/>
    </xf>
    <xf numFmtId="43" fontId="26" fillId="17" borderId="97" xfId="8" applyFont="1" applyFill="1" applyBorder="1" applyAlignment="1" applyProtection="1">
      <alignment horizontal="center" vertical="center" wrapText="1"/>
      <protection hidden="1"/>
    </xf>
    <xf numFmtId="43" fontId="26" fillId="8" borderId="67" xfId="8" applyFont="1" applyFill="1" applyBorder="1" applyAlignment="1" applyProtection="1">
      <alignment horizontal="center" vertical="center" wrapText="1"/>
      <protection hidden="1"/>
    </xf>
    <xf numFmtId="0" fontId="27" fillId="24" borderId="98" xfId="3" applyFont="1" applyFill="1" applyBorder="1" applyAlignment="1" applyProtection="1">
      <alignment horizontal="center" vertical="center" wrapText="1"/>
      <protection hidden="1"/>
    </xf>
    <xf numFmtId="9" fontId="38" fillId="24" borderId="57" xfId="7" applyFont="1" applyFill="1" applyBorder="1" applyAlignment="1" applyProtection="1">
      <alignment horizontal="center" vertical="center" wrapText="1"/>
      <protection hidden="1"/>
    </xf>
    <xf numFmtId="0" fontId="27" fillId="24" borderId="57" xfId="3" applyFont="1" applyFill="1" applyBorder="1" applyAlignment="1" applyProtection="1">
      <alignment horizontal="center" vertical="center" wrapText="1"/>
      <protection hidden="1"/>
    </xf>
    <xf numFmtId="49" fontId="26" fillId="0" borderId="67" xfId="6" applyNumberFormat="1" applyFont="1" applyFill="1" applyBorder="1" applyAlignment="1" applyProtection="1">
      <alignment horizontal="center" vertical="center" wrapText="1"/>
      <protection hidden="1"/>
    </xf>
    <xf numFmtId="166" fontId="17" fillId="7" borderId="21" xfId="4" applyNumberFormat="1" applyFont="1" applyFill="1" applyBorder="1" applyAlignment="1" applyProtection="1">
      <alignment horizontal="center" vertical="center" wrapText="1"/>
      <protection hidden="1"/>
    </xf>
    <xf numFmtId="43" fontId="26" fillId="13" borderId="23" xfId="6" quotePrefix="1" applyFont="1" applyFill="1" applyBorder="1" applyAlignment="1" applyProtection="1">
      <alignment horizontal="center" vertical="center" wrapText="1"/>
      <protection hidden="1"/>
    </xf>
    <xf numFmtId="43" fontId="26" fillId="13" borderId="29" xfId="6" quotePrefix="1" applyFont="1" applyFill="1" applyBorder="1" applyAlignment="1" applyProtection="1">
      <alignment horizontal="center" vertical="center" wrapText="1"/>
      <protection hidden="1"/>
    </xf>
    <xf numFmtId="0" fontId="23" fillId="11" borderId="0" xfId="0" applyFont="1" applyFill="1" applyBorder="1" applyAlignment="1" applyProtection="1">
      <alignment horizontal="center" vertical="center" wrapText="1"/>
      <protection hidden="1"/>
    </xf>
    <xf numFmtId="177" fontId="0" fillId="33" borderId="1" xfId="1" applyNumberFormat="1" applyFont="1" applyFill="1" applyBorder="1"/>
    <xf numFmtId="164" fontId="0" fillId="22" borderId="1" xfId="1" applyNumberFormat="1" applyFont="1" applyFill="1" applyBorder="1"/>
    <xf numFmtId="0" fontId="10" fillId="0" borderId="1" xfId="0" applyFont="1" applyFill="1" applyBorder="1" applyAlignment="1">
      <alignment vertical="center"/>
    </xf>
    <xf numFmtId="9" fontId="0" fillId="0" borderId="0" xfId="0" applyNumberFormat="1" applyFill="1" applyAlignment="1">
      <alignment horizontal="center"/>
    </xf>
    <xf numFmtId="0" fontId="0" fillId="0" borderId="1" xfId="0" applyFill="1" applyBorder="1" applyAlignment="1">
      <alignment horizontal="center" vertical="center" wrapText="1"/>
    </xf>
    <xf numFmtId="174" fontId="0" fillId="0" borderId="1" xfId="0" applyNumberFormat="1" applyFill="1" applyBorder="1"/>
    <xf numFmtId="175" fontId="0" fillId="0" borderId="1" xfId="0" applyNumberFormat="1" applyFill="1" applyBorder="1"/>
    <xf numFmtId="2" fontId="0" fillId="0" borderId="11" xfId="0" applyNumberFormat="1" applyFill="1" applyBorder="1"/>
    <xf numFmtId="0" fontId="61" fillId="0" borderId="0" xfId="3" applyFont="1" applyFill="1" applyBorder="1" applyAlignment="1" applyProtection="1">
      <alignment vertical="center" wrapText="1"/>
      <protection hidden="1"/>
    </xf>
    <xf numFmtId="165" fontId="26" fillId="0" borderId="57" xfId="0" applyNumberFormat="1"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30" fillId="0" borderId="0" xfId="3" applyFont="1" applyFill="1" applyBorder="1" applyAlignment="1" applyProtection="1">
      <alignment horizontal="justify" vertical="justify" wrapText="1"/>
      <protection hidden="1"/>
    </xf>
    <xf numFmtId="0" fontId="30" fillId="0" borderId="0" xfId="3" applyFont="1" applyFill="1" applyBorder="1" applyAlignment="1" applyProtection="1">
      <alignment horizontal="left" vertical="center" wrapText="1"/>
      <protection hidden="1"/>
    </xf>
    <xf numFmtId="0" fontId="30" fillId="0" borderId="0" xfId="3" applyFont="1" applyFill="1" applyBorder="1" applyAlignment="1" applyProtection="1">
      <alignment horizontal="justify" vertical="center" wrapText="1"/>
      <protection hidden="1"/>
    </xf>
    <xf numFmtId="0" fontId="27" fillId="12" borderId="24" xfId="3" applyFont="1" applyFill="1" applyBorder="1" applyAlignment="1" applyProtection="1">
      <alignment horizontal="center" vertical="center" wrapText="1"/>
      <protection hidden="1"/>
    </xf>
    <xf numFmtId="0" fontId="19" fillId="0" borderId="0" xfId="3" applyFont="1" applyAlignment="1" applyProtection="1">
      <alignment horizontal="justify" vertical="center" wrapText="1"/>
      <protection hidden="1"/>
    </xf>
    <xf numFmtId="0" fontId="32" fillId="3" borderId="0" xfId="3" applyFont="1" applyFill="1" applyBorder="1" applyAlignment="1" applyProtection="1">
      <alignment horizontal="justify" vertical="center" wrapText="1"/>
      <protection hidden="1"/>
    </xf>
    <xf numFmtId="0" fontId="27" fillId="12" borderId="23"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43" fontId="26" fillId="0" borderId="57" xfId="8" quotePrefix="1" applyFont="1" applyFill="1" applyBorder="1" applyAlignment="1" applyProtection="1">
      <alignment horizontal="center" vertical="center" wrapText="1"/>
      <protection hidden="1"/>
    </xf>
    <xf numFmtId="164" fontId="73" fillId="0" borderId="0" xfId="1" applyNumberFormat="1" applyFont="1" applyFill="1" applyBorder="1"/>
    <xf numFmtId="177" fontId="0" fillId="0" borderId="1" xfId="1" applyNumberFormat="1" applyFont="1" applyFill="1" applyBorder="1"/>
    <xf numFmtId="164" fontId="83" fillId="27" borderId="1" xfId="1" applyNumberFormat="1" applyFont="1" applyFill="1" applyBorder="1"/>
    <xf numFmtId="168" fontId="38" fillId="24" borderId="57" xfId="3" quotePrefix="1" applyNumberFormat="1" applyFont="1" applyFill="1" applyBorder="1" applyAlignment="1" applyProtection="1">
      <alignment horizontal="center" vertical="center" wrapText="1"/>
      <protection hidden="1"/>
    </xf>
    <xf numFmtId="43" fontId="26" fillId="13" borderId="57" xfId="8" quotePrefix="1" applyFont="1" applyFill="1" applyBorder="1" applyAlignment="1" applyProtection="1">
      <alignment horizontal="center" vertical="center" wrapText="1"/>
      <protection hidden="1"/>
    </xf>
    <xf numFmtId="2" fontId="56" fillId="0" borderId="0" xfId="0" applyNumberFormat="1" applyFont="1" applyFill="1" applyBorder="1"/>
    <xf numFmtId="0" fontId="8" fillId="0" borderId="0" xfId="0" applyFont="1"/>
    <xf numFmtId="9" fontId="8" fillId="0" borderId="0" xfId="0" applyNumberFormat="1" applyFont="1"/>
    <xf numFmtId="2" fontId="8" fillId="0" borderId="0" xfId="0" applyNumberFormat="1" applyFont="1"/>
    <xf numFmtId="0" fontId="84" fillId="0" borderId="99" xfId="0" applyFont="1" applyBorder="1" applyAlignment="1">
      <alignment horizontal="center"/>
    </xf>
    <xf numFmtId="2" fontId="8" fillId="0" borderId="100" xfId="0" applyNumberFormat="1" applyFont="1" applyBorder="1"/>
    <xf numFmtId="2" fontId="8" fillId="0" borderId="101" xfId="0" applyNumberFormat="1" applyFont="1" applyBorder="1"/>
    <xf numFmtId="2" fontId="62" fillId="0" borderId="100" xfId="0" applyNumberFormat="1" applyFont="1" applyBorder="1"/>
    <xf numFmtId="0" fontId="27" fillId="16" borderId="0" xfId="3" applyFont="1" applyFill="1" applyBorder="1" applyAlignment="1" applyProtection="1">
      <alignment vertical="center" wrapText="1"/>
      <protection hidden="1"/>
    </xf>
    <xf numFmtId="0" fontId="27" fillId="12" borderId="23" xfId="3" applyFont="1" applyFill="1" applyBorder="1" applyAlignment="1" applyProtection="1">
      <alignment horizontal="center" vertical="center" wrapText="1"/>
      <protection hidden="1"/>
    </xf>
    <xf numFmtId="0" fontId="18" fillId="0" borderId="0" xfId="0" applyFont="1" applyBorder="1" applyAlignment="1" applyProtection="1">
      <alignment horizontal="justify" vertical="top" wrapText="1"/>
      <protection hidden="1"/>
    </xf>
    <xf numFmtId="0" fontId="13" fillId="12" borderId="34" xfId="0" quotePrefix="1" applyFont="1" applyFill="1" applyBorder="1" applyAlignment="1" applyProtection="1">
      <alignment horizontal="center" vertical="center" wrapText="1"/>
      <protection hidden="1"/>
    </xf>
    <xf numFmtId="0" fontId="29" fillId="16" borderId="14" xfId="3" applyFont="1" applyFill="1" applyBorder="1" applyAlignment="1" applyProtection="1">
      <alignment horizontal="center" vertical="center" wrapText="1"/>
      <protection hidden="1"/>
    </xf>
    <xf numFmtId="0" fontId="29" fillId="16" borderId="32" xfId="3" applyFont="1" applyFill="1" applyBorder="1" applyAlignment="1" applyProtection="1">
      <alignment horizontal="center" vertical="center" wrapText="1"/>
      <protection hidden="1"/>
    </xf>
    <xf numFmtId="0" fontId="27" fillId="12" borderId="24" xfId="3" applyFont="1" applyFill="1" applyBorder="1" applyAlignment="1" applyProtection="1">
      <alignment horizontal="center" vertical="center" wrapText="1"/>
      <protection hidden="1"/>
    </xf>
    <xf numFmtId="0" fontId="27" fillId="12" borderId="29"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43" fontId="26" fillId="3" borderId="60" xfId="8" applyFont="1" applyFill="1" applyBorder="1" applyAlignment="1" applyProtection="1">
      <alignment horizontal="center" vertical="center" wrapText="1"/>
      <protection hidden="1"/>
    </xf>
    <xf numFmtId="43" fontId="26" fillId="3" borderId="24" xfId="8" applyFont="1" applyFill="1" applyBorder="1" applyAlignment="1" applyProtection="1">
      <alignment horizontal="center" vertical="center" wrapText="1"/>
      <protection hidden="1"/>
    </xf>
    <xf numFmtId="43" fontId="26" fillId="3" borderId="57" xfId="8" applyFont="1" applyFill="1" applyBorder="1" applyAlignment="1" applyProtection="1">
      <alignment horizontal="center" vertical="center" wrapText="1"/>
      <protection hidden="1"/>
    </xf>
    <xf numFmtId="43" fontId="26" fillId="3" borderId="59" xfId="8"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9" fontId="27" fillId="12" borderId="23" xfId="3" quotePrefix="1" applyNumberFormat="1" applyFont="1" applyFill="1" applyBorder="1" applyAlignment="1" applyProtection="1">
      <alignment horizontal="center" vertical="center" wrapText="1"/>
      <protection hidden="1"/>
    </xf>
    <xf numFmtId="43" fontId="26" fillId="3" borderId="60" xfId="8" quotePrefix="1" applyFont="1" applyFill="1" applyBorder="1" applyAlignment="1" applyProtection="1">
      <alignment horizontal="center" vertical="center" wrapText="1"/>
      <protection hidden="1"/>
    </xf>
    <xf numFmtId="43" fontId="26" fillId="3" borderId="36" xfId="8" quotePrefix="1" applyFont="1" applyFill="1" applyBorder="1" applyAlignment="1" applyProtection="1">
      <alignment horizontal="center" vertical="center" wrapText="1"/>
      <protection hidden="1"/>
    </xf>
    <xf numFmtId="43" fontId="26" fillId="3" borderId="36" xfId="8" applyFont="1" applyFill="1" applyBorder="1" applyAlignment="1" applyProtection="1">
      <alignment horizontal="center" vertical="center" wrapText="1"/>
      <protection hidden="1"/>
    </xf>
    <xf numFmtId="0" fontId="27" fillId="12" borderId="36" xfId="3" applyFont="1" applyFill="1" applyBorder="1" applyAlignment="1" applyProtection="1">
      <alignment horizontal="center" vertical="center" wrapText="1"/>
      <protection hidden="1"/>
    </xf>
    <xf numFmtId="9" fontId="27" fillId="12" borderId="57" xfId="3" quotePrefix="1" applyNumberFormat="1" applyFont="1" applyFill="1" applyBorder="1" applyAlignment="1" applyProtection="1">
      <alignment horizontal="center" vertical="center" wrapText="1"/>
      <protection hidden="1"/>
    </xf>
    <xf numFmtId="43" fontId="26" fillId="23" borderId="57" xfId="8" applyFont="1" applyFill="1" applyBorder="1" applyAlignment="1" applyProtection="1">
      <alignment horizontal="center" vertical="center" wrapText="1"/>
      <protection hidden="1"/>
    </xf>
    <xf numFmtId="9" fontId="27" fillId="12" borderId="56" xfId="3" quotePrefix="1" applyNumberFormat="1" applyFont="1" applyFill="1" applyBorder="1" applyAlignment="1" applyProtection="1">
      <alignment horizontal="center" vertical="center" wrapText="1"/>
      <protection hidden="1"/>
    </xf>
    <xf numFmtId="43" fontId="26" fillId="3" borderId="57" xfId="0" applyNumberFormat="1" applyFont="1" applyFill="1" applyBorder="1" applyAlignment="1" applyProtection="1">
      <alignment horizontal="right" vertical="center" wrapText="1"/>
      <protection hidden="1"/>
    </xf>
    <xf numFmtId="43" fontId="26" fillId="3" borderId="57" xfId="0" applyNumberFormat="1" applyFont="1" applyFill="1" applyBorder="1" applyAlignment="1" applyProtection="1">
      <alignment horizontal="center" vertical="center" wrapText="1"/>
      <protection hidden="1"/>
    </xf>
    <xf numFmtId="43" fontId="26" fillId="3" borderId="23" xfId="8" applyFont="1" applyFill="1" applyBorder="1" applyAlignment="1" applyProtection="1">
      <alignment horizontal="center" vertical="center" wrapText="1"/>
      <protection hidden="1"/>
    </xf>
    <xf numFmtId="0" fontId="29" fillId="21" borderId="31" xfId="3" applyFont="1" applyFill="1" applyBorder="1" applyAlignment="1" applyProtection="1">
      <alignment vertical="center" wrapText="1"/>
      <protection hidden="1"/>
    </xf>
    <xf numFmtId="43" fontId="22" fillId="0" borderId="43" xfId="4" applyFont="1" applyFill="1" applyBorder="1" applyAlignment="1" applyProtection="1">
      <alignment horizontal="center" vertical="center" wrapText="1"/>
      <protection hidden="1"/>
    </xf>
    <xf numFmtId="43" fontId="22" fillId="0" borderId="48" xfId="4" applyFont="1" applyFill="1" applyBorder="1" applyAlignment="1" applyProtection="1">
      <alignment horizontal="center" vertical="center" wrapText="1"/>
      <protection hidden="1"/>
    </xf>
    <xf numFmtId="43" fontId="65" fillId="0" borderId="48" xfId="4" applyFont="1" applyFill="1" applyBorder="1" applyAlignment="1" applyProtection="1">
      <alignment horizontal="center" vertical="center" wrapText="1"/>
      <protection hidden="1"/>
    </xf>
    <xf numFmtId="43" fontId="14" fillId="0" borderId="43" xfId="4" applyNumberFormat="1" applyFont="1" applyFill="1" applyBorder="1" applyAlignment="1" applyProtection="1">
      <alignment horizontal="center" vertical="center" wrapText="1"/>
      <protection hidden="1"/>
    </xf>
    <xf numFmtId="43" fontId="14" fillId="0" borderId="43" xfId="4" applyFont="1" applyFill="1" applyBorder="1" applyAlignment="1" applyProtection="1">
      <alignment horizontal="center" vertical="center" wrapText="1"/>
      <protection hidden="1"/>
    </xf>
    <xf numFmtId="167" fontId="14" fillId="0" borderId="43" xfId="4" applyNumberFormat="1" applyFont="1" applyFill="1" applyBorder="1" applyAlignment="1" applyProtection="1">
      <alignment horizontal="center" vertical="center" wrapText="1"/>
      <protection hidden="1"/>
    </xf>
    <xf numFmtId="167" fontId="14" fillId="0" borderId="0" xfId="4" applyNumberFormat="1" applyFont="1" applyFill="1" applyBorder="1" applyAlignment="1" applyProtection="1">
      <alignment horizontal="center" vertical="center" wrapText="1"/>
      <protection hidden="1"/>
    </xf>
    <xf numFmtId="43" fontId="14" fillId="0" borderId="23" xfId="4" applyFont="1" applyFill="1" applyBorder="1" applyAlignment="1" applyProtection="1">
      <alignment horizontal="center" vertical="center" wrapText="1"/>
      <protection hidden="1"/>
    </xf>
    <xf numFmtId="43" fontId="17" fillId="28" borderId="43" xfId="4" applyFont="1" applyFill="1" applyBorder="1" applyAlignment="1" applyProtection="1">
      <alignment horizontal="center" vertical="center" wrapText="1"/>
      <protection hidden="1"/>
    </xf>
    <xf numFmtId="43" fontId="17" fillId="0" borderId="23" xfId="4" applyNumberFormat="1" applyFont="1" applyFill="1" applyBorder="1" applyAlignment="1" applyProtection="1">
      <alignment horizontal="right" vertical="center" wrapText="1"/>
      <protection hidden="1"/>
    </xf>
    <xf numFmtId="0" fontId="14" fillId="0" borderId="23" xfId="0" applyFont="1" applyFill="1" applyBorder="1" applyAlignment="1" applyProtection="1">
      <alignment vertical="center"/>
      <protection hidden="1"/>
    </xf>
    <xf numFmtId="43" fontId="14" fillId="0" borderId="24" xfId="4" applyFont="1" applyFill="1" applyBorder="1" applyAlignment="1" applyProtection="1">
      <alignment horizontal="center" vertical="center" wrapText="1"/>
      <protection hidden="1"/>
    </xf>
    <xf numFmtId="43" fontId="14" fillId="0" borderId="23" xfId="4" applyNumberFormat="1" applyFont="1" applyFill="1" applyBorder="1" applyAlignment="1" applyProtection="1">
      <alignment horizontal="right" vertical="center" wrapText="1"/>
      <protection hidden="1"/>
    </xf>
    <xf numFmtId="43" fontId="14" fillId="0" borderId="23" xfId="4" applyNumberFormat="1" applyFont="1" applyFill="1" applyBorder="1" applyAlignment="1" applyProtection="1">
      <alignment horizontal="center" vertical="center" wrapText="1"/>
      <protection hidden="1"/>
    </xf>
    <xf numFmtId="0" fontId="14" fillId="0" borderId="28" xfId="0" applyFont="1" applyFill="1" applyBorder="1" applyAlignment="1" applyProtection="1">
      <alignment horizontal="left" vertical="center" wrapText="1"/>
      <protection hidden="1"/>
    </xf>
    <xf numFmtId="0" fontId="14" fillId="0" borderId="29" xfId="0" applyFont="1" applyFill="1" applyBorder="1" applyAlignment="1" applyProtection="1">
      <alignment horizontal="left" vertical="center" wrapText="1"/>
      <protection hidden="1"/>
    </xf>
    <xf numFmtId="0" fontId="14" fillId="22" borderId="29" xfId="0" applyFont="1" applyFill="1" applyBorder="1" applyAlignment="1" applyProtection="1">
      <alignment horizontal="left" vertical="center" wrapText="1"/>
      <protection hidden="1"/>
    </xf>
    <xf numFmtId="0" fontId="14" fillId="3" borderId="29" xfId="0" applyFont="1" applyFill="1" applyBorder="1" applyAlignment="1" applyProtection="1">
      <alignment horizontal="left" vertical="center" wrapText="1"/>
      <protection hidden="1"/>
    </xf>
    <xf numFmtId="15" fontId="16" fillId="12" borderId="102" xfId="0" quotePrefix="1" applyNumberFormat="1" applyFont="1" applyFill="1" applyBorder="1" applyAlignment="1" applyProtection="1">
      <alignment horizontal="center" vertical="center" wrapText="1"/>
      <protection hidden="1"/>
    </xf>
    <xf numFmtId="15" fontId="16" fillId="12" borderId="0" xfId="0" quotePrefix="1" applyNumberFormat="1" applyFont="1" applyFill="1" applyBorder="1" applyAlignment="1" applyProtection="1">
      <alignment horizontal="center" vertical="center" wrapText="1"/>
      <protection hidden="1"/>
    </xf>
    <xf numFmtId="166" fontId="17" fillId="30" borderId="0" xfId="4" applyNumberFormat="1" applyFont="1" applyFill="1" applyBorder="1" applyAlignment="1" applyProtection="1">
      <alignment horizontal="center" vertical="center" wrapText="1"/>
      <protection hidden="1"/>
    </xf>
    <xf numFmtId="43" fontId="17" fillId="0" borderId="0" xfId="4" applyFont="1" applyFill="1" applyBorder="1" applyAlignment="1" applyProtection="1">
      <alignment horizontal="center" vertical="center" wrapText="1"/>
      <protection hidden="1"/>
    </xf>
    <xf numFmtId="43" fontId="17" fillId="0" borderId="0" xfId="4" applyFont="1" applyFill="1" applyBorder="1" applyAlignment="1" applyProtection="1">
      <alignment horizontal="right" vertical="center" wrapText="1"/>
      <protection hidden="1"/>
    </xf>
    <xf numFmtId="43" fontId="17" fillId="13" borderId="0" xfId="4" applyFont="1" applyFill="1" applyBorder="1" applyAlignment="1" applyProtection="1">
      <alignment horizontal="right" vertical="center" wrapText="1"/>
      <protection hidden="1"/>
    </xf>
    <xf numFmtId="2" fontId="17" fillId="0" borderId="0" xfId="0" applyNumberFormat="1" applyFont="1" applyFill="1" applyBorder="1" applyAlignment="1" applyProtection="1">
      <alignment horizontal="right" vertical="center" wrapText="1"/>
      <protection hidden="1"/>
    </xf>
    <xf numFmtId="9" fontId="13" fillId="12" borderId="103" xfId="5" quotePrefix="1" applyFont="1" applyFill="1" applyBorder="1" applyAlignment="1" applyProtection="1">
      <alignment horizontal="center" vertical="center" wrapText="1"/>
      <protection hidden="1"/>
    </xf>
    <xf numFmtId="9" fontId="13" fillId="12" borderId="104" xfId="5" quotePrefix="1" applyFont="1" applyFill="1" applyBorder="1" applyAlignment="1" applyProtection="1">
      <alignment horizontal="center" vertical="center" wrapText="1"/>
      <protection hidden="1"/>
    </xf>
    <xf numFmtId="9" fontId="13" fillId="12" borderId="105" xfId="5" quotePrefix="1" applyFont="1" applyFill="1" applyBorder="1" applyAlignment="1" applyProtection="1">
      <alignment horizontal="center" vertical="center" wrapText="1"/>
      <protection hidden="1"/>
    </xf>
    <xf numFmtId="43" fontId="17" fillId="28" borderId="22" xfId="4" applyFont="1" applyFill="1" applyBorder="1" applyAlignment="1" applyProtection="1">
      <alignment horizontal="right" vertical="center" wrapText="1"/>
      <protection hidden="1"/>
    </xf>
    <xf numFmtId="43" fontId="22" fillId="28" borderId="46" xfId="4" applyFont="1" applyFill="1" applyBorder="1" applyAlignment="1" applyProtection="1">
      <alignment horizontal="center" vertical="center" wrapText="1"/>
      <protection hidden="1"/>
    </xf>
    <xf numFmtId="43" fontId="17" fillId="28" borderId="46" xfId="4" applyFont="1" applyFill="1" applyBorder="1" applyAlignment="1" applyProtection="1">
      <alignment horizontal="center" vertical="center" wrapText="1"/>
      <protection hidden="1"/>
    </xf>
    <xf numFmtId="43" fontId="85" fillId="28" borderId="24" xfId="4" applyFont="1" applyFill="1" applyBorder="1" applyAlignment="1" applyProtection="1">
      <alignment horizontal="center" vertical="center" wrapText="1"/>
      <protection hidden="1"/>
    </xf>
    <xf numFmtId="164" fontId="8" fillId="0" borderId="1" xfId="1" applyNumberFormat="1" applyFont="1" applyFill="1" applyBorder="1"/>
    <xf numFmtId="164" fontId="8" fillId="0" borderId="1" xfId="1" applyNumberFormat="1" applyFont="1" applyFill="1" applyBorder="1" applyAlignment="1">
      <alignment horizontal="center"/>
    </xf>
    <xf numFmtId="164" fontId="76" fillId="8" borderId="1" xfId="1" applyNumberFormat="1" applyFont="1" applyFill="1" applyBorder="1" applyAlignment="1">
      <alignment horizontal="center" vertical="center" wrapText="1"/>
    </xf>
    <xf numFmtId="164" fontId="8" fillId="27" borderId="1" xfId="1" applyNumberFormat="1" applyFont="1" applyFill="1" applyBorder="1"/>
    <xf numFmtId="178" fontId="27" fillId="12" borderId="56" xfId="3" quotePrefix="1" applyNumberFormat="1" applyFont="1" applyFill="1" applyBorder="1" applyAlignment="1" applyProtection="1">
      <alignment horizontal="center" vertical="center" wrapText="1"/>
      <protection hidden="1"/>
    </xf>
    <xf numFmtId="43" fontId="26" fillId="3" borderId="23" xfId="8" quotePrefix="1" applyFont="1" applyFill="1" applyBorder="1" applyAlignment="1" applyProtection="1">
      <alignment horizontal="center" vertical="center" wrapText="1"/>
      <protection hidden="1"/>
    </xf>
    <xf numFmtId="43" fontId="26" fillId="3" borderId="57" xfId="8" applyNumberFormat="1" applyFont="1" applyFill="1" applyBorder="1" applyAlignment="1" applyProtection="1">
      <alignment horizontal="center" vertical="center" wrapText="1"/>
      <protection hidden="1"/>
    </xf>
    <xf numFmtId="43" fontId="26" fillId="3" borderId="56" xfId="8" applyFont="1" applyFill="1" applyBorder="1" applyAlignment="1" applyProtection="1">
      <alignment horizontal="center" vertical="center" wrapText="1"/>
      <protection hidden="1"/>
    </xf>
    <xf numFmtId="0" fontId="29" fillId="16" borderId="13" xfId="3" applyFont="1" applyFill="1" applyBorder="1" applyAlignment="1" applyProtection="1">
      <alignment vertical="center" wrapText="1"/>
      <protection hidden="1"/>
    </xf>
    <xf numFmtId="0" fontId="29" fillId="16" borderId="14" xfId="3" applyFont="1" applyFill="1" applyBorder="1" applyAlignment="1" applyProtection="1">
      <alignment vertical="center" wrapText="1"/>
      <protection hidden="1"/>
    </xf>
    <xf numFmtId="0" fontId="29" fillId="16" borderId="15" xfId="3" applyFont="1" applyFill="1" applyBorder="1" applyAlignment="1" applyProtection="1">
      <alignment vertical="center" wrapText="1"/>
      <protection hidden="1"/>
    </xf>
    <xf numFmtId="0" fontId="29" fillId="16" borderId="31" xfId="3" applyFont="1" applyFill="1" applyBorder="1" applyAlignment="1" applyProtection="1">
      <alignment vertical="center" wrapText="1"/>
      <protection hidden="1"/>
    </xf>
    <xf numFmtId="0" fontId="29" fillId="16" borderId="32" xfId="3" applyFont="1" applyFill="1" applyBorder="1" applyAlignment="1" applyProtection="1">
      <alignment vertical="center" wrapText="1"/>
      <protection hidden="1"/>
    </xf>
    <xf numFmtId="0" fontId="29" fillId="16" borderId="55" xfId="3" applyFont="1" applyFill="1" applyBorder="1" applyAlignment="1" applyProtection="1">
      <alignment vertical="center" wrapText="1"/>
      <protection hidden="1"/>
    </xf>
    <xf numFmtId="2" fontId="26" fillId="3" borderId="57" xfId="0" applyNumberFormat="1" applyFont="1" applyFill="1" applyBorder="1" applyAlignment="1" applyProtection="1">
      <alignment horizontal="right" vertical="center" wrapText="1"/>
      <protection hidden="1"/>
    </xf>
    <xf numFmtId="43" fontId="26" fillId="3" borderId="67" xfId="8" applyFont="1" applyFill="1" applyBorder="1" applyAlignment="1" applyProtection="1">
      <alignment horizontal="center" vertical="center" wrapText="1"/>
      <protection hidden="1"/>
    </xf>
    <xf numFmtId="43" fontId="26" fillId="31" borderId="24" xfId="8" applyFont="1" applyFill="1" applyBorder="1" applyAlignment="1" applyProtection="1">
      <alignment horizontal="center" vertical="center" wrapText="1"/>
      <protection hidden="1"/>
    </xf>
    <xf numFmtId="165" fontId="26" fillId="3" borderId="57" xfId="0" applyNumberFormat="1" applyFont="1" applyFill="1" applyBorder="1" applyAlignment="1" applyProtection="1">
      <alignment horizontal="left" vertical="center" wrapText="1"/>
      <protection hidden="1"/>
    </xf>
    <xf numFmtId="43" fontId="26" fillId="31" borderId="60" xfId="8" applyFont="1" applyFill="1" applyBorder="1" applyAlignment="1" applyProtection="1">
      <alignment horizontal="center" vertical="center" wrapText="1"/>
      <protection hidden="1"/>
    </xf>
    <xf numFmtId="43" fontId="26" fillId="31" borderId="17" xfId="8" applyFont="1" applyFill="1" applyBorder="1" applyAlignment="1" applyProtection="1">
      <alignment horizontal="center" vertical="center" wrapText="1"/>
      <protection hidden="1"/>
    </xf>
    <xf numFmtId="165" fontId="26" fillId="31" borderId="60" xfId="0" applyNumberFormat="1" applyFont="1" applyFill="1" applyBorder="1" applyAlignment="1" applyProtection="1">
      <alignment horizontal="center" vertical="center" wrapText="1"/>
      <protection hidden="1"/>
    </xf>
    <xf numFmtId="165" fontId="26" fillId="3" borderId="57" xfId="0" applyNumberFormat="1" applyFont="1" applyFill="1" applyBorder="1" applyAlignment="1" applyProtection="1">
      <alignment horizontal="center" vertical="center" wrapText="1"/>
      <protection hidden="1"/>
    </xf>
    <xf numFmtId="0" fontId="30" fillId="0" borderId="0" xfId="3" applyFont="1" applyFill="1" applyBorder="1" applyAlignment="1" applyProtection="1">
      <alignment horizontal="left" vertical="center" wrapText="1"/>
      <protection hidden="1"/>
    </xf>
    <xf numFmtId="0" fontId="30" fillId="0" borderId="0" xfId="3" applyFont="1" applyFill="1" applyBorder="1" applyAlignment="1" applyProtection="1">
      <alignment horizontal="justify" vertical="center" wrapText="1"/>
      <protection hidden="1"/>
    </xf>
    <xf numFmtId="0" fontId="19" fillId="0" borderId="0" xfId="3" applyFont="1" applyAlignment="1" applyProtection="1">
      <alignment horizontal="justify" vertical="center" wrapText="1"/>
      <protection hidden="1"/>
    </xf>
    <xf numFmtId="0" fontId="27" fillId="12" borderId="63" xfId="3" applyFont="1" applyFill="1" applyBorder="1" applyAlignment="1" applyProtection="1">
      <alignment horizontal="center" vertical="center" wrapText="1"/>
      <protection hidden="1"/>
    </xf>
    <xf numFmtId="0" fontId="27" fillId="12" borderId="55" xfId="3" applyFont="1" applyFill="1" applyBorder="1" applyAlignment="1" applyProtection="1">
      <alignment horizontal="center" vertical="center" wrapText="1"/>
      <protection hidden="1"/>
    </xf>
    <xf numFmtId="0" fontId="30" fillId="0" borderId="0" xfId="3" applyFont="1" applyFill="1" applyBorder="1" applyAlignment="1" applyProtection="1">
      <alignment horizontal="center" vertical="center" wrapText="1"/>
      <protection hidden="1"/>
    </xf>
    <xf numFmtId="0" fontId="27" fillId="12" borderId="29"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43" fontId="26" fillId="30" borderId="59" xfId="8" applyFont="1" applyFill="1" applyBorder="1" applyAlignment="1" applyProtection="1">
      <alignment horizontal="center" vertical="center" wrapText="1"/>
      <protection hidden="1"/>
    </xf>
    <xf numFmtId="0" fontId="29" fillId="16" borderId="13" xfId="3" applyFont="1" applyFill="1" applyBorder="1" applyAlignment="1" applyProtection="1">
      <alignment vertical="center"/>
      <protection hidden="1"/>
    </xf>
    <xf numFmtId="0" fontId="29" fillId="16" borderId="14" xfId="3" applyFont="1" applyFill="1" applyBorder="1" applyAlignment="1" applyProtection="1">
      <alignment vertical="center"/>
      <protection hidden="1"/>
    </xf>
    <xf numFmtId="0" fontId="29" fillId="16" borderId="15" xfId="3" applyFont="1" applyFill="1" applyBorder="1" applyAlignment="1" applyProtection="1">
      <alignment vertical="center"/>
      <protection hidden="1"/>
    </xf>
    <xf numFmtId="0" fontId="29" fillId="16" borderId="31" xfId="3" applyFont="1" applyFill="1" applyBorder="1" applyAlignment="1" applyProtection="1">
      <alignment vertical="center"/>
      <protection hidden="1"/>
    </xf>
    <xf numFmtId="0" fontId="29" fillId="16" borderId="32" xfId="3" applyFont="1" applyFill="1" applyBorder="1" applyAlignment="1" applyProtection="1">
      <alignment vertical="center"/>
      <protection hidden="1"/>
    </xf>
    <xf numFmtId="0" fontId="29" fillId="16" borderId="55" xfId="3" applyFont="1" applyFill="1" applyBorder="1" applyAlignment="1" applyProtection="1">
      <alignment vertical="center"/>
      <protection hidden="1"/>
    </xf>
    <xf numFmtId="0" fontId="86" fillId="12" borderId="23" xfId="3" applyFont="1" applyFill="1" applyBorder="1" applyAlignment="1" applyProtection="1">
      <alignment horizontal="center" vertical="center" wrapText="1"/>
      <protection hidden="1"/>
    </xf>
    <xf numFmtId="2" fontId="86" fillId="0" borderId="57" xfId="0" applyNumberFormat="1" applyFont="1" applyBorder="1" applyAlignment="1" applyProtection="1">
      <alignment horizontal="right" vertical="center" wrapText="1"/>
      <protection hidden="1"/>
    </xf>
    <xf numFmtId="43" fontId="86" fillId="0" borderId="57" xfId="0" applyNumberFormat="1" applyFont="1" applyBorder="1" applyAlignment="1" applyProtection="1">
      <alignment horizontal="center" vertical="center" wrapText="1"/>
      <protection hidden="1"/>
    </xf>
    <xf numFmtId="43" fontId="86" fillId="0" borderId="57" xfId="0" applyNumberFormat="1" applyFont="1" applyBorder="1" applyAlignment="1" applyProtection="1">
      <alignment horizontal="right" vertical="center" wrapText="1"/>
      <protection hidden="1"/>
    </xf>
    <xf numFmtId="43" fontId="86" fillId="13" borderId="23" xfId="8" applyFont="1" applyFill="1" applyBorder="1" applyAlignment="1" applyProtection="1">
      <alignment horizontal="center" vertical="center" wrapText="1"/>
      <protection hidden="1"/>
    </xf>
    <xf numFmtId="43" fontId="86" fillId="23" borderId="23" xfId="8" applyFont="1" applyFill="1" applyBorder="1" applyAlignment="1" applyProtection="1">
      <alignment horizontal="center" vertical="center" wrapText="1"/>
      <protection hidden="1"/>
    </xf>
    <xf numFmtId="43" fontId="86" fillId="17" borderId="23" xfId="8" applyFont="1" applyFill="1" applyBorder="1" applyAlignment="1" applyProtection="1">
      <alignment horizontal="center" vertical="center" wrapText="1"/>
      <protection hidden="1"/>
    </xf>
    <xf numFmtId="0" fontId="27" fillId="12" borderId="0" xfId="3" applyFont="1" applyFill="1" applyBorder="1" applyAlignment="1" applyProtection="1">
      <alignment horizontal="center" vertical="center" wrapText="1"/>
      <protection hidden="1"/>
    </xf>
    <xf numFmtId="178" fontId="27" fillId="12" borderId="0" xfId="3" quotePrefix="1" applyNumberFormat="1" applyFont="1" applyFill="1" applyBorder="1" applyAlignment="1" applyProtection="1">
      <alignment horizontal="center" vertical="center" wrapText="1"/>
      <protection hidden="1"/>
    </xf>
    <xf numFmtId="2" fontId="26" fillId="0" borderId="0" xfId="0" applyNumberFormat="1" applyFont="1" applyBorder="1" applyAlignment="1" applyProtection="1">
      <alignment horizontal="right" vertical="center" wrapText="1"/>
      <protection hidden="1"/>
    </xf>
    <xf numFmtId="43" fontId="26" fillId="0" borderId="0" xfId="0" applyNumberFormat="1" applyFont="1" applyBorder="1" applyAlignment="1" applyProtection="1">
      <alignment horizontal="center" vertical="center" wrapText="1"/>
      <protection hidden="1"/>
    </xf>
    <xf numFmtId="43" fontId="26" fillId="0" borderId="0" xfId="0" applyNumberFormat="1" applyFont="1" applyBorder="1" applyAlignment="1" applyProtection="1">
      <alignment horizontal="right" vertical="center" wrapText="1"/>
      <protection hidden="1"/>
    </xf>
    <xf numFmtId="43" fontId="26" fillId="13" borderId="0" xfId="8" applyFont="1" applyFill="1" applyBorder="1" applyAlignment="1" applyProtection="1">
      <alignment horizontal="center" vertical="center" wrapText="1"/>
      <protection hidden="1"/>
    </xf>
    <xf numFmtId="43" fontId="26" fillId="23" borderId="0" xfId="8" applyFont="1" applyFill="1" applyBorder="1" applyAlignment="1" applyProtection="1">
      <alignment horizontal="center" vertical="center" wrapText="1"/>
      <protection hidden="1"/>
    </xf>
    <xf numFmtId="173" fontId="86" fillId="12" borderId="23" xfId="3" quotePrefix="1" applyNumberFormat="1" applyFont="1" applyFill="1" applyBorder="1" applyAlignment="1" applyProtection="1">
      <alignment horizontal="center" vertical="center" wrapText="1"/>
      <protection hidden="1"/>
    </xf>
    <xf numFmtId="43" fontId="87" fillId="13" borderId="31" xfId="8" applyFont="1" applyFill="1" applyBorder="1" applyAlignment="1" applyProtection="1">
      <alignment horizontal="center" vertical="center" wrapText="1"/>
      <protection hidden="1"/>
    </xf>
    <xf numFmtId="43" fontId="87" fillId="0" borderId="67" xfId="8" applyFont="1" applyFill="1" applyBorder="1" applyAlignment="1" applyProtection="1">
      <alignment horizontal="center" vertical="center" wrapText="1"/>
      <protection hidden="1"/>
    </xf>
    <xf numFmtId="43" fontId="87" fillId="13" borderId="67" xfId="8" applyFont="1" applyFill="1" applyBorder="1" applyAlignment="1" applyProtection="1">
      <alignment horizontal="center" vertical="center" wrapText="1"/>
      <protection hidden="1"/>
    </xf>
    <xf numFmtId="43" fontId="24" fillId="28" borderId="1" xfId="0" applyNumberFormat="1" applyFont="1" applyFill="1" applyBorder="1" applyAlignment="1">
      <alignment horizontal="center"/>
    </xf>
    <xf numFmtId="4" fontId="56" fillId="28" borderId="0" xfId="0" applyNumberFormat="1" applyFont="1" applyFill="1" applyBorder="1"/>
    <xf numFmtId="2" fontId="56" fillId="28" borderId="0" xfId="0" applyNumberFormat="1" applyFont="1" applyFill="1" applyBorder="1"/>
    <xf numFmtId="0" fontId="27" fillId="12" borderId="24"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18" fillId="0" borderId="0" xfId="0" applyFont="1" applyFill="1" applyBorder="1" applyAlignment="1" applyProtection="1">
      <alignment horizontal="justify" vertical="center" wrapText="1"/>
      <protection hidden="1"/>
    </xf>
    <xf numFmtId="0" fontId="13" fillId="12" borderId="34" xfId="0" quotePrefix="1" applyFont="1" applyFill="1" applyBorder="1" applyAlignment="1" applyProtection="1">
      <alignment horizontal="center" vertical="center" wrapText="1"/>
      <protection hidden="1"/>
    </xf>
    <xf numFmtId="0" fontId="18" fillId="0" borderId="0" xfId="0" applyFont="1" applyFill="1" applyAlignment="1" applyProtection="1">
      <alignment horizontal="justify" vertical="center" wrapText="1"/>
      <protection hidden="1"/>
    </xf>
    <xf numFmtId="0" fontId="27" fillId="12" borderId="23" xfId="3" applyFont="1" applyFill="1" applyBorder="1" applyAlignment="1" applyProtection="1">
      <alignment horizontal="center" vertical="center" wrapText="1"/>
      <protection hidden="1"/>
    </xf>
    <xf numFmtId="2" fontId="0" fillId="32" borderId="0" xfId="0" applyNumberFormat="1" applyFill="1"/>
    <xf numFmtId="2" fontId="0" fillId="27" borderId="0" xfId="0" applyNumberFormat="1" applyFill="1"/>
    <xf numFmtId="2" fontId="62" fillId="0" borderId="0" xfId="0" applyNumberFormat="1" applyFont="1"/>
    <xf numFmtId="43" fontId="0" fillId="0" borderId="0" xfId="6" applyFont="1"/>
    <xf numFmtId="180" fontId="0" fillId="0" borderId="0" xfId="6" applyNumberFormat="1" applyFont="1"/>
    <xf numFmtId="181" fontId="0" fillId="0" borderId="0" xfId="6" applyNumberFormat="1" applyFont="1"/>
    <xf numFmtId="9" fontId="0" fillId="0" borderId="0" xfId="0" applyNumberFormat="1"/>
    <xf numFmtId="43" fontId="24" fillId="0" borderId="0" xfId="0" applyNumberFormat="1" applyFont="1"/>
    <xf numFmtId="0" fontId="88" fillId="13" borderId="0" xfId="0" applyFont="1" applyFill="1" applyBorder="1" applyAlignment="1" applyProtection="1">
      <alignment vertical="center"/>
      <protection hidden="1"/>
    </xf>
    <xf numFmtId="0" fontId="89" fillId="3" borderId="0" xfId="0" applyFont="1" applyFill="1"/>
    <xf numFmtId="43" fontId="0" fillId="28" borderId="1" xfId="0" applyNumberFormat="1" applyFill="1" applyBorder="1" applyAlignment="1">
      <alignment vertical="center"/>
    </xf>
    <xf numFmtId="0" fontId="83" fillId="0" borderId="1" xfId="0" applyFont="1" applyBorder="1"/>
    <xf numFmtId="164" fontId="8" fillId="19" borderId="1" xfId="1" applyNumberFormat="1" applyFont="1" applyFill="1" applyBorder="1"/>
    <xf numFmtId="164" fontId="0" fillId="15" borderId="1" xfId="1" applyNumberFormat="1" applyFont="1" applyFill="1" applyBorder="1"/>
    <xf numFmtId="43" fontId="26" fillId="0" borderId="23" xfId="8" quotePrefix="1" applyFont="1" applyFill="1" applyBorder="1" applyAlignment="1" applyProtection="1">
      <alignment horizontal="center" vertical="center" wrapText="1"/>
      <protection hidden="1"/>
    </xf>
    <xf numFmtId="43" fontId="26" fillId="0" borderId="60" xfId="8" quotePrefix="1" applyFont="1" applyFill="1" applyBorder="1" applyAlignment="1" applyProtection="1">
      <alignment horizontal="center" vertical="center" wrapText="1"/>
      <protection hidden="1"/>
    </xf>
    <xf numFmtId="43" fontId="26" fillId="17" borderId="59" xfId="8" applyFont="1" applyFill="1" applyBorder="1" applyAlignment="1" applyProtection="1">
      <alignment horizontal="center" vertical="center" wrapText="1"/>
      <protection hidden="1"/>
    </xf>
    <xf numFmtId="43" fontId="26" fillId="31" borderId="61" xfId="8" applyFont="1" applyFill="1" applyBorder="1" applyAlignment="1" applyProtection="1">
      <alignment horizontal="center" vertical="center" wrapText="1"/>
      <protection hidden="1"/>
    </xf>
    <xf numFmtId="0" fontId="19" fillId="0" borderId="0" xfId="3" applyFont="1" applyAlignment="1" applyProtection="1">
      <alignment horizontal="justify" vertical="center" wrapText="1"/>
      <protection hidden="1"/>
    </xf>
    <xf numFmtId="0" fontId="27" fillId="12" borderId="24" xfId="3" applyFont="1" applyFill="1" applyBorder="1" applyAlignment="1" applyProtection="1">
      <alignment horizontal="center" vertical="center" wrapText="1"/>
      <protection hidden="1"/>
    </xf>
    <xf numFmtId="0" fontId="27" fillId="12" borderId="58" xfId="3" applyFont="1" applyFill="1" applyBorder="1" applyAlignment="1" applyProtection="1">
      <alignment horizontal="center" vertical="center" wrapText="1"/>
      <protection hidden="1"/>
    </xf>
    <xf numFmtId="0" fontId="27" fillId="12" borderId="20" xfId="3" applyFont="1" applyFill="1" applyBorder="1" applyAlignment="1" applyProtection="1">
      <alignment horizontal="center" vertical="center" wrapText="1"/>
      <protection hidden="1"/>
    </xf>
    <xf numFmtId="0" fontId="30" fillId="0" borderId="0" xfId="3" applyFont="1" applyFill="1" applyBorder="1" applyAlignment="1" applyProtection="1">
      <alignment horizontal="justify" vertical="center" wrapText="1"/>
      <protection hidden="1"/>
    </xf>
    <xf numFmtId="0" fontId="27" fillId="12" borderId="29"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43" fontId="17" fillId="28" borderId="19" xfId="4" applyFont="1" applyFill="1" applyBorder="1" applyAlignment="1" applyProtection="1">
      <alignment horizontal="right" vertical="center" wrapText="1"/>
      <protection hidden="1"/>
    </xf>
    <xf numFmtId="43" fontId="14" fillId="0" borderId="56" xfId="4" applyNumberFormat="1" applyFont="1" applyFill="1" applyBorder="1" applyAlignment="1" applyProtection="1">
      <alignment horizontal="right" vertical="center" wrapText="1"/>
      <protection hidden="1"/>
    </xf>
    <xf numFmtId="43" fontId="14" fillId="0" borderId="56" xfId="4" applyNumberFormat="1" applyFont="1" applyFill="1" applyBorder="1" applyAlignment="1" applyProtection="1">
      <alignment horizontal="center" vertical="center" wrapText="1"/>
      <protection hidden="1"/>
    </xf>
    <xf numFmtId="0" fontId="14" fillId="0" borderId="56" xfId="0" applyFont="1" applyFill="1" applyBorder="1" applyAlignment="1" applyProtection="1">
      <alignment vertical="center"/>
      <protection hidden="1"/>
    </xf>
    <xf numFmtId="43" fontId="17" fillId="0" borderId="56" xfId="4" applyNumberFormat="1" applyFont="1" applyFill="1" applyBorder="1" applyAlignment="1" applyProtection="1">
      <alignment horizontal="right" vertical="center" wrapText="1"/>
      <protection hidden="1"/>
    </xf>
    <xf numFmtId="43" fontId="26" fillId="13" borderId="56" xfId="8" applyNumberFormat="1" applyFont="1" applyFill="1" applyBorder="1" applyAlignment="1" applyProtection="1">
      <alignment horizontal="center" vertical="center" wrapText="1"/>
      <protection hidden="1"/>
    </xf>
    <xf numFmtId="43" fontId="26" fillId="0" borderId="56" xfId="6" quotePrefix="1" applyFont="1" applyFill="1" applyBorder="1" applyAlignment="1" applyProtection="1">
      <alignment horizontal="center" vertical="center" wrapText="1"/>
      <protection hidden="1"/>
    </xf>
    <xf numFmtId="169" fontId="27" fillId="12" borderId="29" xfId="3" quotePrefix="1" applyNumberFormat="1" applyFont="1" applyFill="1" applyBorder="1" applyAlignment="1" applyProtection="1">
      <alignment horizontal="center" vertical="center" wrapText="1"/>
      <protection hidden="1"/>
    </xf>
    <xf numFmtId="9" fontId="27" fillId="12" borderId="20" xfId="3" applyNumberFormat="1" applyFont="1" applyFill="1" applyBorder="1" applyAlignment="1" applyProtection="1">
      <alignment horizontal="center" vertical="center" wrapText="1"/>
      <protection hidden="1"/>
    </xf>
    <xf numFmtId="43" fontId="26" fillId="0" borderId="57" xfId="0" quotePrefix="1" applyNumberFormat="1" applyFont="1" applyFill="1" applyBorder="1" applyAlignment="1" applyProtection="1">
      <alignment horizontal="right" vertical="center" wrapText="1"/>
      <protection hidden="1"/>
    </xf>
    <xf numFmtId="43" fontId="26" fillId="13" borderId="23" xfId="8" applyFont="1" applyFill="1" applyBorder="1" applyAlignment="1" applyProtection="1">
      <alignment horizontal="right" vertical="center" wrapText="1"/>
      <protection hidden="1"/>
    </xf>
    <xf numFmtId="43" fontId="26" fillId="0" borderId="23" xfId="8" applyFont="1" applyFill="1" applyBorder="1" applyAlignment="1" applyProtection="1">
      <alignment horizontal="right" vertical="center" wrapText="1"/>
      <protection hidden="1"/>
    </xf>
    <xf numFmtId="43" fontId="26" fillId="13" borderId="22" xfId="8" applyFont="1" applyFill="1" applyBorder="1" applyAlignment="1" applyProtection="1">
      <alignment horizontal="right" vertical="center" wrapText="1"/>
      <protection hidden="1"/>
    </xf>
    <xf numFmtId="43" fontId="26" fillId="13" borderId="20" xfId="8" applyFont="1" applyFill="1" applyBorder="1" applyAlignment="1" applyProtection="1">
      <alignment horizontal="right" vertical="center" wrapText="1"/>
      <protection hidden="1"/>
    </xf>
    <xf numFmtId="43" fontId="26" fillId="13" borderId="24" xfId="8" applyFont="1" applyFill="1" applyBorder="1" applyAlignment="1" applyProtection="1">
      <alignment horizontal="right" vertical="center" wrapText="1"/>
      <protection hidden="1"/>
    </xf>
    <xf numFmtId="43" fontId="26" fillId="0" borderId="36" xfId="8" applyFont="1" applyFill="1" applyBorder="1" applyAlignment="1" applyProtection="1">
      <alignment horizontal="right" vertical="center" wrapText="1"/>
      <protection hidden="1"/>
    </xf>
    <xf numFmtId="43" fontId="26" fillId="13" borderId="36" xfId="8" applyFont="1" applyFill="1" applyBorder="1" applyAlignment="1" applyProtection="1">
      <alignment horizontal="right" vertical="center" wrapText="1"/>
      <protection hidden="1"/>
    </xf>
    <xf numFmtId="165" fontId="26" fillId="17" borderId="57" xfId="0" applyNumberFormat="1" applyFont="1" applyFill="1" applyBorder="1" applyAlignment="1" applyProtection="1">
      <alignment horizontal="right" vertical="center" wrapText="1"/>
      <protection hidden="1"/>
    </xf>
    <xf numFmtId="165" fontId="26" fillId="17" borderId="56" xfId="0" applyNumberFormat="1" applyFont="1" applyFill="1" applyBorder="1" applyAlignment="1" applyProtection="1">
      <alignment horizontal="right" vertical="center" wrapText="1"/>
      <protection hidden="1"/>
    </xf>
    <xf numFmtId="165" fontId="26" fillId="17" borderId="60" xfId="0" applyNumberFormat="1" applyFont="1" applyFill="1" applyBorder="1" applyAlignment="1" applyProtection="1">
      <alignment horizontal="right" vertical="center" wrapText="1"/>
      <protection hidden="1"/>
    </xf>
    <xf numFmtId="43" fontId="26" fillId="0" borderId="24" xfId="8" applyFont="1" applyFill="1" applyBorder="1" applyAlignment="1" applyProtection="1">
      <alignment horizontal="right" vertical="center" wrapText="1"/>
      <protection hidden="1"/>
    </xf>
    <xf numFmtId="43" fontId="26" fillId="0" borderId="57" xfId="8" applyNumberFormat="1" applyFont="1" applyFill="1" applyBorder="1" applyAlignment="1" applyProtection="1">
      <alignment horizontal="right" vertical="center" wrapText="1"/>
      <protection hidden="1"/>
    </xf>
    <xf numFmtId="43" fontId="26" fillId="0" borderId="57" xfId="8" applyFont="1" applyFill="1" applyBorder="1" applyAlignment="1" applyProtection="1">
      <alignment horizontal="right" vertical="center" wrapText="1"/>
      <protection hidden="1"/>
    </xf>
    <xf numFmtId="43" fontId="26" fillId="0" borderId="60" xfId="8" applyFont="1" applyFill="1" applyBorder="1" applyAlignment="1" applyProtection="1">
      <alignment horizontal="right" vertical="center" wrapText="1"/>
      <protection hidden="1"/>
    </xf>
    <xf numFmtId="43" fontId="26" fillId="0" borderId="60" xfId="8" quotePrefix="1" applyFont="1" applyFill="1" applyBorder="1" applyAlignment="1" applyProtection="1">
      <alignment horizontal="right" vertical="center" wrapText="1"/>
      <protection hidden="1"/>
    </xf>
    <xf numFmtId="0" fontId="29" fillId="21" borderId="13" xfId="3" applyFont="1" applyFill="1" applyBorder="1" applyAlignment="1" applyProtection="1">
      <alignment vertical="center" wrapText="1"/>
      <protection hidden="1"/>
    </xf>
    <xf numFmtId="2" fontId="26" fillId="0" borderId="57" xfId="0" applyNumberFormat="1" applyFont="1" applyFill="1" applyBorder="1" applyAlignment="1" applyProtection="1">
      <alignment horizontal="right" vertical="center" wrapText="1"/>
      <protection hidden="1"/>
    </xf>
    <xf numFmtId="164" fontId="0" fillId="0" borderId="9" xfId="1" applyNumberFormat="1" applyFont="1" applyBorder="1"/>
    <xf numFmtId="164" fontId="8" fillId="19" borderId="9" xfId="1" applyNumberFormat="1" applyFont="1" applyFill="1" applyBorder="1"/>
    <xf numFmtId="164" fontId="0" fillId="15" borderId="9" xfId="1" applyNumberFormat="1" applyFont="1" applyFill="1" applyBorder="1"/>
    <xf numFmtId="164" fontId="8" fillId="0" borderId="9" xfId="1" applyNumberFormat="1" applyFont="1" applyFill="1" applyBorder="1"/>
    <xf numFmtId="164" fontId="8" fillId="0" borderId="9" xfId="1" applyNumberFormat="1" applyFont="1" applyFill="1" applyBorder="1" applyAlignment="1">
      <alignment horizontal="center"/>
    </xf>
    <xf numFmtId="164" fontId="8" fillId="27" borderId="9" xfId="1" applyNumberFormat="1" applyFont="1" applyFill="1" applyBorder="1"/>
    <xf numFmtId="164" fontId="0" fillId="20" borderId="9" xfId="1" applyNumberFormat="1" applyFont="1" applyFill="1" applyBorder="1"/>
    <xf numFmtId="43" fontId="24" fillId="0" borderId="9" xfId="0" applyNumberFormat="1" applyFont="1" applyBorder="1" applyAlignment="1">
      <alignment horizontal="center"/>
    </xf>
    <xf numFmtId="164" fontId="0" fillId="0" borderId="12" xfId="1" applyNumberFormat="1" applyFont="1" applyBorder="1"/>
    <xf numFmtId="164" fontId="8" fillId="19" borderId="12" xfId="1" applyNumberFormat="1" applyFont="1" applyFill="1" applyBorder="1"/>
    <xf numFmtId="164" fontId="0" fillId="15" borderId="12" xfId="1" applyNumberFormat="1" applyFont="1" applyFill="1" applyBorder="1"/>
    <xf numFmtId="164" fontId="8" fillId="0" borderId="12" xfId="1" applyNumberFormat="1" applyFont="1" applyFill="1" applyBorder="1"/>
    <xf numFmtId="164" fontId="0" fillId="22" borderId="12" xfId="1" applyNumberFormat="1" applyFont="1" applyFill="1" applyBorder="1"/>
    <xf numFmtId="164" fontId="83" fillId="27" borderId="12" xfId="1" applyNumberFormat="1" applyFont="1" applyFill="1" applyBorder="1"/>
    <xf numFmtId="43" fontId="24" fillId="0" borderId="12" xfId="0" applyNumberFormat="1" applyFont="1" applyBorder="1" applyAlignment="1">
      <alignment horizontal="center"/>
    </xf>
    <xf numFmtId="164" fontId="0" fillId="0" borderId="106" xfId="1" applyNumberFormat="1" applyFont="1" applyBorder="1"/>
    <xf numFmtId="164" fontId="8" fillId="19" borderId="107" xfId="1" applyNumberFormat="1" applyFont="1" applyFill="1" applyBorder="1"/>
    <xf numFmtId="164" fontId="0" fillId="15" borderId="107" xfId="1" applyNumberFormat="1" applyFont="1" applyFill="1" applyBorder="1"/>
    <xf numFmtId="164" fontId="0" fillId="0" borderId="107" xfId="1" applyNumberFormat="1" applyFont="1" applyBorder="1"/>
    <xf numFmtId="164" fontId="8" fillId="0" borderId="107" xfId="1" applyNumberFormat="1" applyFont="1" applyFill="1" applyBorder="1"/>
    <xf numFmtId="164" fontId="0" fillId="33" borderId="107" xfId="1" applyNumberFormat="1" applyFont="1" applyFill="1" applyBorder="1"/>
    <xf numFmtId="164" fontId="83" fillId="27" borderId="107" xfId="1" applyNumberFormat="1" applyFont="1" applyFill="1" applyBorder="1"/>
    <xf numFmtId="43" fontId="24" fillId="0" borderId="107" xfId="0" applyNumberFormat="1" applyFont="1" applyBorder="1" applyAlignment="1">
      <alignment horizontal="center"/>
    </xf>
    <xf numFmtId="43" fontId="0" fillId="3" borderId="108" xfId="0" applyNumberFormat="1" applyFill="1" applyBorder="1"/>
    <xf numFmtId="164" fontId="0" fillId="22" borderId="9" xfId="1" applyNumberFormat="1" applyFont="1" applyFill="1" applyBorder="1"/>
    <xf numFmtId="164" fontId="83" fillId="27" borderId="9" xfId="1" applyNumberFormat="1" applyFont="1" applyFill="1" applyBorder="1"/>
    <xf numFmtId="164" fontId="8" fillId="0" borderId="12" xfId="1" applyNumberFormat="1" applyFont="1" applyFill="1" applyBorder="1" applyAlignment="1">
      <alignment horizontal="center"/>
    </xf>
    <xf numFmtId="164" fontId="8" fillId="27" borderId="12" xfId="1" applyNumberFormat="1" applyFont="1" applyFill="1" applyBorder="1"/>
    <xf numFmtId="164" fontId="0" fillId="20" borderId="12" xfId="1" applyNumberFormat="1" applyFont="1" applyFill="1" applyBorder="1"/>
    <xf numFmtId="43" fontId="24" fillId="2" borderId="12" xfId="0" applyNumberFormat="1" applyFont="1" applyFill="1" applyBorder="1" applyAlignment="1">
      <alignment horizontal="center"/>
    </xf>
    <xf numFmtId="164" fontId="8" fillId="0" borderId="107" xfId="1" applyNumberFormat="1" applyFont="1" applyFill="1" applyBorder="1" applyAlignment="1">
      <alignment horizontal="center"/>
    </xf>
    <xf numFmtId="164" fontId="8" fillId="27" borderId="107" xfId="1" applyNumberFormat="1" applyFont="1" applyFill="1" applyBorder="1"/>
    <xf numFmtId="0" fontId="0" fillId="0" borderId="109" xfId="0" applyBorder="1"/>
    <xf numFmtId="164" fontId="0" fillId="20" borderId="107" xfId="1" applyNumberFormat="1" applyFont="1" applyFill="1" applyBorder="1"/>
    <xf numFmtId="0" fontId="0" fillId="22" borderId="108" xfId="0" applyFill="1" applyBorder="1"/>
    <xf numFmtId="164" fontId="8" fillId="3" borderId="9" xfId="1" applyNumberFormat="1" applyFont="1" applyFill="1" applyBorder="1"/>
    <xf numFmtId="43" fontId="24" fillId="28" borderId="9" xfId="0" applyNumberFormat="1" applyFont="1" applyFill="1" applyBorder="1" applyAlignment="1">
      <alignment horizontal="center"/>
    </xf>
    <xf numFmtId="164" fontId="0" fillId="22" borderId="107" xfId="1" applyNumberFormat="1" applyFont="1" applyFill="1" applyBorder="1"/>
    <xf numFmtId="0" fontId="62" fillId="0" borderId="108" xfId="0" applyFont="1" applyBorder="1"/>
    <xf numFmtId="10" fontId="8" fillId="28" borderId="1" xfId="0" applyNumberFormat="1" applyFont="1" applyFill="1" applyBorder="1"/>
    <xf numFmtId="164" fontId="26" fillId="0" borderId="57" xfId="1" applyNumberFormat="1" applyFont="1" applyFill="1" applyBorder="1" applyAlignment="1" applyProtection="1">
      <alignment horizontal="right" vertical="center" wrapText="1"/>
      <protection hidden="1"/>
    </xf>
    <xf numFmtId="0" fontId="0" fillId="0" borderId="1" xfId="0" applyBorder="1" applyAlignment="1">
      <alignment horizontal="center"/>
    </xf>
    <xf numFmtId="0" fontId="0" fillId="0" borderId="1" xfId="0" applyBorder="1" applyAlignment="1">
      <alignment horizontal="center" vertical="center"/>
    </xf>
    <xf numFmtId="0" fontId="0" fillId="0" borderId="2" xfId="0" applyBorder="1" applyAlignment="1">
      <alignment horizontal="center"/>
    </xf>
    <xf numFmtId="0" fontId="0" fillId="0" borderId="84" xfId="0" applyBorder="1" applyAlignment="1">
      <alignment horizontal="center"/>
    </xf>
    <xf numFmtId="0" fontId="0" fillId="0" borderId="85" xfId="0" applyBorder="1" applyAlignment="1">
      <alignment horizontal="center"/>
    </xf>
    <xf numFmtId="0" fontId="0" fillId="0" borderId="86" xfId="0" applyBorder="1" applyAlignment="1">
      <alignment horizontal="center"/>
    </xf>
    <xf numFmtId="0" fontId="0" fillId="0" borderId="11" xfId="0" applyBorder="1" applyAlignment="1">
      <alignment horizontal="center"/>
    </xf>
    <xf numFmtId="0" fontId="0" fillId="0" borderId="1" xfId="0" applyBorder="1" applyAlignment="1">
      <alignment horizontal="center" vertical="center" wrapText="1"/>
    </xf>
    <xf numFmtId="0" fontId="0" fillId="3" borderId="1" xfId="0" applyFill="1"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28" borderId="11" xfId="0" applyFill="1" applyBorder="1" applyAlignment="1">
      <alignment horizontal="center"/>
    </xf>
    <xf numFmtId="0" fontId="0" fillId="28" borderId="1" xfId="0" applyFill="1" applyBorder="1" applyAlignment="1">
      <alignment horizontal="center"/>
    </xf>
    <xf numFmtId="0" fontId="0" fillId="23" borderId="11" xfId="0" applyFill="1" applyBorder="1" applyAlignment="1">
      <alignment horizontal="center"/>
    </xf>
    <xf numFmtId="0" fontId="0" fillId="23" borderId="1" xfId="0" applyFill="1" applyBorder="1" applyAlignment="1">
      <alignment horizontal="center"/>
    </xf>
    <xf numFmtId="0" fontId="0" fillId="28" borderId="2" xfId="0" applyFill="1" applyBorder="1" applyAlignment="1">
      <alignment horizontal="center"/>
    </xf>
    <xf numFmtId="0" fontId="0" fillId="28" borderId="10" xfId="0" applyFill="1" applyBorder="1" applyAlignment="1">
      <alignment horizontal="center"/>
    </xf>
    <xf numFmtId="0" fontId="0" fillId="28" borderId="2" xfId="0" applyFill="1" applyBorder="1" applyAlignment="1">
      <alignment horizontal="center" vertical="center" wrapText="1"/>
    </xf>
    <xf numFmtId="0" fontId="0" fillId="28" borderId="11" xfId="0" applyFill="1" applyBorder="1" applyAlignment="1">
      <alignment horizontal="center" vertical="center" wrapText="1"/>
    </xf>
    <xf numFmtId="0" fontId="0" fillId="28" borderId="9" xfId="0" applyFill="1" applyBorder="1" applyAlignment="1">
      <alignment horizontal="center" vertical="center" wrapText="1"/>
    </xf>
    <xf numFmtId="0" fontId="0" fillId="28" borderId="12" xfId="0" applyFill="1" applyBorder="1" applyAlignment="1">
      <alignment horizontal="center" vertical="center" wrapText="1"/>
    </xf>
    <xf numFmtId="0" fontId="0" fillId="0" borderId="1" xfId="0" applyFill="1" applyBorder="1" applyAlignment="1">
      <alignment horizontal="center"/>
    </xf>
    <xf numFmtId="0" fontId="0" fillId="31" borderId="2" xfId="0" applyFill="1" applyBorder="1" applyAlignment="1">
      <alignment horizontal="center"/>
    </xf>
    <xf numFmtId="0" fontId="0" fillId="31" borderId="10" xfId="0" applyFill="1" applyBorder="1" applyAlignment="1">
      <alignment horizontal="center"/>
    </xf>
    <xf numFmtId="0" fontId="0" fillId="31" borderId="11" xfId="0" applyFill="1" applyBorder="1" applyAlignment="1">
      <alignment horizontal="center"/>
    </xf>
    <xf numFmtId="0" fontId="0" fillId="31" borderId="2" xfId="0" applyFill="1" applyBorder="1" applyAlignment="1">
      <alignment horizontal="center" vertical="center" wrapText="1"/>
    </xf>
    <xf numFmtId="0" fontId="0" fillId="31" borderId="11" xfId="0" applyFill="1" applyBorder="1" applyAlignment="1">
      <alignment horizontal="center" vertical="center" wrapText="1"/>
    </xf>
    <xf numFmtId="0" fontId="0" fillId="31" borderId="9" xfId="0" applyFill="1" applyBorder="1" applyAlignment="1">
      <alignment horizontal="center" vertical="center" wrapText="1"/>
    </xf>
    <xf numFmtId="0" fontId="0" fillId="31" borderId="12" xfId="0" applyFill="1" applyBorder="1" applyAlignment="1">
      <alignment horizontal="center" vertical="center" wrapText="1"/>
    </xf>
    <xf numFmtId="0" fontId="0" fillId="32" borderId="1" xfId="0" applyFill="1" applyBorder="1" applyAlignment="1">
      <alignment horizontal="center"/>
    </xf>
    <xf numFmtId="0" fontId="0" fillId="32" borderId="1" xfId="0" applyFill="1" applyBorder="1" applyAlignment="1">
      <alignment horizontal="center" vertical="center" wrapText="1"/>
    </xf>
    <xf numFmtId="0" fontId="0" fillId="32" borderId="11" xfId="0" applyFill="1" applyBorder="1" applyAlignment="1">
      <alignment horizontal="center"/>
    </xf>
    <xf numFmtId="0" fontId="0" fillId="0" borderId="1" xfId="0" applyFill="1" applyBorder="1" applyAlignment="1">
      <alignment horizontal="center" vertical="center" wrapText="1"/>
    </xf>
    <xf numFmtId="0" fontId="0" fillId="0" borderId="94" xfId="0" applyBorder="1" applyAlignment="1">
      <alignment horizontal="center" vertical="center"/>
    </xf>
    <xf numFmtId="0" fontId="0" fillId="0" borderId="95" xfId="0" applyBorder="1" applyAlignment="1">
      <alignment horizontal="center" vertical="center"/>
    </xf>
    <xf numFmtId="0" fontId="0" fillId="0" borderId="96"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18" fillId="0" borderId="0" xfId="0" applyFont="1" applyBorder="1" applyAlignment="1" applyProtection="1">
      <alignment horizontal="justify" vertical="top" wrapText="1"/>
      <protection hidden="1"/>
    </xf>
    <xf numFmtId="0" fontId="19" fillId="0" borderId="0" xfId="3" applyFont="1" applyAlignment="1" applyProtection="1">
      <alignment horizontal="left" vertical="center" wrapText="1"/>
      <protection hidden="1"/>
    </xf>
    <xf numFmtId="0" fontId="18" fillId="0" borderId="0" xfId="0" applyFont="1" applyFill="1" applyAlignment="1" applyProtection="1">
      <alignment horizontal="justify" vertical="center" wrapText="1"/>
      <protection hidden="1"/>
    </xf>
    <xf numFmtId="0" fontId="18" fillId="0" borderId="0" xfId="0" applyFont="1" applyFill="1" applyAlignment="1" applyProtection="1">
      <alignment horizontal="justify" vertical="top" wrapText="1"/>
      <protection hidden="1"/>
    </xf>
    <xf numFmtId="0" fontId="18" fillId="0" borderId="0" xfId="0" applyFont="1" applyFill="1" applyBorder="1" applyAlignment="1" applyProtection="1">
      <alignment horizontal="justify" vertical="center" wrapText="1"/>
      <protection hidden="1"/>
    </xf>
    <xf numFmtId="0" fontId="21" fillId="10" borderId="16" xfId="0" applyFont="1" applyFill="1" applyBorder="1" applyAlignment="1" applyProtection="1">
      <alignment horizontal="center" vertical="center" wrapText="1"/>
      <protection hidden="1"/>
    </xf>
    <xf numFmtId="0" fontId="21" fillId="10" borderId="0" xfId="0" applyFont="1" applyFill="1" applyBorder="1" applyAlignment="1" applyProtection="1">
      <alignment horizontal="center" vertical="center" wrapText="1"/>
      <protection hidden="1"/>
    </xf>
    <xf numFmtId="0" fontId="15" fillId="11" borderId="31" xfId="0" applyFont="1" applyFill="1" applyBorder="1" applyAlignment="1" applyProtection="1">
      <alignment horizontal="center" vertical="center"/>
      <protection hidden="1"/>
    </xf>
    <xf numFmtId="0" fontId="15" fillId="11" borderId="32" xfId="0" applyFont="1" applyFill="1" applyBorder="1" applyAlignment="1" applyProtection="1">
      <alignment horizontal="center" vertical="center"/>
      <protection hidden="1"/>
    </xf>
    <xf numFmtId="0" fontId="13" fillId="12" borderId="33" xfId="0" applyFont="1" applyFill="1" applyBorder="1" applyAlignment="1" applyProtection="1">
      <alignment horizontal="center" vertical="center" wrapText="1"/>
      <protection hidden="1"/>
    </xf>
    <xf numFmtId="0" fontId="13" fillId="12" borderId="18"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0" fontId="13" fillId="12" borderId="34" xfId="0" quotePrefix="1" applyFont="1" applyFill="1" applyBorder="1" applyAlignment="1" applyProtection="1">
      <alignment horizontal="center" vertical="center" wrapText="1"/>
      <protection hidden="1"/>
    </xf>
    <xf numFmtId="0" fontId="13" fillId="12" borderId="22" xfId="0" quotePrefix="1"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23" fillId="11" borderId="38" xfId="0" applyFont="1" applyFill="1" applyBorder="1" applyAlignment="1" applyProtection="1">
      <alignment horizontal="center" vertical="center" wrapText="1"/>
      <protection hidden="1"/>
    </xf>
    <xf numFmtId="0" fontId="23" fillId="11" borderId="39" xfId="0" applyFont="1" applyFill="1" applyBorder="1" applyAlignment="1" applyProtection="1">
      <alignment horizontal="center" vertical="center" wrapText="1"/>
      <protection hidden="1"/>
    </xf>
    <xf numFmtId="0" fontId="23" fillId="11" borderId="40" xfId="0" applyFont="1" applyFill="1" applyBorder="1" applyAlignment="1" applyProtection="1">
      <alignment horizontal="center" vertical="center" wrapText="1"/>
      <protection hidden="1"/>
    </xf>
    <xf numFmtId="0" fontId="23" fillId="11" borderId="41" xfId="0" applyFont="1" applyFill="1" applyBorder="1" applyAlignment="1" applyProtection="1">
      <alignment horizontal="center" vertical="center" wrapText="1"/>
      <protection hidden="1"/>
    </xf>
    <xf numFmtId="0" fontId="25" fillId="12" borderId="42" xfId="0" applyFont="1" applyFill="1" applyBorder="1" applyAlignment="1" applyProtection="1">
      <alignment horizontal="center" vertical="center" wrapText="1"/>
      <protection hidden="1"/>
    </xf>
    <xf numFmtId="0" fontId="25" fillId="12" borderId="45" xfId="0" applyFont="1" applyFill="1" applyBorder="1" applyAlignment="1" applyProtection="1">
      <alignment horizontal="center" vertical="center" wrapText="1"/>
      <protection hidden="1"/>
    </xf>
    <xf numFmtId="0" fontId="25" fillId="12" borderId="47" xfId="0" applyFont="1" applyFill="1" applyBorder="1" applyAlignment="1" applyProtection="1">
      <alignment horizontal="center" vertical="center" wrapText="1"/>
      <protection hidden="1"/>
    </xf>
    <xf numFmtId="0" fontId="25" fillId="12" borderId="44" xfId="0" applyFont="1" applyFill="1" applyBorder="1" applyAlignment="1" applyProtection="1">
      <alignment horizontal="center" vertical="center" wrapText="1"/>
      <protection hidden="1"/>
    </xf>
    <xf numFmtId="0" fontId="25" fillId="12" borderId="46" xfId="0" applyFont="1" applyFill="1" applyBorder="1" applyAlignment="1" applyProtection="1">
      <alignment horizontal="center" vertical="center" wrapText="1"/>
      <protection hidden="1"/>
    </xf>
    <xf numFmtId="0" fontId="30" fillId="0" borderId="0" xfId="3" applyFont="1" applyFill="1" applyBorder="1" applyAlignment="1" applyProtection="1">
      <alignment horizontal="left" vertical="center" wrapText="1"/>
      <protection hidden="1"/>
    </xf>
    <xf numFmtId="0" fontId="30" fillId="0" borderId="0" xfId="3" applyFont="1" applyFill="1" applyBorder="1" applyAlignment="1" applyProtection="1">
      <alignment horizontal="justify" vertical="justify" wrapText="1"/>
      <protection hidden="1"/>
    </xf>
    <xf numFmtId="0" fontId="20" fillId="0" borderId="0" xfId="3" applyFont="1" applyAlignment="1" applyProtection="1">
      <alignment horizontal="justify" vertical="center" wrapText="1"/>
      <protection hidden="1"/>
    </xf>
    <xf numFmtId="0" fontId="19" fillId="0" borderId="0" xfId="3" applyFont="1" applyAlignment="1" applyProtection="1">
      <alignment horizontal="justify" vertical="center" wrapText="1"/>
      <protection hidden="1"/>
    </xf>
    <xf numFmtId="0" fontId="27" fillId="12" borderId="29" xfId="3" quotePrefix="1" applyFont="1" applyFill="1" applyBorder="1" applyAlignment="1" applyProtection="1">
      <alignment horizontal="center" vertical="center" wrapText="1"/>
      <protection hidden="1"/>
    </xf>
    <xf numFmtId="0" fontId="27" fillId="0" borderId="29" xfId="0" applyFont="1" applyBorder="1" applyAlignment="1" applyProtection="1">
      <alignment horizontal="center" vertical="center" wrapText="1"/>
      <protection hidden="1"/>
    </xf>
    <xf numFmtId="0" fontId="27" fillId="12" borderId="24" xfId="3" applyFont="1" applyFill="1" applyBorder="1" applyAlignment="1" applyProtection="1">
      <alignment horizontal="center" vertical="center" wrapText="1"/>
      <protection hidden="1"/>
    </xf>
    <xf numFmtId="0" fontId="27" fillId="0" borderId="24" xfId="0" applyFont="1" applyBorder="1" applyAlignment="1" applyProtection="1">
      <alignment horizontal="center" vertical="center" wrapText="1"/>
      <protection hidden="1"/>
    </xf>
    <xf numFmtId="0" fontId="27" fillId="12" borderId="58" xfId="3" applyFont="1" applyFill="1" applyBorder="1" applyAlignment="1" applyProtection="1">
      <alignment horizontal="center" vertical="center" wrapText="1"/>
      <protection hidden="1"/>
    </xf>
    <xf numFmtId="0" fontId="27" fillId="12" borderId="20" xfId="3" applyFont="1" applyFill="1" applyBorder="1" applyAlignment="1" applyProtection="1">
      <alignment horizontal="center" vertical="center" wrapText="1"/>
      <protection hidden="1"/>
    </xf>
    <xf numFmtId="0" fontId="27" fillId="12" borderId="33" xfId="3" applyFont="1" applyFill="1" applyBorder="1" applyAlignment="1" applyProtection="1">
      <alignment horizontal="center" vertical="center" wrapText="1"/>
      <protection hidden="1"/>
    </xf>
    <xf numFmtId="0" fontId="27" fillId="12" borderId="28" xfId="3" applyFont="1" applyFill="1" applyBorder="1" applyAlignment="1" applyProtection="1">
      <alignment horizontal="center" vertical="center" wrapText="1"/>
      <protection hidden="1"/>
    </xf>
    <xf numFmtId="0" fontId="29" fillId="16" borderId="13" xfId="3" applyFont="1" applyFill="1" applyBorder="1" applyAlignment="1" applyProtection="1">
      <alignment horizontal="center" vertical="center" wrapText="1"/>
      <protection hidden="1"/>
    </xf>
    <xf numFmtId="0" fontId="29" fillId="16" borderId="14" xfId="3" applyFont="1" applyFill="1" applyBorder="1" applyAlignment="1" applyProtection="1">
      <alignment horizontal="center" vertical="center" wrapText="1"/>
      <protection hidden="1"/>
    </xf>
    <xf numFmtId="0" fontId="29" fillId="16" borderId="31" xfId="3" applyFont="1" applyFill="1" applyBorder="1" applyAlignment="1" applyProtection="1">
      <alignment horizontal="center" vertical="center" wrapText="1"/>
      <protection hidden="1"/>
    </xf>
    <xf numFmtId="0" fontId="29" fillId="16" borderId="32" xfId="3" applyFont="1" applyFill="1" applyBorder="1" applyAlignment="1" applyProtection="1">
      <alignment horizontal="center" vertical="center" wrapText="1"/>
      <protection hidden="1"/>
    </xf>
    <xf numFmtId="0" fontId="27" fillId="18" borderId="13" xfId="3" applyFont="1" applyFill="1" applyBorder="1" applyAlignment="1" applyProtection="1">
      <alignment horizontal="center" vertical="center" wrapText="1"/>
      <protection hidden="1"/>
    </xf>
    <xf numFmtId="0" fontId="27" fillId="18" borderId="14" xfId="3" applyFont="1" applyFill="1" applyBorder="1" applyAlignment="1" applyProtection="1">
      <alignment horizontal="center" vertical="center" wrapText="1"/>
      <protection hidden="1"/>
    </xf>
    <xf numFmtId="0" fontId="27" fillId="18" borderId="15" xfId="3" applyFont="1" applyFill="1" applyBorder="1" applyAlignment="1" applyProtection="1">
      <alignment horizontal="center" vertical="center" wrapText="1"/>
      <protection hidden="1"/>
    </xf>
    <xf numFmtId="0" fontId="27" fillId="18" borderId="31" xfId="3" applyFont="1" applyFill="1" applyBorder="1" applyAlignment="1" applyProtection="1">
      <alignment horizontal="center" vertical="center" wrapText="1"/>
      <protection hidden="1"/>
    </xf>
    <xf numFmtId="0" fontId="27" fillId="18" borderId="32" xfId="3" applyFont="1" applyFill="1" applyBorder="1" applyAlignment="1" applyProtection="1">
      <alignment horizontal="center" vertical="center" wrapText="1"/>
      <protection hidden="1"/>
    </xf>
    <xf numFmtId="0" fontId="27" fillId="18" borderId="55" xfId="3" applyFont="1" applyFill="1" applyBorder="1" applyAlignment="1" applyProtection="1">
      <alignment horizontal="center" vertical="center" wrapText="1"/>
      <protection hidden="1"/>
    </xf>
    <xf numFmtId="0" fontId="61" fillId="0" borderId="0" xfId="3" applyFont="1" applyFill="1" applyBorder="1" applyAlignment="1" applyProtection="1">
      <alignment horizontal="justify" vertical="center" wrapText="1"/>
      <protection hidden="1"/>
    </xf>
    <xf numFmtId="0" fontId="30" fillId="0" borderId="0" xfId="3" applyFont="1" applyFill="1" applyBorder="1" applyAlignment="1" applyProtection="1">
      <alignment horizontal="justify" vertical="center" wrapText="1"/>
      <protection hidden="1"/>
    </xf>
    <xf numFmtId="0" fontId="30" fillId="0" borderId="0" xfId="3" applyFont="1" applyAlignment="1" applyProtection="1">
      <alignment horizontal="left" vertical="center" wrapText="1"/>
      <protection hidden="1"/>
    </xf>
    <xf numFmtId="0" fontId="29" fillId="16" borderId="13" xfId="3" applyFont="1" applyFill="1" applyBorder="1" applyAlignment="1" applyProtection="1">
      <alignment horizontal="center" vertical="center"/>
      <protection hidden="1"/>
    </xf>
    <xf numFmtId="0" fontId="29" fillId="16" borderId="14" xfId="3" applyFont="1" applyFill="1" applyBorder="1" applyAlignment="1" applyProtection="1">
      <alignment horizontal="center" vertical="center"/>
      <protection hidden="1"/>
    </xf>
    <xf numFmtId="0" fontId="29" fillId="16" borderId="15" xfId="3" applyFont="1" applyFill="1" applyBorder="1" applyAlignment="1" applyProtection="1">
      <alignment horizontal="center" vertical="center"/>
      <protection hidden="1"/>
    </xf>
    <xf numFmtId="0" fontId="29" fillId="16" borderId="16" xfId="3" applyFont="1" applyFill="1" applyBorder="1" applyAlignment="1" applyProtection="1">
      <alignment horizontal="center" vertical="center"/>
      <protection hidden="1"/>
    </xf>
    <xf numFmtId="0" fontId="29" fillId="16" borderId="0" xfId="3" applyFont="1" applyFill="1" applyBorder="1" applyAlignment="1" applyProtection="1">
      <alignment horizontal="center" vertical="center"/>
      <protection hidden="1"/>
    </xf>
    <xf numFmtId="0" fontId="29" fillId="16" borderId="17" xfId="3" applyFont="1" applyFill="1" applyBorder="1" applyAlignment="1" applyProtection="1">
      <alignment horizontal="center" vertical="center"/>
      <protection hidden="1"/>
    </xf>
    <xf numFmtId="0" fontId="29" fillId="21" borderId="16" xfId="3" applyFont="1" applyFill="1" applyBorder="1" applyAlignment="1" applyProtection="1">
      <alignment horizontal="center" vertical="center"/>
      <protection hidden="1"/>
    </xf>
    <xf numFmtId="0" fontId="29" fillId="21" borderId="0" xfId="3" applyFont="1" applyFill="1" applyBorder="1" applyAlignment="1" applyProtection="1">
      <alignment horizontal="center" vertical="center"/>
      <protection hidden="1"/>
    </xf>
    <xf numFmtId="0" fontId="29" fillId="21" borderId="31" xfId="3" applyFont="1" applyFill="1" applyBorder="1" applyAlignment="1" applyProtection="1">
      <alignment horizontal="center" vertical="center"/>
      <protection hidden="1"/>
    </xf>
    <xf numFmtId="0" fontId="29" fillId="21" borderId="32" xfId="3" applyFont="1" applyFill="1" applyBorder="1" applyAlignment="1" applyProtection="1">
      <alignment horizontal="center" vertical="center"/>
      <protection hidden="1"/>
    </xf>
    <xf numFmtId="0" fontId="27" fillId="21" borderId="13" xfId="3" quotePrefix="1" applyFont="1" applyFill="1" applyBorder="1" applyAlignment="1" applyProtection="1">
      <alignment horizontal="center" vertical="center"/>
      <protection hidden="1"/>
    </xf>
    <xf numFmtId="0" fontId="27" fillId="21" borderId="14" xfId="3" quotePrefix="1" applyFont="1" applyFill="1" applyBorder="1" applyAlignment="1" applyProtection="1">
      <alignment horizontal="center" vertical="center"/>
      <protection hidden="1"/>
    </xf>
    <xf numFmtId="0" fontId="27" fillId="21" borderId="69" xfId="3" quotePrefix="1" applyFont="1" applyFill="1" applyBorder="1" applyAlignment="1" applyProtection="1">
      <alignment horizontal="center" vertical="center"/>
      <protection hidden="1"/>
    </xf>
    <xf numFmtId="0" fontId="27" fillId="21" borderId="31" xfId="3" quotePrefix="1" applyFont="1" applyFill="1" applyBorder="1" applyAlignment="1" applyProtection="1">
      <alignment horizontal="center" vertical="center"/>
      <protection hidden="1"/>
    </xf>
    <xf numFmtId="0" fontId="27" fillId="21" borderId="32" xfId="3" quotePrefix="1" applyFont="1" applyFill="1" applyBorder="1" applyAlignment="1" applyProtection="1">
      <alignment horizontal="center" vertical="center"/>
      <protection hidden="1"/>
    </xf>
    <xf numFmtId="0" fontId="27" fillId="21" borderId="20" xfId="3" quotePrefix="1" applyFont="1" applyFill="1" applyBorder="1" applyAlignment="1" applyProtection="1">
      <alignment horizontal="center" vertical="center"/>
      <protection hidden="1"/>
    </xf>
    <xf numFmtId="0" fontId="29" fillId="21" borderId="13" xfId="3" applyFont="1" applyFill="1" applyBorder="1" applyAlignment="1" applyProtection="1">
      <alignment horizontal="center" vertical="center" wrapText="1"/>
      <protection hidden="1"/>
    </xf>
    <xf numFmtId="0" fontId="29" fillId="21" borderId="14" xfId="3" applyFont="1" applyFill="1" applyBorder="1" applyAlignment="1" applyProtection="1">
      <alignment horizontal="center" vertical="center" wrapText="1"/>
      <protection hidden="1"/>
    </xf>
    <xf numFmtId="0" fontId="29" fillId="21" borderId="15" xfId="3" applyFont="1" applyFill="1" applyBorder="1" applyAlignment="1" applyProtection="1">
      <alignment horizontal="center" vertical="center" wrapText="1"/>
      <protection hidden="1"/>
    </xf>
    <xf numFmtId="0" fontId="29" fillId="21" borderId="31" xfId="3" applyFont="1" applyFill="1" applyBorder="1" applyAlignment="1" applyProtection="1">
      <alignment horizontal="center" vertical="center" wrapText="1"/>
      <protection hidden="1"/>
    </xf>
    <xf numFmtId="0" fontId="29" fillId="21" borderId="32" xfId="3" applyFont="1" applyFill="1" applyBorder="1" applyAlignment="1" applyProtection="1">
      <alignment horizontal="center" vertical="center" wrapText="1"/>
      <protection hidden="1"/>
    </xf>
    <xf numFmtId="0" fontId="29" fillId="21" borderId="55" xfId="3" applyFont="1" applyFill="1" applyBorder="1" applyAlignment="1" applyProtection="1">
      <alignment horizontal="center" vertical="center" wrapText="1"/>
      <protection hidden="1"/>
    </xf>
    <xf numFmtId="0" fontId="35" fillId="0" borderId="0" xfId="3" applyFont="1" applyFill="1" applyBorder="1" applyAlignment="1" applyProtection="1">
      <alignment horizontal="left" vertical="center" wrapText="1"/>
      <protection hidden="1"/>
    </xf>
    <xf numFmtId="0" fontId="29" fillId="16" borderId="15" xfId="3" applyFont="1" applyFill="1" applyBorder="1" applyAlignment="1" applyProtection="1">
      <alignment horizontal="center" vertical="center" wrapText="1"/>
      <protection hidden="1"/>
    </xf>
    <xf numFmtId="0" fontId="29" fillId="16" borderId="55" xfId="3" applyFont="1" applyFill="1" applyBorder="1" applyAlignment="1" applyProtection="1">
      <alignment horizontal="center" vertical="center" wrapText="1"/>
      <protection hidden="1"/>
    </xf>
    <xf numFmtId="0" fontId="27" fillId="12" borderId="59" xfId="3" applyFont="1" applyFill="1" applyBorder="1" applyAlignment="1" applyProtection="1">
      <alignment horizontal="center" vertical="center" wrapText="1"/>
      <protection hidden="1"/>
    </xf>
    <xf numFmtId="0" fontId="27" fillId="12" borderId="32" xfId="3" applyFont="1" applyFill="1" applyBorder="1" applyAlignment="1" applyProtection="1">
      <alignment horizontal="center" vertical="center" wrapText="1"/>
      <protection hidden="1"/>
    </xf>
    <xf numFmtId="0" fontId="29" fillId="21" borderId="16" xfId="3" applyFont="1" applyFill="1" applyBorder="1" applyAlignment="1" applyProtection="1">
      <alignment horizontal="center" vertical="center" wrapText="1"/>
      <protection hidden="1"/>
    </xf>
    <xf numFmtId="0" fontId="29" fillId="21" borderId="0" xfId="3" applyFont="1" applyFill="1" applyBorder="1" applyAlignment="1" applyProtection="1">
      <alignment horizontal="center" vertical="center" wrapText="1"/>
      <protection hidden="1"/>
    </xf>
    <xf numFmtId="0" fontId="27" fillId="12" borderId="56" xfId="3" applyFont="1" applyFill="1" applyBorder="1" applyAlignment="1" applyProtection="1">
      <alignment horizontal="center" vertical="center"/>
      <protection hidden="1"/>
    </xf>
    <xf numFmtId="0" fontId="27" fillId="0" borderId="56" xfId="0" applyFont="1" applyBorder="1" applyAlignment="1" applyProtection="1">
      <alignment horizontal="center" vertical="center"/>
      <protection hidden="1"/>
    </xf>
    <xf numFmtId="0" fontId="32" fillId="3" borderId="0" xfId="3" applyFont="1" applyFill="1" applyBorder="1" applyAlignment="1" applyProtection="1">
      <alignment horizontal="justify" vertical="center" wrapText="1"/>
      <protection hidden="1"/>
    </xf>
    <xf numFmtId="0" fontId="29" fillId="16" borderId="7" xfId="3" applyFont="1" applyFill="1" applyBorder="1" applyAlignment="1" applyProtection="1">
      <alignment horizontal="center" vertical="center"/>
      <protection hidden="1"/>
    </xf>
    <xf numFmtId="0" fontId="29" fillId="21" borderId="14" xfId="3" applyFont="1" applyFill="1" applyBorder="1" applyAlignment="1" applyProtection="1">
      <alignment horizontal="center" vertical="center"/>
      <protection hidden="1"/>
    </xf>
    <xf numFmtId="0" fontId="29" fillId="21" borderId="15" xfId="3" applyFont="1" applyFill="1" applyBorder="1" applyAlignment="1" applyProtection="1">
      <alignment horizontal="center" vertical="center"/>
      <protection hidden="1"/>
    </xf>
    <xf numFmtId="0" fontId="29" fillId="21" borderId="7" xfId="3" applyFont="1" applyFill="1" applyBorder="1" applyAlignment="1" applyProtection="1">
      <alignment horizontal="center" vertical="center"/>
      <protection hidden="1"/>
    </xf>
    <xf numFmtId="0" fontId="29" fillId="21" borderId="74" xfId="3" applyFont="1" applyFill="1" applyBorder="1" applyAlignment="1" applyProtection="1">
      <alignment horizontal="center" vertical="center"/>
      <protection hidden="1"/>
    </xf>
    <xf numFmtId="0" fontId="27" fillId="16" borderId="79" xfId="3" applyFont="1" applyFill="1" applyBorder="1" applyAlignment="1" applyProtection="1">
      <alignment horizontal="center" vertical="center"/>
      <protection hidden="1"/>
    </xf>
    <xf numFmtId="0" fontId="27" fillId="16" borderId="19" xfId="3" applyFont="1" applyFill="1" applyBorder="1" applyAlignment="1" applyProtection="1">
      <alignment horizontal="center" vertical="center"/>
      <protection hidden="1"/>
    </xf>
    <xf numFmtId="0" fontId="26" fillId="0" borderId="7" xfId="3" applyFont="1" applyFill="1" applyBorder="1" applyAlignment="1" applyProtection="1">
      <alignment horizontal="left" vertical="center"/>
      <protection hidden="1"/>
    </xf>
    <xf numFmtId="0" fontId="26" fillId="0" borderId="0" xfId="3" applyFont="1" applyFill="1" applyBorder="1" applyAlignment="1" applyProtection="1">
      <alignment horizontal="left" vertical="center"/>
      <protection hidden="1"/>
    </xf>
    <xf numFmtId="0" fontId="30" fillId="0" borderId="0" xfId="3" applyFont="1" applyFill="1" applyBorder="1" applyAlignment="1" applyProtection="1">
      <alignment horizontal="center" vertical="center" wrapText="1"/>
      <protection hidden="1"/>
    </xf>
    <xf numFmtId="0" fontId="19" fillId="0" borderId="0" xfId="3" applyFont="1" applyAlignment="1" applyProtection="1">
      <alignment horizontal="justify" vertical="justify" wrapText="1"/>
      <protection hidden="1"/>
    </xf>
    <xf numFmtId="0" fontId="71" fillId="0" borderId="0" xfId="3" applyFont="1" applyFill="1" applyBorder="1" applyAlignment="1" applyProtection="1">
      <alignment horizontal="left" vertical="center" wrapText="1"/>
      <protection hidden="1"/>
    </xf>
    <xf numFmtId="0" fontId="29" fillId="16" borderId="31" xfId="3" applyFont="1" applyFill="1" applyBorder="1" applyAlignment="1" applyProtection="1">
      <alignment horizontal="center" vertical="center"/>
      <protection hidden="1"/>
    </xf>
    <xf numFmtId="0" fontId="29" fillId="16" borderId="32" xfId="3" applyFont="1" applyFill="1" applyBorder="1" applyAlignment="1" applyProtection="1">
      <alignment horizontal="center" vertical="center"/>
      <protection hidden="1"/>
    </xf>
    <xf numFmtId="0" fontId="29" fillId="16" borderId="55" xfId="3" applyFont="1" applyFill="1" applyBorder="1" applyAlignment="1" applyProtection="1">
      <alignment horizontal="center" vertical="center"/>
      <protection hidden="1"/>
    </xf>
    <xf numFmtId="0" fontId="29" fillId="21" borderId="13" xfId="3" applyFont="1" applyFill="1" applyBorder="1" applyAlignment="1" applyProtection="1">
      <alignment horizontal="center" vertical="center"/>
      <protection hidden="1"/>
    </xf>
    <xf numFmtId="0" fontId="29" fillId="21" borderId="55" xfId="3" applyFont="1" applyFill="1" applyBorder="1" applyAlignment="1" applyProtection="1">
      <alignment horizontal="center" vertical="center"/>
      <protection hidden="1"/>
    </xf>
    <xf numFmtId="0" fontId="61" fillId="0" borderId="0" xfId="3" applyFont="1" applyFill="1" applyBorder="1" applyAlignment="1" applyProtection="1">
      <alignment horizontal="left" vertical="center" wrapText="1"/>
      <protection hidden="1"/>
    </xf>
    <xf numFmtId="0" fontId="40" fillId="0" borderId="0" xfId="0" applyFont="1" applyBorder="1" applyAlignment="1" applyProtection="1">
      <alignment horizontal="center" vertical="center"/>
      <protection hidden="1"/>
    </xf>
    <xf numFmtId="0" fontId="27" fillId="12" borderId="53" xfId="3" applyFont="1" applyFill="1" applyBorder="1" applyAlignment="1" applyProtection="1">
      <alignment horizontal="center" vertical="center" wrapText="1"/>
      <protection hidden="1"/>
    </xf>
    <xf numFmtId="0" fontId="27" fillId="12" borderId="29" xfId="3" applyFont="1" applyFill="1" applyBorder="1" applyAlignment="1" applyProtection="1">
      <alignment horizontal="center" vertical="center" wrapText="1"/>
      <protection hidden="1"/>
    </xf>
    <xf numFmtId="0" fontId="27" fillId="12" borderId="77" xfId="3"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27" fillId="12" borderId="54" xfId="3" applyFont="1" applyFill="1" applyBorder="1" applyAlignment="1" applyProtection="1">
      <alignment horizontal="center" vertical="center" wrapText="1"/>
      <protection hidden="1"/>
    </xf>
    <xf numFmtId="0" fontId="45" fillId="0" borderId="0" xfId="0" applyFont="1" applyFill="1" applyAlignment="1" applyProtection="1">
      <alignment horizontal="justify" vertical="justify"/>
      <protection hidden="1"/>
    </xf>
  </cellXfs>
  <cellStyles count="14">
    <cellStyle name="Hipervínculo" xfId="9" builtinId="8"/>
    <cellStyle name="Hipervínculo 2" xfId="12" xr:uid="{71BEC5F9-FC71-4534-A608-0DC25C29D296}"/>
    <cellStyle name="Millares" xfId="6" builtinId="3"/>
    <cellStyle name="Millares [0]" xfId="1" builtinId="6"/>
    <cellStyle name="Millares [0] 2" xfId="11" xr:uid="{9A2E8975-D3B1-464A-A0E5-574EB0EE48BB}"/>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 name="Porcentual 2 2" xfId="13" xr:uid="{10156946-0071-47D7-AF99-52B11402ED93}"/>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1260578</xdr:colOff>
      <xdr:row>37</xdr:row>
      <xdr:rowOff>367101</xdr:rowOff>
    </xdr:from>
    <xdr:to>
      <xdr:col>5</xdr:col>
      <xdr:colOff>351972</xdr:colOff>
      <xdr:row>42</xdr:row>
      <xdr:rowOff>168980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60578" y="7728565"/>
          <a:ext cx="4564640" cy="1244236"/>
        </a:xfrm>
        <a:prstGeom prst="rect">
          <a:avLst/>
        </a:prstGeom>
      </xdr:spPr>
    </xdr:pic>
    <xdr:clientData/>
  </xdr:twoCellAnchor>
  <xdr:twoCellAnchor>
    <xdr:from>
      <xdr:col>4</xdr:col>
      <xdr:colOff>212148</xdr:colOff>
      <xdr:row>50</xdr:row>
      <xdr:rowOff>71351</xdr:rowOff>
    </xdr:from>
    <xdr:to>
      <xdr:col>8</xdr:col>
      <xdr:colOff>99046</xdr:colOff>
      <xdr:row>57</xdr:row>
      <xdr:rowOff>139399</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4650798" y="10644101"/>
          <a:ext cx="3487348" cy="1344398"/>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29125" y="12165465"/>
            <a:ext cx="4839898" cy="655346"/>
          </a:xfrm>
          <a:prstGeom prst="rect">
            <a:avLst/>
          </a:prstGeom>
        </xdr:spPr>
      </xdr:pic>
    </xdr:grpSp>
    <xdr:clientData/>
  </xdr:twoCellAnchor>
  <xdr:twoCellAnchor editAs="oneCell">
    <xdr:from>
      <xdr:col>0</xdr:col>
      <xdr:colOff>1333500</xdr:colOff>
      <xdr:row>91</xdr:row>
      <xdr:rowOff>142271</xdr:rowOff>
    </xdr:from>
    <xdr:to>
      <xdr:col>5</xdr:col>
      <xdr:colOff>655272</xdr:colOff>
      <xdr:row>102</xdr:row>
      <xdr:rowOff>28819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33500" y="19452736"/>
          <a:ext cx="5168794" cy="1986493"/>
        </a:xfrm>
        <a:prstGeom prst="rect">
          <a:avLst/>
        </a:prstGeom>
      </xdr:spPr>
    </xdr:pic>
    <xdr:clientData/>
  </xdr:twoCellAnchor>
  <xdr:twoCellAnchor editAs="oneCell">
    <xdr:from>
      <xdr:col>53</xdr:col>
      <xdr:colOff>313266</xdr:colOff>
      <xdr:row>34</xdr:row>
      <xdr:rowOff>144992</xdr:rowOff>
    </xdr:from>
    <xdr:to>
      <xdr:col>55</xdr:col>
      <xdr:colOff>488129</xdr:colOff>
      <xdr:row>43</xdr:row>
      <xdr:rowOff>39987</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45635333" y="7079192"/>
          <a:ext cx="1763421" cy="2332897"/>
        </a:xfrm>
        <a:prstGeom prst="rect">
          <a:avLst/>
        </a:prstGeom>
      </xdr:spPr>
    </xdr:pic>
    <xdr:clientData/>
  </xdr:twoCellAnchor>
  <xdr:twoCellAnchor editAs="oneCell">
    <xdr:from>
      <xdr:col>55</xdr:col>
      <xdr:colOff>653764</xdr:colOff>
      <xdr:row>34</xdr:row>
      <xdr:rowOff>165774</xdr:rowOff>
    </xdr:from>
    <xdr:to>
      <xdr:col>61</xdr:col>
      <xdr:colOff>359086</xdr:colOff>
      <xdr:row>43</xdr:row>
      <xdr:rowOff>67120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stretch>
          <a:fillRect/>
        </a:stretch>
      </xdr:blipFill>
      <xdr:spPr>
        <a:xfrm>
          <a:off x="47567564" y="7099974"/>
          <a:ext cx="4480522" cy="2342423"/>
        </a:xfrm>
        <a:prstGeom prst="rect">
          <a:avLst/>
        </a:prstGeom>
      </xdr:spPr>
    </xdr:pic>
    <xdr:clientData/>
  </xdr:twoCellAnchor>
  <xdr:twoCellAnchor editAs="oneCell">
    <xdr:from>
      <xdr:col>11</xdr:col>
      <xdr:colOff>540144</xdr:colOff>
      <xdr:row>0</xdr:row>
      <xdr:rowOff>29308</xdr:rowOff>
    </xdr:from>
    <xdr:to>
      <xdr:col>13</xdr:col>
      <xdr:colOff>676634</xdr:colOff>
      <xdr:row>9</xdr:row>
      <xdr:rowOff>145379</xdr:rowOff>
    </xdr:to>
    <xdr:pic>
      <xdr:nvPicPr>
        <xdr:cNvPr id="2" name="Imagen 1">
          <a:extLst>
            <a:ext uri="{FF2B5EF4-FFF2-40B4-BE49-F238E27FC236}">
              <a16:creationId xmlns:a16="http://schemas.microsoft.com/office/drawing/2014/main" id="{5C1FDE39-5205-450E-9121-5DC93970B90B}"/>
            </a:ext>
          </a:extLst>
        </xdr:cNvPr>
        <xdr:cNvPicPr>
          <a:picLocks noChangeAspect="1"/>
        </xdr:cNvPicPr>
      </xdr:nvPicPr>
      <xdr:blipFill>
        <a:blip xmlns:r="http://schemas.openxmlformats.org/officeDocument/2006/relationships" r:embed="rId7"/>
        <a:stretch>
          <a:fillRect/>
        </a:stretch>
      </xdr:blipFill>
      <xdr:spPr>
        <a:xfrm>
          <a:off x="11160519" y="29308"/>
          <a:ext cx="1870040" cy="1744846"/>
        </a:xfrm>
        <a:prstGeom prst="rect">
          <a:avLst/>
        </a:prstGeom>
      </xdr:spPr>
    </xdr:pic>
    <xdr:clientData/>
  </xdr:twoCellAnchor>
  <xdr:twoCellAnchor editAs="oneCell">
    <xdr:from>
      <xdr:col>35</xdr:col>
      <xdr:colOff>152399</xdr:colOff>
      <xdr:row>12</xdr:row>
      <xdr:rowOff>83943</xdr:rowOff>
    </xdr:from>
    <xdr:to>
      <xdr:col>41</xdr:col>
      <xdr:colOff>255036</xdr:colOff>
      <xdr:row>15</xdr:row>
      <xdr:rowOff>106739</xdr:rowOff>
    </xdr:to>
    <xdr:pic>
      <xdr:nvPicPr>
        <xdr:cNvPr id="9" name="Imagen 8">
          <a:extLst>
            <a:ext uri="{FF2B5EF4-FFF2-40B4-BE49-F238E27FC236}">
              <a16:creationId xmlns:a16="http://schemas.microsoft.com/office/drawing/2014/main" id="{A9F67D5B-7201-4461-88A1-C36B05679DD4}"/>
            </a:ext>
          </a:extLst>
        </xdr:cNvPr>
        <xdr:cNvPicPr>
          <a:picLocks noChangeAspect="1"/>
        </xdr:cNvPicPr>
      </xdr:nvPicPr>
      <xdr:blipFill>
        <a:blip xmlns:r="http://schemas.openxmlformats.org/officeDocument/2006/relationships" r:embed="rId8"/>
        <a:stretch>
          <a:fillRect/>
        </a:stretch>
      </xdr:blipFill>
      <xdr:spPr>
        <a:xfrm>
          <a:off x="31361269" y="2495839"/>
          <a:ext cx="5009116" cy="582562"/>
        </a:xfrm>
        <a:prstGeom prst="rect">
          <a:avLst/>
        </a:prstGeom>
      </xdr:spPr>
    </xdr:pic>
    <xdr:clientData/>
  </xdr:twoCellAnchor>
  <xdr:twoCellAnchor editAs="oneCell">
    <xdr:from>
      <xdr:col>0</xdr:col>
      <xdr:colOff>0</xdr:colOff>
      <xdr:row>105</xdr:row>
      <xdr:rowOff>0</xdr:rowOff>
    </xdr:from>
    <xdr:to>
      <xdr:col>7</xdr:col>
      <xdr:colOff>390676</xdr:colOff>
      <xdr:row>125</xdr:row>
      <xdr:rowOff>122090</xdr:rowOff>
    </xdr:to>
    <xdr:pic>
      <xdr:nvPicPr>
        <xdr:cNvPr id="11" name="Imagen 10">
          <a:extLst>
            <a:ext uri="{FF2B5EF4-FFF2-40B4-BE49-F238E27FC236}">
              <a16:creationId xmlns:a16="http://schemas.microsoft.com/office/drawing/2014/main" id="{4ACEB709-6789-4B68-B0FB-6853BA4DF26C}"/>
            </a:ext>
          </a:extLst>
        </xdr:cNvPr>
        <xdr:cNvPicPr>
          <a:picLocks noChangeAspect="1"/>
        </xdr:cNvPicPr>
      </xdr:nvPicPr>
      <xdr:blipFill>
        <a:blip xmlns:r="http://schemas.openxmlformats.org/officeDocument/2006/relationships" r:embed="rId9"/>
        <a:stretch>
          <a:fillRect/>
        </a:stretch>
      </xdr:blipFill>
      <xdr:spPr>
        <a:xfrm>
          <a:off x="0" y="21336000"/>
          <a:ext cx="7582958" cy="3820058"/>
        </a:xfrm>
        <a:prstGeom prst="rect">
          <a:avLst/>
        </a:prstGeom>
      </xdr:spPr>
    </xdr:pic>
    <xdr:clientData/>
  </xdr:twoCellAnchor>
  <xdr:twoCellAnchor editAs="oneCell">
    <xdr:from>
      <xdr:col>7</xdr:col>
      <xdr:colOff>871311</xdr:colOff>
      <xdr:row>91</xdr:row>
      <xdr:rowOff>165226</xdr:rowOff>
    </xdr:from>
    <xdr:to>
      <xdr:col>15</xdr:col>
      <xdr:colOff>348083</xdr:colOff>
      <xdr:row>103</xdr:row>
      <xdr:rowOff>150071</xdr:rowOff>
    </xdr:to>
    <xdr:pic>
      <xdr:nvPicPr>
        <xdr:cNvPr id="12" name="Imagen 11">
          <a:extLst>
            <a:ext uri="{FF2B5EF4-FFF2-40B4-BE49-F238E27FC236}">
              <a16:creationId xmlns:a16="http://schemas.microsoft.com/office/drawing/2014/main" id="{7914C9EC-898B-4462-B92B-C9E0C48AEC62}"/>
            </a:ext>
          </a:extLst>
        </xdr:cNvPr>
        <xdr:cNvPicPr>
          <a:picLocks noChangeAspect="1"/>
        </xdr:cNvPicPr>
      </xdr:nvPicPr>
      <xdr:blipFill>
        <a:blip xmlns:r="http://schemas.openxmlformats.org/officeDocument/2006/relationships" r:embed="rId10"/>
        <a:stretch>
          <a:fillRect/>
        </a:stretch>
      </xdr:blipFill>
      <xdr:spPr>
        <a:xfrm>
          <a:off x="8219168" y="18235512"/>
          <a:ext cx="6334772" cy="2107559"/>
        </a:xfrm>
        <a:prstGeom prst="rect">
          <a:avLst/>
        </a:prstGeom>
      </xdr:spPr>
    </xdr:pic>
    <xdr:clientData/>
  </xdr:twoCellAnchor>
  <xdr:twoCellAnchor editAs="oneCell">
    <xdr:from>
      <xdr:col>8</xdr:col>
      <xdr:colOff>335190</xdr:colOff>
      <xdr:row>105</xdr:row>
      <xdr:rowOff>147516</xdr:rowOff>
    </xdr:from>
    <xdr:to>
      <xdr:col>15</xdr:col>
      <xdr:colOff>454244</xdr:colOff>
      <xdr:row>115</xdr:row>
      <xdr:rowOff>119181</xdr:rowOff>
    </xdr:to>
    <xdr:pic>
      <xdr:nvPicPr>
        <xdr:cNvPr id="13" name="Imagen 12">
          <a:extLst>
            <a:ext uri="{FF2B5EF4-FFF2-40B4-BE49-F238E27FC236}">
              <a16:creationId xmlns:a16="http://schemas.microsoft.com/office/drawing/2014/main" id="{E2B2A85E-6DF4-4DA1-855D-60BB848FC88B}"/>
            </a:ext>
          </a:extLst>
        </xdr:cNvPr>
        <xdr:cNvPicPr>
          <a:picLocks noChangeAspect="1"/>
        </xdr:cNvPicPr>
      </xdr:nvPicPr>
      <xdr:blipFill>
        <a:blip xmlns:r="http://schemas.openxmlformats.org/officeDocument/2006/relationships" r:embed="rId11"/>
        <a:stretch>
          <a:fillRect/>
        </a:stretch>
      </xdr:blipFill>
      <xdr:spPr>
        <a:xfrm>
          <a:off x="8594726" y="20694302"/>
          <a:ext cx="6065375" cy="1740593"/>
        </a:xfrm>
        <a:prstGeom prst="rect">
          <a:avLst/>
        </a:prstGeom>
      </xdr:spPr>
    </xdr:pic>
    <xdr:clientData/>
  </xdr:twoCellAnchor>
  <xdr:twoCellAnchor editAs="oneCell">
    <xdr:from>
      <xdr:col>0</xdr:col>
      <xdr:colOff>0</xdr:colOff>
      <xdr:row>132</xdr:row>
      <xdr:rowOff>0</xdr:rowOff>
    </xdr:from>
    <xdr:to>
      <xdr:col>7</xdr:col>
      <xdr:colOff>377975</xdr:colOff>
      <xdr:row>143</xdr:row>
      <xdr:rowOff>98270</xdr:rowOff>
    </xdr:to>
    <xdr:pic>
      <xdr:nvPicPr>
        <xdr:cNvPr id="15" name="Imagen 14">
          <a:extLst>
            <a:ext uri="{FF2B5EF4-FFF2-40B4-BE49-F238E27FC236}">
              <a16:creationId xmlns:a16="http://schemas.microsoft.com/office/drawing/2014/main" id="{50B5CCC4-764A-417E-B4F5-3FDB0BCEBE2F}"/>
            </a:ext>
          </a:extLst>
        </xdr:cNvPr>
        <xdr:cNvPicPr>
          <a:picLocks noChangeAspect="1"/>
        </xdr:cNvPicPr>
      </xdr:nvPicPr>
      <xdr:blipFill>
        <a:blip xmlns:r="http://schemas.openxmlformats.org/officeDocument/2006/relationships" r:embed="rId12"/>
        <a:stretch>
          <a:fillRect/>
        </a:stretch>
      </xdr:blipFill>
      <xdr:spPr>
        <a:xfrm>
          <a:off x="0" y="26332543"/>
          <a:ext cx="7573432" cy="2133898"/>
        </a:xfrm>
        <a:prstGeom prst="rect">
          <a:avLst/>
        </a:prstGeom>
      </xdr:spPr>
    </xdr:pic>
    <xdr:clientData/>
  </xdr:twoCellAnchor>
  <xdr:twoCellAnchor editAs="oneCell">
    <xdr:from>
      <xdr:col>0</xdr:col>
      <xdr:colOff>0</xdr:colOff>
      <xdr:row>145</xdr:row>
      <xdr:rowOff>0</xdr:rowOff>
    </xdr:from>
    <xdr:to>
      <xdr:col>5</xdr:col>
      <xdr:colOff>50649</xdr:colOff>
      <xdr:row>150</xdr:row>
      <xdr:rowOff>144839</xdr:rowOff>
    </xdr:to>
    <xdr:pic>
      <xdr:nvPicPr>
        <xdr:cNvPr id="16" name="Imagen 15">
          <a:extLst>
            <a:ext uri="{FF2B5EF4-FFF2-40B4-BE49-F238E27FC236}">
              <a16:creationId xmlns:a16="http://schemas.microsoft.com/office/drawing/2014/main" id="{A75467FC-EF71-4C79-8C54-7F55EBD4A300}"/>
            </a:ext>
          </a:extLst>
        </xdr:cNvPr>
        <xdr:cNvPicPr>
          <a:picLocks noChangeAspect="1"/>
        </xdr:cNvPicPr>
      </xdr:nvPicPr>
      <xdr:blipFill>
        <a:blip xmlns:r="http://schemas.openxmlformats.org/officeDocument/2006/relationships" r:embed="rId13"/>
        <a:stretch>
          <a:fillRect/>
        </a:stretch>
      </xdr:blipFill>
      <xdr:spPr>
        <a:xfrm>
          <a:off x="0" y="28738286"/>
          <a:ext cx="5420481" cy="1066949"/>
        </a:xfrm>
        <a:prstGeom prst="rect">
          <a:avLst/>
        </a:prstGeom>
      </xdr:spPr>
    </xdr:pic>
    <xdr:clientData/>
  </xdr:twoCellAnchor>
  <xdr:twoCellAnchor editAs="oneCell">
    <xdr:from>
      <xdr:col>8</xdr:col>
      <xdr:colOff>0</xdr:colOff>
      <xdr:row>132</xdr:row>
      <xdr:rowOff>0</xdr:rowOff>
    </xdr:from>
    <xdr:to>
      <xdr:col>17</xdr:col>
      <xdr:colOff>269129</xdr:colOff>
      <xdr:row>142</xdr:row>
      <xdr:rowOff>105502</xdr:rowOff>
    </xdr:to>
    <xdr:pic>
      <xdr:nvPicPr>
        <xdr:cNvPr id="17" name="Imagen 16">
          <a:extLst>
            <a:ext uri="{FF2B5EF4-FFF2-40B4-BE49-F238E27FC236}">
              <a16:creationId xmlns:a16="http://schemas.microsoft.com/office/drawing/2014/main" id="{39205853-A194-48CF-96FB-D6EB2CFA51BF}"/>
            </a:ext>
          </a:extLst>
        </xdr:cNvPr>
        <xdr:cNvPicPr>
          <a:picLocks noChangeAspect="1"/>
        </xdr:cNvPicPr>
      </xdr:nvPicPr>
      <xdr:blipFill>
        <a:blip xmlns:r="http://schemas.openxmlformats.org/officeDocument/2006/relationships" r:embed="rId14"/>
        <a:stretch>
          <a:fillRect/>
        </a:stretch>
      </xdr:blipFill>
      <xdr:spPr>
        <a:xfrm>
          <a:off x="8077200" y="26332543"/>
          <a:ext cx="7649643" cy="1952898"/>
        </a:xfrm>
        <a:prstGeom prst="rect">
          <a:avLst/>
        </a:prstGeom>
      </xdr:spPr>
    </xdr:pic>
    <xdr:clientData/>
  </xdr:twoCellAnchor>
  <xdr:twoCellAnchor editAs="oneCell">
    <xdr:from>
      <xdr:col>17</xdr:col>
      <xdr:colOff>0</xdr:colOff>
      <xdr:row>102</xdr:row>
      <xdr:rowOff>0</xdr:rowOff>
    </xdr:from>
    <xdr:to>
      <xdr:col>25</xdr:col>
      <xdr:colOff>707254</xdr:colOff>
      <xdr:row>111</xdr:row>
      <xdr:rowOff>154015</xdr:rowOff>
    </xdr:to>
    <xdr:pic>
      <xdr:nvPicPr>
        <xdr:cNvPr id="18" name="Imagen 17">
          <a:extLst>
            <a:ext uri="{FF2B5EF4-FFF2-40B4-BE49-F238E27FC236}">
              <a16:creationId xmlns:a16="http://schemas.microsoft.com/office/drawing/2014/main" id="{071B5D14-10C7-4765-B9C7-AF874B3B01D1}"/>
            </a:ext>
          </a:extLst>
        </xdr:cNvPr>
        <xdr:cNvPicPr>
          <a:picLocks noChangeAspect="1"/>
        </xdr:cNvPicPr>
      </xdr:nvPicPr>
      <xdr:blipFill>
        <a:blip xmlns:r="http://schemas.openxmlformats.org/officeDocument/2006/relationships" r:embed="rId15"/>
        <a:stretch>
          <a:fillRect/>
        </a:stretch>
      </xdr:blipFill>
      <xdr:spPr>
        <a:xfrm>
          <a:off x="15457714" y="20780829"/>
          <a:ext cx="7478169" cy="1819529"/>
        </a:xfrm>
        <a:prstGeom prst="rect">
          <a:avLst/>
        </a:prstGeom>
      </xdr:spPr>
    </xdr:pic>
    <xdr:clientData/>
  </xdr:twoCellAnchor>
  <xdr:twoCellAnchor editAs="oneCell">
    <xdr:from>
      <xdr:col>8</xdr:col>
      <xdr:colOff>0</xdr:colOff>
      <xdr:row>146</xdr:row>
      <xdr:rowOff>0</xdr:rowOff>
    </xdr:from>
    <xdr:to>
      <xdr:col>17</xdr:col>
      <xdr:colOff>256427</xdr:colOff>
      <xdr:row>155</xdr:row>
      <xdr:rowOff>141314</xdr:rowOff>
    </xdr:to>
    <xdr:pic>
      <xdr:nvPicPr>
        <xdr:cNvPr id="19" name="Imagen 18">
          <a:extLst>
            <a:ext uri="{FF2B5EF4-FFF2-40B4-BE49-F238E27FC236}">
              <a16:creationId xmlns:a16="http://schemas.microsoft.com/office/drawing/2014/main" id="{1E0AE8EE-2A23-4A01-B79B-16EA8F473E31}"/>
            </a:ext>
          </a:extLst>
        </xdr:cNvPr>
        <xdr:cNvPicPr>
          <a:picLocks noChangeAspect="1"/>
        </xdr:cNvPicPr>
      </xdr:nvPicPr>
      <xdr:blipFill>
        <a:blip xmlns:r="http://schemas.openxmlformats.org/officeDocument/2006/relationships" r:embed="rId16"/>
        <a:stretch>
          <a:fillRect/>
        </a:stretch>
      </xdr:blipFill>
      <xdr:spPr>
        <a:xfrm>
          <a:off x="8077200" y="28923343"/>
          <a:ext cx="7640116" cy="1810003"/>
        </a:xfrm>
        <a:prstGeom prst="rect">
          <a:avLst/>
        </a:prstGeom>
      </xdr:spPr>
    </xdr:pic>
    <xdr:clientData/>
  </xdr:twoCellAnchor>
  <xdr:twoCellAnchor editAs="oneCell">
    <xdr:from>
      <xdr:col>7</xdr:col>
      <xdr:colOff>27215</xdr:colOff>
      <xdr:row>113</xdr:row>
      <xdr:rowOff>152854</xdr:rowOff>
    </xdr:from>
    <xdr:to>
      <xdr:col>14</xdr:col>
      <xdr:colOff>368743</xdr:colOff>
      <xdr:row>130</xdr:row>
      <xdr:rowOff>175760</xdr:rowOff>
    </xdr:to>
    <xdr:pic>
      <xdr:nvPicPr>
        <xdr:cNvPr id="14" name="Imagen 13">
          <a:extLst>
            <a:ext uri="{FF2B5EF4-FFF2-40B4-BE49-F238E27FC236}">
              <a16:creationId xmlns:a16="http://schemas.microsoft.com/office/drawing/2014/main" id="{8CEDBC18-0734-46F7-8D33-A3B43DBEC31C}"/>
            </a:ext>
          </a:extLst>
        </xdr:cNvPr>
        <xdr:cNvPicPr>
          <a:picLocks noChangeAspect="1"/>
        </xdr:cNvPicPr>
      </xdr:nvPicPr>
      <xdr:blipFill>
        <a:blip xmlns:r="http://schemas.openxmlformats.org/officeDocument/2006/relationships" r:embed="rId17"/>
        <a:stretch>
          <a:fillRect/>
        </a:stretch>
      </xdr:blipFill>
      <xdr:spPr>
        <a:xfrm>
          <a:off x="7375072" y="22114783"/>
          <a:ext cx="6410314" cy="3030084"/>
        </a:xfrm>
        <a:prstGeom prst="rect">
          <a:avLst/>
        </a:prstGeom>
      </xdr:spPr>
    </xdr:pic>
    <xdr:clientData/>
  </xdr:twoCellAnchor>
  <xdr:twoCellAnchor editAs="oneCell">
    <xdr:from>
      <xdr:col>0</xdr:col>
      <xdr:colOff>333375</xdr:colOff>
      <xdr:row>153</xdr:row>
      <xdr:rowOff>142874</xdr:rowOff>
    </xdr:from>
    <xdr:to>
      <xdr:col>7</xdr:col>
      <xdr:colOff>166121</xdr:colOff>
      <xdr:row>187</xdr:row>
      <xdr:rowOff>166907</xdr:rowOff>
    </xdr:to>
    <xdr:pic>
      <xdr:nvPicPr>
        <xdr:cNvPr id="20" name="Imagen 19">
          <a:extLst>
            <a:ext uri="{FF2B5EF4-FFF2-40B4-BE49-F238E27FC236}">
              <a16:creationId xmlns:a16="http://schemas.microsoft.com/office/drawing/2014/main" id="{8DA373E2-D04C-4248-AFF5-F75044E88D38}"/>
            </a:ext>
          </a:extLst>
        </xdr:cNvPr>
        <xdr:cNvPicPr>
          <a:picLocks noChangeAspect="1"/>
        </xdr:cNvPicPr>
      </xdr:nvPicPr>
      <xdr:blipFill>
        <a:blip xmlns:r="http://schemas.openxmlformats.org/officeDocument/2006/relationships" r:embed="rId18"/>
        <a:stretch>
          <a:fillRect/>
        </a:stretch>
      </xdr:blipFill>
      <xdr:spPr>
        <a:xfrm>
          <a:off x="333375" y="29727524"/>
          <a:ext cx="7014596" cy="61771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48729</xdr:colOff>
      <xdr:row>2</xdr:row>
      <xdr:rowOff>574187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00" y="190500"/>
          <a:ext cx="2886075" cy="764687"/>
        </a:xfrm>
        <a:prstGeom prst="rect">
          <a:avLst/>
        </a:prstGeom>
      </xdr:spPr>
    </xdr:pic>
    <xdr:clientData/>
  </xdr:twoCellAnchor>
  <xdr:twoCellAnchor editAs="oneCell">
    <xdr:from>
      <xdr:col>0</xdr:col>
      <xdr:colOff>237849</xdr:colOff>
      <xdr:row>28</xdr:row>
      <xdr:rowOff>96907</xdr:rowOff>
    </xdr:from>
    <xdr:to>
      <xdr:col>6</xdr:col>
      <xdr:colOff>476198</xdr:colOff>
      <xdr:row>37</xdr:row>
      <xdr:rowOff>163831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7849" y="5773807"/>
          <a:ext cx="7763099" cy="1692524"/>
        </a:xfrm>
        <a:prstGeom prst="rect">
          <a:avLst/>
        </a:prstGeom>
      </xdr:spPr>
    </xdr:pic>
    <xdr:clientData/>
  </xdr:twoCellAnchor>
  <xdr:twoCellAnchor editAs="oneCell">
    <xdr:from>
      <xdr:col>6</xdr:col>
      <xdr:colOff>295275</xdr:colOff>
      <xdr:row>13</xdr:row>
      <xdr:rowOff>101600</xdr:rowOff>
    </xdr:from>
    <xdr:to>
      <xdr:col>22</xdr:col>
      <xdr:colOff>255696</xdr:colOff>
      <xdr:row>21</xdr:row>
      <xdr:rowOff>133583</xdr:rowOff>
    </xdr:to>
    <xdr:pic>
      <xdr:nvPicPr>
        <xdr:cNvPr id="5" name="Imagen 4">
          <a:extLst>
            <a:ext uri="{FF2B5EF4-FFF2-40B4-BE49-F238E27FC236}">
              <a16:creationId xmlns:a16="http://schemas.microsoft.com/office/drawing/2014/main" id="{F2CBF4E4-450F-4632-B8C2-2885F47D9C96}"/>
            </a:ext>
          </a:extLst>
        </xdr:cNvPr>
        <xdr:cNvPicPr>
          <a:picLocks noChangeAspect="1"/>
        </xdr:cNvPicPr>
      </xdr:nvPicPr>
      <xdr:blipFill>
        <a:blip xmlns:r="http://schemas.openxmlformats.org/officeDocument/2006/relationships" r:embed="rId3"/>
        <a:stretch>
          <a:fillRect/>
        </a:stretch>
      </xdr:blipFill>
      <xdr:spPr>
        <a:xfrm>
          <a:off x="7820025" y="3082925"/>
          <a:ext cx="12155596" cy="16702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57868</xdr:colOff>
      <xdr:row>26</xdr:row>
      <xdr:rowOff>38521</xdr:rowOff>
    </xdr:from>
    <xdr:to>
      <xdr:col>22</xdr:col>
      <xdr:colOff>512952</xdr:colOff>
      <xdr:row>31</xdr:row>
      <xdr:rowOff>182731</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8541811" y="4937092"/>
          <a:ext cx="2044398" cy="2002946"/>
        </a:xfrm>
        <a:prstGeom prst="rect">
          <a:avLst/>
        </a:prstGeom>
      </xdr:spPr>
    </xdr:pic>
    <xdr:clientData/>
  </xdr:twoCellAnchor>
  <xdr:twoCellAnchor editAs="oneCell">
    <xdr:from>
      <xdr:col>23</xdr:col>
      <xdr:colOff>137660</xdr:colOff>
      <xdr:row>25</xdr:row>
      <xdr:rowOff>184769</xdr:rowOff>
    </xdr:from>
    <xdr:to>
      <xdr:col>25</xdr:col>
      <xdr:colOff>236880</xdr:colOff>
      <xdr:row>31</xdr:row>
      <xdr:rowOff>197846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4548" t="6115" r="12715" b="5678"/>
        <a:stretch/>
      </xdr:blipFill>
      <xdr:spPr>
        <a:xfrm>
          <a:off x="21005574" y="4898283"/>
          <a:ext cx="1688535" cy="2056870"/>
        </a:xfrm>
        <a:prstGeom prst="rect">
          <a:avLst/>
        </a:prstGeom>
      </xdr:spPr>
    </xdr:pic>
    <xdr:clientData/>
  </xdr:twoCellAnchor>
  <xdr:twoCellAnchor editAs="oneCell">
    <xdr:from>
      <xdr:col>20</xdr:col>
      <xdr:colOff>697032</xdr:colOff>
      <xdr:row>34</xdr:row>
      <xdr:rowOff>120265</xdr:rowOff>
    </xdr:from>
    <xdr:to>
      <xdr:col>22</xdr:col>
      <xdr:colOff>597325</xdr:colOff>
      <xdr:row>35</xdr:row>
      <xdr:rowOff>176677</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052489" y="6680091"/>
          <a:ext cx="1424295" cy="331517"/>
        </a:xfrm>
        <a:prstGeom prst="rect">
          <a:avLst/>
        </a:prstGeom>
      </xdr:spPr>
    </xdr:pic>
    <xdr:clientData/>
  </xdr:twoCellAnchor>
  <xdr:twoCellAnchor editAs="oneCell">
    <xdr:from>
      <xdr:col>20</xdr:col>
      <xdr:colOff>736893</xdr:colOff>
      <xdr:row>36</xdr:row>
      <xdr:rowOff>105602</xdr:rowOff>
    </xdr:from>
    <xdr:to>
      <xdr:col>21</xdr:col>
      <xdr:colOff>736997</xdr:colOff>
      <xdr:row>41</xdr:row>
      <xdr:rowOff>101392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2092350" y="7046428"/>
          <a:ext cx="762106" cy="1297860"/>
        </a:xfrm>
        <a:prstGeom prst="rect">
          <a:avLst/>
        </a:prstGeom>
      </xdr:spPr>
    </xdr:pic>
    <xdr:clientData/>
  </xdr:twoCellAnchor>
  <xdr:twoCellAnchor editAs="oneCell">
    <xdr:from>
      <xdr:col>5</xdr:col>
      <xdr:colOff>552449</xdr:colOff>
      <xdr:row>6</xdr:row>
      <xdr:rowOff>145296</xdr:rowOff>
    </xdr:from>
    <xdr:to>
      <xdr:col>8</xdr:col>
      <xdr:colOff>656906</xdr:colOff>
      <xdr:row>16</xdr:row>
      <xdr:rowOff>135266</xdr:rowOff>
    </xdr:to>
    <xdr:pic>
      <xdr:nvPicPr>
        <xdr:cNvPr id="6" name="Imagen 5">
          <a:extLst>
            <a:ext uri="{FF2B5EF4-FFF2-40B4-BE49-F238E27FC236}">
              <a16:creationId xmlns:a16="http://schemas.microsoft.com/office/drawing/2014/main" id="{0EB49E09-3CE9-8F26-9317-44C28AF20205}"/>
            </a:ext>
          </a:extLst>
        </xdr:cNvPr>
        <xdr:cNvPicPr>
          <a:picLocks noChangeAspect="1"/>
        </xdr:cNvPicPr>
      </xdr:nvPicPr>
      <xdr:blipFill>
        <a:blip xmlns:r="http://schemas.openxmlformats.org/officeDocument/2006/relationships" r:embed="rId5"/>
        <a:stretch>
          <a:fillRect/>
        </a:stretch>
      </xdr:blipFill>
      <xdr:spPr>
        <a:xfrm>
          <a:off x="5629274" y="1345446"/>
          <a:ext cx="3219132" cy="2180720"/>
        </a:xfrm>
        <a:prstGeom prst="rect">
          <a:avLst/>
        </a:prstGeom>
      </xdr:spPr>
    </xdr:pic>
    <xdr:clientData/>
  </xdr:twoCellAnchor>
  <xdr:twoCellAnchor editAs="oneCell">
    <xdr:from>
      <xdr:col>10</xdr:col>
      <xdr:colOff>166095</xdr:colOff>
      <xdr:row>5</xdr:row>
      <xdr:rowOff>28575</xdr:rowOff>
    </xdr:from>
    <xdr:to>
      <xdr:col>13</xdr:col>
      <xdr:colOff>164667</xdr:colOff>
      <xdr:row>16</xdr:row>
      <xdr:rowOff>114974</xdr:rowOff>
    </xdr:to>
    <xdr:pic>
      <xdr:nvPicPr>
        <xdr:cNvPr id="4" name="Imagen 3">
          <a:extLst>
            <a:ext uri="{FF2B5EF4-FFF2-40B4-BE49-F238E27FC236}">
              <a16:creationId xmlns:a16="http://schemas.microsoft.com/office/drawing/2014/main" id="{550F6535-421A-0DA9-DABB-803905EDCE17}"/>
            </a:ext>
          </a:extLst>
        </xdr:cNvPr>
        <xdr:cNvPicPr>
          <a:picLocks noChangeAspect="1"/>
        </xdr:cNvPicPr>
      </xdr:nvPicPr>
      <xdr:blipFill>
        <a:blip xmlns:r="http://schemas.openxmlformats.org/officeDocument/2006/relationships" r:embed="rId6"/>
        <a:stretch>
          <a:fillRect/>
        </a:stretch>
      </xdr:blipFill>
      <xdr:spPr>
        <a:xfrm>
          <a:off x="10395945" y="933450"/>
          <a:ext cx="3101817" cy="2496224"/>
        </a:xfrm>
        <a:prstGeom prst="rect">
          <a:avLst/>
        </a:prstGeom>
      </xdr:spPr>
    </xdr:pic>
    <xdr:clientData/>
  </xdr:twoCellAnchor>
  <xdr:twoCellAnchor editAs="oneCell">
    <xdr:from>
      <xdr:col>22</xdr:col>
      <xdr:colOff>762000</xdr:colOff>
      <xdr:row>37</xdr:row>
      <xdr:rowOff>0</xdr:rowOff>
    </xdr:from>
    <xdr:to>
      <xdr:col>25</xdr:col>
      <xdr:colOff>558196</xdr:colOff>
      <xdr:row>38</xdr:row>
      <xdr:rowOff>200089</xdr:rowOff>
    </xdr:to>
    <xdr:pic>
      <xdr:nvPicPr>
        <xdr:cNvPr id="8" name="Imagen 7">
          <a:extLst>
            <a:ext uri="{FF2B5EF4-FFF2-40B4-BE49-F238E27FC236}">
              <a16:creationId xmlns:a16="http://schemas.microsoft.com/office/drawing/2014/main" id="{941C2F5D-938D-5858-2CC9-F78FD763A312}"/>
            </a:ext>
          </a:extLst>
        </xdr:cNvPr>
        <xdr:cNvPicPr>
          <a:picLocks noChangeAspect="1"/>
        </xdr:cNvPicPr>
      </xdr:nvPicPr>
      <xdr:blipFill>
        <a:blip xmlns:r="http://schemas.openxmlformats.org/officeDocument/2006/relationships" r:embed="rId7"/>
        <a:stretch>
          <a:fillRect/>
        </a:stretch>
      </xdr:blipFill>
      <xdr:spPr>
        <a:xfrm>
          <a:off x="20835257" y="7641771"/>
          <a:ext cx="2180168" cy="457264"/>
        </a:xfrm>
        <a:prstGeom prst="rect">
          <a:avLst/>
        </a:prstGeom>
      </xdr:spPr>
    </xdr:pic>
    <xdr:clientData/>
  </xdr:twoCellAnchor>
  <xdr:twoCellAnchor editAs="oneCell">
    <xdr:from>
      <xdr:col>15</xdr:col>
      <xdr:colOff>120832</xdr:colOff>
      <xdr:row>27</xdr:row>
      <xdr:rowOff>0</xdr:rowOff>
    </xdr:from>
    <xdr:to>
      <xdr:col>15</xdr:col>
      <xdr:colOff>667871</xdr:colOff>
      <xdr:row>37</xdr:row>
      <xdr:rowOff>34714</xdr:rowOff>
    </xdr:to>
    <xdr:pic>
      <xdr:nvPicPr>
        <xdr:cNvPr id="12" name="Imagen 11">
          <a:extLst>
            <a:ext uri="{FF2B5EF4-FFF2-40B4-BE49-F238E27FC236}">
              <a16:creationId xmlns:a16="http://schemas.microsoft.com/office/drawing/2014/main" id="{D8838FD9-3C87-3867-7EAE-F2E55E420241}"/>
            </a:ext>
          </a:extLst>
        </xdr:cNvPr>
        <xdr:cNvPicPr>
          <a:picLocks noChangeAspect="1"/>
        </xdr:cNvPicPr>
      </xdr:nvPicPr>
      <xdr:blipFill>
        <a:blip xmlns:r="http://schemas.openxmlformats.org/officeDocument/2006/relationships" r:embed="rId8"/>
        <a:stretch>
          <a:fillRect/>
        </a:stretch>
      </xdr:blipFill>
      <xdr:spPr>
        <a:xfrm>
          <a:off x="14021889" y="5736771"/>
          <a:ext cx="547039" cy="26023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609600</xdr:colOff>
      <xdr:row>4</xdr:row>
      <xdr:rowOff>129099</xdr:rowOff>
    </xdr:from>
    <xdr:to>
      <xdr:col>15</xdr:col>
      <xdr:colOff>3351073</xdr:colOff>
      <xdr:row>33</xdr:row>
      <xdr:rowOff>160031</xdr:rowOff>
    </xdr:to>
    <xdr:pic>
      <xdr:nvPicPr>
        <xdr:cNvPr id="6" name="Imagen 5">
          <a:extLst>
            <a:ext uri="{FF2B5EF4-FFF2-40B4-BE49-F238E27FC236}">
              <a16:creationId xmlns:a16="http://schemas.microsoft.com/office/drawing/2014/main" id="{24587B33-4DC4-4054-B7F3-7DDD7D03075E}"/>
            </a:ext>
          </a:extLst>
        </xdr:cNvPr>
        <xdr:cNvPicPr>
          <a:picLocks noChangeAspect="1"/>
        </xdr:cNvPicPr>
      </xdr:nvPicPr>
      <xdr:blipFill>
        <a:blip xmlns:r="http://schemas.openxmlformats.org/officeDocument/2006/relationships" r:embed="rId1"/>
        <a:stretch>
          <a:fillRect/>
        </a:stretch>
      </xdr:blipFill>
      <xdr:spPr>
        <a:xfrm>
          <a:off x="15760700" y="1475299"/>
          <a:ext cx="7173773" cy="41040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119620</xdr:colOff>
      <xdr:row>54</xdr:row>
      <xdr:rowOff>69273</xdr:rowOff>
    </xdr:from>
    <xdr:to>
      <xdr:col>26</xdr:col>
      <xdr:colOff>647195</xdr:colOff>
      <xdr:row>65</xdr:row>
      <xdr:rowOff>57107</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16531319" y="10329553"/>
          <a:ext cx="2213870" cy="2077892"/>
        </a:xfrm>
        <a:prstGeom prst="rect">
          <a:avLst/>
        </a:prstGeom>
      </xdr:spPr>
    </xdr:pic>
    <xdr:clientData/>
  </xdr:twoCellAnchor>
  <xdr:twoCellAnchor editAs="oneCell">
    <xdr:from>
      <xdr:col>20</xdr:col>
      <xdr:colOff>369093</xdr:colOff>
      <xdr:row>58</xdr:row>
      <xdr:rowOff>12644</xdr:rowOff>
    </xdr:from>
    <xdr:to>
      <xdr:col>22</xdr:col>
      <xdr:colOff>364639</xdr:colOff>
      <xdr:row>59</xdr:row>
      <xdr:rowOff>153661</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547795</xdr:colOff>
      <xdr:row>67</xdr:row>
      <xdr:rowOff>29154</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364371</xdr:colOff>
      <xdr:row>9</xdr:row>
      <xdr:rowOff>120334</xdr:rowOff>
    </xdr:from>
    <xdr:to>
      <xdr:col>27</xdr:col>
      <xdr:colOff>750060</xdr:colOff>
      <xdr:row>22</xdr:row>
      <xdr:rowOff>124676</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4548" t="6115" r="12715" b="5678"/>
        <a:stretch/>
      </xdr:blipFill>
      <xdr:spPr>
        <a:xfrm>
          <a:off x="17615725" y="1880676"/>
          <a:ext cx="2087353" cy="25470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Y167"/>
  <sheetViews>
    <sheetView topLeftCell="A153" zoomScale="80" zoomScaleNormal="80" workbookViewId="0">
      <selection activeCell="I165" sqref="I165:L169"/>
    </sheetView>
  </sheetViews>
  <sheetFormatPr baseColWidth="10" defaultRowHeight="14.4" x14ac:dyDescent="0.3"/>
  <cols>
    <col min="1" max="1" width="23.77734375" customWidth="1"/>
    <col min="2" max="2" width="13.77734375" customWidth="1"/>
    <col min="3" max="3" width="13.109375" customWidth="1"/>
    <col min="4" max="4" width="14.109375" customWidth="1"/>
    <col min="5" max="7" width="13.21875" customWidth="1"/>
    <col min="8" max="8" width="12.88671875" customWidth="1"/>
    <col min="9" max="9" width="13.21875" customWidth="1"/>
    <col min="10" max="10" width="11.21875" customWidth="1"/>
    <col min="11" max="13" width="12.77734375" customWidth="1"/>
    <col min="14" max="18" width="11.21875" customWidth="1"/>
    <col min="19" max="19" width="13.6640625" customWidth="1"/>
    <col min="20" max="20" width="13.5546875" customWidth="1"/>
    <col min="21" max="22" width="11.21875" customWidth="1"/>
    <col min="23" max="24" width="13.21875" customWidth="1"/>
    <col min="25" max="25" width="11.21875" customWidth="1"/>
    <col min="26" max="26" width="14.21875" customWidth="1"/>
    <col min="27" max="27" width="12.77734375" customWidth="1"/>
    <col min="28" max="28" width="11.21875" customWidth="1"/>
    <col min="29" max="29" width="13" customWidth="1"/>
    <col min="30" max="30" width="16.77734375" customWidth="1"/>
    <col min="31" max="31" width="15.21875" customWidth="1"/>
    <col min="38" max="42" width="12.109375" bestFit="1" customWidth="1"/>
    <col min="43" max="43" width="11.77734375" bestFit="1" customWidth="1"/>
    <col min="44" max="44" width="12.109375" bestFit="1" customWidth="1"/>
  </cols>
  <sheetData>
    <row r="1" spans="1:33" x14ac:dyDescent="0.3">
      <c r="A1" s="19" t="s">
        <v>74</v>
      </c>
    </row>
    <row r="2" spans="1:33" x14ac:dyDescent="0.3">
      <c r="A2" s="20" t="s">
        <v>75</v>
      </c>
      <c r="B2" s="20"/>
      <c r="C2" s="20"/>
      <c r="D2" s="20"/>
      <c r="AB2" s="496">
        <v>2016</v>
      </c>
      <c r="AC2" s="496">
        <v>2017</v>
      </c>
      <c r="AD2" s="496">
        <v>2018</v>
      </c>
      <c r="AE2" s="497">
        <v>2019</v>
      </c>
      <c r="AF2" s="572">
        <v>2020</v>
      </c>
      <c r="AG2" s="498">
        <v>2021</v>
      </c>
    </row>
    <row r="3" spans="1:33" x14ac:dyDescent="0.3">
      <c r="Y3" t="s">
        <v>496</v>
      </c>
      <c r="AB3" s="23">
        <v>5.7500000000000002E-2</v>
      </c>
      <c r="AC3" s="23">
        <v>4.0899999999999999E-2</v>
      </c>
      <c r="AD3" s="23">
        <v>3.1800000000000002E-2</v>
      </c>
      <c r="AE3" s="23">
        <v>3.7999999999999999E-2</v>
      </c>
      <c r="AF3" s="23">
        <v>1.61E-2</v>
      </c>
      <c r="AG3" s="364">
        <v>5.62E-2</v>
      </c>
    </row>
    <row r="4" spans="1:33" x14ac:dyDescent="0.3">
      <c r="B4" s="496">
        <v>2013</v>
      </c>
      <c r="C4" s="496">
        <v>2014</v>
      </c>
      <c r="D4" s="496">
        <v>2015</v>
      </c>
      <c r="E4" s="496">
        <v>2016</v>
      </c>
      <c r="F4" s="496">
        <v>2017</v>
      </c>
      <c r="G4" s="496">
        <v>2018</v>
      </c>
      <c r="H4" s="497">
        <v>2019</v>
      </c>
      <c r="I4" s="572">
        <v>2020</v>
      </c>
      <c r="J4" s="498">
        <v>2021</v>
      </c>
      <c r="R4" t="s">
        <v>498</v>
      </c>
      <c r="S4" t="s">
        <v>499</v>
      </c>
      <c r="W4" s="725">
        <f>+T13</f>
        <v>21.104913852952627</v>
      </c>
      <c r="Y4" s="286">
        <v>2019</v>
      </c>
      <c r="Z4" s="393">
        <v>21.1</v>
      </c>
    </row>
    <row r="5" spans="1:33" x14ac:dyDescent="0.3">
      <c r="A5" s="21" t="s">
        <v>76</v>
      </c>
      <c r="B5" s="22">
        <v>1.9400000000000001E-2</v>
      </c>
      <c r="C5" s="22">
        <v>3.6600000000000001E-2</v>
      </c>
      <c r="D5" s="23">
        <v>6.7699999999999996E-2</v>
      </c>
      <c r="E5" s="23">
        <v>5.7500000000000002E-2</v>
      </c>
      <c r="F5" s="23">
        <v>4.0899999999999999E-2</v>
      </c>
      <c r="G5" s="23">
        <v>3.1800000000000002E-2</v>
      </c>
      <c r="H5" s="23">
        <v>3.7999999999999999E-2</v>
      </c>
      <c r="I5" s="23">
        <v>1.61E-2</v>
      </c>
      <c r="J5" s="364">
        <v>5.62E-2</v>
      </c>
      <c r="R5">
        <v>2020</v>
      </c>
      <c r="S5" s="730">
        <v>81596633</v>
      </c>
      <c r="T5" s="728">
        <f>+S5*0.01</f>
        <v>815966.33000000007</v>
      </c>
      <c r="W5" s="726">
        <f>+W4*(1+AE3)</f>
        <v>21.906900579364827</v>
      </c>
      <c r="X5" s="727">
        <f>+ROUND(W4,2)*(1+AE3)</f>
        <v>21.901800000000001</v>
      </c>
      <c r="Y5" s="286">
        <v>2020</v>
      </c>
      <c r="Z5" s="393">
        <f>+Z4*(1+AE3)</f>
        <v>21.901800000000001</v>
      </c>
      <c r="AA5" s="393">
        <f>+ROUND(Z5,2)</f>
        <v>21.9</v>
      </c>
      <c r="AC5">
        <v>21.91</v>
      </c>
      <c r="AD5" s="393">
        <v>21.9</v>
      </c>
    </row>
    <row r="6" spans="1:33" x14ac:dyDescent="0.3">
      <c r="A6" s="24" t="s">
        <v>77</v>
      </c>
      <c r="B6" s="25"/>
      <c r="C6" s="26"/>
      <c r="D6" s="23">
        <v>7.9299999999999995E-2</v>
      </c>
      <c r="E6" s="27"/>
      <c r="F6" s="27"/>
      <c r="R6">
        <v>2021</v>
      </c>
      <c r="S6" s="730">
        <v>105647084</v>
      </c>
      <c r="T6" s="729">
        <f>+S6*0.01</f>
        <v>1056470.8400000001</v>
      </c>
      <c r="W6" s="411">
        <f>+W5*(1+AF3)</f>
        <v>22.259601678692601</v>
      </c>
      <c r="X6" s="393">
        <f>21.9*(1+AF3)</f>
        <v>22.252589999999998</v>
      </c>
      <c r="Y6" s="286">
        <v>2021</v>
      </c>
      <c r="Z6" s="393">
        <f>+AA5*(1+AF3)</f>
        <v>22.252589999999998</v>
      </c>
      <c r="AA6" s="393">
        <f>+ROUND(Z6,2)</f>
        <v>22.25</v>
      </c>
      <c r="AC6" s="351">
        <v>22.26</v>
      </c>
      <c r="AD6" s="508">
        <v>22.25</v>
      </c>
      <c r="AE6" s="508" t="s">
        <v>497</v>
      </c>
    </row>
    <row r="7" spans="1:33" x14ac:dyDescent="0.3">
      <c r="A7" s="27" t="s">
        <v>78</v>
      </c>
      <c r="Y7" s="286">
        <v>2022</v>
      </c>
      <c r="Z7" s="393">
        <f>+AA6*(1+AG3)</f>
        <v>23.500450000000001</v>
      </c>
      <c r="AA7" s="393">
        <f>+ROUND(Z7,2)</f>
        <v>23.5</v>
      </c>
    </row>
    <row r="8" spans="1:33" x14ac:dyDescent="0.3">
      <c r="C8" s="411"/>
      <c r="D8" s="411"/>
      <c r="E8" s="411"/>
      <c r="F8" s="411"/>
      <c r="G8" s="411"/>
      <c r="H8" s="411"/>
      <c r="I8" s="411"/>
      <c r="J8" s="411"/>
    </row>
    <row r="9" spans="1:33" x14ac:dyDescent="0.3">
      <c r="A9" s="19" t="s">
        <v>79</v>
      </c>
      <c r="H9" t="s">
        <v>415</v>
      </c>
      <c r="W9" s="411">
        <f>21.91*1.0161</f>
        <v>22.262751000000002</v>
      </c>
    </row>
    <row r="10" spans="1:33" ht="15" thickBot="1" x14ac:dyDescent="0.35"/>
    <row r="11" spans="1:33" x14ac:dyDescent="0.3">
      <c r="B11" s="818">
        <v>2013</v>
      </c>
      <c r="C11" s="818"/>
      <c r="D11" s="818"/>
      <c r="E11" s="818">
        <v>2014</v>
      </c>
      <c r="F11" s="818"/>
      <c r="G11" s="818"/>
      <c r="H11" s="818">
        <v>2015</v>
      </c>
      <c r="I11" s="818"/>
      <c r="J11" s="818"/>
      <c r="K11" s="818">
        <v>2016</v>
      </c>
      <c r="L11" s="818"/>
      <c r="M11" s="818"/>
      <c r="N11" s="818">
        <v>2017</v>
      </c>
      <c r="O11" s="818"/>
      <c r="P11" s="820"/>
      <c r="Q11" s="821">
        <v>2018</v>
      </c>
      <c r="R11" s="822"/>
      <c r="S11" s="823"/>
      <c r="T11" s="824">
        <v>2019</v>
      </c>
      <c r="U11" s="818"/>
      <c r="V11" s="820"/>
      <c r="W11" s="821">
        <v>2020</v>
      </c>
      <c r="X11" s="822"/>
      <c r="Y11" s="823"/>
      <c r="Z11" s="832">
        <v>2021</v>
      </c>
      <c r="AA11" s="833"/>
      <c r="AB11" s="833"/>
      <c r="AC11" s="834">
        <v>2022</v>
      </c>
      <c r="AD11" s="835"/>
      <c r="AE11" s="835"/>
    </row>
    <row r="12" spans="1:33" s="29" customFormat="1" ht="28.8" x14ac:dyDescent="0.3">
      <c r="A12" s="28" t="s">
        <v>80</v>
      </c>
      <c r="B12" s="28" t="s">
        <v>81</v>
      </c>
      <c r="C12" s="28" t="s">
        <v>82</v>
      </c>
      <c r="D12" s="28" t="s">
        <v>83</v>
      </c>
      <c r="E12" s="28" t="s">
        <v>81</v>
      </c>
      <c r="F12" s="28" t="s">
        <v>82</v>
      </c>
      <c r="G12" s="28" t="s">
        <v>83</v>
      </c>
      <c r="H12" s="28" t="s">
        <v>81</v>
      </c>
      <c r="I12" s="28" t="s">
        <v>82</v>
      </c>
      <c r="J12" s="28" t="s">
        <v>83</v>
      </c>
      <c r="K12" s="28" t="s">
        <v>81</v>
      </c>
      <c r="L12" s="28" t="s">
        <v>82</v>
      </c>
      <c r="M12" s="28" t="s">
        <v>83</v>
      </c>
      <c r="N12" s="28" t="s">
        <v>81</v>
      </c>
      <c r="O12" s="28" t="s">
        <v>82</v>
      </c>
      <c r="P12" s="369" t="s">
        <v>83</v>
      </c>
      <c r="Q12" s="376" t="s">
        <v>81</v>
      </c>
      <c r="R12" s="368" t="s">
        <v>82</v>
      </c>
      <c r="S12" s="377" t="s">
        <v>83</v>
      </c>
      <c r="T12" s="370" t="s">
        <v>81</v>
      </c>
      <c r="U12" s="28" t="s">
        <v>82</v>
      </c>
      <c r="V12" s="369" t="s">
        <v>83</v>
      </c>
      <c r="W12" s="376" t="s">
        <v>81</v>
      </c>
      <c r="X12" s="368" t="s">
        <v>82</v>
      </c>
      <c r="Y12" s="377" t="s">
        <v>83</v>
      </c>
      <c r="Z12" s="367" t="s">
        <v>81</v>
      </c>
      <c r="AA12" s="359" t="s">
        <v>82</v>
      </c>
      <c r="AB12" s="359" t="s">
        <v>83</v>
      </c>
      <c r="AC12" s="499" t="s">
        <v>81</v>
      </c>
      <c r="AD12" s="500" t="s">
        <v>82</v>
      </c>
      <c r="AE12" s="500" t="s">
        <v>83</v>
      </c>
    </row>
    <row r="13" spans="1:33" x14ac:dyDescent="0.3">
      <c r="A13" s="21" t="s">
        <v>84</v>
      </c>
      <c r="B13" s="21">
        <v>16.47</v>
      </c>
      <c r="C13" s="21">
        <v>16.47</v>
      </c>
      <c r="D13" s="21">
        <v>0</v>
      </c>
      <c r="E13" s="30">
        <f>B13*(1+$B$5)</f>
        <v>16.789518000000001</v>
      </c>
      <c r="F13" s="30">
        <f t="shared" ref="F13:G20" si="0">C13*(1+$B$5)</f>
        <v>16.789518000000001</v>
      </c>
      <c r="G13" s="30">
        <f t="shared" si="0"/>
        <v>0</v>
      </c>
      <c r="H13" s="30">
        <f>E13*(1+$C$5)</f>
        <v>17.404014358800001</v>
      </c>
      <c r="I13" s="30">
        <f>F13*(1+$C$5)</f>
        <v>17.404014358800001</v>
      </c>
      <c r="J13" s="30">
        <f>G13*(1+$C$5)</f>
        <v>0</v>
      </c>
      <c r="K13" s="30">
        <f>H13*(1+$D$5)</f>
        <v>18.582266130890762</v>
      </c>
      <c r="L13" s="30">
        <f>I13*(1+$D$5)</f>
        <v>18.582266130890762</v>
      </c>
      <c r="M13" s="30">
        <f>J13*(1+$D$5)</f>
        <v>0</v>
      </c>
      <c r="N13" s="31">
        <f>K13*(1+$E$5)</f>
        <v>19.650746433416984</v>
      </c>
      <c r="O13" s="31">
        <f t="shared" ref="O13:P21" si="1">L13*(1+$E$5)</f>
        <v>19.650746433416984</v>
      </c>
      <c r="P13" s="383">
        <f t="shared" si="1"/>
        <v>0</v>
      </c>
      <c r="Q13" s="385">
        <f>N13*(1+$F$5)</f>
        <v>20.454461962543736</v>
      </c>
      <c r="R13" s="32">
        <f>O13*(1+$F$5)</f>
        <v>20.454461962543736</v>
      </c>
      <c r="S13" s="386">
        <f>P13*(1+$F$5)</f>
        <v>0</v>
      </c>
      <c r="T13" s="384">
        <f t="shared" ref="T13:V21" si="2">Q13*(1+$G$5)</f>
        <v>21.104913852952627</v>
      </c>
      <c r="U13" s="33">
        <f t="shared" si="2"/>
        <v>21.104913852952627</v>
      </c>
      <c r="V13" s="374">
        <f t="shared" si="2"/>
        <v>0</v>
      </c>
      <c r="W13" s="410">
        <f t="shared" ref="W13:W21" si="3">T13*(1+$H$5)</f>
        <v>21.906900579364827</v>
      </c>
      <c r="X13" s="33">
        <f t="shared" ref="X13:X21" si="4">U13*(1+$H$5)</f>
        <v>21.906900579364827</v>
      </c>
      <c r="Y13" s="379">
        <f t="shared" ref="Y13:Y21" si="5">V13*(1+$G$5)</f>
        <v>0</v>
      </c>
      <c r="Z13" s="375">
        <f t="shared" ref="Z13:AA17" si="6">W13*(1+$I$5)-0.01</f>
        <v>22.249601678692599</v>
      </c>
      <c r="AA13" s="360">
        <f t="shared" si="6"/>
        <v>22.249601678692599</v>
      </c>
      <c r="AB13" s="358"/>
      <c r="AC13" s="501">
        <f>Z13*(1+$J$5)</f>
        <v>23.500029293035123</v>
      </c>
      <c r="AD13" s="502">
        <f t="shared" ref="AD13:AD21" si="7">AA13*(1+$J$5)</f>
        <v>23.500029293035123</v>
      </c>
      <c r="AE13" s="502"/>
      <c r="AG13" s="21" t="s">
        <v>84</v>
      </c>
    </row>
    <row r="14" spans="1:33" x14ac:dyDescent="0.3">
      <c r="A14" s="21" t="s">
        <v>85</v>
      </c>
      <c r="B14" s="21">
        <v>7.62</v>
      </c>
      <c r="C14" s="21">
        <v>16.47</v>
      </c>
      <c r="D14" s="21">
        <v>0</v>
      </c>
      <c r="E14" s="30">
        <f t="shared" ref="E14:E20" si="8">B14*(1+$B$5)</f>
        <v>7.7678280000000006</v>
      </c>
      <c r="F14" s="30">
        <f t="shared" si="0"/>
        <v>16.789518000000001</v>
      </c>
      <c r="G14" s="30">
        <f t="shared" si="0"/>
        <v>0</v>
      </c>
      <c r="H14" s="30">
        <f t="shared" ref="H14:J20" si="9">E14*(1+$C$5)</f>
        <v>8.0521305048000009</v>
      </c>
      <c r="I14" s="30">
        <f t="shared" si="9"/>
        <v>17.404014358800001</v>
      </c>
      <c r="J14" s="30">
        <f t="shared" si="9"/>
        <v>0</v>
      </c>
      <c r="K14" s="30">
        <f t="shared" ref="K14:M20" si="10">H14*(1+$D$5)</f>
        <v>8.5972597399749624</v>
      </c>
      <c r="L14" s="30">
        <f t="shared" si="10"/>
        <v>18.582266130890762</v>
      </c>
      <c r="M14" s="30">
        <f t="shared" si="10"/>
        <v>0</v>
      </c>
      <c r="N14" s="31">
        <f t="shared" ref="N14:N21" si="11">K14*(1+$E$5)</f>
        <v>9.0916021750235245</v>
      </c>
      <c r="O14" s="31">
        <f t="shared" si="1"/>
        <v>19.650746433416984</v>
      </c>
      <c r="P14" s="383">
        <f t="shared" si="1"/>
        <v>0</v>
      </c>
      <c r="Q14" s="385">
        <f t="shared" ref="Q14:S21" si="12">N14*(1+$F$5)</f>
        <v>9.4634487039819852</v>
      </c>
      <c r="R14" s="32">
        <f t="shared" si="12"/>
        <v>20.454461962543736</v>
      </c>
      <c r="S14" s="386">
        <f t="shared" si="12"/>
        <v>0</v>
      </c>
      <c r="T14" s="384">
        <f t="shared" si="2"/>
        <v>9.7643863727686124</v>
      </c>
      <c r="U14" s="33">
        <f t="shared" si="2"/>
        <v>21.104913852952627</v>
      </c>
      <c r="V14" s="374">
        <f t="shared" si="2"/>
        <v>0</v>
      </c>
      <c r="W14" s="378">
        <f t="shared" si="3"/>
        <v>10.13543305493382</v>
      </c>
      <c r="X14" s="33">
        <f t="shared" si="4"/>
        <v>21.906900579364827</v>
      </c>
      <c r="Y14" s="379">
        <f t="shared" si="5"/>
        <v>0</v>
      </c>
      <c r="Z14" s="390">
        <f t="shared" si="6"/>
        <v>10.288613527118255</v>
      </c>
      <c r="AA14" s="360">
        <f t="shared" si="6"/>
        <v>22.249601678692599</v>
      </c>
      <c r="AB14" s="358"/>
      <c r="AC14" s="501">
        <f t="shared" ref="AC14:AC21" si="13">Z14*(1+$J$5)</f>
        <v>10.866833607342301</v>
      </c>
      <c r="AD14" s="502">
        <f t="shared" si="7"/>
        <v>23.500029293035123</v>
      </c>
      <c r="AE14" s="502"/>
      <c r="AG14" s="21" t="s">
        <v>85</v>
      </c>
    </row>
    <row r="15" spans="1:33" x14ac:dyDescent="0.3">
      <c r="A15" s="21" t="s">
        <v>86</v>
      </c>
      <c r="B15" s="21">
        <v>16.47</v>
      </c>
      <c r="C15" s="21">
        <v>16.47</v>
      </c>
      <c r="D15" s="21">
        <v>0</v>
      </c>
      <c r="E15" s="30">
        <f>B15*(1+$B$5)</f>
        <v>16.789518000000001</v>
      </c>
      <c r="F15" s="30">
        <f t="shared" si="0"/>
        <v>16.789518000000001</v>
      </c>
      <c r="G15" s="30">
        <f t="shared" si="0"/>
        <v>0</v>
      </c>
      <c r="H15" s="30">
        <f t="shared" si="9"/>
        <v>17.404014358800001</v>
      </c>
      <c r="I15" s="30">
        <f t="shared" si="9"/>
        <v>17.404014358800001</v>
      </c>
      <c r="J15" s="30">
        <f t="shared" si="9"/>
        <v>0</v>
      </c>
      <c r="K15" s="30">
        <f t="shared" si="10"/>
        <v>18.582266130890762</v>
      </c>
      <c r="L15" s="30">
        <f t="shared" si="10"/>
        <v>18.582266130890762</v>
      </c>
      <c r="M15" s="30">
        <f t="shared" si="10"/>
        <v>0</v>
      </c>
      <c r="N15" s="31">
        <f t="shared" si="11"/>
        <v>19.650746433416984</v>
      </c>
      <c r="O15" s="31">
        <f t="shared" si="1"/>
        <v>19.650746433416984</v>
      </c>
      <c r="P15" s="383">
        <f t="shared" si="1"/>
        <v>0</v>
      </c>
      <c r="Q15" s="385">
        <f t="shared" si="12"/>
        <v>20.454461962543736</v>
      </c>
      <c r="R15" s="32">
        <f t="shared" si="12"/>
        <v>20.454461962543736</v>
      </c>
      <c r="S15" s="386">
        <f t="shared" si="12"/>
        <v>0</v>
      </c>
      <c r="T15" s="384">
        <f t="shared" si="2"/>
        <v>21.104913852952627</v>
      </c>
      <c r="U15" s="33">
        <f t="shared" si="2"/>
        <v>21.104913852952627</v>
      </c>
      <c r="V15" s="374">
        <f t="shared" si="2"/>
        <v>0</v>
      </c>
      <c r="W15" s="410">
        <f t="shared" si="3"/>
        <v>21.906900579364827</v>
      </c>
      <c r="X15" s="33">
        <f t="shared" si="4"/>
        <v>21.906900579364827</v>
      </c>
      <c r="Y15" s="379">
        <f t="shared" si="5"/>
        <v>0</v>
      </c>
      <c r="Z15" s="375">
        <f>W15*(1+$I$5)-0.009</f>
        <v>22.2506016786926</v>
      </c>
      <c r="AA15" s="360">
        <f t="shared" si="6"/>
        <v>22.249601678692599</v>
      </c>
      <c r="AB15" s="358"/>
      <c r="AC15" s="501">
        <f t="shared" si="13"/>
        <v>23.501085493035124</v>
      </c>
      <c r="AD15" s="502">
        <f t="shared" si="7"/>
        <v>23.500029293035123</v>
      </c>
      <c r="AE15" s="502"/>
      <c r="AG15" s="21" t="s">
        <v>86</v>
      </c>
    </row>
    <row r="16" spans="1:33" x14ac:dyDescent="0.3">
      <c r="A16" s="21" t="s">
        <v>87</v>
      </c>
      <c r="B16" s="21">
        <v>7.62</v>
      </c>
      <c r="C16" s="21">
        <v>16.47</v>
      </c>
      <c r="D16" s="21">
        <v>0</v>
      </c>
      <c r="E16" s="30">
        <f t="shared" si="8"/>
        <v>7.7678280000000006</v>
      </c>
      <c r="F16" s="30">
        <f t="shared" si="0"/>
        <v>16.789518000000001</v>
      </c>
      <c r="G16" s="30">
        <f t="shared" si="0"/>
        <v>0</v>
      </c>
      <c r="H16" s="30">
        <f t="shared" si="9"/>
        <v>8.0521305048000009</v>
      </c>
      <c r="I16" s="30">
        <f t="shared" si="9"/>
        <v>17.404014358800001</v>
      </c>
      <c r="J16" s="30">
        <f t="shared" si="9"/>
        <v>0</v>
      </c>
      <c r="K16" s="30">
        <f t="shared" si="10"/>
        <v>8.5972597399749624</v>
      </c>
      <c r="L16" s="30">
        <f t="shared" si="10"/>
        <v>18.582266130890762</v>
      </c>
      <c r="M16" s="30">
        <f t="shared" si="10"/>
        <v>0</v>
      </c>
      <c r="N16" s="31">
        <f t="shared" si="11"/>
        <v>9.0916021750235245</v>
      </c>
      <c r="O16" s="31">
        <f t="shared" si="1"/>
        <v>19.650746433416984</v>
      </c>
      <c r="P16" s="383">
        <f t="shared" si="1"/>
        <v>0</v>
      </c>
      <c r="Q16" s="385">
        <f t="shared" si="12"/>
        <v>9.4634487039819852</v>
      </c>
      <c r="R16" s="32">
        <f t="shared" si="12"/>
        <v>20.454461962543736</v>
      </c>
      <c r="S16" s="386">
        <f t="shared" si="12"/>
        <v>0</v>
      </c>
      <c r="T16" s="384">
        <f t="shared" si="2"/>
        <v>9.7643863727686124</v>
      </c>
      <c r="U16" s="33">
        <f t="shared" si="2"/>
        <v>21.104913852952627</v>
      </c>
      <c r="V16" s="374">
        <f t="shared" si="2"/>
        <v>0</v>
      </c>
      <c r="W16" s="378">
        <f t="shared" si="3"/>
        <v>10.13543305493382</v>
      </c>
      <c r="X16" s="33">
        <f t="shared" si="4"/>
        <v>21.906900579364827</v>
      </c>
      <c r="Y16" s="379">
        <f t="shared" si="5"/>
        <v>0</v>
      </c>
      <c r="Z16" s="390">
        <f t="shared" si="6"/>
        <v>10.288613527118255</v>
      </c>
      <c r="AA16" s="360">
        <f t="shared" si="6"/>
        <v>22.249601678692599</v>
      </c>
      <c r="AB16" s="358"/>
      <c r="AC16" s="501">
        <f t="shared" si="13"/>
        <v>10.866833607342301</v>
      </c>
      <c r="AD16" s="502">
        <f t="shared" si="7"/>
        <v>23.500029293035123</v>
      </c>
      <c r="AE16" s="502"/>
      <c r="AG16" s="21" t="s">
        <v>87</v>
      </c>
    </row>
    <row r="17" spans="1:51" x14ac:dyDescent="0.3">
      <c r="A17" s="21" t="s">
        <v>88</v>
      </c>
      <c r="B17" s="21">
        <v>16.47</v>
      </c>
      <c r="C17" s="21">
        <v>16.47</v>
      </c>
      <c r="D17" s="21">
        <v>16.47</v>
      </c>
      <c r="E17" s="30">
        <f t="shared" si="8"/>
        <v>16.789518000000001</v>
      </c>
      <c r="F17" s="30">
        <f t="shared" si="0"/>
        <v>16.789518000000001</v>
      </c>
      <c r="G17" s="30">
        <f t="shared" si="0"/>
        <v>16.789518000000001</v>
      </c>
      <c r="H17" s="30">
        <f t="shared" si="9"/>
        <v>17.404014358800001</v>
      </c>
      <c r="I17" s="30">
        <f t="shared" si="9"/>
        <v>17.404014358800001</v>
      </c>
      <c r="J17" s="30">
        <f t="shared" si="9"/>
        <v>17.404014358800001</v>
      </c>
      <c r="K17" s="30">
        <f t="shared" si="10"/>
        <v>18.582266130890762</v>
      </c>
      <c r="L17" s="30">
        <f t="shared" si="10"/>
        <v>18.582266130890762</v>
      </c>
      <c r="M17" s="30">
        <f t="shared" si="10"/>
        <v>18.582266130890762</v>
      </c>
      <c r="N17" s="31">
        <f t="shared" si="11"/>
        <v>19.650746433416984</v>
      </c>
      <c r="O17" s="31">
        <f t="shared" si="1"/>
        <v>19.650746433416984</v>
      </c>
      <c r="P17" s="383">
        <f t="shared" si="1"/>
        <v>19.650746433416984</v>
      </c>
      <c r="Q17" s="385">
        <f t="shared" si="12"/>
        <v>20.454461962543736</v>
      </c>
      <c r="R17" s="32">
        <f t="shared" si="12"/>
        <v>20.454461962543736</v>
      </c>
      <c r="S17" s="386">
        <f t="shared" si="12"/>
        <v>20.454461962543736</v>
      </c>
      <c r="T17" s="384">
        <f t="shared" si="2"/>
        <v>21.104913852952627</v>
      </c>
      <c r="U17" s="33">
        <f t="shared" si="2"/>
        <v>21.104913852952627</v>
      </c>
      <c r="V17" s="374">
        <f t="shared" si="2"/>
        <v>21.104913852952627</v>
      </c>
      <c r="W17" s="378">
        <f t="shared" si="3"/>
        <v>21.906900579364827</v>
      </c>
      <c r="X17" s="33">
        <f t="shared" si="4"/>
        <v>21.906900579364827</v>
      </c>
      <c r="Y17" s="379">
        <f t="shared" si="5"/>
        <v>21.776050113476522</v>
      </c>
      <c r="Z17" s="375">
        <f t="shared" si="6"/>
        <v>22.249601678692599</v>
      </c>
      <c r="AA17" s="360">
        <f t="shared" si="6"/>
        <v>22.249601678692599</v>
      </c>
      <c r="AB17" s="358"/>
      <c r="AC17" s="501">
        <f t="shared" si="13"/>
        <v>23.500029293035123</v>
      </c>
      <c r="AD17" s="502">
        <f t="shared" si="7"/>
        <v>23.500029293035123</v>
      </c>
      <c r="AE17" s="502"/>
      <c r="AG17" s="21" t="s">
        <v>88</v>
      </c>
    </row>
    <row r="18" spans="1:51" x14ac:dyDescent="0.3">
      <c r="A18" s="21" t="s">
        <v>89</v>
      </c>
      <c r="B18" s="21">
        <v>11.21</v>
      </c>
      <c r="C18" s="21">
        <v>16.47</v>
      </c>
      <c r="D18" s="21">
        <v>0</v>
      </c>
      <c r="E18" s="30">
        <f t="shared" si="8"/>
        <v>11.427474000000002</v>
      </c>
      <c r="F18" s="30">
        <f t="shared" si="0"/>
        <v>16.789518000000001</v>
      </c>
      <c r="G18" s="30">
        <f t="shared" si="0"/>
        <v>0</v>
      </c>
      <c r="H18" s="30">
        <f t="shared" si="9"/>
        <v>11.845719548400002</v>
      </c>
      <c r="I18" s="30">
        <f t="shared" si="9"/>
        <v>17.404014358800001</v>
      </c>
      <c r="J18" s="30">
        <f t="shared" si="9"/>
        <v>0</v>
      </c>
      <c r="K18" s="30">
        <f t="shared" si="10"/>
        <v>12.647674761826684</v>
      </c>
      <c r="L18" s="30">
        <f t="shared" si="10"/>
        <v>18.582266130890762</v>
      </c>
      <c r="M18" s="30">
        <f t="shared" si="10"/>
        <v>0</v>
      </c>
      <c r="N18" s="31">
        <f t="shared" si="11"/>
        <v>13.374916060631719</v>
      </c>
      <c r="O18" s="31">
        <f t="shared" si="1"/>
        <v>19.650746433416984</v>
      </c>
      <c r="P18" s="383">
        <f t="shared" si="1"/>
        <v>0</v>
      </c>
      <c r="Q18" s="385">
        <f t="shared" si="12"/>
        <v>13.921950127511556</v>
      </c>
      <c r="R18" s="32">
        <f t="shared" si="12"/>
        <v>20.454461962543736</v>
      </c>
      <c r="S18" s="386">
        <f t="shared" si="12"/>
        <v>0</v>
      </c>
      <c r="T18" s="384">
        <f t="shared" si="2"/>
        <v>14.364668141566424</v>
      </c>
      <c r="U18" s="33">
        <f t="shared" si="2"/>
        <v>21.104913852952627</v>
      </c>
      <c r="V18" s="374">
        <f t="shared" si="2"/>
        <v>0</v>
      </c>
      <c r="W18" s="378">
        <f t="shared" si="3"/>
        <v>14.910525530945948</v>
      </c>
      <c r="X18" s="33">
        <f t="shared" si="4"/>
        <v>21.906900579364827</v>
      </c>
      <c r="Y18" s="379">
        <f t="shared" si="5"/>
        <v>0</v>
      </c>
      <c r="Z18" s="390">
        <f t="shared" ref="Z18" si="14">W18*(1+$I$5)</f>
        <v>15.150584991994178</v>
      </c>
      <c r="AA18" s="360">
        <f>X18*(1+$I$5)-0.01</f>
        <v>22.249601678692599</v>
      </c>
      <c r="AB18" s="358"/>
      <c r="AC18" s="501">
        <f t="shared" si="13"/>
        <v>16.002047868544253</v>
      </c>
      <c r="AD18" s="502">
        <f t="shared" si="7"/>
        <v>23.500029293035123</v>
      </c>
      <c r="AE18" s="502"/>
      <c r="AG18" s="21" t="s">
        <v>89</v>
      </c>
    </row>
    <row r="19" spans="1:51" x14ac:dyDescent="0.3">
      <c r="A19" s="21" t="s">
        <v>90</v>
      </c>
      <c r="B19" s="21">
        <v>16.47</v>
      </c>
      <c r="C19" s="21">
        <v>16.47</v>
      </c>
      <c r="D19" s="21">
        <v>0</v>
      </c>
      <c r="E19" s="30">
        <f t="shared" si="8"/>
        <v>16.789518000000001</v>
      </c>
      <c r="F19" s="30">
        <f t="shared" si="0"/>
        <v>16.789518000000001</v>
      </c>
      <c r="G19" s="30">
        <f t="shared" si="0"/>
        <v>0</v>
      </c>
      <c r="H19" s="30">
        <f t="shared" si="9"/>
        <v>17.404014358800001</v>
      </c>
      <c r="I19" s="30">
        <f t="shared" si="9"/>
        <v>17.404014358800001</v>
      </c>
      <c r="J19" s="30">
        <f t="shared" si="9"/>
        <v>0</v>
      </c>
      <c r="K19" s="30">
        <f t="shared" si="10"/>
        <v>18.582266130890762</v>
      </c>
      <c r="L19" s="30">
        <f t="shared" si="10"/>
        <v>18.582266130890762</v>
      </c>
      <c r="M19" s="30">
        <f t="shared" si="10"/>
        <v>0</v>
      </c>
      <c r="N19" s="31">
        <f t="shared" si="11"/>
        <v>19.650746433416984</v>
      </c>
      <c r="O19" s="31">
        <f t="shared" si="1"/>
        <v>19.650746433416984</v>
      </c>
      <c r="P19" s="383">
        <f t="shared" si="1"/>
        <v>0</v>
      </c>
      <c r="Q19" s="385">
        <f t="shared" si="12"/>
        <v>20.454461962543736</v>
      </c>
      <c r="R19" s="32">
        <f t="shared" si="12"/>
        <v>20.454461962543736</v>
      </c>
      <c r="S19" s="386">
        <f t="shared" si="12"/>
        <v>0</v>
      </c>
      <c r="T19" s="384">
        <f t="shared" si="2"/>
        <v>21.104913852952627</v>
      </c>
      <c r="U19" s="33">
        <f t="shared" si="2"/>
        <v>21.104913852952627</v>
      </c>
      <c r="V19" s="374">
        <f t="shared" si="2"/>
        <v>0</v>
      </c>
      <c r="W19" s="378">
        <f t="shared" si="3"/>
        <v>21.906900579364827</v>
      </c>
      <c r="X19" s="33">
        <f t="shared" si="4"/>
        <v>21.906900579364827</v>
      </c>
      <c r="Y19" s="379">
        <f t="shared" si="5"/>
        <v>0</v>
      </c>
      <c r="Z19" s="375">
        <f>W19*(1+$I$5)-0.01</f>
        <v>22.249601678692599</v>
      </c>
      <c r="AA19" s="360">
        <f>X19*(1+$I$5)-0.01</f>
        <v>22.249601678692599</v>
      </c>
      <c r="AB19" s="358"/>
      <c r="AC19" s="501">
        <f t="shared" si="13"/>
        <v>23.500029293035123</v>
      </c>
      <c r="AD19" s="502">
        <f t="shared" si="7"/>
        <v>23.500029293035123</v>
      </c>
      <c r="AE19" s="502"/>
      <c r="AG19" s="21" t="s">
        <v>90</v>
      </c>
    </row>
    <row r="20" spans="1:51" x14ac:dyDescent="0.3">
      <c r="A20" s="21" t="s">
        <v>91</v>
      </c>
      <c r="B20" s="21">
        <v>7.62</v>
      </c>
      <c r="C20" s="21">
        <v>16.47</v>
      </c>
      <c r="D20" s="21">
        <v>0</v>
      </c>
      <c r="E20" s="30">
        <f t="shared" si="8"/>
        <v>7.7678280000000006</v>
      </c>
      <c r="F20" s="30">
        <f t="shared" si="0"/>
        <v>16.789518000000001</v>
      </c>
      <c r="G20" s="30">
        <f t="shared" si="0"/>
        <v>0</v>
      </c>
      <c r="H20" s="30">
        <f t="shared" si="9"/>
        <v>8.0521305048000009</v>
      </c>
      <c r="I20" s="30">
        <f t="shared" si="9"/>
        <v>17.404014358800001</v>
      </c>
      <c r="J20" s="30">
        <f t="shared" si="9"/>
        <v>0</v>
      </c>
      <c r="K20" s="30">
        <f t="shared" si="10"/>
        <v>8.5972597399749624</v>
      </c>
      <c r="L20" s="30">
        <f t="shared" si="10"/>
        <v>18.582266130890762</v>
      </c>
      <c r="M20" s="30">
        <f t="shared" si="10"/>
        <v>0</v>
      </c>
      <c r="N20" s="31">
        <f t="shared" si="11"/>
        <v>9.0916021750235245</v>
      </c>
      <c r="O20" s="31">
        <f t="shared" si="1"/>
        <v>19.650746433416984</v>
      </c>
      <c r="P20" s="383">
        <f t="shared" si="1"/>
        <v>0</v>
      </c>
      <c r="Q20" s="385">
        <f t="shared" si="12"/>
        <v>9.4634487039819852</v>
      </c>
      <c r="R20" s="32">
        <f t="shared" si="12"/>
        <v>20.454461962543736</v>
      </c>
      <c r="S20" s="386">
        <f t="shared" si="12"/>
        <v>0</v>
      </c>
      <c r="T20" s="384">
        <f t="shared" si="2"/>
        <v>9.7643863727686124</v>
      </c>
      <c r="U20" s="33">
        <f t="shared" si="2"/>
        <v>21.104913852952627</v>
      </c>
      <c r="V20" s="374">
        <f t="shared" si="2"/>
        <v>0</v>
      </c>
      <c r="W20" s="378">
        <f t="shared" si="3"/>
        <v>10.13543305493382</v>
      </c>
      <c r="X20" s="33">
        <f t="shared" si="4"/>
        <v>21.906900579364827</v>
      </c>
      <c r="Y20" s="379">
        <f t="shared" si="5"/>
        <v>0</v>
      </c>
      <c r="Z20" s="390">
        <f>W20*(1+$I$5)-0.01</f>
        <v>10.288613527118255</v>
      </c>
      <c r="AA20" s="360">
        <f>X20*(1+$I$5)-0.01</f>
        <v>22.249601678692599</v>
      </c>
      <c r="AB20" s="358"/>
      <c r="AC20" s="501">
        <f t="shared" si="13"/>
        <v>10.866833607342301</v>
      </c>
      <c r="AD20" s="502">
        <f t="shared" si="7"/>
        <v>23.500029293035123</v>
      </c>
      <c r="AE20" s="502"/>
      <c r="AG20" s="21" t="s">
        <v>91</v>
      </c>
    </row>
    <row r="21" spans="1:51" ht="15" thickBot="1" x14ac:dyDescent="0.35">
      <c r="A21" s="21" t="s">
        <v>92</v>
      </c>
      <c r="B21" s="21"/>
      <c r="C21" s="21"/>
      <c r="D21" s="21"/>
      <c r="E21" s="30"/>
      <c r="F21" s="30"/>
      <c r="G21" s="30"/>
      <c r="H21" s="30"/>
      <c r="I21" s="30"/>
      <c r="J21" s="30"/>
      <c r="K21" s="30">
        <f>K13</f>
        <v>18.582266130890762</v>
      </c>
      <c r="L21" s="30">
        <f>L13</f>
        <v>18.582266130890762</v>
      </c>
      <c r="M21" s="30">
        <f>M13</f>
        <v>0</v>
      </c>
      <c r="N21" s="31">
        <f t="shared" si="11"/>
        <v>19.650746433416984</v>
      </c>
      <c r="O21" s="31">
        <f t="shared" si="1"/>
        <v>19.650746433416984</v>
      </c>
      <c r="P21" s="383">
        <f t="shared" si="1"/>
        <v>0</v>
      </c>
      <c r="Q21" s="387">
        <f t="shared" si="12"/>
        <v>20.454461962543736</v>
      </c>
      <c r="R21" s="388">
        <f t="shared" si="12"/>
        <v>20.454461962543736</v>
      </c>
      <c r="S21" s="389">
        <f t="shared" si="12"/>
        <v>0</v>
      </c>
      <c r="T21" s="384">
        <f t="shared" si="2"/>
        <v>21.104913852952627</v>
      </c>
      <c r="U21" s="33">
        <f t="shared" si="2"/>
        <v>21.104913852952627</v>
      </c>
      <c r="V21" s="374">
        <f t="shared" si="2"/>
        <v>0</v>
      </c>
      <c r="W21" s="380">
        <f t="shared" si="3"/>
        <v>21.906900579364827</v>
      </c>
      <c r="X21" s="381">
        <f t="shared" si="4"/>
        <v>21.906900579364827</v>
      </c>
      <c r="Y21" s="382">
        <f t="shared" si="5"/>
        <v>0</v>
      </c>
      <c r="Z21" s="375">
        <f>W21*(1+$I$5)-0.01</f>
        <v>22.249601678692599</v>
      </c>
      <c r="AA21" s="360">
        <f>X21*(1+$I$5)-0.01</f>
        <v>22.249601678692599</v>
      </c>
      <c r="AB21" s="358"/>
      <c r="AC21" s="501">
        <f t="shared" si="13"/>
        <v>23.500029293035123</v>
      </c>
      <c r="AD21" s="502">
        <f t="shared" si="7"/>
        <v>23.500029293035123</v>
      </c>
      <c r="AE21" s="502"/>
      <c r="AG21" s="21" t="s">
        <v>92</v>
      </c>
    </row>
    <row r="22" spans="1:51" x14ac:dyDescent="0.3">
      <c r="W22" s="403"/>
    </row>
    <row r="23" spans="1:51" x14ac:dyDescent="0.3">
      <c r="A23" s="19" t="s">
        <v>93</v>
      </c>
      <c r="W23" s="403"/>
    </row>
    <row r="24" spans="1:51" x14ac:dyDescent="0.3">
      <c r="L24" t="s">
        <v>94</v>
      </c>
      <c r="P24" s="34">
        <v>0.03</v>
      </c>
      <c r="Q24" t="s">
        <v>95</v>
      </c>
      <c r="U24" s="34">
        <v>0.03</v>
      </c>
      <c r="V24" t="s">
        <v>95</v>
      </c>
      <c r="Z24" s="34">
        <v>0.03</v>
      </c>
      <c r="AA24" t="s">
        <v>455</v>
      </c>
      <c r="AE24" s="34">
        <v>0.03</v>
      </c>
      <c r="AF24" t="s">
        <v>454</v>
      </c>
      <c r="AJ24" s="34">
        <v>0.03</v>
      </c>
      <c r="AK24" t="s">
        <v>390</v>
      </c>
      <c r="AO24" s="34">
        <v>0.03</v>
      </c>
      <c r="AP24" s="361" t="s">
        <v>386</v>
      </c>
      <c r="AQ24" s="361"/>
      <c r="AR24" s="361"/>
      <c r="AS24" s="361"/>
      <c r="AT24" s="362">
        <v>0.03</v>
      </c>
      <c r="AU24" s="503" t="s">
        <v>456</v>
      </c>
      <c r="AV24" s="503"/>
      <c r="AW24" s="503"/>
      <c r="AX24" s="503"/>
      <c r="AY24" s="504">
        <v>0.03</v>
      </c>
    </row>
    <row r="25" spans="1:51" x14ac:dyDescent="0.3">
      <c r="A25" s="825" t="s">
        <v>80</v>
      </c>
      <c r="B25" s="818" t="s">
        <v>416</v>
      </c>
      <c r="C25" s="818"/>
      <c r="D25" s="818"/>
      <c r="E25" s="818"/>
      <c r="F25" s="818"/>
      <c r="G25" s="818">
        <v>2014</v>
      </c>
      <c r="H25" s="818"/>
      <c r="I25" s="818"/>
      <c r="J25" s="818"/>
      <c r="K25" s="818"/>
      <c r="L25" s="820">
        <v>2015</v>
      </c>
      <c r="M25" s="829"/>
      <c r="N25" s="829"/>
      <c r="O25" s="829"/>
      <c r="P25" s="824"/>
      <c r="Q25" s="820">
        <v>2016</v>
      </c>
      <c r="R25" s="829"/>
      <c r="S25" s="829"/>
      <c r="T25" s="829"/>
      <c r="U25" s="824"/>
      <c r="V25" s="820">
        <v>2017</v>
      </c>
      <c r="W25" s="829"/>
      <c r="X25" s="829"/>
      <c r="Y25" s="829"/>
      <c r="Z25" s="824"/>
      <c r="AA25" s="820">
        <v>2018</v>
      </c>
      <c r="AB25" s="829"/>
      <c r="AC25" s="829"/>
      <c r="AD25" s="829"/>
      <c r="AE25" s="824"/>
      <c r="AF25" s="820">
        <v>2019</v>
      </c>
      <c r="AG25" s="829"/>
      <c r="AH25" s="829"/>
      <c r="AI25" s="829"/>
      <c r="AJ25" s="824"/>
      <c r="AK25" s="820">
        <v>2020</v>
      </c>
      <c r="AL25" s="829"/>
      <c r="AM25" s="829"/>
      <c r="AN25" s="829"/>
      <c r="AO25" s="824"/>
      <c r="AP25" s="836">
        <v>2021</v>
      </c>
      <c r="AQ25" s="837"/>
      <c r="AR25" s="837"/>
      <c r="AS25" s="837"/>
      <c r="AT25" s="832"/>
      <c r="AU25" s="843">
        <v>2022</v>
      </c>
      <c r="AV25" s="844"/>
      <c r="AW25" s="844"/>
      <c r="AX25" s="844"/>
      <c r="AY25" s="845"/>
    </row>
    <row r="26" spans="1:51" ht="30.15" customHeight="1" x14ac:dyDescent="0.3">
      <c r="A26" s="825"/>
      <c r="B26" s="825" t="s">
        <v>81</v>
      </c>
      <c r="C26" s="825"/>
      <c r="D26" s="825" t="s">
        <v>82</v>
      </c>
      <c r="E26" s="825"/>
      <c r="F26" s="825" t="s">
        <v>83</v>
      </c>
      <c r="G26" s="825" t="s">
        <v>81</v>
      </c>
      <c r="H26" s="825"/>
      <c r="I26" s="825" t="s">
        <v>82</v>
      </c>
      <c r="J26" s="825"/>
      <c r="K26" s="825" t="s">
        <v>83</v>
      </c>
      <c r="L26" s="827" t="s">
        <v>81</v>
      </c>
      <c r="M26" s="828"/>
      <c r="N26" s="827" t="s">
        <v>82</v>
      </c>
      <c r="O26" s="828"/>
      <c r="P26" s="830" t="s">
        <v>83</v>
      </c>
      <c r="Q26" s="827" t="s">
        <v>81</v>
      </c>
      <c r="R26" s="828"/>
      <c r="S26" s="827" t="s">
        <v>82</v>
      </c>
      <c r="T26" s="828"/>
      <c r="U26" s="830" t="s">
        <v>83</v>
      </c>
      <c r="V26" s="827" t="s">
        <v>81</v>
      </c>
      <c r="W26" s="828"/>
      <c r="X26" s="827" t="s">
        <v>82</v>
      </c>
      <c r="Y26" s="828"/>
      <c r="Z26" s="830" t="s">
        <v>83</v>
      </c>
      <c r="AA26" s="827" t="s">
        <v>81</v>
      </c>
      <c r="AB26" s="828"/>
      <c r="AC26" s="827" t="s">
        <v>82</v>
      </c>
      <c r="AD26" s="828"/>
      <c r="AE26" s="830" t="s">
        <v>83</v>
      </c>
      <c r="AF26" s="827" t="s">
        <v>81</v>
      </c>
      <c r="AG26" s="828"/>
      <c r="AH26" s="827" t="s">
        <v>82</v>
      </c>
      <c r="AI26" s="828"/>
      <c r="AJ26" s="830" t="s">
        <v>83</v>
      </c>
      <c r="AK26" s="827" t="s">
        <v>81</v>
      </c>
      <c r="AL26" s="828"/>
      <c r="AM26" s="827" t="s">
        <v>82</v>
      </c>
      <c r="AN26" s="828"/>
      <c r="AO26" s="830" t="s">
        <v>83</v>
      </c>
      <c r="AP26" s="838" t="s">
        <v>81</v>
      </c>
      <c r="AQ26" s="839"/>
      <c r="AR26" s="838" t="s">
        <v>82</v>
      </c>
      <c r="AS26" s="839"/>
      <c r="AT26" s="840" t="s">
        <v>83</v>
      </c>
      <c r="AU26" s="846" t="s">
        <v>81</v>
      </c>
      <c r="AV26" s="847"/>
      <c r="AW26" s="846" t="s">
        <v>82</v>
      </c>
      <c r="AX26" s="847"/>
      <c r="AY26" s="848" t="s">
        <v>83</v>
      </c>
    </row>
    <row r="27" spans="1:51" ht="28.8" x14ac:dyDescent="0.3">
      <c r="A27" s="825"/>
      <c r="B27" s="28" t="s">
        <v>96</v>
      </c>
      <c r="C27" s="28" t="s">
        <v>97</v>
      </c>
      <c r="D27" s="28" t="s">
        <v>96</v>
      </c>
      <c r="E27" s="28" t="s">
        <v>97</v>
      </c>
      <c r="F27" s="825"/>
      <c r="G27" s="28" t="s">
        <v>96</v>
      </c>
      <c r="H27" s="28" t="s">
        <v>97</v>
      </c>
      <c r="I27" s="28" t="s">
        <v>96</v>
      </c>
      <c r="J27" s="28" t="s">
        <v>97</v>
      </c>
      <c r="K27" s="825"/>
      <c r="L27" s="28" t="s">
        <v>96</v>
      </c>
      <c r="M27" s="28" t="s">
        <v>97</v>
      </c>
      <c r="N27" s="28" t="s">
        <v>96</v>
      </c>
      <c r="O27" s="28" t="s">
        <v>97</v>
      </c>
      <c r="P27" s="831"/>
      <c r="Q27" s="28" t="s">
        <v>96</v>
      </c>
      <c r="R27" s="28" t="s">
        <v>97</v>
      </c>
      <c r="S27" s="28" t="s">
        <v>96</v>
      </c>
      <c r="T27" s="28" t="s">
        <v>97</v>
      </c>
      <c r="U27" s="831"/>
      <c r="V27" s="28" t="s">
        <v>96</v>
      </c>
      <c r="W27" s="28" t="s">
        <v>97</v>
      </c>
      <c r="X27" s="28" t="s">
        <v>96</v>
      </c>
      <c r="Y27" s="28" t="s">
        <v>97</v>
      </c>
      <c r="Z27" s="831"/>
      <c r="AA27" s="28" t="s">
        <v>96</v>
      </c>
      <c r="AB27" s="28" t="s">
        <v>97</v>
      </c>
      <c r="AC27" s="28" t="s">
        <v>96</v>
      </c>
      <c r="AD27" s="28" t="s">
        <v>97</v>
      </c>
      <c r="AE27" s="831"/>
      <c r="AF27" s="28" t="s">
        <v>96</v>
      </c>
      <c r="AG27" s="28" t="s">
        <v>97</v>
      </c>
      <c r="AH27" s="28" t="s">
        <v>96</v>
      </c>
      <c r="AI27" s="28" t="s">
        <v>97</v>
      </c>
      <c r="AJ27" s="831"/>
      <c r="AK27" s="327" t="s">
        <v>96</v>
      </c>
      <c r="AL27" s="327" t="s">
        <v>97</v>
      </c>
      <c r="AM27" s="327" t="s">
        <v>96</v>
      </c>
      <c r="AN27" s="327" t="s">
        <v>97</v>
      </c>
      <c r="AO27" s="831"/>
      <c r="AP27" s="359" t="s">
        <v>96</v>
      </c>
      <c r="AQ27" s="359" t="s">
        <v>97</v>
      </c>
      <c r="AR27" s="359" t="s">
        <v>96</v>
      </c>
      <c r="AS27" s="359" t="s">
        <v>97</v>
      </c>
      <c r="AT27" s="841"/>
      <c r="AU27" s="505" t="s">
        <v>96</v>
      </c>
      <c r="AV27" s="505" t="s">
        <v>97</v>
      </c>
      <c r="AW27" s="505" t="s">
        <v>96</v>
      </c>
      <c r="AX27" s="505" t="s">
        <v>97</v>
      </c>
      <c r="AY27" s="849"/>
    </row>
    <row r="28" spans="1:51" x14ac:dyDescent="0.3">
      <c r="A28" s="21" t="s">
        <v>85</v>
      </c>
      <c r="B28" s="21">
        <v>9.06</v>
      </c>
      <c r="C28" s="21">
        <v>8.6300000000000008</v>
      </c>
      <c r="D28" s="21">
        <v>9.06</v>
      </c>
      <c r="E28" s="21">
        <v>8.6300000000000008</v>
      </c>
      <c r="F28" s="21">
        <v>0</v>
      </c>
      <c r="G28" s="30">
        <v>10.52</v>
      </c>
      <c r="H28" s="30">
        <v>10.52</v>
      </c>
      <c r="I28" s="30">
        <v>10.52</v>
      </c>
      <c r="J28" s="30">
        <v>10.52</v>
      </c>
      <c r="K28" s="30">
        <f>F28*(1+$B$5)</f>
        <v>0</v>
      </c>
      <c r="L28" s="30">
        <f>G28*(1+$P$24)</f>
        <v>10.835599999999999</v>
      </c>
      <c r="M28" s="30">
        <f t="shared" ref="M28:P31" si="15">H28*(1+$P$24)</f>
        <v>10.835599999999999</v>
      </c>
      <c r="N28" s="30">
        <f t="shared" si="15"/>
        <v>10.835599999999999</v>
      </c>
      <c r="O28" s="30">
        <f t="shared" si="15"/>
        <v>10.835599999999999</v>
      </c>
      <c r="P28" s="30">
        <f t="shared" si="15"/>
        <v>0</v>
      </c>
      <c r="Q28" s="31">
        <f>L28*(1+U24)</f>
        <v>11.160667999999999</v>
      </c>
      <c r="R28" s="31">
        <f t="shared" ref="R28:U31" si="16">M28*(1+$U$24)</f>
        <v>11.160667999999999</v>
      </c>
      <c r="S28" s="31">
        <f t="shared" si="16"/>
        <v>11.160667999999999</v>
      </c>
      <c r="T28" s="31">
        <f t="shared" si="16"/>
        <v>11.160667999999999</v>
      </c>
      <c r="U28" s="31">
        <f t="shared" si="16"/>
        <v>0</v>
      </c>
      <c r="V28" s="30">
        <f t="shared" ref="V28:Z32" si="17">Q28*(1+$Z$24)</f>
        <v>11.49548804</v>
      </c>
      <c r="W28" s="30">
        <f t="shared" si="17"/>
        <v>11.49548804</v>
      </c>
      <c r="X28" s="30">
        <f t="shared" si="17"/>
        <v>11.49548804</v>
      </c>
      <c r="Y28" s="30">
        <f t="shared" si="17"/>
        <v>11.49548804</v>
      </c>
      <c r="Z28" s="30">
        <f t="shared" si="17"/>
        <v>0</v>
      </c>
      <c r="AA28" s="32">
        <f>V28*(1+$AE$24)</f>
        <v>11.840352681200001</v>
      </c>
      <c r="AB28" s="32">
        <f>W28*(1+$AE$24)</f>
        <v>11.840352681200001</v>
      </c>
      <c r="AC28" s="32">
        <f>X28*(1+$AE$24)</f>
        <v>11.840352681200001</v>
      </c>
      <c r="AD28" s="32">
        <f>Y28*(1+$AE$24)</f>
        <v>11.840352681200001</v>
      </c>
      <c r="AE28" s="32">
        <f>Z28*(1+$AE$24)</f>
        <v>0</v>
      </c>
      <c r="AF28" s="35">
        <f t="shared" ref="AF28:AI32" si="18">AA28*(1+$AJ$24)</f>
        <v>12.195563261636002</v>
      </c>
      <c r="AG28" s="35">
        <f t="shared" si="18"/>
        <v>12.195563261636002</v>
      </c>
      <c r="AH28" s="35">
        <f t="shared" si="18"/>
        <v>12.195563261636002</v>
      </c>
      <c r="AI28" s="35">
        <f t="shared" si="18"/>
        <v>12.195563261636002</v>
      </c>
      <c r="AJ28" s="278">
        <v>0</v>
      </c>
      <c r="AK28" s="35">
        <f>AF28*(1+$AJ$24)</f>
        <v>12.561430159485083</v>
      </c>
      <c r="AL28" s="35">
        <f t="shared" ref="AL28:AL32" si="19">AG28*(1+$AJ$24)</f>
        <v>12.561430159485083</v>
      </c>
      <c r="AM28" s="35">
        <f t="shared" ref="AM28:AM32" si="20">AH28*(1+$AJ$24)</f>
        <v>12.561430159485083</v>
      </c>
      <c r="AN28" s="35">
        <f t="shared" ref="AN28:AN32" si="21">AI28*(1+$AJ$24)</f>
        <v>12.561430159485083</v>
      </c>
      <c r="AO28" s="278">
        <v>0</v>
      </c>
      <c r="AP28" s="360">
        <f>AK28*(1+$AT$24)</f>
        <v>12.938273064269636</v>
      </c>
      <c r="AQ28" s="358"/>
      <c r="AR28" s="358"/>
      <c r="AS28" s="358"/>
      <c r="AT28" s="363">
        <v>0</v>
      </c>
      <c r="AU28" s="506">
        <f>AP28*(1+$AY$24)</f>
        <v>13.326421256197724</v>
      </c>
      <c r="AV28" s="506"/>
      <c r="AW28" s="506"/>
      <c r="AX28" s="506"/>
      <c r="AY28" s="507">
        <v>0</v>
      </c>
    </row>
    <row r="29" spans="1:51" x14ac:dyDescent="0.3">
      <c r="A29" s="21" t="s">
        <v>86</v>
      </c>
      <c r="B29" s="21">
        <v>5.56</v>
      </c>
      <c r="C29" s="21">
        <v>5.13</v>
      </c>
      <c r="D29" s="21">
        <v>5.56</v>
      </c>
      <c r="E29" s="21">
        <v>5.13</v>
      </c>
      <c r="F29" s="21">
        <v>0</v>
      </c>
      <c r="G29" s="30">
        <v>10.52</v>
      </c>
      <c r="H29" s="30">
        <v>10.52</v>
      </c>
      <c r="I29" s="30">
        <v>10.52</v>
      </c>
      <c r="J29" s="30">
        <v>10.52</v>
      </c>
      <c r="K29" s="30">
        <f>F29*(1+$B$5)</f>
        <v>0</v>
      </c>
      <c r="L29" s="30">
        <f>G29*(1+$P$24)</f>
        <v>10.835599999999999</v>
      </c>
      <c r="M29" s="30">
        <f t="shared" si="15"/>
        <v>10.835599999999999</v>
      </c>
      <c r="N29" s="30">
        <f t="shared" si="15"/>
        <v>10.835599999999999</v>
      </c>
      <c r="O29" s="30">
        <f t="shared" si="15"/>
        <v>10.835599999999999</v>
      </c>
      <c r="P29" s="30">
        <f t="shared" si="15"/>
        <v>0</v>
      </c>
      <c r="Q29" s="31">
        <f>L29*(1+$U$24)</f>
        <v>11.160667999999999</v>
      </c>
      <c r="R29" s="31">
        <f t="shared" si="16"/>
        <v>11.160667999999999</v>
      </c>
      <c r="S29" s="31">
        <f t="shared" si="16"/>
        <v>11.160667999999999</v>
      </c>
      <c r="T29" s="31">
        <f t="shared" si="16"/>
        <v>11.160667999999999</v>
      </c>
      <c r="U29" s="31">
        <f t="shared" si="16"/>
        <v>0</v>
      </c>
      <c r="V29" s="30">
        <f t="shared" si="17"/>
        <v>11.49548804</v>
      </c>
      <c r="W29" s="30">
        <f t="shared" si="17"/>
        <v>11.49548804</v>
      </c>
      <c r="X29" s="30">
        <f t="shared" si="17"/>
        <v>11.49548804</v>
      </c>
      <c r="Y29" s="30">
        <f t="shared" si="17"/>
        <v>11.49548804</v>
      </c>
      <c r="Z29" s="30">
        <f t="shared" si="17"/>
        <v>0</v>
      </c>
      <c r="AA29" s="32">
        <f>V29*(1+$AE$24)</f>
        <v>11.840352681200001</v>
      </c>
      <c r="AB29" s="32">
        <f>W29*(1+$AE$24)-0.01</f>
        <v>11.830352681200001</v>
      </c>
      <c r="AC29" s="32">
        <f>X29*(1+$AE$24)-0.01</f>
        <v>11.830352681200001</v>
      </c>
      <c r="AD29" s="32">
        <f>Y29*(1+$AE$24)-0.01</f>
        <v>11.830352681200001</v>
      </c>
      <c r="AE29" s="32">
        <f>Z29*(1+$AE$24)</f>
        <v>0</v>
      </c>
      <c r="AF29" s="35">
        <f t="shared" si="18"/>
        <v>12.195563261636002</v>
      </c>
      <c r="AG29" s="35">
        <f t="shared" si="18"/>
        <v>12.185263261636001</v>
      </c>
      <c r="AH29" s="35">
        <f t="shared" si="18"/>
        <v>12.185263261636001</v>
      </c>
      <c r="AI29" s="35">
        <f t="shared" si="18"/>
        <v>12.185263261636001</v>
      </c>
      <c r="AJ29" s="278">
        <v>0</v>
      </c>
      <c r="AK29" s="35">
        <f t="shared" ref="AK29:AK32" si="22">AF29*(1+$AJ$24)</f>
        <v>12.561430159485083</v>
      </c>
      <c r="AL29" s="35">
        <f t="shared" si="19"/>
        <v>12.550821159485082</v>
      </c>
      <c r="AM29" s="35">
        <f t="shared" si="20"/>
        <v>12.550821159485082</v>
      </c>
      <c r="AN29" s="35">
        <f t="shared" si="21"/>
        <v>12.550821159485082</v>
      </c>
      <c r="AO29" s="278">
        <v>0</v>
      </c>
      <c r="AP29" s="360">
        <f t="shared" ref="AP29:AP32" si="23">AK29*(1+$AT$24)</f>
        <v>12.938273064269636</v>
      </c>
      <c r="AQ29" s="358"/>
      <c r="AR29" s="358"/>
      <c r="AS29" s="358"/>
      <c r="AT29" s="363">
        <v>0</v>
      </c>
      <c r="AU29" s="506">
        <f>AP29*(1+$AY$24)</f>
        <v>13.326421256197724</v>
      </c>
      <c r="AV29" s="506"/>
      <c r="AW29" s="506"/>
      <c r="AX29" s="506"/>
      <c r="AY29" s="507">
        <v>0</v>
      </c>
    </row>
    <row r="30" spans="1:51" x14ac:dyDescent="0.3">
      <c r="A30" s="21" t="s">
        <v>87</v>
      </c>
      <c r="B30" s="21">
        <v>9.06</v>
      </c>
      <c r="C30" s="21">
        <v>8.6300000000000008</v>
      </c>
      <c r="D30" s="21">
        <v>9.06</v>
      </c>
      <c r="E30" s="21">
        <v>8.6300000000000008</v>
      </c>
      <c r="F30" s="21">
        <v>0</v>
      </c>
      <c r="G30" s="30">
        <v>10.52</v>
      </c>
      <c r="H30" s="30">
        <v>10.52</v>
      </c>
      <c r="I30" s="30">
        <v>10.52</v>
      </c>
      <c r="J30" s="30">
        <v>10.52</v>
      </c>
      <c r="K30" s="30">
        <f>F30*(1+$B$5)</f>
        <v>0</v>
      </c>
      <c r="L30" s="30">
        <f>G30*(1+$P$24)</f>
        <v>10.835599999999999</v>
      </c>
      <c r="M30" s="30">
        <f t="shared" si="15"/>
        <v>10.835599999999999</v>
      </c>
      <c r="N30" s="30">
        <f t="shared" si="15"/>
        <v>10.835599999999999</v>
      </c>
      <c r="O30" s="30">
        <f t="shared" si="15"/>
        <v>10.835599999999999</v>
      </c>
      <c r="P30" s="30">
        <f t="shared" si="15"/>
        <v>0</v>
      </c>
      <c r="Q30" s="31">
        <f>L30*(1+$U$24)</f>
        <v>11.160667999999999</v>
      </c>
      <c r="R30" s="31">
        <f t="shared" si="16"/>
        <v>11.160667999999999</v>
      </c>
      <c r="S30" s="31">
        <f t="shared" si="16"/>
        <v>11.160667999999999</v>
      </c>
      <c r="T30" s="31">
        <f t="shared" si="16"/>
        <v>11.160667999999999</v>
      </c>
      <c r="U30" s="31">
        <f t="shared" si="16"/>
        <v>0</v>
      </c>
      <c r="V30" s="30">
        <f>Q30*(1+$Z$24)</f>
        <v>11.49548804</v>
      </c>
      <c r="W30" s="30">
        <f t="shared" si="17"/>
        <v>11.49548804</v>
      </c>
      <c r="X30" s="30">
        <f t="shared" si="17"/>
        <v>11.49548804</v>
      </c>
      <c r="Y30" s="30">
        <f t="shared" si="17"/>
        <v>11.49548804</v>
      </c>
      <c r="Z30" s="30">
        <f t="shared" si="17"/>
        <v>0</v>
      </c>
      <c r="AA30" s="32">
        <f t="shared" ref="AA30:AD32" si="24">V30*(1+$AE$24)</f>
        <v>11.840352681200001</v>
      </c>
      <c r="AB30" s="32">
        <f t="shared" si="24"/>
        <v>11.840352681200001</v>
      </c>
      <c r="AC30" s="32">
        <f t="shared" si="24"/>
        <v>11.840352681200001</v>
      </c>
      <c r="AD30" s="32">
        <f t="shared" si="24"/>
        <v>11.840352681200001</v>
      </c>
      <c r="AE30" s="32">
        <f>Z30*(1+$AE$24)</f>
        <v>0</v>
      </c>
      <c r="AF30" s="35">
        <f t="shared" si="18"/>
        <v>12.195563261636002</v>
      </c>
      <c r="AG30" s="35">
        <f t="shared" si="18"/>
        <v>12.195563261636002</v>
      </c>
      <c r="AH30" s="35">
        <f t="shared" si="18"/>
        <v>12.195563261636002</v>
      </c>
      <c r="AI30" s="35">
        <f t="shared" si="18"/>
        <v>12.195563261636002</v>
      </c>
      <c r="AJ30" s="278">
        <v>0</v>
      </c>
      <c r="AK30" s="35">
        <f t="shared" si="22"/>
        <v>12.561430159485083</v>
      </c>
      <c r="AL30" s="35">
        <f t="shared" si="19"/>
        <v>12.561430159485083</v>
      </c>
      <c r="AM30" s="35">
        <f t="shared" si="20"/>
        <v>12.561430159485083</v>
      </c>
      <c r="AN30" s="35">
        <f t="shared" si="21"/>
        <v>12.561430159485083</v>
      </c>
      <c r="AO30" s="278">
        <v>0</v>
      </c>
      <c r="AP30" s="360">
        <f t="shared" si="23"/>
        <v>12.938273064269636</v>
      </c>
      <c r="AQ30" s="358"/>
      <c r="AR30" s="358"/>
      <c r="AS30" s="358"/>
      <c r="AT30" s="363">
        <v>0</v>
      </c>
      <c r="AU30" s="506">
        <f>AP30*(1+$AY$24)</f>
        <v>13.326421256197724</v>
      </c>
      <c r="AV30" s="506"/>
      <c r="AW30" s="506"/>
      <c r="AX30" s="506"/>
      <c r="AY30" s="507">
        <v>0</v>
      </c>
    </row>
    <row r="31" spans="1:51" x14ac:dyDescent="0.3">
      <c r="A31" s="21" t="s">
        <v>91</v>
      </c>
      <c r="B31" s="21">
        <v>9.06</v>
      </c>
      <c r="C31" s="21">
        <v>8.6300000000000008</v>
      </c>
      <c r="D31" s="21">
        <v>9.06</v>
      </c>
      <c r="E31" s="21">
        <v>8.6300000000000008</v>
      </c>
      <c r="F31" s="21">
        <v>0</v>
      </c>
      <c r="G31" s="30">
        <v>10.52</v>
      </c>
      <c r="H31" s="30">
        <v>10.52</v>
      </c>
      <c r="I31" s="30">
        <v>10.52</v>
      </c>
      <c r="J31" s="30">
        <v>10.52</v>
      </c>
      <c r="K31" s="30">
        <f>F31*(1+$B$5)</f>
        <v>0</v>
      </c>
      <c r="L31" s="30">
        <f>G31*(1+$P$24)</f>
        <v>10.835599999999999</v>
      </c>
      <c r="M31" s="30">
        <f t="shared" si="15"/>
        <v>10.835599999999999</v>
      </c>
      <c r="N31" s="30">
        <f t="shared" si="15"/>
        <v>10.835599999999999</v>
      </c>
      <c r="O31" s="30">
        <f t="shared" si="15"/>
        <v>10.835599999999999</v>
      </c>
      <c r="P31" s="30">
        <f t="shared" si="15"/>
        <v>0</v>
      </c>
      <c r="Q31" s="31">
        <f>L31*(1+$U$24)</f>
        <v>11.160667999999999</v>
      </c>
      <c r="R31" s="31">
        <f t="shared" si="16"/>
        <v>11.160667999999999</v>
      </c>
      <c r="S31" s="31">
        <f t="shared" si="16"/>
        <v>11.160667999999999</v>
      </c>
      <c r="T31" s="31">
        <f t="shared" si="16"/>
        <v>11.160667999999999</v>
      </c>
      <c r="U31" s="31">
        <f t="shared" si="16"/>
        <v>0</v>
      </c>
      <c r="V31" s="30">
        <f>Q31*(1+$Z$24)</f>
        <v>11.49548804</v>
      </c>
      <c r="W31" s="30">
        <f t="shared" si="17"/>
        <v>11.49548804</v>
      </c>
      <c r="X31" s="30">
        <f t="shared" si="17"/>
        <v>11.49548804</v>
      </c>
      <c r="Y31" s="30">
        <f t="shared" si="17"/>
        <v>11.49548804</v>
      </c>
      <c r="Z31" s="30">
        <f t="shared" si="17"/>
        <v>0</v>
      </c>
      <c r="AA31" s="32">
        <f t="shared" si="24"/>
        <v>11.840352681200001</v>
      </c>
      <c r="AB31" s="32">
        <f t="shared" si="24"/>
        <v>11.840352681200001</v>
      </c>
      <c r="AC31" s="32">
        <f t="shared" si="24"/>
        <v>11.840352681200001</v>
      </c>
      <c r="AD31" s="32">
        <f t="shared" si="24"/>
        <v>11.840352681200001</v>
      </c>
      <c r="AE31" s="32">
        <f>Z31*(1+$AE$24)</f>
        <v>0</v>
      </c>
      <c r="AF31" s="35">
        <f t="shared" si="18"/>
        <v>12.195563261636002</v>
      </c>
      <c r="AG31" s="35">
        <f t="shared" si="18"/>
        <v>12.195563261636002</v>
      </c>
      <c r="AH31" s="35">
        <f t="shared" si="18"/>
        <v>12.195563261636002</v>
      </c>
      <c r="AI31" s="35">
        <f t="shared" si="18"/>
        <v>12.195563261636002</v>
      </c>
      <c r="AJ31" s="278">
        <v>0</v>
      </c>
      <c r="AK31" s="35">
        <f t="shared" si="22"/>
        <v>12.561430159485083</v>
      </c>
      <c r="AL31" s="35">
        <f t="shared" si="19"/>
        <v>12.561430159485083</v>
      </c>
      <c r="AM31" s="35">
        <f t="shared" si="20"/>
        <v>12.561430159485083</v>
      </c>
      <c r="AN31" s="35">
        <f t="shared" si="21"/>
        <v>12.561430159485083</v>
      </c>
      <c r="AO31" s="278">
        <v>0</v>
      </c>
      <c r="AP31" s="360">
        <f t="shared" si="23"/>
        <v>12.938273064269636</v>
      </c>
      <c r="AQ31" s="358"/>
      <c r="AR31" s="358"/>
      <c r="AS31" s="358"/>
      <c r="AT31" s="363">
        <v>0</v>
      </c>
      <c r="AU31" s="506">
        <f>AP31*(1+$AY$24)</f>
        <v>13.326421256197724</v>
      </c>
      <c r="AV31" s="506"/>
      <c r="AW31" s="506"/>
      <c r="AX31" s="506"/>
      <c r="AY31" s="507">
        <v>0</v>
      </c>
    </row>
    <row r="32" spans="1:51" x14ac:dyDescent="0.3">
      <c r="A32" s="21" t="s">
        <v>92</v>
      </c>
      <c r="B32" s="36"/>
      <c r="C32" s="36"/>
      <c r="D32" s="36"/>
      <c r="E32" s="36"/>
      <c r="F32" s="36"/>
      <c r="G32" s="30"/>
      <c r="H32" s="30"/>
      <c r="I32" s="30"/>
      <c r="J32" s="30"/>
      <c r="K32" s="30"/>
      <c r="L32" s="30"/>
      <c r="M32" s="30"/>
      <c r="N32" s="30"/>
      <c r="O32" s="30"/>
      <c r="P32" s="30"/>
      <c r="Q32" s="31">
        <f>Q28</f>
        <v>11.160667999999999</v>
      </c>
      <c r="R32" s="31">
        <f>R28</f>
        <v>11.160667999999999</v>
      </c>
      <c r="S32" s="31">
        <f>S28</f>
        <v>11.160667999999999</v>
      </c>
      <c r="T32" s="31">
        <f>T28</f>
        <v>11.160667999999999</v>
      </c>
      <c r="U32" s="31">
        <f>U28</f>
        <v>0</v>
      </c>
      <c r="V32" s="30">
        <f>Q32*(1+$Z$24)</f>
        <v>11.49548804</v>
      </c>
      <c r="W32" s="30">
        <f t="shared" si="17"/>
        <v>11.49548804</v>
      </c>
      <c r="X32" s="30">
        <f t="shared" si="17"/>
        <v>11.49548804</v>
      </c>
      <c r="Y32" s="30">
        <f t="shared" si="17"/>
        <v>11.49548804</v>
      </c>
      <c r="Z32" s="30">
        <f t="shared" si="17"/>
        <v>0</v>
      </c>
      <c r="AA32" s="32">
        <f t="shared" si="24"/>
        <v>11.840352681200001</v>
      </c>
      <c r="AB32" s="32">
        <f t="shared" si="24"/>
        <v>11.840352681200001</v>
      </c>
      <c r="AC32" s="32">
        <f t="shared" si="24"/>
        <v>11.840352681200001</v>
      </c>
      <c r="AD32" s="32">
        <f t="shared" si="24"/>
        <v>11.840352681200001</v>
      </c>
      <c r="AE32" s="32">
        <f>Z32*(1+$AE$24)</f>
        <v>0</v>
      </c>
      <c r="AF32" s="35">
        <f t="shared" si="18"/>
        <v>12.195563261636002</v>
      </c>
      <c r="AG32" s="35">
        <f t="shared" si="18"/>
        <v>12.195563261636002</v>
      </c>
      <c r="AH32" s="35">
        <f t="shared" si="18"/>
        <v>12.195563261636002</v>
      </c>
      <c r="AI32" s="35">
        <f t="shared" si="18"/>
        <v>12.195563261636002</v>
      </c>
      <c r="AJ32" s="278">
        <v>0</v>
      </c>
      <c r="AK32" s="35">
        <f t="shared" si="22"/>
        <v>12.561430159485083</v>
      </c>
      <c r="AL32" s="35">
        <f t="shared" si="19"/>
        <v>12.561430159485083</v>
      </c>
      <c r="AM32" s="35">
        <f t="shared" si="20"/>
        <v>12.561430159485083</v>
      </c>
      <c r="AN32" s="35">
        <f t="shared" si="21"/>
        <v>12.561430159485083</v>
      </c>
      <c r="AO32" s="278">
        <v>0</v>
      </c>
      <c r="AP32" s="360">
        <f t="shared" si="23"/>
        <v>12.938273064269636</v>
      </c>
      <c r="AQ32" s="358"/>
      <c r="AR32" s="358"/>
      <c r="AS32" s="358"/>
      <c r="AT32" s="363">
        <v>0</v>
      </c>
      <c r="AU32" s="506">
        <f>AP32*(1+$AY$24)</f>
        <v>13.326421256197724</v>
      </c>
      <c r="AV32" s="506"/>
      <c r="AW32" s="506"/>
      <c r="AX32" s="506"/>
      <c r="AY32" s="507">
        <v>0</v>
      </c>
    </row>
    <row r="34" spans="1:51" x14ac:dyDescent="0.3">
      <c r="A34" s="19" t="s">
        <v>98</v>
      </c>
    </row>
    <row r="35" spans="1:51" x14ac:dyDescent="0.3">
      <c r="L35" t="s">
        <v>94</v>
      </c>
      <c r="P35" s="34">
        <v>0.03</v>
      </c>
      <c r="Q35" t="s">
        <v>95</v>
      </c>
      <c r="U35" s="34">
        <v>0.03</v>
      </c>
      <c r="V35" t="s">
        <v>95</v>
      </c>
      <c r="Z35" s="34">
        <v>0.03</v>
      </c>
      <c r="AA35" t="s">
        <v>95</v>
      </c>
      <c r="AE35" s="34">
        <v>0.03</v>
      </c>
      <c r="AF35" t="s">
        <v>95</v>
      </c>
      <c r="AJ35" s="34">
        <v>0.03</v>
      </c>
      <c r="AK35" t="s">
        <v>390</v>
      </c>
      <c r="AO35" s="34">
        <v>0.03</v>
      </c>
      <c r="AP35" s="466" t="s">
        <v>386</v>
      </c>
      <c r="AQ35" s="466"/>
      <c r="AR35" s="466"/>
      <c r="AS35" s="466"/>
      <c r="AT35" s="573">
        <v>0.03</v>
      </c>
      <c r="AU35" s="508" t="s">
        <v>456</v>
      </c>
      <c r="AV35" s="508"/>
      <c r="AW35" s="508"/>
      <c r="AX35" s="508"/>
      <c r="AY35" s="509">
        <v>0.03</v>
      </c>
    </row>
    <row r="36" spans="1:51" x14ac:dyDescent="0.3">
      <c r="A36" s="825" t="s">
        <v>80</v>
      </c>
      <c r="B36" s="818">
        <v>2013</v>
      </c>
      <c r="C36" s="818"/>
      <c r="D36" s="818"/>
      <c r="E36" s="818"/>
      <c r="F36" s="818"/>
      <c r="G36" s="826">
        <v>2014</v>
      </c>
      <c r="H36" s="826"/>
      <c r="I36" s="826"/>
      <c r="J36" s="826"/>
      <c r="K36" s="826"/>
      <c r="L36" s="818">
        <v>2015</v>
      </c>
      <c r="M36" s="818"/>
      <c r="N36" s="818"/>
      <c r="O36" s="818"/>
      <c r="P36" s="818"/>
      <c r="Q36" s="818">
        <v>2016</v>
      </c>
      <c r="R36" s="818"/>
      <c r="S36" s="818"/>
      <c r="T36" s="818"/>
      <c r="U36" s="818"/>
      <c r="V36" s="818">
        <v>2017</v>
      </c>
      <c r="W36" s="818"/>
      <c r="X36" s="818"/>
      <c r="Y36" s="818"/>
      <c r="Z36" s="818"/>
      <c r="AA36" s="818">
        <v>2018</v>
      </c>
      <c r="AB36" s="818"/>
      <c r="AC36" s="818"/>
      <c r="AD36" s="818"/>
      <c r="AE36" s="818"/>
      <c r="AF36" s="818">
        <v>2019</v>
      </c>
      <c r="AG36" s="818"/>
      <c r="AH36" s="818"/>
      <c r="AI36" s="818"/>
      <c r="AJ36" s="818"/>
      <c r="AK36" s="818">
        <v>2020</v>
      </c>
      <c r="AL36" s="818"/>
      <c r="AM36" s="818"/>
      <c r="AN36" s="818"/>
      <c r="AO36" s="818"/>
      <c r="AP36" s="842">
        <v>2021</v>
      </c>
      <c r="AQ36" s="842"/>
      <c r="AR36" s="842"/>
      <c r="AS36" s="842"/>
      <c r="AT36" s="842"/>
      <c r="AU36" s="850">
        <v>2022</v>
      </c>
      <c r="AV36" s="850"/>
      <c r="AW36" s="850"/>
      <c r="AX36" s="850"/>
      <c r="AY36" s="850"/>
    </row>
    <row r="37" spans="1:51" ht="30.15" customHeight="1" x14ac:dyDescent="0.3">
      <c r="A37" s="825"/>
      <c r="B37" s="825" t="s">
        <v>81</v>
      </c>
      <c r="C37" s="825"/>
      <c r="D37" s="825" t="s">
        <v>82</v>
      </c>
      <c r="E37" s="825"/>
      <c r="F37" s="825" t="s">
        <v>83</v>
      </c>
      <c r="G37" s="825" t="s">
        <v>81</v>
      </c>
      <c r="H37" s="825"/>
      <c r="I37" s="825" t="s">
        <v>82</v>
      </c>
      <c r="J37" s="825"/>
      <c r="K37" s="825" t="s">
        <v>83</v>
      </c>
      <c r="L37" s="825" t="s">
        <v>81</v>
      </c>
      <c r="M37" s="825"/>
      <c r="N37" s="825" t="s">
        <v>82</v>
      </c>
      <c r="O37" s="825"/>
      <c r="P37" s="825" t="s">
        <v>83</v>
      </c>
      <c r="Q37" s="825" t="s">
        <v>81</v>
      </c>
      <c r="R37" s="825"/>
      <c r="S37" s="825" t="s">
        <v>82</v>
      </c>
      <c r="T37" s="825"/>
      <c r="U37" s="825" t="s">
        <v>83</v>
      </c>
      <c r="V37" s="825" t="s">
        <v>81</v>
      </c>
      <c r="W37" s="825"/>
      <c r="X37" s="825" t="s">
        <v>82</v>
      </c>
      <c r="Y37" s="825"/>
      <c r="Z37" s="825" t="s">
        <v>83</v>
      </c>
      <c r="AA37" s="825" t="s">
        <v>81</v>
      </c>
      <c r="AB37" s="825"/>
      <c r="AC37" s="825" t="s">
        <v>82</v>
      </c>
      <c r="AD37" s="825"/>
      <c r="AE37" s="825" t="s">
        <v>83</v>
      </c>
      <c r="AF37" s="825" t="s">
        <v>81</v>
      </c>
      <c r="AG37" s="825"/>
      <c r="AH37" s="825" t="s">
        <v>82</v>
      </c>
      <c r="AI37" s="825"/>
      <c r="AJ37" s="825" t="s">
        <v>83</v>
      </c>
      <c r="AK37" s="825" t="s">
        <v>81</v>
      </c>
      <c r="AL37" s="825"/>
      <c r="AM37" s="825" t="s">
        <v>82</v>
      </c>
      <c r="AN37" s="825"/>
      <c r="AO37" s="825" t="s">
        <v>83</v>
      </c>
      <c r="AP37" s="853" t="s">
        <v>81</v>
      </c>
      <c r="AQ37" s="853"/>
      <c r="AR37" s="853" t="s">
        <v>82</v>
      </c>
      <c r="AS37" s="853"/>
      <c r="AT37" s="853" t="s">
        <v>83</v>
      </c>
      <c r="AU37" s="851" t="s">
        <v>81</v>
      </c>
      <c r="AV37" s="851"/>
      <c r="AW37" s="851" t="s">
        <v>82</v>
      </c>
      <c r="AX37" s="851"/>
      <c r="AY37" s="851" t="s">
        <v>83</v>
      </c>
    </row>
    <row r="38" spans="1:51" ht="57.6" x14ac:dyDescent="0.3">
      <c r="A38" s="825"/>
      <c r="B38" s="28" t="s">
        <v>99</v>
      </c>
      <c r="C38" s="28" t="s">
        <v>100</v>
      </c>
      <c r="D38" s="28" t="s">
        <v>99</v>
      </c>
      <c r="E38" s="28" t="s">
        <v>100</v>
      </c>
      <c r="F38" s="825"/>
      <c r="G38" s="28" t="s">
        <v>99</v>
      </c>
      <c r="H38" s="28" t="s">
        <v>100</v>
      </c>
      <c r="I38" s="28" t="s">
        <v>99</v>
      </c>
      <c r="J38" s="28" t="s">
        <v>100</v>
      </c>
      <c r="K38" s="825"/>
      <c r="L38" s="28" t="s">
        <v>99</v>
      </c>
      <c r="M38" s="28" t="s">
        <v>100</v>
      </c>
      <c r="N38" s="28" t="s">
        <v>99</v>
      </c>
      <c r="O38" s="28" t="s">
        <v>100</v>
      </c>
      <c r="P38" s="825"/>
      <c r="Q38" s="28" t="s">
        <v>99</v>
      </c>
      <c r="R38" s="28" t="s">
        <v>100</v>
      </c>
      <c r="S38" s="28" t="s">
        <v>99</v>
      </c>
      <c r="T38" s="28" t="s">
        <v>100</v>
      </c>
      <c r="U38" s="825"/>
      <c r="V38" s="28" t="s">
        <v>99</v>
      </c>
      <c r="W38" s="28" t="s">
        <v>100</v>
      </c>
      <c r="X38" s="28" t="s">
        <v>99</v>
      </c>
      <c r="Y38" s="28" t="s">
        <v>100</v>
      </c>
      <c r="Z38" s="825"/>
      <c r="AA38" s="28" t="s">
        <v>99</v>
      </c>
      <c r="AB38" s="28" t="s">
        <v>100</v>
      </c>
      <c r="AC38" s="28" t="s">
        <v>99</v>
      </c>
      <c r="AD38" s="28" t="s">
        <v>100</v>
      </c>
      <c r="AE38" s="825"/>
      <c r="AF38" s="28" t="s">
        <v>99</v>
      </c>
      <c r="AG38" s="28" t="s">
        <v>100</v>
      </c>
      <c r="AH38" s="28" t="s">
        <v>99</v>
      </c>
      <c r="AI38" s="28" t="s">
        <v>100</v>
      </c>
      <c r="AJ38" s="825"/>
      <c r="AK38" s="327" t="s">
        <v>99</v>
      </c>
      <c r="AL38" s="327" t="s">
        <v>100</v>
      </c>
      <c r="AM38" s="327" t="s">
        <v>99</v>
      </c>
      <c r="AN38" s="327" t="s">
        <v>100</v>
      </c>
      <c r="AO38" s="825"/>
      <c r="AP38" s="574" t="s">
        <v>99</v>
      </c>
      <c r="AQ38" s="574" t="s">
        <v>100</v>
      </c>
      <c r="AR38" s="574" t="s">
        <v>99</v>
      </c>
      <c r="AS38" s="574" t="s">
        <v>100</v>
      </c>
      <c r="AT38" s="853"/>
      <c r="AU38" s="510" t="s">
        <v>99</v>
      </c>
      <c r="AV38" s="510" t="s">
        <v>100</v>
      </c>
      <c r="AW38" s="510" t="s">
        <v>99</v>
      </c>
      <c r="AX38" s="510" t="s">
        <v>100</v>
      </c>
      <c r="AY38" s="851"/>
    </row>
    <row r="39" spans="1:51" x14ac:dyDescent="0.3">
      <c r="A39" s="21" t="s">
        <v>84</v>
      </c>
      <c r="B39" s="36">
        <v>9.65</v>
      </c>
      <c r="C39" s="36">
        <v>8.7899999999999991</v>
      </c>
      <c r="D39" s="36">
        <v>9.65</v>
      </c>
      <c r="E39" s="36">
        <v>8.7899999999999991</v>
      </c>
      <c r="F39" s="36">
        <v>0</v>
      </c>
      <c r="G39" s="30">
        <v>10.52</v>
      </c>
      <c r="H39" s="30">
        <v>10.52</v>
      </c>
      <c r="I39" s="30">
        <v>10.52</v>
      </c>
      <c r="J39" s="30">
        <v>10.52</v>
      </c>
      <c r="K39" s="30">
        <f>F39*(1+$B$5)</f>
        <v>0</v>
      </c>
      <c r="L39" s="30">
        <f>G39*(1+$P$35)</f>
        <v>10.835599999999999</v>
      </c>
      <c r="M39" s="30">
        <f t="shared" ref="M39:P42" si="25">H39*(1+$P$35)</f>
        <v>10.835599999999999</v>
      </c>
      <c r="N39" s="30">
        <f t="shared" si="25"/>
        <v>10.835599999999999</v>
      </c>
      <c r="O39" s="30">
        <f t="shared" si="25"/>
        <v>10.835599999999999</v>
      </c>
      <c r="P39" s="30">
        <f t="shared" si="25"/>
        <v>0</v>
      </c>
      <c r="Q39" s="31">
        <f>L39*(1+U35)</f>
        <v>11.160667999999999</v>
      </c>
      <c r="R39" s="31">
        <f t="shared" ref="R39:U42" si="26">M39*(1+$U$35)</f>
        <v>11.160667999999999</v>
      </c>
      <c r="S39" s="31">
        <f t="shared" si="26"/>
        <v>11.160667999999999</v>
      </c>
      <c r="T39" s="31">
        <f t="shared" si="26"/>
        <v>11.160667999999999</v>
      </c>
      <c r="U39" s="31">
        <f t="shared" si="26"/>
        <v>0</v>
      </c>
      <c r="V39" s="30">
        <f t="shared" ref="V39:Z43" si="27">Q39*(1+$Z$35)</f>
        <v>11.49548804</v>
      </c>
      <c r="W39" s="30">
        <f t="shared" si="27"/>
        <v>11.49548804</v>
      </c>
      <c r="X39" s="30">
        <f t="shared" si="27"/>
        <v>11.49548804</v>
      </c>
      <c r="Y39" s="30">
        <f t="shared" si="27"/>
        <v>11.49548804</v>
      </c>
      <c r="Z39" s="30">
        <f t="shared" si="27"/>
        <v>0</v>
      </c>
      <c r="AA39" s="32">
        <f>V39*(1+$AE$35)</f>
        <v>11.840352681200001</v>
      </c>
      <c r="AB39" s="32">
        <f>W39*(1+$AE$35)</f>
        <v>11.840352681200001</v>
      </c>
      <c r="AC39" s="32">
        <f>X39*(1+$AE$35)</f>
        <v>11.840352681200001</v>
      </c>
      <c r="AD39" s="32">
        <f>Y39*(1+$AE$35)</f>
        <v>11.840352681200001</v>
      </c>
      <c r="AE39" s="32">
        <f>Z39*(1+$AE$35)</f>
        <v>0</v>
      </c>
      <c r="AF39" s="35">
        <f t="shared" ref="AF39:AO39" si="28">AA39*(1+$AJ$35)</f>
        <v>12.195563261636002</v>
      </c>
      <c r="AG39" s="35">
        <f t="shared" si="28"/>
        <v>12.195563261636002</v>
      </c>
      <c r="AH39" s="35">
        <f t="shared" si="28"/>
        <v>12.195563261636002</v>
      </c>
      <c r="AI39" s="35">
        <f t="shared" si="28"/>
        <v>12.195563261636002</v>
      </c>
      <c r="AJ39" s="35">
        <f t="shared" si="28"/>
        <v>0</v>
      </c>
      <c r="AK39" s="35">
        <f>AF39*(1+$AJ$35)</f>
        <v>12.561430159485083</v>
      </c>
      <c r="AL39" s="35">
        <f t="shared" si="28"/>
        <v>12.561430159485083</v>
      </c>
      <c r="AM39" s="35">
        <f t="shared" si="28"/>
        <v>12.561430159485083</v>
      </c>
      <c r="AN39" s="35">
        <f t="shared" si="28"/>
        <v>12.561430159485083</v>
      </c>
      <c r="AO39" s="35">
        <f t="shared" si="28"/>
        <v>0</v>
      </c>
      <c r="AP39" s="358">
        <f t="shared" ref="AP39:AT43" si="29">AK39*(1+$AT$35)</f>
        <v>12.938273064269636</v>
      </c>
      <c r="AQ39" s="358">
        <f t="shared" si="29"/>
        <v>12.938273064269636</v>
      </c>
      <c r="AR39" s="358">
        <f t="shared" si="29"/>
        <v>12.938273064269636</v>
      </c>
      <c r="AS39" s="575">
        <f t="shared" si="29"/>
        <v>12.938273064269636</v>
      </c>
      <c r="AT39" s="358">
        <f t="shared" si="29"/>
        <v>0</v>
      </c>
      <c r="AU39" s="511">
        <f t="shared" ref="AU39:AY43" si="30">AP39*(1+$AY$35)</f>
        <v>13.326421256197724</v>
      </c>
      <c r="AV39" s="511">
        <f t="shared" si="30"/>
        <v>13.326421256197724</v>
      </c>
      <c r="AW39" s="511">
        <f t="shared" si="30"/>
        <v>13.326421256197724</v>
      </c>
      <c r="AX39" s="512">
        <f t="shared" si="30"/>
        <v>13.326421256197724</v>
      </c>
      <c r="AY39" s="511">
        <f t="shared" si="30"/>
        <v>0</v>
      </c>
    </row>
    <row r="40" spans="1:51" x14ac:dyDescent="0.3">
      <c r="A40" s="21" t="s">
        <v>89</v>
      </c>
      <c r="B40" s="36">
        <v>6.15</v>
      </c>
      <c r="C40" s="36">
        <v>5.29</v>
      </c>
      <c r="D40" s="36">
        <v>6.15</v>
      </c>
      <c r="E40" s="36">
        <v>5.29</v>
      </c>
      <c r="F40" s="36">
        <v>0</v>
      </c>
      <c r="G40" s="30">
        <v>10.52</v>
      </c>
      <c r="H40" s="30">
        <v>6.82</v>
      </c>
      <c r="I40" s="30">
        <v>6.82</v>
      </c>
      <c r="J40" s="30">
        <v>6.82</v>
      </c>
      <c r="K40" s="30">
        <f>F40*(1+$B$5)</f>
        <v>0</v>
      </c>
      <c r="L40" s="30">
        <f>G40*(1+$P$35)</f>
        <v>10.835599999999999</v>
      </c>
      <c r="M40" s="30">
        <f t="shared" si="25"/>
        <v>7.0246000000000004</v>
      </c>
      <c r="N40" s="30">
        <f t="shared" si="25"/>
        <v>7.0246000000000004</v>
      </c>
      <c r="O40" s="30">
        <f t="shared" si="25"/>
        <v>7.0246000000000004</v>
      </c>
      <c r="P40" s="30">
        <f t="shared" si="25"/>
        <v>0</v>
      </c>
      <c r="Q40" s="31">
        <f>L40*(1+$U$35)</f>
        <v>11.160667999999999</v>
      </c>
      <c r="R40" s="31">
        <f t="shared" si="26"/>
        <v>7.2353380000000005</v>
      </c>
      <c r="S40" s="31">
        <f t="shared" si="26"/>
        <v>7.2353380000000005</v>
      </c>
      <c r="T40" s="31">
        <f t="shared" si="26"/>
        <v>7.2353380000000005</v>
      </c>
      <c r="U40" s="31">
        <f t="shared" si="26"/>
        <v>0</v>
      </c>
      <c r="V40" s="30">
        <f t="shared" si="27"/>
        <v>11.49548804</v>
      </c>
      <c r="W40" s="30">
        <f t="shared" si="27"/>
        <v>7.4523981400000006</v>
      </c>
      <c r="X40" s="30">
        <f t="shared" si="27"/>
        <v>7.4523981400000006</v>
      </c>
      <c r="Y40" s="30">
        <f t="shared" si="27"/>
        <v>7.4523981400000006</v>
      </c>
      <c r="Z40" s="30">
        <f t="shared" si="27"/>
        <v>0</v>
      </c>
      <c r="AA40" s="32">
        <f>V40*(1+$AE$35)</f>
        <v>11.840352681200001</v>
      </c>
      <c r="AB40" s="405">
        <f>W40*(1+$AE$35)-0.01</f>
        <v>7.6659700842000014</v>
      </c>
      <c r="AC40" s="406">
        <f>X40*(1+$AE$35)-0.01</f>
        <v>7.6659700842000014</v>
      </c>
      <c r="AD40" s="32">
        <f t="shared" ref="AB40:AD41" si="31">Y40*(1+$AE$35)-0.01</f>
        <v>7.6659700842000014</v>
      </c>
      <c r="AE40" s="32">
        <f>Z40*(1+$AE$35)</f>
        <v>0</v>
      </c>
      <c r="AF40" s="35">
        <f t="shared" ref="AF40:AJ43" si="32">AA40*(1+$AJ$35)</f>
        <v>12.195563261636002</v>
      </c>
      <c r="AG40" s="35">
        <f t="shared" si="32"/>
        <v>7.8959491867260017</v>
      </c>
      <c r="AH40" s="35">
        <f t="shared" si="32"/>
        <v>7.8959491867260017</v>
      </c>
      <c r="AI40" s="35">
        <f t="shared" si="32"/>
        <v>7.8959491867260017</v>
      </c>
      <c r="AJ40" s="35">
        <f t="shared" si="32"/>
        <v>0</v>
      </c>
      <c r="AK40" s="35">
        <f>AF40*(1+$AJ$35)</f>
        <v>12.561430159485083</v>
      </c>
      <c r="AL40" s="35">
        <f t="shared" ref="AL40:AL43" si="33">AG40*(1+$AJ$35)</f>
        <v>8.1328276623277826</v>
      </c>
      <c r="AM40" s="35">
        <f t="shared" ref="AM40:AM43" si="34">AH40*(1+$AJ$35)</f>
        <v>8.1328276623277826</v>
      </c>
      <c r="AN40" s="35">
        <f t="shared" ref="AN40:AN43" si="35">AI40*(1+$AJ$35)</f>
        <v>8.1328276623277826</v>
      </c>
      <c r="AO40" s="35">
        <f t="shared" ref="AO40:AO43" si="36">AJ40*(1+$AJ$35)</f>
        <v>0</v>
      </c>
      <c r="AP40" s="358">
        <f>AK40*(1+$AT$35)</f>
        <v>12.938273064269636</v>
      </c>
      <c r="AQ40" s="576">
        <v>8.3841999999999999</v>
      </c>
      <c r="AR40" s="576">
        <v>8.3841999999999999</v>
      </c>
      <c r="AS40" s="576">
        <v>8.3841999999999999</v>
      </c>
      <c r="AT40" s="358">
        <f t="shared" si="29"/>
        <v>0</v>
      </c>
      <c r="AU40" s="511">
        <f t="shared" si="30"/>
        <v>13.326421256197724</v>
      </c>
      <c r="AV40" s="511">
        <f t="shared" ref="AV40:AX41" si="37">ROUND(AQ40,2)*(1+$AY$35)</f>
        <v>8.6314000000000011</v>
      </c>
      <c r="AW40" s="511">
        <f t="shared" si="37"/>
        <v>8.6314000000000011</v>
      </c>
      <c r="AX40" s="511">
        <f t="shared" si="37"/>
        <v>8.6314000000000011</v>
      </c>
      <c r="AY40" s="511">
        <f t="shared" si="30"/>
        <v>0</v>
      </c>
    </row>
    <row r="41" spans="1:51" x14ac:dyDescent="0.3">
      <c r="A41" s="21" t="s">
        <v>90</v>
      </c>
      <c r="B41" s="36">
        <v>6.15</v>
      </c>
      <c r="C41" s="36">
        <v>5.29</v>
      </c>
      <c r="D41" s="36">
        <v>6.15</v>
      </c>
      <c r="E41" s="36">
        <v>5.29</v>
      </c>
      <c r="F41" s="36">
        <v>0</v>
      </c>
      <c r="G41" s="30">
        <v>10.52</v>
      </c>
      <c r="H41" s="30">
        <v>6.82</v>
      </c>
      <c r="I41" s="30">
        <v>6.82</v>
      </c>
      <c r="J41" s="30">
        <v>6.82</v>
      </c>
      <c r="K41" s="30">
        <f>F41*(1+$B$5)</f>
        <v>0</v>
      </c>
      <c r="L41" s="30">
        <f>G41*(1+$P$35)</f>
        <v>10.835599999999999</v>
      </c>
      <c r="M41" s="30">
        <f t="shared" si="25"/>
        <v>7.0246000000000004</v>
      </c>
      <c r="N41" s="30">
        <f t="shared" si="25"/>
        <v>7.0246000000000004</v>
      </c>
      <c r="O41" s="30">
        <f t="shared" si="25"/>
        <v>7.0246000000000004</v>
      </c>
      <c r="P41" s="30">
        <f t="shared" si="25"/>
        <v>0</v>
      </c>
      <c r="Q41" s="31">
        <f>L41*(1+$U$35)</f>
        <v>11.160667999999999</v>
      </c>
      <c r="R41" s="31">
        <f t="shared" si="26"/>
        <v>7.2353380000000005</v>
      </c>
      <c r="S41" s="31">
        <f t="shared" si="26"/>
        <v>7.2353380000000005</v>
      </c>
      <c r="T41" s="31">
        <f t="shared" si="26"/>
        <v>7.2353380000000005</v>
      </c>
      <c r="U41" s="31">
        <f t="shared" si="26"/>
        <v>0</v>
      </c>
      <c r="V41" s="30">
        <f t="shared" si="27"/>
        <v>11.49548804</v>
      </c>
      <c r="W41" s="30">
        <f t="shared" si="27"/>
        <v>7.4523981400000006</v>
      </c>
      <c r="X41" s="30">
        <f t="shared" si="27"/>
        <v>7.4523981400000006</v>
      </c>
      <c r="Y41" s="30">
        <f t="shared" si="27"/>
        <v>7.4523981400000006</v>
      </c>
      <c r="Z41" s="30">
        <f t="shared" si="27"/>
        <v>0</v>
      </c>
      <c r="AA41" s="32">
        <f>V41*(1+$AE$35)</f>
        <v>11.840352681200001</v>
      </c>
      <c r="AB41" s="406">
        <f t="shared" si="31"/>
        <v>7.6659700842000014</v>
      </c>
      <c r="AC41" s="406">
        <f t="shared" si="31"/>
        <v>7.6659700842000014</v>
      </c>
      <c r="AD41" s="32">
        <f t="shared" si="31"/>
        <v>7.6659700842000014</v>
      </c>
      <c r="AE41" s="32">
        <f>Z41*(1+$AE$35)</f>
        <v>0</v>
      </c>
      <c r="AF41" s="35">
        <f t="shared" si="32"/>
        <v>12.195563261636002</v>
      </c>
      <c r="AG41" s="35">
        <f t="shared" si="32"/>
        <v>7.8959491867260017</v>
      </c>
      <c r="AH41" s="35">
        <f t="shared" si="32"/>
        <v>7.8959491867260017</v>
      </c>
      <c r="AI41" s="35">
        <f t="shared" si="32"/>
        <v>7.8959491867260017</v>
      </c>
      <c r="AJ41" s="35">
        <f t="shared" si="32"/>
        <v>0</v>
      </c>
      <c r="AK41" s="35">
        <f t="shared" ref="AK41:AK43" si="38">AF41*(1+$AJ$35)</f>
        <v>12.561430159485083</v>
      </c>
      <c r="AL41" s="35">
        <f t="shared" si="33"/>
        <v>8.1328276623277826</v>
      </c>
      <c r="AM41" s="35">
        <f t="shared" si="34"/>
        <v>8.1328276623277826</v>
      </c>
      <c r="AN41" s="35">
        <f t="shared" si="35"/>
        <v>8.1328276623277826</v>
      </c>
      <c r="AO41" s="35">
        <f t="shared" si="36"/>
        <v>0</v>
      </c>
      <c r="AP41" s="358">
        <f t="shared" si="29"/>
        <v>12.938273064269636</v>
      </c>
      <c r="AQ41" s="576">
        <v>8.3841999999999999</v>
      </c>
      <c r="AR41" s="576">
        <v>8.3841999999999999</v>
      </c>
      <c r="AS41" s="576">
        <v>8.3841999999999999</v>
      </c>
      <c r="AT41" s="358">
        <f t="shared" si="29"/>
        <v>0</v>
      </c>
      <c r="AU41" s="511">
        <f t="shared" si="30"/>
        <v>13.326421256197724</v>
      </c>
      <c r="AV41" s="511">
        <f t="shared" si="37"/>
        <v>8.6314000000000011</v>
      </c>
      <c r="AW41" s="511">
        <f t="shared" si="37"/>
        <v>8.6314000000000011</v>
      </c>
      <c r="AX41" s="511">
        <f t="shared" si="37"/>
        <v>8.6314000000000011</v>
      </c>
      <c r="AY41" s="511">
        <f t="shared" si="30"/>
        <v>0</v>
      </c>
    </row>
    <row r="42" spans="1:51" x14ac:dyDescent="0.3">
      <c r="A42" s="338" t="s">
        <v>379</v>
      </c>
      <c r="B42" s="36">
        <v>9.15</v>
      </c>
      <c r="C42" s="36">
        <v>8.2899999999999991</v>
      </c>
      <c r="D42" s="36">
        <v>9.15</v>
      </c>
      <c r="E42" s="36">
        <v>8.2899999999999991</v>
      </c>
      <c r="F42" s="339">
        <v>3.7</v>
      </c>
      <c r="G42" s="30">
        <v>10.52</v>
      </c>
      <c r="H42" s="30">
        <v>10.52</v>
      </c>
      <c r="I42" s="30">
        <v>10.52</v>
      </c>
      <c r="J42" s="30">
        <v>10.52</v>
      </c>
      <c r="K42" s="30">
        <v>3.7</v>
      </c>
      <c r="L42" s="30">
        <f>G42*(1+$P$35)</f>
        <v>10.835599999999999</v>
      </c>
      <c r="M42" s="30">
        <f t="shared" si="25"/>
        <v>10.835599999999999</v>
      </c>
      <c r="N42" s="30">
        <f t="shared" si="25"/>
        <v>10.835599999999999</v>
      </c>
      <c r="O42" s="30">
        <f t="shared" si="25"/>
        <v>10.835599999999999</v>
      </c>
      <c r="P42" s="30">
        <f t="shared" si="25"/>
        <v>3.8110000000000004</v>
      </c>
      <c r="Q42" s="31">
        <f>L42*(1+$U$35)</f>
        <v>11.160667999999999</v>
      </c>
      <c r="R42" s="31">
        <f t="shared" si="26"/>
        <v>11.160667999999999</v>
      </c>
      <c r="S42" s="31">
        <f t="shared" si="26"/>
        <v>11.160667999999999</v>
      </c>
      <c r="T42" s="31">
        <f t="shared" si="26"/>
        <v>11.160667999999999</v>
      </c>
      <c r="U42" s="31">
        <f t="shared" si="26"/>
        <v>3.9253300000000007</v>
      </c>
      <c r="V42" s="30">
        <f t="shared" si="27"/>
        <v>11.49548804</v>
      </c>
      <c r="W42" s="30">
        <f t="shared" si="27"/>
        <v>11.49548804</v>
      </c>
      <c r="X42" s="30">
        <f t="shared" si="27"/>
        <v>11.49548804</v>
      </c>
      <c r="Y42" s="30">
        <f t="shared" si="27"/>
        <v>11.49548804</v>
      </c>
      <c r="Z42" s="30">
        <f>U42*(1+$Z$35)</f>
        <v>4.0430899000000009</v>
      </c>
      <c r="AA42" s="32">
        <f t="shared" ref="AA42:AD43" si="39">V42*(1+$AE$35)</f>
        <v>11.840352681200001</v>
      </c>
      <c r="AB42" s="32">
        <f t="shared" si="39"/>
        <v>11.840352681200001</v>
      </c>
      <c r="AC42" s="32">
        <f t="shared" si="39"/>
        <v>11.840352681200001</v>
      </c>
      <c r="AD42" s="32">
        <f t="shared" si="39"/>
        <v>11.840352681200001</v>
      </c>
      <c r="AE42" s="32">
        <f>Z42*(1+$AE$35)</f>
        <v>4.1643825970000012</v>
      </c>
      <c r="AF42" s="35">
        <f t="shared" si="32"/>
        <v>12.195563261636002</v>
      </c>
      <c r="AG42" s="35">
        <f t="shared" si="32"/>
        <v>12.195563261636002</v>
      </c>
      <c r="AH42" s="35">
        <f t="shared" si="32"/>
        <v>12.195563261636002</v>
      </c>
      <c r="AI42" s="35">
        <f t="shared" si="32"/>
        <v>12.195563261636002</v>
      </c>
      <c r="AJ42" s="35">
        <f t="shared" si="32"/>
        <v>4.2893140749100018</v>
      </c>
      <c r="AK42" s="35">
        <f t="shared" si="38"/>
        <v>12.561430159485083</v>
      </c>
      <c r="AL42" s="35">
        <f t="shared" si="33"/>
        <v>12.561430159485083</v>
      </c>
      <c r="AM42" s="35">
        <f t="shared" si="34"/>
        <v>12.561430159485083</v>
      </c>
      <c r="AN42" s="35">
        <f t="shared" si="35"/>
        <v>12.561430159485083</v>
      </c>
      <c r="AO42" s="35">
        <f>AJ42*(1+$AJ$35)</f>
        <v>4.4179934971573021</v>
      </c>
      <c r="AP42" s="358">
        <f t="shared" si="29"/>
        <v>12.938273064269636</v>
      </c>
      <c r="AQ42" s="358">
        <f t="shared" si="29"/>
        <v>12.938273064269636</v>
      </c>
      <c r="AR42" s="358">
        <f t="shared" si="29"/>
        <v>12.938273064269636</v>
      </c>
      <c r="AS42" s="358">
        <f t="shared" si="29"/>
        <v>12.938273064269636</v>
      </c>
      <c r="AT42" s="358">
        <f t="shared" si="29"/>
        <v>4.5505333020720213</v>
      </c>
      <c r="AU42" s="511">
        <f t="shared" si="30"/>
        <v>13.326421256197724</v>
      </c>
      <c r="AV42" s="511">
        <f t="shared" si="30"/>
        <v>13.326421256197724</v>
      </c>
      <c r="AW42" s="511">
        <f t="shared" si="30"/>
        <v>13.326421256197724</v>
      </c>
      <c r="AX42" s="511">
        <f t="shared" si="30"/>
        <v>13.326421256197724</v>
      </c>
      <c r="AY42" s="511">
        <f>AT42*(1+$AY$35)</f>
        <v>4.6870493011341825</v>
      </c>
    </row>
    <row r="43" spans="1:51" x14ac:dyDescent="0.3">
      <c r="A43" s="21" t="s">
        <v>92</v>
      </c>
      <c r="B43" s="36"/>
      <c r="C43" s="36"/>
      <c r="D43" s="36"/>
      <c r="E43" s="36"/>
      <c r="F43" s="36"/>
      <c r="G43" s="30"/>
      <c r="H43" s="30"/>
      <c r="I43" s="30"/>
      <c r="J43" s="30"/>
      <c r="K43" s="30"/>
      <c r="L43" s="30"/>
      <c r="M43" s="30"/>
      <c r="N43" s="30"/>
      <c r="O43" s="30"/>
      <c r="P43" s="30"/>
      <c r="Q43" s="31">
        <f>Q39</f>
        <v>11.160667999999999</v>
      </c>
      <c r="R43" s="31">
        <f>R39</f>
        <v>11.160667999999999</v>
      </c>
      <c r="S43" s="31">
        <f>S39</f>
        <v>11.160667999999999</v>
      </c>
      <c r="T43" s="31">
        <f>T39</f>
        <v>11.160667999999999</v>
      </c>
      <c r="U43" s="31">
        <f>U39</f>
        <v>0</v>
      </c>
      <c r="V43" s="30">
        <f t="shared" si="27"/>
        <v>11.49548804</v>
      </c>
      <c r="W43" s="30">
        <f t="shared" si="27"/>
        <v>11.49548804</v>
      </c>
      <c r="X43" s="30">
        <f t="shared" si="27"/>
        <v>11.49548804</v>
      </c>
      <c r="Y43" s="30">
        <f t="shared" si="27"/>
        <v>11.49548804</v>
      </c>
      <c r="Z43" s="30">
        <f>U43*(1+$Z$35)</f>
        <v>0</v>
      </c>
      <c r="AA43" s="32">
        <f t="shared" si="39"/>
        <v>11.840352681200001</v>
      </c>
      <c r="AB43" s="32">
        <f t="shared" si="39"/>
        <v>11.840352681200001</v>
      </c>
      <c r="AC43" s="32">
        <f t="shared" si="39"/>
        <v>11.840352681200001</v>
      </c>
      <c r="AD43" s="32">
        <f t="shared" si="39"/>
        <v>11.840352681200001</v>
      </c>
      <c r="AE43" s="32">
        <f>Z43*(1+$AE$35)</f>
        <v>0</v>
      </c>
      <c r="AF43" s="35">
        <f t="shared" si="32"/>
        <v>12.195563261636002</v>
      </c>
      <c r="AG43" s="35">
        <f t="shared" si="32"/>
        <v>12.195563261636002</v>
      </c>
      <c r="AH43" s="35">
        <f t="shared" si="32"/>
        <v>12.195563261636002</v>
      </c>
      <c r="AI43" s="35">
        <f t="shared" si="32"/>
        <v>12.195563261636002</v>
      </c>
      <c r="AJ43" s="35">
        <f t="shared" si="32"/>
        <v>0</v>
      </c>
      <c r="AK43" s="35">
        <f t="shared" si="38"/>
        <v>12.561430159485083</v>
      </c>
      <c r="AL43" s="35">
        <f t="shared" si="33"/>
        <v>12.561430159485083</v>
      </c>
      <c r="AM43" s="35">
        <f t="shared" si="34"/>
        <v>12.561430159485083</v>
      </c>
      <c r="AN43" s="35">
        <f t="shared" si="35"/>
        <v>12.561430159485083</v>
      </c>
      <c r="AO43" s="35">
        <f t="shared" si="36"/>
        <v>0</v>
      </c>
      <c r="AP43" s="358">
        <f t="shared" si="29"/>
        <v>12.938273064269636</v>
      </c>
      <c r="AQ43" s="358">
        <f t="shared" si="29"/>
        <v>12.938273064269636</v>
      </c>
      <c r="AR43" s="358">
        <f t="shared" si="29"/>
        <v>12.938273064269636</v>
      </c>
      <c r="AS43" s="358">
        <f t="shared" si="29"/>
        <v>12.938273064269636</v>
      </c>
      <c r="AT43" s="358">
        <f t="shared" si="29"/>
        <v>0</v>
      </c>
      <c r="AU43" s="511">
        <f t="shared" si="30"/>
        <v>13.326421256197724</v>
      </c>
      <c r="AV43" s="511">
        <f t="shared" si="30"/>
        <v>13.326421256197724</v>
      </c>
      <c r="AW43" s="511">
        <f t="shared" si="30"/>
        <v>13.326421256197724</v>
      </c>
      <c r="AX43" s="511">
        <f t="shared" si="30"/>
        <v>13.326421256197724</v>
      </c>
      <c r="AY43" s="511">
        <f t="shared" si="30"/>
        <v>0</v>
      </c>
    </row>
    <row r="45" spans="1:51" x14ac:dyDescent="0.3">
      <c r="A45" s="19" t="s">
        <v>417</v>
      </c>
      <c r="Z45" s="19" t="s">
        <v>417</v>
      </c>
      <c r="AQ45" s="393"/>
      <c r="AT45" s="393">
        <f>+AS40+AT42</f>
        <v>12.934733302072022</v>
      </c>
    </row>
    <row r="46" spans="1:51" ht="15" thickBot="1" x14ac:dyDescent="0.35">
      <c r="Z46" s="365"/>
      <c r="AH46" s="404"/>
      <c r="AI46" s="393"/>
      <c r="AJ46" s="393"/>
      <c r="AK46" s="403"/>
      <c r="AX46" s="393">
        <f>8.38*(1+3%)</f>
        <v>8.6314000000000011</v>
      </c>
    </row>
    <row r="47" spans="1:51" x14ac:dyDescent="0.3">
      <c r="A47" s="819" t="s">
        <v>80</v>
      </c>
      <c r="B47" s="818">
        <v>2013</v>
      </c>
      <c r="C47" s="818"/>
      <c r="D47" s="818"/>
      <c r="E47" s="818">
        <v>2014</v>
      </c>
      <c r="F47" s="818"/>
      <c r="G47" s="818"/>
      <c r="H47" s="818">
        <v>2015</v>
      </c>
      <c r="I47" s="818"/>
      <c r="J47" s="818"/>
      <c r="K47" s="818">
        <v>2016</v>
      </c>
      <c r="L47" s="818"/>
      <c r="M47" s="818"/>
      <c r="N47" s="818">
        <v>2017</v>
      </c>
      <c r="O47" s="818"/>
      <c r="P47" s="820"/>
      <c r="Q47" s="821">
        <v>2018</v>
      </c>
      <c r="R47" s="822"/>
      <c r="S47" s="823"/>
      <c r="T47" s="824">
        <v>2019</v>
      </c>
      <c r="U47" s="818"/>
      <c r="V47" s="820"/>
      <c r="W47" s="821">
        <v>2020</v>
      </c>
      <c r="X47" s="822"/>
      <c r="Y47" s="823"/>
      <c r="Z47" s="824">
        <v>2021</v>
      </c>
      <c r="AA47" s="818"/>
      <c r="AB47" s="818"/>
      <c r="AC47" s="852">
        <v>2022</v>
      </c>
      <c r="AD47" s="850"/>
      <c r="AE47" s="850"/>
      <c r="AV47" s="411"/>
      <c r="AX47">
        <v>4.6900000000000004</v>
      </c>
    </row>
    <row r="48" spans="1:51" ht="28.8" x14ac:dyDescent="0.3">
      <c r="A48" s="819"/>
      <c r="B48" s="28" t="s">
        <v>81</v>
      </c>
      <c r="C48" s="28" t="s">
        <v>82</v>
      </c>
      <c r="D48" s="28" t="s">
        <v>83</v>
      </c>
      <c r="E48" s="28" t="s">
        <v>81</v>
      </c>
      <c r="F48" s="28" t="s">
        <v>82</v>
      </c>
      <c r="G48" s="28" t="s">
        <v>83</v>
      </c>
      <c r="H48" s="28" t="s">
        <v>81</v>
      </c>
      <c r="I48" s="28" t="s">
        <v>82</v>
      </c>
      <c r="J48" s="28" t="s">
        <v>83</v>
      </c>
      <c r="K48" s="28" t="s">
        <v>81</v>
      </c>
      <c r="L48" s="28" t="s">
        <v>82</v>
      </c>
      <c r="M48" s="28" t="s">
        <v>83</v>
      </c>
      <c r="N48" s="28" t="s">
        <v>81</v>
      </c>
      <c r="O48" s="28" t="s">
        <v>82</v>
      </c>
      <c r="P48" s="372" t="s">
        <v>83</v>
      </c>
      <c r="Q48" s="376" t="s">
        <v>81</v>
      </c>
      <c r="R48" s="371" t="s">
        <v>82</v>
      </c>
      <c r="S48" s="377" t="s">
        <v>83</v>
      </c>
      <c r="T48" s="373" t="s">
        <v>81</v>
      </c>
      <c r="U48" s="28" t="s">
        <v>82</v>
      </c>
      <c r="V48" s="372" t="s">
        <v>83</v>
      </c>
      <c r="W48" s="376" t="s">
        <v>81</v>
      </c>
      <c r="X48" s="371" t="s">
        <v>82</v>
      </c>
      <c r="Y48" s="377" t="s">
        <v>83</v>
      </c>
      <c r="Z48" s="373" t="s">
        <v>81</v>
      </c>
      <c r="AA48" s="357" t="s">
        <v>82</v>
      </c>
      <c r="AB48" s="357" t="s">
        <v>83</v>
      </c>
      <c r="AC48" s="513" t="s">
        <v>81</v>
      </c>
      <c r="AD48" s="510" t="s">
        <v>82</v>
      </c>
      <c r="AE48" s="510" t="s">
        <v>83</v>
      </c>
      <c r="AX48" s="393"/>
    </row>
    <row r="49" spans="1:44" x14ac:dyDescent="0.3">
      <c r="A49" s="21" t="s">
        <v>84</v>
      </c>
      <c r="B49" s="36">
        <v>0</v>
      </c>
      <c r="C49" s="36">
        <v>0</v>
      </c>
      <c r="D49" s="36">
        <v>0</v>
      </c>
      <c r="E49" s="30">
        <f>B49*(1+$B$5)</f>
        <v>0</v>
      </c>
      <c r="F49" s="30">
        <f t="shared" ref="F49:G56" si="40">C49*(1+$B$5)</f>
        <v>0</v>
      </c>
      <c r="G49" s="30">
        <f t="shared" si="40"/>
        <v>0</v>
      </c>
      <c r="H49" s="30">
        <f>E49*(1+$C$5)</f>
        <v>0</v>
      </c>
      <c r="I49" s="30">
        <f>F49*(1+$C$5)</f>
        <v>0</v>
      </c>
      <c r="J49" s="30">
        <f>G49*(1+$C$5)</f>
        <v>0</v>
      </c>
      <c r="K49" s="30">
        <f>H49*(1+$D$5)</f>
        <v>0</v>
      </c>
      <c r="L49" s="30">
        <f t="shared" ref="L49:L55" si="41">I49*(1+$D$5)</f>
        <v>0</v>
      </c>
      <c r="M49" s="30">
        <f>J49*(1+$D$5)</f>
        <v>0</v>
      </c>
      <c r="N49" s="31">
        <f t="shared" ref="N49:P57" si="42">K49*(1+$E$5)</f>
        <v>0</v>
      </c>
      <c r="O49" s="31">
        <f t="shared" si="42"/>
        <v>0</v>
      </c>
      <c r="P49" s="383">
        <f t="shared" si="42"/>
        <v>0</v>
      </c>
      <c r="Q49" s="385">
        <f t="shared" ref="Q49:S57" si="43">N49*(1+$F$5)</f>
        <v>0</v>
      </c>
      <c r="R49" s="32">
        <f t="shared" si="43"/>
        <v>0</v>
      </c>
      <c r="S49" s="386">
        <f t="shared" si="43"/>
        <v>0</v>
      </c>
      <c r="T49" s="384">
        <f t="shared" ref="T49:V56" si="44">Q49*(1+$G$5)</f>
        <v>0</v>
      </c>
      <c r="U49" s="33">
        <f t="shared" si="44"/>
        <v>0</v>
      </c>
      <c r="V49" s="374">
        <f t="shared" si="44"/>
        <v>0</v>
      </c>
      <c r="W49" s="378">
        <f t="shared" ref="W49:Y56" si="45">T49*(1+$H$5)</f>
        <v>0</v>
      </c>
      <c r="X49" s="33">
        <f t="shared" si="45"/>
        <v>0</v>
      </c>
      <c r="Y49" s="379">
        <f t="shared" si="45"/>
        <v>0</v>
      </c>
      <c r="Z49" s="577">
        <f t="shared" ref="Z49:AB56" si="46">W49*(1+$I$5)</f>
        <v>0</v>
      </c>
      <c r="AA49" s="358">
        <f t="shared" si="46"/>
        <v>0</v>
      </c>
      <c r="AB49" s="358">
        <f t="shared" si="46"/>
        <v>0</v>
      </c>
      <c r="AC49" s="514">
        <f t="shared" ref="AC49:AC57" si="47">Z49*(1+$J$5)</f>
        <v>0</v>
      </c>
      <c r="AD49" s="511">
        <f t="shared" ref="AD49:AD57" si="48">AA49*(1+$J$5)</f>
        <v>0</v>
      </c>
      <c r="AE49" s="511">
        <f t="shared" ref="AE49:AE57" si="49">AB49*(1+$J$5)</f>
        <v>0</v>
      </c>
      <c r="AG49" s="21" t="s">
        <v>84</v>
      </c>
      <c r="AL49" s="537"/>
      <c r="AM49" s="540"/>
      <c r="AN49" s="540"/>
      <c r="AO49" s="540"/>
      <c r="AP49" s="540"/>
      <c r="AQ49" s="538"/>
      <c r="AR49" s="539"/>
    </row>
    <row r="50" spans="1:44" x14ac:dyDescent="0.3">
      <c r="A50" s="21" t="s">
        <v>85</v>
      </c>
      <c r="B50" s="36">
        <v>78.87</v>
      </c>
      <c r="C50" s="36">
        <v>78.87</v>
      </c>
      <c r="D50" s="36">
        <v>0</v>
      </c>
      <c r="E50" s="30">
        <f t="shared" ref="E50:E56" si="50">B50*(1+$B$5)</f>
        <v>80.400078000000008</v>
      </c>
      <c r="F50" s="30">
        <f t="shared" si="40"/>
        <v>80.400078000000008</v>
      </c>
      <c r="G50" s="30">
        <f t="shared" si="40"/>
        <v>0</v>
      </c>
      <c r="H50" s="30">
        <f t="shared" ref="H50:J56" si="51">E50*(1+$C$5)</f>
        <v>83.342720854800007</v>
      </c>
      <c r="I50" s="30">
        <f t="shared" si="51"/>
        <v>83.342720854800007</v>
      </c>
      <c r="J50" s="30">
        <f t="shared" si="51"/>
        <v>0</v>
      </c>
      <c r="K50" s="30">
        <f>H50*(1+$D$5)-0.01</f>
        <v>88.975023056669968</v>
      </c>
      <c r="L50" s="30">
        <f>I50*(1+$D$5)-0.01</f>
        <v>88.975023056669968</v>
      </c>
      <c r="M50" s="30">
        <f t="shared" ref="M50:M56" si="52">J50*(1+$D$5)</f>
        <v>0</v>
      </c>
      <c r="N50" s="31">
        <f t="shared" si="42"/>
        <v>94.091086882428499</v>
      </c>
      <c r="O50" s="31">
        <f t="shared" si="42"/>
        <v>94.091086882428499</v>
      </c>
      <c r="P50" s="383">
        <f t="shared" si="42"/>
        <v>0</v>
      </c>
      <c r="Q50" s="385">
        <f t="shared" si="43"/>
        <v>97.939412335919812</v>
      </c>
      <c r="R50" s="32">
        <f t="shared" si="43"/>
        <v>97.939412335919812</v>
      </c>
      <c r="S50" s="386">
        <f t="shared" si="43"/>
        <v>0</v>
      </c>
      <c r="T50" s="384">
        <f>Q50*(1+$G$5)</f>
        <v>101.05388564820207</v>
      </c>
      <c r="U50" s="33">
        <f t="shared" si="44"/>
        <v>101.05388564820207</v>
      </c>
      <c r="V50" s="374">
        <f t="shared" si="44"/>
        <v>0</v>
      </c>
      <c r="W50" s="378">
        <f>T50*(1+$H$5)</f>
        <v>104.89393330283374</v>
      </c>
      <c r="X50" s="33">
        <f t="shared" si="45"/>
        <v>104.89393330283374</v>
      </c>
      <c r="Y50" s="379">
        <f t="shared" si="45"/>
        <v>0</v>
      </c>
      <c r="Z50" s="577">
        <f>W50*(1+$I$5)+0.01</f>
        <v>106.59272562900938</v>
      </c>
      <c r="AA50" s="358">
        <f>X50*(1+$I$5)+0.01</f>
        <v>106.59272562900938</v>
      </c>
      <c r="AB50" s="358">
        <f t="shared" si="46"/>
        <v>0</v>
      </c>
      <c r="AC50" s="514">
        <f t="shared" si="47"/>
        <v>112.5832368093597</v>
      </c>
      <c r="AD50" s="511">
        <f t="shared" si="48"/>
        <v>112.5832368093597</v>
      </c>
      <c r="AE50" s="511">
        <f t="shared" si="49"/>
        <v>0</v>
      </c>
      <c r="AG50" s="21" t="s">
        <v>85</v>
      </c>
      <c r="AL50" s="537"/>
      <c r="AM50" s="537"/>
      <c r="AN50" s="537"/>
      <c r="AO50" s="537"/>
      <c r="AP50" s="537"/>
      <c r="AQ50" s="538"/>
      <c r="AR50" s="539"/>
    </row>
    <row r="51" spans="1:44" x14ac:dyDescent="0.3">
      <c r="A51" s="21" t="s">
        <v>86</v>
      </c>
      <c r="B51" s="36">
        <v>0</v>
      </c>
      <c r="C51" s="36">
        <v>0</v>
      </c>
      <c r="D51" s="36">
        <v>0</v>
      </c>
      <c r="E51" s="30">
        <f t="shared" si="50"/>
        <v>0</v>
      </c>
      <c r="F51" s="30">
        <f t="shared" si="40"/>
        <v>0</v>
      </c>
      <c r="G51" s="30">
        <f t="shared" si="40"/>
        <v>0</v>
      </c>
      <c r="H51" s="30">
        <f t="shared" si="51"/>
        <v>0</v>
      </c>
      <c r="I51" s="30">
        <f t="shared" si="51"/>
        <v>0</v>
      </c>
      <c r="J51" s="30">
        <f t="shared" si="51"/>
        <v>0</v>
      </c>
      <c r="K51" s="30">
        <f>H51*(1+$D$5)</f>
        <v>0</v>
      </c>
      <c r="L51" s="30">
        <f t="shared" si="41"/>
        <v>0</v>
      </c>
      <c r="M51" s="30">
        <f t="shared" si="52"/>
        <v>0</v>
      </c>
      <c r="N51" s="31">
        <f t="shared" si="42"/>
        <v>0</v>
      </c>
      <c r="O51" s="31">
        <f t="shared" si="42"/>
        <v>0</v>
      </c>
      <c r="P51" s="383">
        <f t="shared" si="42"/>
        <v>0</v>
      </c>
      <c r="Q51" s="385">
        <f t="shared" si="43"/>
        <v>0</v>
      </c>
      <c r="R51" s="32">
        <f t="shared" si="43"/>
        <v>0</v>
      </c>
      <c r="S51" s="386">
        <f t="shared" si="43"/>
        <v>0</v>
      </c>
      <c r="T51" s="384">
        <f t="shared" si="44"/>
        <v>0</v>
      </c>
      <c r="U51" s="33">
        <f t="shared" si="44"/>
        <v>0</v>
      </c>
      <c r="V51" s="374">
        <f t="shared" si="44"/>
        <v>0</v>
      </c>
      <c r="W51" s="378">
        <f t="shared" si="45"/>
        <v>0</v>
      </c>
      <c r="X51" s="33">
        <f t="shared" si="45"/>
        <v>0</v>
      </c>
      <c r="Y51" s="379">
        <f t="shared" si="45"/>
        <v>0</v>
      </c>
      <c r="Z51" s="577">
        <f t="shared" si="46"/>
        <v>0</v>
      </c>
      <c r="AA51" s="358">
        <f t="shared" si="46"/>
        <v>0</v>
      </c>
      <c r="AB51" s="358">
        <f t="shared" si="46"/>
        <v>0</v>
      </c>
      <c r="AC51" s="514">
        <f t="shared" si="47"/>
        <v>0</v>
      </c>
      <c r="AD51" s="511">
        <f t="shared" si="48"/>
        <v>0</v>
      </c>
      <c r="AE51" s="511">
        <f t="shared" si="49"/>
        <v>0</v>
      </c>
      <c r="AG51" s="21" t="s">
        <v>86</v>
      </c>
    </row>
    <row r="52" spans="1:44" x14ac:dyDescent="0.3">
      <c r="A52" s="21" t="s">
        <v>87</v>
      </c>
      <c r="B52" s="36">
        <v>78.87</v>
      </c>
      <c r="C52" s="36">
        <v>78.87</v>
      </c>
      <c r="D52" s="36">
        <v>0</v>
      </c>
      <c r="E52" s="30">
        <f t="shared" si="50"/>
        <v>80.400078000000008</v>
      </c>
      <c r="F52" s="30">
        <f t="shared" si="40"/>
        <v>80.400078000000008</v>
      </c>
      <c r="G52" s="30">
        <f t="shared" si="40"/>
        <v>0</v>
      </c>
      <c r="H52" s="30">
        <f t="shared" si="51"/>
        <v>83.342720854800007</v>
      </c>
      <c r="I52" s="30">
        <f t="shared" si="51"/>
        <v>83.342720854800007</v>
      </c>
      <c r="J52" s="30">
        <f t="shared" si="51"/>
        <v>0</v>
      </c>
      <c r="K52" s="30">
        <f>H52*(1+$D$5)-0.01</f>
        <v>88.975023056669968</v>
      </c>
      <c r="L52" s="30">
        <f>I52*(1+$D$5)-0.01</f>
        <v>88.975023056669968</v>
      </c>
      <c r="M52" s="30">
        <f t="shared" si="52"/>
        <v>0</v>
      </c>
      <c r="N52" s="31">
        <f t="shared" si="42"/>
        <v>94.091086882428499</v>
      </c>
      <c r="O52" s="31">
        <f t="shared" si="42"/>
        <v>94.091086882428499</v>
      </c>
      <c r="P52" s="383">
        <f t="shared" si="42"/>
        <v>0</v>
      </c>
      <c r="Q52" s="385">
        <f t="shared" si="43"/>
        <v>97.939412335919812</v>
      </c>
      <c r="R52" s="32">
        <f t="shared" si="43"/>
        <v>97.939412335919812</v>
      </c>
      <c r="S52" s="386">
        <f t="shared" si="43"/>
        <v>0</v>
      </c>
      <c r="T52" s="384">
        <f>Q52*(1+$G$5)</f>
        <v>101.05388564820207</v>
      </c>
      <c r="U52" s="33">
        <f t="shared" si="44"/>
        <v>101.05388564820207</v>
      </c>
      <c r="V52" s="374">
        <f t="shared" si="44"/>
        <v>0</v>
      </c>
      <c r="W52" s="378">
        <f t="shared" si="45"/>
        <v>104.89393330283374</v>
      </c>
      <c r="X52" s="33">
        <f t="shared" si="45"/>
        <v>104.89393330283374</v>
      </c>
      <c r="Y52" s="379">
        <f t="shared" si="45"/>
        <v>0</v>
      </c>
      <c r="Z52" s="577">
        <f>W52*(1+$I$5)+0.01</f>
        <v>106.59272562900938</v>
      </c>
      <c r="AA52" s="358">
        <f>X52*(1+$I$5)+0.01</f>
        <v>106.59272562900938</v>
      </c>
      <c r="AB52" s="358">
        <f t="shared" si="46"/>
        <v>0</v>
      </c>
      <c r="AC52" s="514">
        <f t="shared" si="47"/>
        <v>112.5832368093597</v>
      </c>
      <c r="AD52" s="511">
        <f t="shared" si="48"/>
        <v>112.5832368093597</v>
      </c>
      <c r="AE52" s="511">
        <f t="shared" si="49"/>
        <v>0</v>
      </c>
      <c r="AG52" s="21" t="s">
        <v>87</v>
      </c>
    </row>
    <row r="53" spans="1:44" x14ac:dyDescent="0.3">
      <c r="A53" s="21" t="s">
        <v>88</v>
      </c>
      <c r="B53" s="36">
        <v>58.03</v>
      </c>
      <c r="C53" s="36">
        <v>58.03</v>
      </c>
      <c r="D53" s="36">
        <v>58.03</v>
      </c>
      <c r="E53" s="30">
        <f t="shared" si="50"/>
        <v>59.155782000000009</v>
      </c>
      <c r="F53" s="30">
        <f t="shared" si="40"/>
        <v>59.155782000000009</v>
      </c>
      <c r="G53" s="30">
        <f t="shared" si="40"/>
        <v>59.155782000000009</v>
      </c>
      <c r="H53" s="30">
        <f t="shared" si="51"/>
        <v>61.320883621200011</v>
      </c>
      <c r="I53" s="30">
        <f t="shared" si="51"/>
        <v>61.320883621200011</v>
      </c>
      <c r="J53" s="30">
        <f t="shared" si="51"/>
        <v>61.320883621200011</v>
      </c>
      <c r="K53" s="30">
        <f>H53*(1+$D$5)</f>
        <v>65.472307442355259</v>
      </c>
      <c r="L53" s="30">
        <f t="shared" si="41"/>
        <v>65.472307442355259</v>
      </c>
      <c r="M53" s="30">
        <f t="shared" si="52"/>
        <v>65.472307442355259</v>
      </c>
      <c r="N53" s="31">
        <f t="shared" si="42"/>
        <v>69.236965120290691</v>
      </c>
      <c r="O53" s="31">
        <f t="shared" si="42"/>
        <v>69.236965120290691</v>
      </c>
      <c r="P53" s="383">
        <f t="shared" si="42"/>
        <v>69.236965120290691</v>
      </c>
      <c r="Q53" s="385">
        <f t="shared" si="43"/>
        <v>72.068756993710579</v>
      </c>
      <c r="R53" s="32">
        <f t="shared" si="43"/>
        <v>72.068756993710579</v>
      </c>
      <c r="S53" s="386">
        <f t="shared" si="43"/>
        <v>72.068756993710579</v>
      </c>
      <c r="T53" s="384">
        <f t="shared" si="44"/>
        <v>74.360543466110585</v>
      </c>
      <c r="U53" s="33">
        <f t="shared" si="44"/>
        <v>74.360543466110585</v>
      </c>
      <c r="V53" s="374">
        <f t="shared" si="44"/>
        <v>74.360543466110585</v>
      </c>
      <c r="W53" s="378">
        <f t="shared" si="45"/>
        <v>77.186244117822795</v>
      </c>
      <c r="X53" s="33">
        <f t="shared" si="45"/>
        <v>77.186244117822795</v>
      </c>
      <c r="Y53" s="379">
        <f t="shared" si="45"/>
        <v>77.186244117822795</v>
      </c>
      <c r="Z53" s="577">
        <f t="shared" si="46"/>
        <v>78.428942648119744</v>
      </c>
      <c r="AA53" s="358">
        <f t="shared" si="46"/>
        <v>78.428942648119744</v>
      </c>
      <c r="AB53" s="358">
        <f t="shared" si="46"/>
        <v>78.428942648119744</v>
      </c>
      <c r="AC53" s="514">
        <f t="shared" si="47"/>
        <v>82.836649224944082</v>
      </c>
      <c r="AD53" s="511">
        <f t="shared" si="48"/>
        <v>82.836649224944082</v>
      </c>
      <c r="AE53" s="511">
        <f t="shared" si="49"/>
        <v>82.836649224944082</v>
      </c>
      <c r="AG53" s="21" t="s">
        <v>88</v>
      </c>
    </row>
    <row r="54" spans="1:44" x14ac:dyDescent="0.3">
      <c r="A54" s="21" t="s">
        <v>89</v>
      </c>
      <c r="B54" s="36">
        <v>78.87</v>
      </c>
      <c r="C54" s="36">
        <v>78.87</v>
      </c>
      <c r="D54" s="36">
        <v>0</v>
      </c>
      <c r="E54" s="30">
        <f t="shared" si="50"/>
        <v>80.400078000000008</v>
      </c>
      <c r="F54" s="30">
        <f t="shared" si="40"/>
        <v>80.400078000000008</v>
      </c>
      <c r="G54" s="30">
        <f t="shared" si="40"/>
        <v>0</v>
      </c>
      <c r="H54" s="30">
        <f t="shared" si="51"/>
        <v>83.342720854800007</v>
      </c>
      <c r="I54" s="30">
        <f t="shared" si="51"/>
        <v>83.342720854800007</v>
      </c>
      <c r="J54" s="30">
        <f t="shared" si="51"/>
        <v>0</v>
      </c>
      <c r="K54" s="30">
        <f>H54*(1+$D$5)-0.01</f>
        <v>88.975023056669968</v>
      </c>
      <c r="L54" s="30">
        <f>I54*(1+$D$5)-0.01</f>
        <v>88.975023056669968</v>
      </c>
      <c r="M54" s="30">
        <f t="shared" si="52"/>
        <v>0</v>
      </c>
      <c r="N54" s="31">
        <f t="shared" si="42"/>
        <v>94.091086882428499</v>
      </c>
      <c r="O54" s="31">
        <f t="shared" si="42"/>
        <v>94.091086882428499</v>
      </c>
      <c r="P54" s="383">
        <f t="shared" si="42"/>
        <v>0</v>
      </c>
      <c r="Q54" s="385">
        <f t="shared" si="43"/>
        <v>97.939412335919812</v>
      </c>
      <c r="R54" s="32">
        <f t="shared" si="43"/>
        <v>97.939412335919812</v>
      </c>
      <c r="S54" s="386">
        <f t="shared" si="43"/>
        <v>0</v>
      </c>
      <c r="T54" s="384">
        <f t="shared" si="44"/>
        <v>101.05388564820207</v>
      </c>
      <c r="U54" s="33">
        <f t="shared" si="44"/>
        <v>101.05388564820207</v>
      </c>
      <c r="V54" s="374">
        <f t="shared" si="44"/>
        <v>0</v>
      </c>
      <c r="W54" s="378">
        <f t="shared" si="45"/>
        <v>104.89393330283374</v>
      </c>
      <c r="X54" s="33">
        <f t="shared" si="45"/>
        <v>104.89393330283374</v>
      </c>
      <c r="Y54" s="379">
        <f t="shared" si="45"/>
        <v>0</v>
      </c>
      <c r="Z54" s="577">
        <f>W54*(1+$I$5)+0.01</f>
        <v>106.59272562900938</v>
      </c>
      <c r="AA54" s="358">
        <f>X54*(1+$I$5)+0.01</f>
        <v>106.59272562900938</v>
      </c>
      <c r="AB54" s="358">
        <f t="shared" si="46"/>
        <v>0</v>
      </c>
      <c r="AC54" s="514">
        <f t="shared" si="47"/>
        <v>112.5832368093597</v>
      </c>
      <c r="AD54" s="511">
        <f t="shared" si="48"/>
        <v>112.5832368093597</v>
      </c>
      <c r="AE54" s="511">
        <f t="shared" si="49"/>
        <v>0</v>
      </c>
      <c r="AG54" s="21" t="s">
        <v>89</v>
      </c>
    </row>
    <row r="55" spans="1:44" x14ac:dyDescent="0.3">
      <c r="A55" s="21" t="s">
        <v>90</v>
      </c>
      <c r="B55" s="36">
        <v>0</v>
      </c>
      <c r="C55" s="36">
        <v>0</v>
      </c>
      <c r="D55" s="36">
        <v>0</v>
      </c>
      <c r="E55" s="30">
        <f t="shared" si="50"/>
        <v>0</v>
      </c>
      <c r="F55" s="30">
        <f t="shared" si="40"/>
        <v>0</v>
      </c>
      <c r="G55" s="30">
        <f t="shared" si="40"/>
        <v>0</v>
      </c>
      <c r="H55" s="30">
        <f t="shared" si="51"/>
        <v>0</v>
      </c>
      <c r="I55" s="30">
        <f t="shared" si="51"/>
        <v>0</v>
      </c>
      <c r="J55" s="30">
        <f t="shared" si="51"/>
        <v>0</v>
      </c>
      <c r="K55" s="30">
        <f>H55*(1+$D$5)</f>
        <v>0</v>
      </c>
      <c r="L55" s="30">
        <f t="shared" si="41"/>
        <v>0</v>
      </c>
      <c r="M55" s="30">
        <f t="shared" si="52"/>
        <v>0</v>
      </c>
      <c r="N55" s="31">
        <f t="shared" si="42"/>
        <v>0</v>
      </c>
      <c r="O55" s="31">
        <f t="shared" si="42"/>
        <v>0</v>
      </c>
      <c r="P55" s="383">
        <f t="shared" si="42"/>
        <v>0</v>
      </c>
      <c r="Q55" s="385">
        <f t="shared" si="43"/>
        <v>0</v>
      </c>
      <c r="R55" s="32">
        <f t="shared" si="43"/>
        <v>0</v>
      </c>
      <c r="S55" s="386">
        <f t="shared" si="43"/>
        <v>0</v>
      </c>
      <c r="T55" s="384">
        <f t="shared" si="44"/>
        <v>0</v>
      </c>
      <c r="U55" s="33">
        <f t="shared" si="44"/>
        <v>0</v>
      </c>
      <c r="V55" s="374">
        <f t="shared" si="44"/>
        <v>0</v>
      </c>
      <c r="W55" s="378">
        <f t="shared" si="45"/>
        <v>0</v>
      </c>
      <c r="X55" s="33">
        <f t="shared" si="45"/>
        <v>0</v>
      </c>
      <c r="Y55" s="379">
        <f t="shared" si="45"/>
        <v>0</v>
      </c>
      <c r="Z55" s="577">
        <f t="shared" si="46"/>
        <v>0</v>
      </c>
      <c r="AA55" s="358">
        <f t="shared" si="46"/>
        <v>0</v>
      </c>
      <c r="AB55" s="358">
        <f t="shared" si="46"/>
        <v>0</v>
      </c>
      <c r="AC55" s="514">
        <f t="shared" si="47"/>
        <v>0</v>
      </c>
      <c r="AD55" s="511">
        <f t="shared" si="48"/>
        <v>0</v>
      </c>
      <c r="AE55" s="511">
        <f t="shared" si="49"/>
        <v>0</v>
      </c>
      <c r="AG55" s="21" t="s">
        <v>90</v>
      </c>
    </row>
    <row r="56" spans="1:44" x14ac:dyDescent="0.3">
      <c r="A56" s="21" t="s">
        <v>91</v>
      </c>
      <c r="B56" s="36">
        <v>78.87</v>
      </c>
      <c r="C56" s="36">
        <v>78.87</v>
      </c>
      <c r="D56" s="36">
        <v>0</v>
      </c>
      <c r="E56" s="30">
        <f t="shared" si="50"/>
        <v>80.400078000000008</v>
      </c>
      <c r="F56" s="30">
        <f t="shared" si="40"/>
        <v>80.400078000000008</v>
      </c>
      <c r="G56" s="30">
        <f t="shared" si="40"/>
        <v>0</v>
      </c>
      <c r="H56" s="30">
        <f t="shared" si="51"/>
        <v>83.342720854800007</v>
      </c>
      <c r="I56" s="30">
        <f t="shared" si="51"/>
        <v>83.342720854800007</v>
      </c>
      <c r="J56" s="30">
        <f t="shared" si="51"/>
        <v>0</v>
      </c>
      <c r="K56" s="30">
        <f>H56*(1+$D$5)-0.01</f>
        <v>88.975023056669968</v>
      </c>
      <c r="L56" s="30">
        <f>I56*(1+$D$5)-0.01</f>
        <v>88.975023056669968</v>
      </c>
      <c r="M56" s="30">
        <f t="shared" si="52"/>
        <v>0</v>
      </c>
      <c r="N56" s="31">
        <f t="shared" si="42"/>
        <v>94.091086882428499</v>
      </c>
      <c r="O56" s="31">
        <f t="shared" si="42"/>
        <v>94.091086882428499</v>
      </c>
      <c r="P56" s="383">
        <f t="shared" si="42"/>
        <v>0</v>
      </c>
      <c r="Q56" s="385">
        <f t="shared" si="43"/>
        <v>97.939412335919812</v>
      </c>
      <c r="R56" s="32">
        <f t="shared" si="43"/>
        <v>97.939412335919812</v>
      </c>
      <c r="S56" s="386">
        <f t="shared" si="43"/>
        <v>0</v>
      </c>
      <c r="T56" s="384">
        <f t="shared" si="44"/>
        <v>101.05388564820207</v>
      </c>
      <c r="U56" s="33">
        <f t="shared" si="44"/>
        <v>101.05388564820207</v>
      </c>
      <c r="V56" s="374">
        <f t="shared" si="44"/>
        <v>0</v>
      </c>
      <c r="W56" s="378">
        <f t="shared" si="45"/>
        <v>104.89393330283374</v>
      </c>
      <c r="X56" s="33">
        <f t="shared" si="45"/>
        <v>104.89393330283374</v>
      </c>
      <c r="Y56" s="379">
        <f t="shared" si="45"/>
        <v>0</v>
      </c>
      <c r="Z56" s="577">
        <f>W56*(1+$I$5)+0.01</f>
        <v>106.59272562900938</v>
      </c>
      <c r="AA56" s="358">
        <f>X56*(1+$I$5)+0.01</f>
        <v>106.59272562900938</v>
      </c>
      <c r="AB56" s="358">
        <f t="shared" si="46"/>
        <v>0</v>
      </c>
      <c r="AC56" s="514">
        <f t="shared" si="47"/>
        <v>112.5832368093597</v>
      </c>
      <c r="AD56" s="511">
        <f t="shared" si="48"/>
        <v>112.5832368093597</v>
      </c>
      <c r="AE56" s="511">
        <f t="shared" si="49"/>
        <v>0</v>
      </c>
      <c r="AG56" s="21" t="s">
        <v>91</v>
      </c>
    </row>
    <row r="57" spans="1:44" ht="15" thickBot="1" x14ac:dyDescent="0.35">
      <c r="A57" s="21" t="s">
        <v>92</v>
      </c>
      <c r="B57" s="36"/>
      <c r="C57" s="36"/>
      <c r="D57" s="36"/>
      <c r="E57" s="30"/>
      <c r="F57" s="30"/>
      <c r="G57" s="30"/>
      <c r="H57" s="30"/>
      <c r="I57" s="30"/>
      <c r="J57" s="30"/>
      <c r="K57" s="30">
        <v>88.98</v>
      </c>
      <c r="L57" s="30">
        <v>88.98</v>
      </c>
      <c r="M57" s="30">
        <v>88.98</v>
      </c>
      <c r="N57" s="31">
        <f t="shared" si="42"/>
        <v>94.096350000000015</v>
      </c>
      <c r="O57" s="31">
        <f t="shared" si="42"/>
        <v>94.096350000000015</v>
      </c>
      <c r="P57" s="383">
        <f t="shared" si="42"/>
        <v>94.096350000000015</v>
      </c>
      <c r="Q57" s="387">
        <f t="shared" si="43"/>
        <v>97.944890715000014</v>
      </c>
      <c r="R57" s="388">
        <f t="shared" si="43"/>
        <v>97.944890715000014</v>
      </c>
      <c r="S57" s="389">
        <f t="shared" si="43"/>
        <v>97.944890715000014</v>
      </c>
      <c r="T57" s="384">
        <f>Q57*(1+$G$5)-0.01</f>
        <v>101.04953823973702</v>
      </c>
      <c r="U57" s="33">
        <f>R57*(1+$G$5)-0.01</f>
        <v>101.04953823973702</v>
      </c>
      <c r="V57" s="374">
        <f>S57*(1+$G$5)-0.01</f>
        <v>101.04953823973702</v>
      </c>
      <c r="W57" s="380">
        <f>T57*(1+$H$5)</f>
        <v>104.88942069284703</v>
      </c>
      <c r="X57" s="381">
        <f>U57*(1+$H$5)</f>
        <v>104.88942069284703</v>
      </c>
      <c r="Y57" s="382">
        <f>V57*(1+$H$5)</f>
        <v>104.88942069284703</v>
      </c>
      <c r="Z57" s="577">
        <f>W57*(1+$I$5)+0.01</f>
        <v>106.58814036600187</v>
      </c>
      <c r="AA57" s="358">
        <f>X57*(1+$I$5)+0.01</f>
        <v>106.58814036600187</v>
      </c>
      <c r="AB57" s="358">
        <f>Y57*(1+$I$5)+0.01</f>
        <v>106.58814036600187</v>
      </c>
      <c r="AC57" s="514">
        <f t="shared" si="47"/>
        <v>112.57839385457117</v>
      </c>
      <c r="AD57" s="511">
        <f t="shared" si="48"/>
        <v>112.57839385457117</v>
      </c>
      <c r="AE57" s="511">
        <f t="shared" si="49"/>
        <v>112.57839385457117</v>
      </c>
      <c r="AG57" s="21" t="s">
        <v>92</v>
      </c>
    </row>
    <row r="59" spans="1:44" x14ac:dyDescent="0.3">
      <c r="A59" s="19" t="s">
        <v>101</v>
      </c>
    </row>
    <row r="61" spans="1:44" x14ac:dyDescent="0.3">
      <c r="A61" s="819" t="s">
        <v>80</v>
      </c>
      <c r="B61" s="818">
        <v>2013</v>
      </c>
      <c r="C61" s="818"/>
      <c r="D61" s="818"/>
      <c r="E61" s="818">
        <v>2014</v>
      </c>
      <c r="F61" s="818"/>
      <c r="G61" s="818"/>
      <c r="H61" s="818">
        <v>2015</v>
      </c>
      <c r="I61" s="818"/>
      <c r="J61" s="818"/>
      <c r="K61" s="818">
        <v>2016</v>
      </c>
      <c r="L61" s="818"/>
      <c r="M61" s="818"/>
      <c r="N61" s="818">
        <v>2017</v>
      </c>
      <c r="O61" s="818"/>
      <c r="P61" s="818"/>
      <c r="Q61" s="818">
        <v>2018</v>
      </c>
      <c r="R61" s="818"/>
      <c r="S61" s="818"/>
    </row>
    <row r="62" spans="1:44" ht="28.8" x14ac:dyDescent="0.3">
      <c r="A62" s="819"/>
      <c r="B62" s="28" t="s">
        <v>81</v>
      </c>
      <c r="C62" s="28" t="s">
        <v>82</v>
      </c>
      <c r="D62" s="28" t="s">
        <v>83</v>
      </c>
      <c r="E62" s="28" t="s">
        <v>81</v>
      </c>
      <c r="F62" s="28" t="s">
        <v>82</v>
      </c>
      <c r="G62" s="28" t="s">
        <v>83</v>
      </c>
      <c r="H62" s="28" t="s">
        <v>81</v>
      </c>
      <c r="I62" s="28" t="s">
        <v>82</v>
      </c>
      <c r="J62" s="28" t="s">
        <v>83</v>
      </c>
      <c r="K62" s="28" t="s">
        <v>81</v>
      </c>
      <c r="L62" s="28" t="s">
        <v>82</v>
      </c>
      <c r="M62" s="28" t="s">
        <v>83</v>
      </c>
      <c r="N62" s="28" t="s">
        <v>81</v>
      </c>
      <c r="O62" s="28" t="s">
        <v>82</v>
      </c>
      <c r="P62" s="28" t="s">
        <v>83</v>
      </c>
      <c r="Q62" s="28" t="s">
        <v>81</v>
      </c>
      <c r="R62" s="28" t="s">
        <v>82</v>
      </c>
      <c r="S62" s="28" t="s">
        <v>83</v>
      </c>
    </row>
    <row r="63" spans="1:44" x14ac:dyDescent="0.3">
      <c r="A63" s="21" t="s">
        <v>84</v>
      </c>
      <c r="B63" s="37" t="s">
        <v>102</v>
      </c>
      <c r="C63" s="37" t="s">
        <v>102</v>
      </c>
      <c r="D63" s="37">
        <v>0</v>
      </c>
      <c r="E63" s="38" t="s">
        <v>102</v>
      </c>
      <c r="F63" s="38" t="s">
        <v>102</v>
      </c>
      <c r="G63" s="38">
        <f t="shared" ref="G63:G70" si="53">D63*(1+$B$5)</f>
        <v>0</v>
      </c>
      <c r="H63" s="39" t="s">
        <v>102</v>
      </c>
      <c r="I63" s="38" t="s">
        <v>102</v>
      </c>
      <c r="J63" s="38">
        <f>G63*(1+$B$5)</f>
        <v>0</v>
      </c>
      <c r="K63" s="39" t="s">
        <v>102</v>
      </c>
      <c r="L63" s="38" t="s">
        <v>102</v>
      </c>
      <c r="M63" s="39">
        <f t="shared" ref="M63:M70" si="54">J63*(1+$D$5)</f>
        <v>0</v>
      </c>
      <c r="N63" s="40" t="s">
        <v>102</v>
      </c>
      <c r="O63" s="41" t="s">
        <v>102</v>
      </c>
      <c r="P63" s="40">
        <f>M63*(1+$E$5)</f>
        <v>0</v>
      </c>
      <c r="Q63" s="42" t="s">
        <v>102</v>
      </c>
      <c r="R63" s="43" t="s">
        <v>102</v>
      </c>
      <c r="S63" s="42">
        <f t="shared" ref="S63:S71" si="55">P63*(1+$F$5)</f>
        <v>0</v>
      </c>
    </row>
    <row r="64" spans="1:44" x14ac:dyDescent="0.3">
      <c r="A64" s="21" t="s">
        <v>85</v>
      </c>
      <c r="B64" s="37">
        <v>240</v>
      </c>
      <c r="C64" s="37" t="s">
        <v>102</v>
      </c>
      <c r="D64" s="37">
        <v>0</v>
      </c>
      <c r="E64" s="39">
        <f>B64*(1+$B$5)</f>
        <v>244.65600000000001</v>
      </c>
      <c r="F64" s="38" t="s">
        <v>102</v>
      </c>
      <c r="G64" s="38">
        <f t="shared" si="53"/>
        <v>0</v>
      </c>
      <c r="H64" s="39">
        <f>E64*(1+$C$5)</f>
        <v>253.6104096</v>
      </c>
      <c r="I64" s="38" t="s">
        <v>102</v>
      </c>
      <c r="J64" s="38">
        <f>G64*(1+$B$5)</f>
        <v>0</v>
      </c>
      <c r="K64" s="39">
        <f>H64*(1+$D$5)</f>
        <v>270.77983432991999</v>
      </c>
      <c r="L64" s="38" t="s">
        <v>102</v>
      </c>
      <c r="M64" s="39">
        <f t="shared" si="54"/>
        <v>0</v>
      </c>
      <c r="N64" s="40">
        <f>K64*(1+$E$5)</f>
        <v>286.34967480389042</v>
      </c>
      <c r="O64" s="41" t="s">
        <v>102</v>
      </c>
      <c r="P64" s="40">
        <f t="shared" ref="P64:P71" si="56">M64*(1+$E$5)</f>
        <v>0</v>
      </c>
      <c r="Q64" s="42">
        <f>N64*(1+$F$5)</f>
        <v>298.0613765033695</v>
      </c>
      <c r="R64" s="43" t="s">
        <v>102</v>
      </c>
      <c r="S64" s="42">
        <f t="shared" si="55"/>
        <v>0</v>
      </c>
    </row>
    <row r="65" spans="1:19" x14ac:dyDescent="0.3">
      <c r="A65" s="21" t="s">
        <v>86</v>
      </c>
      <c r="B65" s="37" t="s">
        <v>102</v>
      </c>
      <c r="C65" s="37" t="s">
        <v>102</v>
      </c>
      <c r="D65" s="37">
        <v>0</v>
      </c>
      <c r="E65" s="38" t="s">
        <v>102</v>
      </c>
      <c r="F65" s="38" t="s">
        <v>102</v>
      </c>
      <c r="G65" s="38">
        <f t="shared" si="53"/>
        <v>0</v>
      </c>
      <c r="H65" s="38" t="s">
        <v>102</v>
      </c>
      <c r="I65" s="38" t="s">
        <v>102</v>
      </c>
      <c r="J65" s="38">
        <f>G65*(1+$B$5)</f>
        <v>0</v>
      </c>
      <c r="K65" s="38" t="s">
        <v>102</v>
      </c>
      <c r="L65" s="38" t="s">
        <v>102</v>
      </c>
      <c r="M65" s="39">
        <f t="shared" si="54"/>
        <v>0</v>
      </c>
      <c r="N65" s="41" t="s">
        <v>102</v>
      </c>
      <c r="O65" s="41" t="s">
        <v>102</v>
      </c>
      <c r="P65" s="40">
        <f t="shared" si="56"/>
        <v>0</v>
      </c>
      <c r="Q65" s="43" t="s">
        <v>102</v>
      </c>
      <c r="R65" s="43" t="s">
        <v>102</v>
      </c>
      <c r="S65" s="42">
        <f t="shared" si="55"/>
        <v>0</v>
      </c>
    </row>
    <row r="66" spans="1:19" x14ac:dyDescent="0.3">
      <c r="A66" s="21" t="s">
        <v>87</v>
      </c>
      <c r="B66" s="37">
        <v>240</v>
      </c>
      <c r="C66" s="37" t="s">
        <v>102</v>
      </c>
      <c r="D66" s="37">
        <v>0</v>
      </c>
      <c r="E66" s="39">
        <f>B66*(1+$B$5)</f>
        <v>244.65600000000001</v>
      </c>
      <c r="F66" s="38" t="s">
        <v>102</v>
      </c>
      <c r="G66" s="38">
        <f t="shared" si="53"/>
        <v>0</v>
      </c>
      <c r="H66" s="39">
        <f>E66*(1+$C$5)</f>
        <v>253.6104096</v>
      </c>
      <c r="I66" s="38" t="s">
        <v>102</v>
      </c>
      <c r="J66" s="38">
        <f>G66*(1+$B$5)</f>
        <v>0</v>
      </c>
      <c r="K66" s="39">
        <f>H66*(1+$D$5)</f>
        <v>270.77983432991999</v>
      </c>
      <c r="L66" s="38" t="s">
        <v>102</v>
      </c>
      <c r="M66" s="39">
        <f t="shared" si="54"/>
        <v>0</v>
      </c>
      <c r="N66" s="40">
        <f>K66*(1+$E$5)</f>
        <v>286.34967480389042</v>
      </c>
      <c r="O66" s="41" t="s">
        <v>102</v>
      </c>
      <c r="P66" s="40">
        <f t="shared" si="56"/>
        <v>0</v>
      </c>
      <c r="Q66" s="42">
        <f>N66*(1+$F$5)</f>
        <v>298.0613765033695</v>
      </c>
      <c r="R66" s="43" t="s">
        <v>102</v>
      </c>
      <c r="S66" s="42">
        <f t="shared" si="55"/>
        <v>0</v>
      </c>
    </row>
    <row r="67" spans="1:19" x14ac:dyDescent="0.3">
      <c r="A67" s="21" t="s">
        <v>88</v>
      </c>
      <c r="B67" s="37">
        <v>240</v>
      </c>
      <c r="C67" s="37" t="s">
        <v>102</v>
      </c>
      <c r="D67" s="37">
        <v>240</v>
      </c>
      <c r="E67" s="39">
        <v>326.39999999999998</v>
      </c>
      <c r="F67" s="38" t="s">
        <v>102</v>
      </c>
      <c r="G67" s="39">
        <v>326.39999999999998</v>
      </c>
      <c r="H67" s="39">
        <f>E67*(1+$C$5)</f>
        <v>338.34623999999997</v>
      </c>
      <c r="I67" s="38" t="s">
        <v>102</v>
      </c>
      <c r="J67" s="39">
        <f>G67*(1+$C$5)</f>
        <v>338.34623999999997</v>
      </c>
      <c r="K67" s="39">
        <f>H67*(1+$D$5)</f>
        <v>361.25228044800002</v>
      </c>
      <c r="L67" s="38" t="s">
        <v>102</v>
      </c>
      <c r="M67" s="39">
        <f t="shared" si="54"/>
        <v>361.25228044800002</v>
      </c>
      <c r="N67" s="40">
        <f>K67*(1+$E$5)</f>
        <v>382.02428657376004</v>
      </c>
      <c r="O67" s="41" t="s">
        <v>102</v>
      </c>
      <c r="P67" s="40">
        <f t="shared" si="56"/>
        <v>382.02428657376004</v>
      </c>
      <c r="Q67" s="42">
        <f>N67*(1+$F$5)</f>
        <v>397.64907989462682</v>
      </c>
      <c r="R67" s="43" t="s">
        <v>102</v>
      </c>
      <c r="S67" s="42">
        <f t="shared" si="55"/>
        <v>397.64907989462682</v>
      </c>
    </row>
    <row r="68" spans="1:19" x14ac:dyDescent="0.3">
      <c r="A68" s="21" t="s">
        <v>89</v>
      </c>
      <c r="B68" s="37" t="s">
        <v>102</v>
      </c>
      <c r="C68" s="37" t="s">
        <v>102</v>
      </c>
      <c r="D68" s="37">
        <v>0</v>
      </c>
      <c r="E68" s="38" t="s">
        <v>102</v>
      </c>
      <c r="F68" s="38" t="s">
        <v>102</v>
      </c>
      <c r="G68" s="38">
        <f t="shared" si="53"/>
        <v>0</v>
      </c>
      <c r="H68" s="38" t="s">
        <v>102</v>
      </c>
      <c r="I68" s="38" t="s">
        <v>102</v>
      </c>
      <c r="J68" s="38">
        <f>G68*(1+$B$5)</f>
        <v>0</v>
      </c>
      <c r="K68" s="38" t="s">
        <v>102</v>
      </c>
      <c r="L68" s="38" t="s">
        <v>102</v>
      </c>
      <c r="M68" s="39">
        <f t="shared" si="54"/>
        <v>0</v>
      </c>
      <c r="N68" s="41" t="s">
        <v>102</v>
      </c>
      <c r="O68" s="41" t="s">
        <v>102</v>
      </c>
      <c r="P68" s="40">
        <f t="shared" si="56"/>
        <v>0</v>
      </c>
      <c r="Q68" s="43" t="s">
        <v>102</v>
      </c>
      <c r="R68" s="43" t="s">
        <v>102</v>
      </c>
      <c r="S68" s="42">
        <f t="shared" si="55"/>
        <v>0</v>
      </c>
    </row>
    <row r="69" spans="1:19" x14ac:dyDescent="0.3">
      <c r="A69" s="21" t="s">
        <v>90</v>
      </c>
      <c r="B69" s="37" t="s">
        <v>102</v>
      </c>
      <c r="C69" s="37" t="s">
        <v>102</v>
      </c>
      <c r="D69" s="37">
        <v>0</v>
      </c>
      <c r="E69" s="38" t="s">
        <v>102</v>
      </c>
      <c r="F69" s="38" t="s">
        <v>102</v>
      </c>
      <c r="G69" s="38">
        <f t="shared" si="53"/>
        <v>0</v>
      </c>
      <c r="H69" s="38" t="s">
        <v>102</v>
      </c>
      <c r="I69" s="38" t="s">
        <v>102</v>
      </c>
      <c r="J69" s="38">
        <f>G69*(1+$B$5)</f>
        <v>0</v>
      </c>
      <c r="K69" s="38" t="s">
        <v>102</v>
      </c>
      <c r="L69" s="38" t="s">
        <v>102</v>
      </c>
      <c r="M69" s="39">
        <f t="shared" si="54"/>
        <v>0</v>
      </c>
      <c r="N69" s="41" t="s">
        <v>102</v>
      </c>
      <c r="O69" s="41" t="s">
        <v>102</v>
      </c>
      <c r="P69" s="40">
        <f t="shared" si="56"/>
        <v>0</v>
      </c>
      <c r="Q69" s="43" t="s">
        <v>102</v>
      </c>
      <c r="R69" s="43" t="s">
        <v>102</v>
      </c>
      <c r="S69" s="42">
        <f t="shared" si="55"/>
        <v>0</v>
      </c>
    </row>
    <row r="70" spans="1:19" x14ac:dyDescent="0.3">
      <c r="A70" s="21" t="s">
        <v>91</v>
      </c>
      <c r="B70" s="37">
        <v>240</v>
      </c>
      <c r="C70" s="37" t="s">
        <v>102</v>
      </c>
      <c r="D70" s="37">
        <v>0</v>
      </c>
      <c r="E70" s="39">
        <f>B70*(1+$B$5)</f>
        <v>244.65600000000001</v>
      </c>
      <c r="F70" s="38" t="s">
        <v>102</v>
      </c>
      <c r="G70" s="38">
        <f t="shared" si="53"/>
        <v>0</v>
      </c>
      <c r="H70" s="39">
        <f>E70*(1+$C$5)</f>
        <v>253.6104096</v>
      </c>
      <c r="I70" s="38" t="s">
        <v>102</v>
      </c>
      <c r="J70" s="38">
        <f>G70*(1+$B$5)</f>
        <v>0</v>
      </c>
      <c r="K70" s="39">
        <f>H70*(1+$D$5)</f>
        <v>270.77983432991999</v>
      </c>
      <c r="L70" s="38" t="s">
        <v>102</v>
      </c>
      <c r="M70" s="39">
        <f t="shared" si="54"/>
        <v>0</v>
      </c>
      <c r="N70" s="40">
        <f>K70*(1+$E$5)</f>
        <v>286.34967480389042</v>
      </c>
      <c r="O70" s="41" t="s">
        <v>102</v>
      </c>
      <c r="P70" s="40">
        <f t="shared" si="56"/>
        <v>0</v>
      </c>
      <c r="Q70" s="42">
        <f>N70*(1+$F$5)</f>
        <v>298.0613765033695</v>
      </c>
      <c r="R70" s="43" t="s">
        <v>102</v>
      </c>
      <c r="S70" s="42">
        <f t="shared" si="55"/>
        <v>0</v>
      </c>
    </row>
    <row r="71" spans="1:19" x14ac:dyDescent="0.3">
      <c r="A71" s="21" t="s">
        <v>92</v>
      </c>
      <c r="B71" s="36"/>
      <c r="C71" s="36"/>
      <c r="D71" s="36"/>
      <c r="E71" s="30"/>
      <c r="F71" s="30"/>
      <c r="G71" s="30"/>
      <c r="H71" s="30"/>
      <c r="I71" s="30"/>
      <c r="J71" s="30"/>
      <c r="K71" s="39">
        <f>285*(1+D6)</f>
        <v>307.60049999999995</v>
      </c>
      <c r="L71" s="38" t="s">
        <v>102</v>
      </c>
      <c r="M71" s="39">
        <v>0</v>
      </c>
      <c r="N71" s="40">
        <f>K71*(1+$E$5)</f>
        <v>325.28752874999998</v>
      </c>
      <c r="O71" s="41" t="s">
        <v>102</v>
      </c>
      <c r="P71" s="40">
        <f t="shared" si="56"/>
        <v>0</v>
      </c>
      <c r="Q71" s="42">
        <f>N71*(1+$F$5)</f>
        <v>338.59178867587497</v>
      </c>
      <c r="R71" s="43" t="s">
        <v>102</v>
      </c>
      <c r="S71" s="42">
        <f t="shared" si="55"/>
        <v>0</v>
      </c>
    </row>
    <row r="73" spans="1:19" x14ac:dyDescent="0.3">
      <c r="A73" t="s">
        <v>103</v>
      </c>
    </row>
    <row r="76" spans="1:19" x14ac:dyDescent="0.3">
      <c r="A76" s="19" t="s">
        <v>104</v>
      </c>
    </row>
    <row r="78" spans="1:19" x14ac:dyDescent="0.3">
      <c r="A78" s="819" t="s">
        <v>80</v>
      </c>
      <c r="B78" s="818">
        <v>2013</v>
      </c>
      <c r="C78" s="818"/>
      <c r="D78" s="818"/>
      <c r="E78" s="818">
        <v>2014</v>
      </c>
      <c r="F78" s="818"/>
      <c r="G78" s="818"/>
      <c r="H78" s="818">
        <v>2015</v>
      </c>
      <c r="I78" s="818"/>
      <c r="J78" s="818"/>
      <c r="K78" s="818">
        <v>2016</v>
      </c>
      <c r="L78" s="818"/>
      <c r="M78" s="818"/>
      <c r="N78" s="818">
        <v>2017</v>
      </c>
      <c r="O78" s="818"/>
      <c r="P78" s="818"/>
      <c r="Q78" s="818">
        <v>2018</v>
      </c>
      <c r="R78" s="818"/>
      <c r="S78" s="818"/>
    </row>
    <row r="79" spans="1:19" ht="28.8" x14ac:dyDescent="0.3">
      <c r="A79" s="819"/>
      <c r="B79" s="28" t="s">
        <v>81</v>
      </c>
      <c r="C79" s="28" t="s">
        <v>82</v>
      </c>
      <c r="D79" s="28" t="s">
        <v>83</v>
      </c>
      <c r="E79" s="28" t="s">
        <v>81</v>
      </c>
      <c r="F79" s="28" t="s">
        <v>82</v>
      </c>
      <c r="G79" s="28" t="s">
        <v>83</v>
      </c>
      <c r="H79" s="28" t="s">
        <v>81</v>
      </c>
      <c r="I79" s="28" t="s">
        <v>82</v>
      </c>
      <c r="J79" s="28" t="s">
        <v>83</v>
      </c>
      <c r="K79" s="28" t="s">
        <v>81</v>
      </c>
      <c r="L79" s="28" t="s">
        <v>82</v>
      </c>
      <c r="M79" s="28" t="s">
        <v>83</v>
      </c>
      <c r="N79" s="28" t="s">
        <v>81</v>
      </c>
      <c r="O79" s="28" t="s">
        <v>82</v>
      </c>
      <c r="P79" s="28" t="s">
        <v>83</v>
      </c>
      <c r="Q79" s="28" t="s">
        <v>81</v>
      </c>
      <c r="R79" s="28" t="s">
        <v>82</v>
      </c>
      <c r="S79" s="28" t="s">
        <v>83</v>
      </c>
    </row>
    <row r="80" spans="1:19" x14ac:dyDescent="0.3">
      <c r="A80" s="21" t="s">
        <v>84</v>
      </c>
      <c r="B80" s="37" t="s">
        <v>102</v>
      </c>
      <c r="C80" s="37" t="s">
        <v>102</v>
      </c>
      <c r="D80" s="37">
        <v>0</v>
      </c>
      <c r="E80" s="38" t="s">
        <v>102</v>
      </c>
      <c r="F80" s="38" t="s">
        <v>102</v>
      </c>
      <c r="G80" s="38">
        <f t="shared" ref="G80:G87" si="57">D80*(1+$B$5)</f>
        <v>0</v>
      </c>
      <c r="H80" s="38" t="s">
        <v>102</v>
      </c>
      <c r="I80" s="38" t="s">
        <v>102</v>
      </c>
      <c r="J80" s="38">
        <f t="shared" ref="J80:J87" si="58">G80*(1+$B$5)</f>
        <v>0</v>
      </c>
      <c r="K80" s="38" t="s">
        <v>102</v>
      </c>
      <c r="L80" s="38" t="s">
        <v>102</v>
      </c>
      <c r="M80" s="39">
        <f t="shared" ref="M80:M87" si="59">J80*(1+$D$5)</f>
        <v>0</v>
      </c>
      <c r="N80" s="41" t="s">
        <v>102</v>
      </c>
      <c r="O80" s="41" t="s">
        <v>102</v>
      </c>
      <c r="P80" s="40">
        <f>M80*(1+$E$5)</f>
        <v>0</v>
      </c>
      <c r="Q80" s="41" t="s">
        <v>102</v>
      </c>
      <c r="R80" s="41" t="s">
        <v>102</v>
      </c>
      <c r="S80" s="40">
        <f t="shared" ref="S80:S88" si="60">P80*(1+$F$5)</f>
        <v>0</v>
      </c>
    </row>
    <row r="81" spans="1:19" x14ac:dyDescent="0.3">
      <c r="A81" s="21" t="s">
        <v>85</v>
      </c>
      <c r="B81" s="37">
        <v>400</v>
      </c>
      <c r="C81" s="37" t="s">
        <v>102</v>
      </c>
      <c r="D81" s="37">
        <v>0</v>
      </c>
      <c r="E81" s="38">
        <f>B81*(1+$B$5)</f>
        <v>407.76000000000005</v>
      </c>
      <c r="F81" s="38" t="s">
        <v>102</v>
      </c>
      <c r="G81" s="38">
        <f t="shared" si="57"/>
        <v>0</v>
      </c>
      <c r="H81" s="39">
        <f>E81*(1+$C$5)</f>
        <v>422.68401600000004</v>
      </c>
      <c r="I81" s="39" t="s">
        <v>102</v>
      </c>
      <c r="J81" s="38">
        <f t="shared" si="58"/>
        <v>0</v>
      </c>
      <c r="K81" s="39">
        <f>H81*(1+$D$5)</f>
        <v>451.2997238832001</v>
      </c>
      <c r="L81" s="39" t="s">
        <v>102</v>
      </c>
      <c r="M81" s="39">
        <f t="shared" si="59"/>
        <v>0</v>
      </c>
      <c r="N81" s="40">
        <f>K81*(1+$E$5)</f>
        <v>477.24945800648413</v>
      </c>
      <c r="O81" s="40" t="s">
        <v>102</v>
      </c>
      <c r="P81" s="40">
        <f t="shared" ref="P81:P88" si="61">M81*(1+$E$5)</f>
        <v>0</v>
      </c>
      <c r="Q81" s="40">
        <f>N81*(1+$F$5)</f>
        <v>496.76896083894928</v>
      </c>
      <c r="R81" s="40" t="s">
        <v>102</v>
      </c>
      <c r="S81" s="40">
        <f t="shared" si="60"/>
        <v>0</v>
      </c>
    </row>
    <row r="82" spans="1:19" x14ac:dyDescent="0.3">
      <c r="A82" s="21" t="s">
        <v>86</v>
      </c>
      <c r="B82" s="37" t="s">
        <v>102</v>
      </c>
      <c r="C82" s="37" t="s">
        <v>102</v>
      </c>
      <c r="D82" s="37">
        <v>0</v>
      </c>
      <c r="E82" s="38" t="s">
        <v>102</v>
      </c>
      <c r="F82" s="38" t="s">
        <v>102</v>
      </c>
      <c r="G82" s="38">
        <f t="shared" si="57"/>
        <v>0</v>
      </c>
      <c r="H82" s="39" t="s">
        <v>102</v>
      </c>
      <c r="I82" s="39" t="s">
        <v>102</v>
      </c>
      <c r="J82" s="38">
        <f t="shared" si="58"/>
        <v>0</v>
      </c>
      <c r="K82" s="39" t="s">
        <v>102</v>
      </c>
      <c r="L82" s="39" t="s">
        <v>102</v>
      </c>
      <c r="M82" s="39">
        <f t="shared" si="59"/>
        <v>0</v>
      </c>
      <c r="N82" s="40" t="s">
        <v>102</v>
      </c>
      <c r="O82" s="40" t="s">
        <v>102</v>
      </c>
      <c r="P82" s="40">
        <f t="shared" si="61"/>
        <v>0</v>
      </c>
      <c r="Q82" s="40" t="s">
        <v>102</v>
      </c>
      <c r="R82" s="40" t="s">
        <v>102</v>
      </c>
      <c r="S82" s="40">
        <f t="shared" si="60"/>
        <v>0</v>
      </c>
    </row>
    <row r="83" spans="1:19" x14ac:dyDescent="0.3">
      <c r="A83" s="21" t="s">
        <v>87</v>
      </c>
      <c r="B83" s="37">
        <v>400</v>
      </c>
      <c r="C83" s="37" t="s">
        <v>102</v>
      </c>
      <c r="D83" s="37">
        <v>0</v>
      </c>
      <c r="E83" s="38">
        <f>B83*(1+$B$5)</f>
        <v>407.76000000000005</v>
      </c>
      <c r="F83" s="38" t="s">
        <v>102</v>
      </c>
      <c r="G83" s="38">
        <f t="shared" si="57"/>
        <v>0</v>
      </c>
      <c r="H83" s="39">
        <f>E83*(1+$C$5)</f>
        <v>422.68401600000004</v>
      </c>
      <c r="I83" s="39" t="s">
        <v>102</v>
      </c>
      <c r="J83" s="38">
        <f t="shared" si="58"/>
        <v>0</v>
      </c>
      <c r="K83" s="39">
        <f>H83*(1+$D$5)</f>
        <v>451.2997238832001</v>
      </c>
      <c r="L83" s="39" t="s">
        <v>102</v>
      </c>
      <c r="M83" s="39">
        <f t="shared" si="59"/>
        <v>0</v>
      </c>
      <c r="N83" s="40">
        <f>K83*(1+$E$5)</f>
        <v>477.24945800648413</v>
      </c>
      <c r="O83" s="40" t="s">
        <v>102</v>
      </c>
      <c r="P83" s="40">
        <f t="shared" si="61"/>
        <v>0</v>
      </c>
      <c r="Q83" s="40">
        <f>N83*(1+$F$5)</f>
        <v>496.76896083894928</v>
      </c>
      <c r="R83" s="40" t="s">
        <v>102</v>
      </c>
      <c r="S83" s="40">
        <f t="shared" si="60"/>
        <v>0</v>
      </c>
    </row>
    <row r="84" spans="1:19" x14ac:dyDescent="0.3">
      <c r="A84" s="21" t="s">
        <v>88</v>
      </c>
      <c r="B84" s="37">
        <v>400</v>
      </c>
      <c r="C84" s="37" t="s">
        <v>102</v>
      </c>
      <c r="D84" s="37">
        <v>400</v>
      </c>
      <c r="E84" s="38">
        <f>B84*(1+$B$5)</f>
        <v>407.76000000000005</v>
      </c>
      <c r="F84" s="38" t="s">
        <v>102</v>
      </c>
      <c r="G84" s="38">
        <f t="shared" si="57"/>
        <v>407.76000000000005</v>
      </c>
      <c r="H84" s="39">
        <f>E84*(1+$C$5)</f>
        <v>422.68401600000004</v>
      </c>
      <c r="I84" s="39" t="s">
        <v>102</v>
      </c>
      <c r="J84" s="39">
        <f>G84*(1+$C$5)</f>
        <v>422.68401600000004</v>
      </c>
      <c r="K84" s="39">
        <f>H84*(1+$D$5)</f>
        <v>451.2997238832001</v>
      </c>
      <c r="L84" s="39" t="s">
        <v>102</v>
      </c>
      <c r="M84" s="39">
        <f t="shared" si="59"/>
        <v>451.2997238832001</v>
      </c>
      <c r="N84" s="40">
        <f>K84*(1+$E$5)</f>
        <v>477.24945800648413</v>
      </c>
      <c r="O84" s="40" t="s">
        <v>102</v>
      </c>
      <c r="P84" s="40">
        <f t="shared" si="61"/>
        <v>477.24945800648413</v>
      </c>
      <c r="Q84" s="40">
        <f>N84*(1+$F$5)</f>
        <v>496.76896083894928</v>
      </c>
      <c r="R84" s="40" t="s">
        <v>102</v>
      </c>
      <c r="S84" s="40">
        <f t="shared" si="60"/>
        <v>496.76896083894928</v>
      </c>
    </row>
    <row r="85" spans="1:19" x14ac:dyDescent="0.3">
      <c r="A85" s="21" t="s">
        <v>89</v>
      </c>
      <c r="B85" s="37" t="s">
        <v>102</v>
      </c>
      <c r="C85" s="37" t="s">
        <v>102</v>
      </c>
      <c r="D85" s="37">
        <v>0</v>
      </c>
      <c r="E85" s="38" t="s">
        <v>102</v>
      </c>
      <c r="F85" s="38" t="s">
        <v>102</v>
      </c>
      <c r="G85" s="38">
        <f t="shared" si="57"/>
        <v>0</v>
      </c>
      <c r="H85" s="39" t="s">
        <v>102</v>
      </c>
      <c r="I85" s="39" t="s">
        <v>102</v>
      </c>
      <c r="J85" s="38">
        <f t="shared" si="58"/>
        <v>0</v>
      </c>
      <c r="K85" s="39" t="s">
        <v>102</v>
      </c>
      <c r="L85" s="39" t="s">
        <v>102</v>
      </c>
      <c r="M85" s="39">
        <f t="shared" si="59"/>
        <v>0</v>
      </c>
      <c r="N85" s="40" t="s">
        <v>102</v>
      </c>
      <c r="O85" s="40" t="s">
        <v>102</v>
      </c>
      <c r="P85" s="40">
        <f t="shared" si="61"/>
        <v>0</v>
      </c>
      <c r="Q85" s="40" t="s">
        <v>102</v>
      </c>
      <c r="R85" s="40" t="s">
        <v>102</v>
      </c>
      <c r="S85" s="40">
        <f t="shared" si="60"/>
        <v>0</v>
      </c>
    </row>
    <row r="86" spans="1:19" x14ac:dyDescent="0.3">
      <c r="A86" s="21" t="s">
        <v>90</v>
      </c>
      <c r="B86" s="37" t="s">
        <v>102</v>
      </c>
      <c r="C86" s="37" t="s">
        <v>102</v>
      </c>
      <c r="D86" s="37">
        <v>0</v>
      </c>
      <c r="E86" s="38" t="s">
        <v>102</v>
      </c>
      <c r="F86" s="38" t="s">
        <v>102</v>
      </c>
      <c r="G86" s="38">
        <f t="shared" si="57"/>
        <v>0</v>
      </c>
      <c r="H86" s="39" t="s">
        <v>102</v>
      </c>
      <c r="I86" s="39" t="s">
        <v>102</v>
      </c>
      <c r="J86" s="38">
        <f t="shared" si="58"/>
        <v>0</v>
      </c>
      <c r="K86" s="39" t="s">
        <v>102</v>
      </c>
      <c r="L86" s="39" t="s">
        <v>102</v>
      </c>
      <c r="M86" s="39">
        <f t="shared" si="59"/>
        <v>0</v>
      </c>
      <c r="N86" s="40" t="s">
        <v>102</v>
      </c>
      <c r="O86" s="40" t="s">
        <v>102</v>
      </c>
      <c r="P86" s="40">
        <f t="shared" si="61"/>
        <v>0</v>
      </c>
      <c r="Q86" s="40" t="s">
        <v>102</v>
      </c>
      <c r="R86" s="40" t="s">
        <v>102</v>
      </c>
      <c r="S86" s="40">
        <f t="shared" si="60"/>
        <v>0</v>
      </c>
    </row>
    <row r="87" spans="1:19" x14ac:dyDescent="0.3">
      <c r="A87" s="21" t="s">
        <v>91</v>
      </c>
      <c r="B87" s="37">
        <v>400</v>
      </c>
      <c r="C87" s="37" t="s">
        <v>102</v>
      </c>
      <c r="D87" s="37">
        <v>0</v>
      </c>
      <c r="E87" s="38">
        <f>B87*(1+$B$5)</f>
        <v>407.76000000000005</v>
      </c>
      <c r="F87" s="38" t="s">
        <v>102</v>
      </c>
      <c r="G87" s="38">
        <f t="shared" si="57"/>
        <v>0</v>
      </c>
      <c r="H87" s="39">
        <f>E87*(1+$C$5)</f>
        <v>422.68401600000004</v>
      </c>
      <c r="I87" s="39" t="s">
        <v>102</v>
      </c>
      <c r="J87" s="38">
        <f t="shared" si="58"/>
        <v>0</v>
      </c>
      <c r="K87" s="39">
        <f>H87*(1+$D$5)</f>
        <v>451.2997238832001</v>
      </c>
      <c r="L87" s="39" t="s">
        <v>102</v>
      </c>
      <c r="M87" s="39">
        <f t="shared" si="59"/>
        <v>0</v>
      </c>
      <c r="N87" s="40">
        <f>K87*(1+$E$5)</f>
        <v>477.24945800648413</v>
      </c>
      <c r="O87" s="40" t="s">
        <v>102</v>
      </c>
      <c r="P87" s="40">
        <f t="shared" si="61"/>
        <v>0</v>
      </c>
      <c r="Q87" s="40">
        <f>N87*(1+$F$5)</f>
        <v>496.76896083894928</v>
      </c>
      <c r="R87" s="40" t="s">
        <v>102</v>
      </c>
      <c r="S87" s="40">
        <f t="shared" si="60"/>
        <v>0</v>
      </c>
    </row>
    <row r="88" spans="1:19" x14ac:dyDescent="0.3">
      <c r="A88" s="21" t="s">
        <v>92</v>
      </c>
      <c r="B88" s="36"/>
      <c r="C88" s="36"/>
      <c r="D88" s="36"/>
      <c r="E88" s="30"/>
      <c r="F88" s="30"/>
      <c r="G88" s="30"/>
      <c r="H88" s="30"/>
      <c r="I88" s="30"/>
      <c r="J88" s="30"/>
      <c r="K88" s="39">
        <v>543.25</v>
      </c>
      <c r="L88" s="38" t="s">
        <v>102</v>
      </c>
      <c r="M88" s="39">
        <v>0</v>
      </c>
      <c r="N88" s="40">
        <f>K88*(1+$E$5)</f>
        <v>574.48687500000005</v>
      </c>
      <c r="O88" s="41" t="s">
        <v>102</v>
      </c>
      <c r="P88" s="40">
        <f t="shared" si="61"/>
        <v>0</v>
      </c>
      <c r="Q88" s="40">
        <f>N88*(1+$F$5)</f>
        <v>597.98338818750005</v>
      </c>
      <c r="R88" s="41" t="s">
        <v>102</v>
      </c>
      <c r="S88" s="40">
        <f t="shared" si="60"/>
        <v>0</v>
      </c>
    </row>
    <row r="90" spans="1:19" x14ac:dyDescent="0.3">
      <c r="A90" t="s">
        <v>105</v>
      </c>
    </row>
    <row r="163" spans="9:15" x14ac:dyDescent="0.3">
      <c r="M163" s="413"/>
      <c r="O163" s="351"/>
    </row>
    <row r="164" spans="9:15" x14ac:dyDescent="0.3">
      <c r="O164" s="351"/>
    </row>
    <row r="165" spans="9:15" x14ac:dyDescent="0.3">
      <c r="J165" t="s">
        <v>227</v>
      </c>
      <c r="K165" t="s">
        <v>500</v>
      </c>
      <c r="L165" t="s">
        <v>225</v>
      </c>
      <c r="M165" s="413"/>
      <c r="O165" s="351"/>
    </row>
    <row r="166" spans="9:15" x14ac:dyDescent="0.3">
      <c r="I166" t="s">
        <v>501</v>
      </c>
      <c r="J166">
        <v>5500</v>
      </c>
      <c r="K166" s="731">
        <v>0.95</v>
      </c>
      <c r="L166">
        <f>+J166*K166</f>
        <v>5225</v>
      </c>
      <c r="M166" t="s">
        <v>107</v>
      </c>
    </row>
    <row r="167" spans="9:15" x14ac:dyDescent="0.3">
      <c r="I167" t="s">
        <v>263</v>
      </c>
    </row>
  </sheetData>
  <mergeCells count="117">
    <mergeCell ref="AU25:AY25"/>
    <mergeCell ref="AU26:AV26"/>
    <mergeCell ref="AW26:AX26"/>
    <mergeCell ref="AY26:AY27"/>
    <mergeCell ref="AU36:AY36"/>
    <mergeCell ref="AU37:AV37"/>
    <mergeCell ref="AW37:AX37"/>
    <mergeCell ref="AY37:AY38"/>
    <mergeCell ref="AC47:AE47"/>
    <mergeCell ref="AP37:AQ37"/>
    <mergeCell ref="AR37:AS37"/>
    <mergeCell ref="AT37:AT38"/>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C11:AE11"/>
    <mergeCell ref="A25:A27"/>
    <mergeCell ref="B25:F25"/>
    <mergeCell ref="G25:K25"/>
    <mergeCell ref="L25:P25"/>
    <mergeCell ref="Q25:U25"/>
    <mergeCell ref="V25:Z25"/>
    <mergeCell ref="P26:P27"/>
    <mergeCell ref="Q26:R26"/>
    <mergeCell ref="S26:T26"/>
    <mergeCell ref="U26:U27"/>
    <mergeCell ref="V26:W26"/>
    <mergeCell ref="X26:Y26"/>
    <mergeCell ref="Z26:Z2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s>
  <pageMargins left="0.7" right="0.7" top="0.75" bottom="0.75" header="0.3" footer="0.3"/>
  <pageSetup orientation="portrait" r:id="rId1"/>
  <ignoredErrors>
    <ignoredError sqref="Z49 Z51 Z53 Z55"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4" tint="0.59999389629810485"/>
  </sheetPr>
  <dimension ref="A1:S117"/>
  <sheetViews>
    <sheetView showGridLines="0" zoomScale="80" zoomScaleNormal="80" workbookViewId="0">
      <selection activeCell="I35" sqref="I35"/>
    </sheetView>
  </sheetViews>
  <sheetFormatPr baseColWidth="10" defaultColWidth="45" defaultRowHeight="14.4" x14ac:dyDescent="0.3"/>
  <cols>
    <col min="1" max="1" width="7" customWidth="1"/>
    <col min="2" max="2" width="49.88671875" customWidth="1"/>
    <col min="3" max="3" width="15.21875" bestFit="1" customWidth="1"/>
    <col min="4" max="4" width="14.88671875" hidden="1" customWidth="1"/>
    <col min="5" max="5" width="14.5546875" style="540" customWidth="1"/>
    <col min="6" max="6" width="15.21875" style="540" hidden="1" customWidth="1"/>
    <col min="7" max="7" width="13.5546875" customWidth="1"/>
    <col min="8" max="8" width="12.88671875" customWidth="1"/>
    <col min="9" max="9" width="13.88671875" customWidth="1"/>
    <col min="10" max="11" width="14.5546875" customWidth="1"/>
    <col min="12" max="12" width="13.88671875" customWidth="1"/>
    <col min="13" max="13" width="13.21875" customWidth="1"/>
    <col min="14" max="14" width="13" customWidth="1"/>
    <col min="15" max="15" width="11.21875" customWidth="1"/>
    <col min="16" max="16" width="15.33203125" customWidth="1"/>
    <col min="17" max="17" width="14" customWidth="1"/>
    <col min="18" max="26" width="15.77734375" customWidth="1"/>
  </cols>
  <sheetData>
    <row r="1" spans="1:16" x14ac:dyDescent="0.3">
      <c r="A1" s="187" t="s">
        <v>148</v>
      </c>
      <c r="B1" s="89" t="str">
        <f>+AMAZONAS!C1</f>
        <v>Vigencia: 01 de Octubre de 2022; 00:00 horas</v>
      </c>
      <c r="C1" s="89"/>
      <c r="D1" s="188"/>
      <c r="E1" s="188"/>
      <c r="F1" s="188"/>
      <c r="G1" s="188"/>
      <c r="H1" s="188"/>
      <c r="I1" s="188"/>
      <c r="J1" s="188"/>
      <c r="K1" s="188"/>
      <c r="L1" s="188"/>
      <c r="M1" s="188"/>
    </row>
    <row r="2" spans="1:16" ht="15" thickBot="1" x14ac:dyDescent="0.35">
      <c r="A2" s="115" t="s">
        <v>162</v>
      </c>
      <c r="B2" s="116"/>
      <c r="C2" s="116"/>
      <c r="D2" s="116"/>
      <c r="E2" s="116"/>
      <c r="F2" s="116"/>
      <c r="G2" s="116"/>
      <c r="H2" s="188"/>
      <c r="I2" s="116"/>
      <c r="J2" s="116"/>
      <c r="K2" s="189"/>
      <c r="L2" s="116"/>
      <c r="M2" s="116"/>
    </row>
    <row r="3" spans="1:16" ht="15" customHeight="1" thickTop="1" x14ac:dyDescent="0.3">
      <c r="A3" s="143"/>
      <c r="B3" s="118" t="s">
        <v>244</v>
      </c>
      <c r="C3" s="904" t="s">
        <v>163</v>
      </c>
      <c r="D3" s="905"/>
      <c r="E3" s="905"/>
      <c r="F3" s="905"/>
      <c r="G3" s="905"/>
      <c r="H3" s="905"/>
      <c r="I3" s="940"/>
      <c r="J3" s="933" t="s">
        <v>232</v>
      </c>
      <c r="K3" s="934"/>
      <c r="L3" s="540"/>
    </row>
    <row r="4" spans="1:16" ht="30.15" customHeight="1" x14ac:dyDescent="0.3">
      <c r="A4" s="119"/>
      <c r="B4" s="603" t="s">
        <v>476</v>
      </c>
      <c r="C4" s="906"/>
      <c r="D4" s="907"/>
      <c r="E4" s="907"/>
      <c r="F4" s="907"/>
      <c r="G4" s="907"/>
      <c r="H4" s="907"/>
      <c r="I4" s="941"/>
      <c r="J4" s="936"/>
      <c r="K4" s="937"/>
      <c r="L4" s="540"/>
    </row>
    <row r="5" spans="1:16" ht="38.25" customHeight="1" x14ac:dyDescent="0.3">
      <c r="A5" s="896" t="s">
        <v>164</v>
      </c>
      <c r="B5" s="898" t="s">
        <v>165</v>
      </c>
      <c r="C5" s="902" t="s">
        <v>223</v>
      </c>
      <c r="D5" s="749" t="s">
        <v>96</v>
      </c>
      <c r="E5" s="690" t="s">
        <v>96</v>
      </c>
      <c r="F5" s="120" t="s">
        <v>96</v>
      </c>
      <c r="G5" s="690" t="s">
        <v>479</v>
      </c>
      <c r="H5" s="120" t="s">
        <v>375</v>
      </c>
      <c r="I5" s="900" t="s">
        <v>373</v>
      </c>
      <c r="J5" s="329" t="s">
        <v>96</v>
      </c>
      <c r="K5" s="328" t="str">
        <f>+H5</f>
        <v>Biodiesel B10</v>
      </c>
      <c r="L5" s="540"/>
    </row>
    <row r="6" spans="1:16" ht="21.75" customHeight="1" x14ac:dyDescent="0.3">
      <c r="A6" s="896"/>
      <c r="B6" s="898"/>
      <c r="C6" s="903"/>
      <c r="D6" s="480" t="s">
        <v>516</v>
      </c>
      <c r="E6" s="480" t="s">
        <v>491</v>
      </c>
      <c r="F6" s="480" t="s">
        <v>464</v>
      </c>
      <c r="G6" s="322">
        <v>0.02</v>
      </c>
      <c r="H6" s="322">
        <v>0.1</v>
      </c>
      <c r="I6" s="901"/>
      <c r="J6" s="459" t="str">
        <f>+E6</f>
        <v>Oxigena 4%</v>
      </c>
      <c r="K6" s="323">
        <f>+H6</f>
        <v>0.1</v>
      </c>
      <c r="L6" s="540"/>
    </row>
    <row r="7" spans="1:16" x14ac:dyDescent="0.3">
      <c r="A7" s="897"/>
      <c r="B7" s="899"/>
      <c r="C7" s="91" t="s">
        <v>166</v>
      </c>
      <c r="D7" s="749" t="s">
        <v>166</v>
      </c>
      <c r="E7" s="690" t="s">
        <v>166</v>
      </c>
      <c r="F7" s="120" t="s">
        <v>166</v>
      </c>
      <c r="G7" s="690" t="s">
        <v>166</v>
      </c>
      <c r="H7" s="120" t="s">
        <v>166</v>
      </c>
      <c r="I7" s="120" t="s">
        <v>166</v>
      </c>
      <c r="J7" s="329" t="s">
        <v>166</v>
      </c>
      <c r="K7" s="328" t="s">
        <v>166</v>
      </c>
      <c r="L7" s="540"/>
    </row>
    <row r="8" spans="1:16" x14ac:dyDescent="0.3">
      <c r="A8" s="93" t="s">
        <v>167</v>
      </c>
      <c r="B8" s="99" t="s">
        <v>168</v>
      </c>
      <c r="C8" s="208">
        <f>+'Calculo IP ZDF'!B31</f>
        <v>5262.5</v>
      </c>
      <c r="D8" s="540">
        <f>+'Calculo IP ZDF'!G31</f>
        <v>5418.2142000000003</v>
      </c>
      <c r="E8" s="540">
        <f>+'Calculo IP ZDF'!H31</f>
        <v>5573.9283999999998</v>
      </c>
      <c r="F8" s="208">
        <f>+'Calculo IP ZDF'!J31</f>
        <v>5729.6426000000001</v>
      </c>
      <c r="G8" s="540">
        <f>+'Calculo IP ZDF'!F31</f>
        <v>4944.5761999999995</v>
      </c>
      <c r="H8" s="208">
        <f>+'Calculo IP ZDF'!M31</f>
        <v>6193.8560000000007</v>
      </c>
      <c r="I8" s="128">
        <f>+'Calculo IP ZDF'!C31</f>
        <v>4632.25</v>
      </c>
      <c r="J8" s="191">
        <f>+'GAS CTE'!E9</f>
        <v>5573.9283999999998</v>
      </c>
      <c r="K8" s="148">
        <f>+BIODIESEL!H9</f>
        <v>6193.8560000000007</v>
      </c>
      <c r="L8" s="540"/>
    </row>
    <row r="9" spans="1:16" x14ac:dyDescent="0.3">
      <c r="A9" s="93" t="s">
        <v>169</v>
      </c>
      <c r="B9" s="99" t="s">
        <v>170</v>
      </c>
      <c r="C9" s="146" t="str">
        <f>+G9</f>
        <v>------------------</v>
      </c>
      <c r="D9" s="146" t="s">
        <v>171</v>
      </c>
      <c r="E9" s="146" t="s">
        <v>171</v>
      </c>
      <c r="F9" s="146" t="s">
        <v>171</v>
      </c>
      <c r="G9" s="146" t="s">
        <v>171</v>
      </c>
      <c r="H9" s="146" t="s">
        <v>171</v>
      </c>
      <c r="I9" s="123" t="s">
        <v>171</v>
      </c>
      <c r="J9" s="193">
        <f>+'GAS CTE'!E10</f>
        <v>562.79999999999995</v>
      </c>
      <c r="K9" s="145">
        <f>+BIODIESEL!H10</f>
        <v>505.00800000000004</v>
      </c>
      <c r="L9" s="540"/>
    </row>
    <row r="10" spans="1:16" x14ac:dyDescent="0.3">
      <c r="A10" s="93"/>
      <c r="B10" s="99" t="s">
        <v>129</v>
      </c>
      <c r="C10" s="146" t="str">
        <f>+G10</f>
        <v>------------------</v>
      </c>
      <c r="D10" s="146" t="s">
        <v>171</v>
      </c>
      <c r="E10" s="146" t="s">
        <v>171</v>
      </c>
      <c r="F10" s="146" t="s">
        <v>171</v>
      </c>
      <c r="G10" s="146" t="s">
        <v>171</v>
      </c>
      <c r="H10" s="146" t="s">
        <v>171</v>
      </c>
      <c r="I10" s="123" t="s">
        <v>171</v>
      </c>
      <c r="J10" s="193" t="s">
        <v>130</v>
      </c>
      <c r="K10" s="145" t="s">
        <v>130</v>
      </c>
      <c r="L10" s="540"/>
      <c r="N10" s="540"/>
      <c r="O10" s="540"/>
      <c r="P10" s="540"/>
    </row>
    <row r="11" spans="1:16" x14ac:dyDescent="0.3">
      <c r="A11" s="93"/>
      <c r="B11" s="99" t="s">
        <v>131</v>
      </c>
      <c r="C11" s="194">
        <f>+'GAS CTE'!C12</f>
        <v>169</v>
      </c>
      <c r="D11" s="194">
        <f>+'GAS CTE'!D12</f>
        <v>165.62</v>
      </c>
      <c r="E11" s="194">
        <f>+'GAS CTE'!E12</f>
        <v>162.23999999999998</v>
      </c>
      <c r="F11" s="194">
        <f>+'GAS CTE'!G12</f>
        <v>158.85999999999999</v>
      </c>
      <c r="G11" s="194">
        <f>+BIODIESEL!E12</f>
        <v>187.18</v>
      </c>
      <c r="H11" s="194">
        <f>+BIODIESEL!H12</f>
        <v>171.9</v>
      </c>
      <c r="I11" s="128">
        <f>+BIODIESEL!C12</f>
        <v>191</v>
      </c>
      <c r="J11" s="193">
        <f>+'GAS CTE'!E12</f>
        <v>162.23999999999998</v>
      </c>
      <c r="K11" s="145">
        <f>+H11</f>
        <v>171.9</v>
      </c>
      <c r="L11" s="540"/>
      <c r="N11" s="540"/>
      <c r="O11" s="540"/>
      <c r="P11" s="540"/>
    </row>
    <row r="12" spans="1:16" x14ac:dyDescent="0.3">
      <c r="A12" s="93" t="s">
        <v>172</v>
      </c>
      <c r="B12" s="99" t="s">
        <v>250</v>
      </c>
      <c r="C12" s="211" t="s">
        <v>200</v>
      </c>
      <c r="D12" s="146" t="s">
        <v>200</v>
      </c>
      <c r="E12" s="146" t="s">
        <v>200</v>
      </c>
      <c r="F12" s="146" t="str">
        <f>+C12</f>
        <v>(2)</v>
      </c>
      <c r="G12" s="146" t="str">
        <f>+C12</f>
        <v>(2)</v>
      </c>
      <c r="H12" s="146" t="str">
        <f>+C12</f>
        <v>(2)</v>
      </c>
      <c r="I12" s="122" t="str">
        <f>+C12</f>
        <v>(2)</v>
      </c>
      <c r="J12" s="193">
        <f>+L12</f>
        <v>0</v>
      </c>
      <c r="K12" s="145" t="str">
        <f>+F12</f>
        <v>(2)</v>
      </c>
      <c r="L12" s="540"/>
      <c r="N12" s="540"/>
      <c r="O12" s="540"/>
      <c r="P12" s="540"/>
    </row>
    <row r="13" spans="1:16" x14ac:dyDescent="0.3">
      <c r="A13" s="93" t="s">
        <v>174</v>
      </c>
      <c r="B13" s="99" t="s">
        <v>175</v>
      </c>
      <c r="C13" s="194">
        <f>+RUBROS!AC13</f>
        <v>23.500029293035123</v>
      </c>
      <c r="D13" s="122">
        <f>+C13</f>
        <v>23.500029293035123</v>
      </c>
      <c r="E13" s="122">
        <f>+C13</f>
        <v>23.500029293035123</v>
      </c>
      <c r="F13" s="122">
        <f>+C13</f>
        <v>23.500029293035123</v>
      </c>
      <c r="G13" s="122">
        <f>+C13</f>
        <v>23.500029293035123</v>
      </c>
      <c r="H13" s="122">
        <f>+C13</f>
        <v>23.500029293035123</v>
      </c>
      <c r="I13" s="122">
        <f>+C13</f>
        <v>23.500029293035123</v>
      </c>
      <c r="J13" s="191">
        <f>+RUBROS!AD13</f>
        <v>23.500029293035123</v>
      </c>
      <c r="K13" s="122">
        <f>+F13</f>
        <v>23.500029293035123</v>
      </c>
      <c r="L13" s="540"/>
      <c r="N13" s="540"/>
      <c r="O13" s="540"/>
      <c r="P13" s="540"/>
    </row>
    <row r="14" spans="1:16" x14ac:dyDescent="0.3">
      <c r="A14" s="93" t="s">
        <v>178</v>
      </c>
      <c r="B14" s="99" t="s">
        <v>179</v>
      </c>
      <c r="C14" s="194">
        <f>+RUBROS!AU42</f>
        <v>13.326421256197724</v>
      </c>
      <c r="D14" s="122">
        <f>+C14</f>
        <v>13.326421256197724</v>
      </c>
      <c r="E14" s="122">
        <f>+C14</f>
        <v>13.326421256197724</v>
      </c>
      <c r="F14" s="122">
        <f>+C14</f>
        <v>13.326421256197724</v>
      </c>
      <c r="G14" s="122">
        <f>+C14</f>
        <v>13.326421256197724</v>
      </c>
      <c r="H14" s="122">
        <f>+C14</f>
        <v>13.326421256197724</v>
      </c>
      <c r="I14" s="122">
        <f>+C14</f>
        <v>13.326421256197724</v>
      </c>
      <c r="J14" s="191">
        <f>+C14</f>
        <v>13.326421256197724</v>
      </c>
      <c r="K14" s="122">
        <f>+J14</f>
        <v>13.326421256197724</v>
      </c>
      <c r="L14" s="540"/>
      <c r="N14" s="540"/>
      <c r="O14" s="540"/>
      <c r="P14" s="540"/>
    </row>
    <row r="15" spans="1:16" hidden="1" x14ac:dyDescent="0.3">
      <c r="A15" s="93"/>
      <c r="B15" s="99" t="s">
        <v>180</v>
      </c>
      <c r="C15" s="194"/>
      <c r="D15" s="540"/>
      <c r="F15" s="122"/>
      <c r="G15" s="540"/>
      <c r="H15" s="122"/>
      <c r="I15" s="122"/>
      <c r="J15" s="191"/>
      <c r="K15" s="122"/>
      <c r="L15" s="540"/>
      <c r="N15" s="540"/>
      <c r="O15" s="540"/>
      <c r="P15" s="540"/>
    </row>
    <row r="16" spans="1:16" x14ac:dyDescent="0.3">
      <c r="A16" s="100" t="s">
        <v>181</v>
      </c>
      <c r="B16" s="129" t="s">
        <v>182</v>
      </c>
      <c r="C16" s="195">
        <f>SUM(C8:C15)</f>
        <v>5468.3264505492334</v>
      </c>
      <c r="D16" s="195">
        <f>SUM(D8:D15)</f>
        <v>5620.6606505492337</v>
      </c>
      <c r="E16" s="195">
        <f>SUM(E8:E15)</f>
        <v>5772.994850549233</v>
      </c>
      <c r="F16" s="195">
        <f>SUM(F8:F15)</f>
        <v>5925.3290505492332</v>
      </c>
      <c r="G16" s="195">
        <f t="shared" ref="G16:K16" si="0">SUM(G8:G15)</f>
        <v>5168.5826505492332</v>
      </c>
      <c r="H16" s="195">
        <f>SUM(H8:H15)</f>
        <v>6402.5824505492337</v>
      </c>
      <c r="I16" s="195">
        <f t="shared" si="0"/>
        <v>4860.0764505492334</v>
      </c>
      <c r="J16" s="197">
        <f t="shared" si="0"/>
        <v>6335.7948505492332</v>
      </c>
      <c r="K16" s="195">
        <f t="shared" si="0"/>
        <v>6907.5904505492335</v>
      </c>
      <c r="L16" s="540"/>
      <c r="N16" s="540"/>
      <c r="O16" s="540"/>
      <c r="P16" s="540"/>
    </row>
    <row r="17" spans="1:17" x14ac:dyDescent="0.3">
      <c r="A17" s="93" t="s">
        <v>183</v>
      </c>
      <c r="B17" s="99" t="s">
        <v>246</v>
      </c>
      <c r="C17" s="212" t="s">
        <v>214</v>
      </c>
      <c r="D17" s="122" t="s">
        <v>214</v>
      </c>
      <c r="E17" s="122" t="s">
        <v>214</v>
      </c>
      <c r="F17" s="122" t="str">
        <f>+C17</f>
        <v>***</v>
      </c>
      <c r="G17" s="122" t="str">
        <f>+C17</f>
        <v>***</v>
      </c>
      <c r="H17" s="122" t="str">
        <f>+G17</f>
        <v>***</v>
      </c>
      <c r="I17" s="122" t="str">
        <f>+G17</f>
        <v>***</v>
      </c>
      <c r="J17" s="191">
        <f>L17</f>
        <v>0</v>
      </c>
      <c r="K17" s="122">
        <f>+L17</f>
        <v>0</v>
      </c>
      <c r="L17" s="540"/>
      <c r="N17" s="540"/>
      <c r="O17" s="540"/>
      <c r="P17" s="540"/>
    </row>
    <row r="18" spans="1:17" x14ac:dyDescent="0.3">
      <c r="A18" s="93" t="s">
        <v>185</v>
      </c>
      <c r="B18" s="99" t="s">
        <v>186</v>
      </c>
      <c r="C18" s="211" t="s">
        <v>212</v>
      </c>
      <c r="D18" s="122" t="s">
        <v>212</v>
      </c>
      <c r="E18" s="122" t="s">
        <v>212</v>
      </c>
      <c r="F18" s="122" t="str">
        <f>+C18</f>
        <v>**</v>
      </c>
      <c r="G18" s="122" t="str">
        <f>+C18</f>
        <v>**</v>
      </c>
      <c r="H18" s="122" t="str">
        <f>+C18</f>
        <v>**</v>
      </c>
      <c r="I18" s="122" t="str">
        <f>+C18</f>
        <v>**</v>
      </c>
      <c r="J18" s="191" t="str">
        <f>+H18</f>
        <v>**</v>
      </c>
      <c r="K18" s="122" t="str">
        <f>+J18</f>
        <v>**</v>
      </c>
      <c r="L18" s="540"/>
      <c r="N18" s="540"/>
      <c r="O18" s="540"/>
      <c r="P18" s="540"/>
    </row>
    <row r="19" spans="1:17" x14ac:dyDescent="0.3">
      <c r="A19" s="93" t="s">
        <v>187</v>
      </c>
      <c r="B19" s="165" t="s">
        <v>134</v>
      </c>
      <c r="C19" s="199" t="str">
        <f>+G19</f>
        <v>****</v>
      </c>
      <c r="D19" s="122" t="s">
        <v>216</v>
      </c>
      <c r="E19" s="122" t="s">
        <v>216</v>
      </c>
      <c r="F19" s="122" t="str">
        <f>+G19</f>
        <v>****</v>
      </c>
      <c r="G19" s="122" t="str">
        <f>+A112</f>
        <v>****</v>
      </c>
      <c r="H19" s="128" t="str">
        <f>+G19</f>
        <v>****</v>
      </c>
      <c r="I19" s="128" t="str">
        <f>+A112</f>
        <v>****</v>
      </c>
      <c r="J19" s="214" t="str">
        <f>C19</f>
        <v>****</v>
      </c>
      <c r="K19" s="122">
        <f>+L19</f>
        <v>0</v>
      </c>
      <c r="L19" s="540"/>
      <c r="N19" s="540"/>
      <c r="O19" s="540"/>
      <c r="P19" s="540"/>
    </row>
    <row r="20" spans="1:17" x14ac:dyDescent="0.3">
      <c r="A20" s="100" t="s">
        <v>189</v>
      </c>
      <c r="B20" s="129" t="s">
        <v>190</v>
      </c>
      <c r="C20" s="200">
        <f t="shared" ref="C20:K20" si="1">+C16</f>
        <v>5468.3264505492334</v>
      </c>
      <c r="D20" s="130">
        <f>+D16</f>
        <v>5620.6606505492337</v>
      </c>
      <c r="E20" s="130">
        <f>+E16</f>
        <v>5772.994850549233</v>
      </c>
      <c r="F20" s="130">
        <f>+F16</f>
        <v>5925.3290505492332</v>
      </c>
      <c r="G20" s="130">
        <f t="shared" si="1"/>
        <v>5168.5826505492332</v>
      </c>
      <c r="H20" s="130">
        <f t="shared" si="1"/>
        <v>6402.5824505492337</v>
      </c>
      <c r="I20" s="130">
        <f t="shared" si="1"/>
        <v>4860.0764505492334</v>
      </c>
      <c r="J20" s="197">
        <f t="shared" si="1"/>
        <v>6335.7948505492332</v>
      </c>
      <c r="K20" s="130">
        <f t="shared" si="1"/>
        <v>6907.5904505492335</v>
      </c>
      <c r="L20" s="540"/>
      <c r="N20" s="540"/>
      <c r="O20" s="540"/>
      <c r="P20" s="540"/>
    </row>
    <row r="21" spans="1:17" x14ac:dyDescent="0.3">
      <c r="A21" s="93" t="s">
        <v>191</v>
      </c>
      <c r="B21" s="99" t="s">
        <v>150</v>
      </c>
      <c r="C21" s="194" t="str">
        <f>+G21</f>
        <v>***</v>
      </c>
      <c r="D21" s="122" t="s">
        <v>214</v>
      </c>
      <c r="E21" s="122" t="s">
        <v>214</v>
      </c>
      <c r="F21" s="122" t="str">
        <f>+G21</f>
        <v>***</v>
      </c>
      <c r="G21" s="122" t="str">
        <f t="shared" ref="G21" si="2">+G17</f>
        <v>***</v>
      </c>
      <c r="H21" s="122" t="str">
        <f>+G21</f>
        <v>***</v>
      </c>
      <c r="I21" s="122" t="str">
        <f>+I17</f>
        <v>***</v>
      </c>
      <c r="J21" s="191">
        <f>L21</f>
        <v>0</v>
      </c>
      <c r="K21" s="122">
        <f>+L21</f>
        <v>0</v>
      </c>
      <c r="L21" s="540"/>
    </row>
    <row r="22" spans="1:17" x14ac:dyDescent="0.3">
      <c r="A22" s="93" t="s">
        <v>192</v>
      </c>
      <c r="B22" s="94" t="s">
        <v>193</v>
      </c>
      <c r="C22" s="201" t="s">
        <v>218</v>
      </c>
      <c r="D22" s="122" t="s">
        <v>218</v>
      </c>
      <c r="E22" s="122" t="s">
        <v>218</v>
      </c>
      <c r="F22" s="122" t="str">
        <f>+C22</f>
        <v>*****</v>
      </c>
      <c r="G22" s="122" t="s">
        <v>194</v>
      </c>
      <c r="H22" s="122" t="str">
        <f>+G22</f>
        <v>N.A</v>
      </c>
      <c r="I22" s="122" t="s">
        <v>194</v>
      </c>
      <c r="J22" s="191" t="str">
        <f>+F22</f>
        <v>*****</v>
      </c>
      <c r="K22" s="122" t="s">
        <v>236</v>
      </c>
      <c r="L22" s="540"/>
    </row>
    <row r="23" spans="1:17" ht="24.75" customHeight="1" x14ac:dyDescent="0.3">
      <c r="A23" s="93" t="s">
        <v>195</v>
      </c>
      <c r="B23" s="94" t="s">
        <v>196</v>
      </c>
      <c r="C23" s="201" t="s">
        <v>219</v>
      </c>
      <c r="D23" s="122" t="s">
        <v>219</v>
      </c>
      <c r="E23" s="122" t="s">
        <v>219</v>
      </c>
      <c r="F23" s="122" t="str">
        <f>+C23</f>
        <v>******</v>
      </c>
      <c r="G23" s="122" t="str">
        <f>+C23</f>
        <v>******</v>
      </c>
      <c r="H23" s="122" t="str">
        <f>+C23</f>
        <v>******</v>
      </c>
      <c r="I23" s="122" t="str">
        <f>+C23</f>
        <v>******</v>
      </c>
      <c r="J23" s="191" t="str">
        <f>+C23</f>
        <v>******</v>
      </c>
      <c r="K23" s="122" t="str">
        <f>+C23</f>
        <v>******</v>
      </c>
      <c r="L23" s="540"/>
    </row>
    <row r="24" spans="1:17" ht="15" thickBot="1" x14ac:dyDescent="0.35">
      <c r="A24" s="104" t="s">
        <v>197</v>
      </c>
      <c r="B24" s="105" t="s">
        <v>198</v>
      </c>
      <c r="C24" s="202"/>
      <c r="D24" s="132"/>
      <c r="E24" s="132"/>
      <c r="F24" s="132"/>
      <c r="G24" s="132"/>
      <c r="H24" s="132"/>
      <c r="I24" s="132"/>
      <c r="J24" s="330"/>
      <c r="K24" s="331"/>
      <c r="L24" s="540"/>
    </row>
    <row r="25" spans="1:17" ht="15" thickTop="1" x14ac:dyDescent="0.3">
      <c r="A25" s="109"/>
      <c r="B25" s="110"/>
      <c r="C25" s="110"/>
      <c r="D25" s="111"/>
      <c r="E25" s="111"/>
      <c r="F25" s="111"/>
      <c r="G25" s="111"/>
      <c r="H25" s="111"/>
      <c r="I25" s="111"/>
      <c r="J25" s="111"/>
      <c r="K25" s="111"/>
      <c r="L25" s="111"/>
      <c r="M25" s="111"/>
    </row>
    <row r="26" spans="1:17" ht="15" thickBot="1" x14ac:dyDescent="0.35">
      <c r="A26" s="109"/>
      <c r="B26" s="110"/>
      <c r="C26" s="110"/>
      <c r="D26" s="111"/>
      <c r="E26" s="111"/>
      <c r="F26" s="111"/>
      <c r="G26" s="111"/>
      <c r="H26" s="111"/>
      <c r="I26" s="111"/>
      <c r="J26" s="111"/>
      <c r="K26" s="111"/>
      <c r="L26" s="111"/>
      <c r="M26" s="111"/>
    </row>
    <row r="27" spans="1:17" ht="26.4" customHeight="1" thickTop="1" x14ac:dyDescent="0.3">
      <c r="A27" s="143"/>
      <c r="B27" s="118" t="s">
        <v>451</v>
      </c>
      <c r="C27" s="692" t="s">
        <v>163</v>
      </c>
      <c r="D27" s="693"/>
      <c r="E27" s="693"/>
      <c r="F27" s="693"/>
      <c r="G27" s="693"/>
      <c r="H27" s="693"/>
      <c r="I27" s="693"/>
      <c r="J27" s="694"/>
      <c r="K27" s="775" t="s">
        <v>232</v>
      </c>
      <c r="L27" s="397"/>
      <c r="M27" s="540"/>
      <c r="N27" s="111"/>
      <c r="O27" s="540"/>
    </row>
    <row r="28" spans="1:17" ht="31.95" customHeight="1" x14ac:dyDescent="0.3">
      <c r="A28" s="119"/>
      <c r="B28" s="603" t="s">
        <v>476</v>
      </c>
      <c r="C28" s="695"/>
      <c r="D28" s="696"/>
      <c r="E28" s="696"/>
      <c r="F28" s="696"/>
      <c r="G28" s="696"/>
      <c r="H28" s="696"/>
      <c r="I28" s="696"/>
      <c r="J28" s="697"/>
      <c r="K28" s="628"/>
      <c r="L28" s="398"/>
      <c r="M28" s="540"/>
      <c r="N28" s="111"/>
      <c r="O28" s="540"/>
    </row>
    <row r="29" spans="1:17" ht="38.25" customHeight="1" x14ac:dyDescent="0.3">
      <c r="A29" s="896" t="s">
        <v>164</v>
      </c>
      <c r="B29" s="898" t="s">
        <v>165</v>
      </c>
      <c r="C29" s="902" t="s">
        <v>223</v>
      </c>
      <c r="D29" s="120" t="s">
        <v>96</v>
      </c>
      <c r="E29" s="690" t="s">
        <v>96</v>
      </c>
      <c r="F29" s="705"/>
      <c r="G29" s="690" t="s">
        <v>479</v>
      </c>
      <c r="H29" s="690" t="s">
        <v>448</v>
      </c>
      <c r="I29" s="749" t="s">
        <v>375</v>
      </c>
      <c r="J29" s="686" t="s">
        <v>372</v>
      </c>
      <c r="K29" s="689" t="s">
        <v>96</v>
      </c>
      <c r="L29" s="609" t="s">
        <v>448</v>
      </c>
      <c r="M29" s="540"/>
      <c r="N29" s="111"/>
      <c r="O29" s="540"/>
    </row>
    <row r="30" spans="1:17" x14ac:dyDescent="0.3">
      <c r="A30" s="896"/>
      <c r="B30" s="898"/>
      <c r="C30" s="903"/>
      <c r="D30" s="460">
        <v>2</v>
      </c>
      <c r="E30" s="480" t="s">
        <v>491</v>
      </c>
      <c r="F30" s="706"/>
      <c r="G30" s="138">
        <v>0.02</v>
      </c>
      <c r="H30" s="138">
        <v>0.05</v>
      </c>
      <c r="I30" s="138">
        <v>0.1</v>
      </c>
      <c r="J30" s="687"/>
      <c r="K30" s="460" t="str">
        <f>+J6</f>
        <v>Oxigena 4%</v>
      </c>
      <c r="L30" s="323">
        <v>0.05</v>
      </c>
      <c r="M30" s="540"/>
      <c r="N30" s="111"/>
      <c r="O30" s="540"/>
    </row>
    <row r="31" spans="1:17" x14ac:dyDescent="0.3">
      <c r="A31" s="897"/>
      <c r="B31" s="899"/>
      <c r="C31" s="91" t="s">
        <v>166</v>
      </c>
      <c r="D31" s="120" t="s">
        <v>166</v>
      </c>
      <c r="E31" s="690" t="s">
        <v>166</v>
      </c>
      <c r="F31" s="705"/>
      <c r="G31" s="690" t="s">
        <v>166</v>
      </c>
      <c r="H31" s="690" t="s">
        <v>166</v>
      </c>
      <c r="I31" s="749" t="s">
        <v>166</v>
      </c>
      <c r="J31" s="690" t="s">
        <v>166</v>
      </c>
      <c r="K31" s="689" t="s">
        <v>166</v>
      </c>
      <c r="L31" s="609" t="s">
        <v>166</v>
      </c>
      <c r="M31" s="540"/>
      <c r="N31" s="111"/>
      <c r="O31" s="540"/>
    </row>
    <row r="32" spans="1:17" x14ac:dyDescent="0.3">
      <c r="A32" s="93" t="s">
        <v>167</v>
      </c>
      <c r="B32" s="99" t="s">
        <v>168</v>
      </c>
      <c r="C32" s="208">
        <f>+'Calculo IP ZDF'!B32</f>
        <v>4830.9750000000004</v>
      </c>
      <c r="D32" s="208">
        <f>+'Calculo IP ZDF'!G32</f>
        <v>4995.3197000000009</v>
      </c>
      <c r="E32" s="707">
        <f>+'Calculo IP ZDF'!H32</f>
        <v>5159.6643999999997</v>
      </c>
      <c r="F32" s="707"/>
      <c r="G32" s="208">
        <f>+'Calculo IP ZDF'!F32</f>
        <v>4181.9161999999997</v>
      </c>
      <c r="H32" s="776">
        <f>+'Calculo IP ZDF'!R32</f>
        <v>4673.7458999999999</v>
      </c>
      <c r="I32" s="776">
        <f>+'Calculo IP ZDF'!M32</f>
        <v>5493.4598000000005</v>
      </c>
      <c r="J32" s="128">
        <f>+'Calculo IP ZDF'!C32</f>
        <v>3854.0319999999997</v>
      </c>
      <c r="K32" s="191">
        <f>+J8</f>
        <v>5573.9283999999998</v>
      </c>
      <c r="L32" s="145">
        <f>+BIODIESEL!G9</f>
        <v>5413.0529999999999</v>
      </c>
      <c r="M32" s="540"/>
      <c r="N32" s="111"/>
      <c r="O32" s="540"/>
      <c r="P32" s="466"/>
      <c r="Q32" s="466"/>
    </row>
    <row r="33" spans="1:19" x14ac:dyDescent="0.3">
      <c r="A33" s="93" t="s">
        <v>169</v>
      </c>
      <c r="B33" s="99" t="s">
        <v>170</v>
      </c>
      <c r="C33" s="146" t="str">
        <f>+G33</f>
        <v>------------------</v>
      </c>
      <c r="D33" s="146" t="s">
        <v>171</v>
      </c>
      <c r="E33" s="146" t="s">
        <v>171</v>
      </c>
      <c r="F33" s="708"/>
      <c r="G33" s="146" t="s">
        <v>171</v>
      </c>
      <c r="H33" s="215" t="s">
        <v>171</v>
      </c>
      <c r="I33" s="215" t="s">
        <v>171</v>
      </c>
      <c r="J33" s="123" t="s">
        <v>171</v>
      </c>
      <c r="K33" s="193">
        <f>+J9</f>
        <v>562.79999999999995</v>
      </c>
      <c r="L33" s="145">
        <f>+BIODIESEL!G10</f>
        <v>533.06399999999996</v>
      </c>
      <c r="M33" s="540"/>
      <c r="N33" s="111"/>
      <c r="O33" s="540"/>
      <c r="P33" s="466"/>
      <c r="Q33" s="466"/>
    </row>
    <row r="34" spans="1:19" x14ac:dyDescent="0.3">
      <c r="A34" s="93"/>
      <c r="B34" s="99" t="s">
        <v>129</v>
      </c>
      <c r="C34" s="146" t="str">
        <f>+G34</f>
        <v>------------------</v>
      </c>
      <c r="D34" s="146" t="s">
        <v>171</v>
      </c>
      <c r="E34" s="146" t="s">
        <v>171</v>
      </c>
      <c r="F34" s="708"/>
      <c r="G34" s="146" t="s">
        <v>171</v>
      </c>
      <c r="H34" s="215" t="s">
        <v>171</v>
      </c>
      <c r="I34" s="215" t="s">
        <v>171</v>
      </c>
      <c r="J34" s="123" t="s">
        <v>171</v>
      </c>
      <c r="K34" s="193" t="str">
        <f>+J10</f>
        <v>(3)</v>
      </c>
      <c r="L34" s="123" t="str">
        <f>+K34</f>
        <v>(3)</v>
      </c>
      <c r="M34" s="540"/>
      <c r="N34" s="111"/>
      <c r="O34" s="540"/>
      <c r="P34" s="466"/>
      <c r="Q34" s="466"/>
    </row>
    <row r="35" spans="1:19" x14ac:dyDescent="0.3">
      <c r="A35" s="93"/>
      <c r="B35" s="99" t="s">
        <v>131</v>
      </c>
      <c r="C35" s="194">
        <f>'GAS CTE'!C12</f>
        <v>169</v>
      </c>
      <c r="D35" s="194">
        <f>+'GAS CTE'!D12</f>
        <v>165.62</v>
      </c>
      <c r="E35" s="194">
        <f>+'GAS CTE'!E12</f>
        <v>162.23999999999998</v>
      </c>
      <c r="F35" s="709"/>
      <c r="G35" s="194">
        <f>+BIODIESEL!E12</f>
        <v>187.18</v>
      </c>
      <c r="H35" s="199">
        <f>+BIODIESEL!G12</f>
        <v>181.45</v>
      </c>
      <c r="I35" s="199">
        <f>+BIODIESEL!H12</f>
        <v>171.9</v>
      </c>
      <c r="J35" s="128">
        <f>+BIODIESEL!C12</f>
        <v>191</v>
      </c>
      <c r="K35" s="193">
        <f>+J11</f>
        <v>162.23999999999998</v>
      </c>
      <c r="L35" s="145">
        <f>+BIODIESEL!G12</f>
        <v>181.45</v>
      </c>
      <c r="M35" s="540"/>
      <c r="N35" s="111"/>
      <c r="O35" s="540"/>
      <c r="P35" s="466"/>
      <c r="Q35" s="466"/>
    </row>
    <row r="36" spans="1:19" x14ac:dyDescent="0.3">
      <c r="A36" s="93" t="s">
        <v>172</v>
      </c>
      <c r="B36" s="99" t="s">
        <v>250</v>
      </c>
      <c r="C36" s="146" t="str">
        <f>+C12</f>
        <v>(2)</v>
      </c>
      <c r="D36" s="146" t="str">
        <f>+C36</f>
        <v>(2)</v>
      </c>
      <c r="E36" s="146" t="str">
        <f>+D36</f>
        <v>(2)</v>
      </c>
      <c r="F36" s="708"/>
      <c r="G36" s="146" t="str">
        <f t="shared" ref="G36:I39" si="3">+C36</f>
        <v>(2)</v>
      </c>
      <c r="H36" s="215" t="str">
        <f t="shared" si="3"/>
        <v>(2)</v>
      </c>
      <c r="I36" s="215" t="str">
        <f t="shared" si="3"/>
        <v>(2)</v>
      </c>
      <c r="J36" s="128" t="str">
        <f>+C36</f>
        <v>(2)</v>
      </c>
      <c r="K36" s="145" t="str">
        <f>+C36</f>
        <v>(2)</v>
      </c>
      <c r="L36" s="145" t="str">
        <f>+D36</f>
        <v>(2)</v>
      </c>
      <c r="M36" s="540"/>
      <c r="N36" s="111"/>
      <c r="O36" s="540"/>
      <c r="P36" s="466"/>
      <c r="Q36" s="466"/>
    </row>
    <row r="37" spans="1:19" x14ac:dyDescent="0.3">
      <c r="A37" s="93" t="s">
        <v>176</v>
      </c>
      <c r="B37" s="99" t="s">
        <v>177</v>
      </c>
      <c r="C37" s="146">
        <f>+RUBROS!AC50</f>
        <v>112.5832368093597</v>
      </c>
      <c r="D37" s="146">
        <f>+C37</f>
        <v>112.5832368093597</v>
      </c>
      <c r="E37" s="146">
        <f>+C37</f>
        <v>112.5832368093597</v>
      </c>
      <c r="F37" s="708"/>
      <c r="G37" s="146">
        <f t="shared" si="3"/>
        <v>112.5832368093597</v>
      </c>
      <c r="H37" s="215">
        <f t="shared" si="3"/>
        <v>112.5832368093597</v>
      </c>
      <c r="I37" s="215">
        <f t="shared" si="3"/>
        <v>112.5832368093597</v>
      </c>
      <c r="J37" s="122">
        <f>+C37</f>
        <v>112.5832368093597</v>
      </c>
      <c r="K37" s="193">
        <f>+C37</f>
        <v>112.5832368093597</v>
      </c>
      <c r="L37" s="145">
        <f>+K37</f>
        <v>112.5832368093597</v>
      </c>
      <c r="M37" s="540"/>
      <c r="N37" s="111"/>
      <c r="O37" s="540"/>
      <c r="P37" s="466"/>
      <c r="Q37" s="466"/>
    </row>
    <row r="38" spans="1:19" x14ac:dyDescent="0.3">
      <c r="A38" s="93" t="s">
        <v>174</v>
      </c>
      <c r="B38" s="99" t="s">
        <v>175</v>
      </c>
      <c r="C38" s="194">
        <f>+RUBROS!AC21</f>
        <v>23.500029293035123</v>
      </c>
      <c r="D38" s="122">
        <f>+C38</f>
        <v>23.500029293035123</v>
      </c>
      <c r="E38" s="122">
        <f>+C38</f>
        <v>23.500029293035123</v>
      </c>
      <c r="F38" s="710"/>
      <c r="G38" s="122">
        <f t="shared" si="3"/>
        <v>23.500029293035123</v>
      </c>
      <c r="H38" s="128">
        <f t="shared" si="3"/>
        <v>23.500029293035123</v>
      </c>
      <c r="I38" s="128">
        <f t="shared" si="3"/>
        <v>23.500029293035123</v>
      </c>
      <c r="J38" s="122">
        <f>+C38</f>
        <v>23.500029293035123</v>
      </c>
      <c r="K38" s="191">
        <f>+C38</f>
        <v>23.500029293035123</v>
      </c>
      <c r="L38" s="128">
        <f>+C38</f>
        <v>23.500029293035123</v>
      </c>
      <c r="M38" s="540"/>
      <c r="N38" s="111"/>
      <c r="O38" s="540"/>
      <c r="P38" s="466"/>
      <c r="Q38" s="466"/>
    </row>
    <row r="39" spans="1:19" x14ac:dyDescent="0.3">
      <c r="A39" s="93" t="s">
        <v>178</v>
      </c>
      <c r="B39" s="99" t="s">
        <v>179</v>
      </c>
      <c r="C39" s="194">
        <f>+C14</f>
        <v>13.326421256197724</v>
      </c>
      <c r="D39" s="122">
        <f>+C39</f>
        <v>13.326421256197724</v>
      </c>
      <c r="E39" s="122">
        <f>+C39</f>
        <v>13.326421256197724</v>
      </c>
      <c r="F39" s="710"/>
      <c r="G39" s="122">
        <f t="shared" si="3"/>
        <v>13.326421256197724</v>
      </c>
      <c r="H39" s="128">
        <f t="shared" si="3"/>
        <v>13.326421256197724</v>
      </c>
      <c r="I39" s="128">
        <f t="shared" si="3"/>
        <v>13.326421256197724</v>
      </c>
      <c r="J39" s="122">
        <f>+C39</f>
        <v>13.326421256197724</v>
      </c>
      <c r="K39" s="191">
        <f>+C39</f>
        <v>13.326421256197724</v>
      </c>
      <c r="L39" s="128">
        <f>+K39</f>
        <v>13.326421256197724</v>
      </c>
      <c r="M39" s="540"/>
      <c r="N39" s="111"/>
      <c r="O39" s="540"/>
      <c r="P39" s="466"/>
      <c r="Q39" s="466"/>
    </row>
    <row r="40" spans="1:19" x14ac:dyDescent="0.3">
      <c r="A40" s="100" t="s">
        <v>181</v>
      </c>
      <c r="B40" s="129" t="s">
        <v>182</v>
      </c>
      <c r="C40" s="195">
        <f>SUM(C32:C39)</f>
        <v>5149.3846873585935</v>
      </c>
      <c r="D40" s="195">
        <f>SUM(D32:D39)</f>
        <v>5310.349387358594</v>
      </c>
      <c r="E40" s="195">
        <f>SUM(E32:E39)</f>
        <v>5471.3140873585926</v>
      </c>
      <c r="F40" s="711"/>
      <c r="G40" s="195">
        <f t="shared" ref="G40:L40" si="4">SUM(G32:G39)</f>
        <v>4518.5058873585931</v>
      </c>
      <c r="H40" s="195">
        <f t="shared" si="4"/>
        <v>5004.6055873585929</v>
      </c>
      <c r="I40" s="195">
        <f t="shared" si="4"/>
        <v>5814.7694873585933</v>
      </c>
      <c r="J40" s="195">
        <f t="shared" si="4"/>
        <v>4194.4416873585924</v>
      </c>
      <c r="K40" s="197">
        <f t="shared" si="4"/>
        <v>6448.3780873585929</v>
      </c>
      <c r="L40" s="195">
        <f t="shared" si="4"/>
        <v>6276.9766873585932</v>
      </c>
      <c r="M40" s="540"/>
      <c r="N40" s="111"/>
      <c r="O40" s="540"/>
      <c r="P40" s="466"/>
      <c r="Q40" s="466"/>
      <c r="S40" s="19"/>
    </row>
    <row r="41" spans="1:19" x14ac:dyDescent="0.3">
      <c r="A41" s="93" t="s">
        <v>183</v>
      </c>
      <c r="B41" s="99" t="s">
        <v>246</v>
      </c>
      <c r="C41" s="211" t="s">
        <v>214</v>
      </c>
      <c r="D41" s="122" t="str">
        <f>+C41</f>
        <v>***</v>
      </c>
      <c r="E41" s="211" t="s">
        <v>214</v>
      </c>
      <c r="F41" s="710"/>
      <c r="G41" s="122" t="str">
        <f t="shared" ref="G41:I43" si="5">+C41</f>
        <v>***</v>
      </c>
      <c r="H41" s="122" t="str">
        <f t="shared" si="5"/>
        <v>***</v>
      </c>
      <c r="I41" s="122" t="str">
        <f t="shared" si="5"/>
        <v>***</v>
      </c>
      <c r="J41" s="122" t="str">
        <f>+G41</f>
        <v>***</v>
      </c>
      <c r="K41" s="191" t="str">
        <f>+E41</f>
        <v>***</v>
      </c>
      <c r="L41" s="122">
        <f>+N41</f>
        <v>0</v>
      </c>
      <c r="M41" s="540"/>
      <c r="N41" s="111"/>
      <c r="O41" s="540"/>
      <c r="P41" s="466"/>
      <c r="Q41" s="466"/>
    </row>
    <row r="42" spans="1:19" x14ac:dyDescent="0.3">
      <c r="A42" s="93" t="s">
        <v>185</v>
      </c>
      <c r="B42" s="99" t="s">
        <v>186</v>
      </c>
      <c r="C42" s="211" t="s">
        <v>212</v>
      </c>
      <c r="D42" s="122" t="str">
        <f>+C42</f>
        <v>**</v>
      </c>
      <c r="E42" s="211" t="s">
        <v>212</v>
      </c>
      <c r="F42" s="710"/>
      <c r="G42" s="122" t="str">
        <f t="shared" si="5"/>
        <v>**</v>
      </c>
      <c r="H42" s="122" t="str">
        <f t="shared" si="5"/>
        <v>**</v>
      </c>
      <c r="I42" s="122" t="str">
        <f t="shared" si="5"/>
        <v>**</v>
      </c>
      <c r="J42" s="122" t="str">
        <f>+C42</f>
        <v>**</v>
      </c>
      <c r="K42" s="191" t="str">
        <f>+D42</f>
        <v>**</v>
      </c>
      <c r="L42" s="122" t="str">
        <f>+K42</f>
        <v>**</v>
      </c>
      <c r="M42" s="540"/>
      <c r="N42" s="111"/>
      <c r="O42" s="540"/>
      <c r="P42" s="540"/>
    </row>
    <row r="43" spans="1:19" x14ac:dyDescent="0.3">
      <c r="A43" s="93" t="s">
        <v>187</v>
      </c>
      <c r="B43" s="165" t="s">
        <v>134</v>
      </c>
      <c r="C43" s="215" t="str">
        <f>+C19</f>
        <v>****</v>
      </c>
      <c r="D43" s="122" t="str">
        <f>+C43</f>
        <v>****</v>
      </c>
      <c r="E43" s="215" t="str">
        <f>+E19</f>
        <v>****</v>
      </c>
      <c r="F43" s="710"/>
      <c r="G43" s="128" t="str">
        <f t="shared" si="5"/>
        <v>****</v>
      </c>
      <c r="H43" s="128" t="str">
        <f t="shared" si="5"/>
        <v>****</v>
      </c>
      <c r="I43" s="128" t="str">
        <f t="shared" si="5"/>
        <v>****</v>
      </c>
      <c r="J43" s="128" t="str">
        <f>+C43</f>
        <v>****</v>
      </c>
      <c r="K43" s="214" t="str">
        <f>C43</f>
        <v>****</v>
      </c>
      <c r="L43" s="122">
        <f>+N43</f>
        <v>0</v>
      </c>
      <c r="M43" s="540"/>
      <c r="N43" s="111"/>
      <c r="O43" s="540"/>
      <c r="P43" s="540"/>
    </row>
    <row r="44" spans="1:19" x14ac:dyDescent="0.3">
      <c r="A44" s="100" t="s">
        <v>189</v>
      </c>
      <c r="B44" s="129" t="s">
        <v>190</v>
      </c>
      <c r="C44" s="200">
        <f t="shared" ref="C44:D44" si="6">+C40</f>
        <v>5149.3846873585935</v>
      </c>
      <c r="D44" s="130">
        <f t="shared" si="6"/>
        <v>5310.349387358594</v>
      </c>
      <c r="E44" s="200">
        <f t="shared" ref="E44" si="7">+E40</f>
        <v>5471.3140873585926</v>
      </c>
      <c r="F44" s="152"/>
      <c r="G44" s="130">
        <f t="shared" ref="G44:L44" si="8">+G40</f>
        <v>4518.5058873585931</v>
      </c>
      <c r="H44" s="130">
        <f t="shared" si="8"/>
        <v>5004.6055873585929</v>
      </c>
      <c r="I44" s="130">
        <f t="shared" si="8"/>
        <v>5814.7694873585933</v>
      </c>
      <c r="J44" s="130">
        <f t="shared" si="8"/>
        <v>4194.4416873585924</v>
      </c>
      <c r="K44" s="197">
        <f t="shared" si="8"/>
        <v>6448.3780873585929</v>
      </c>
      <c r="L44" s="130">
        <f t="shared" si="8"/>
        <v>6276.9766873585932</v>
      </c>
      <c r="M44" s="540"/>
      <c r="N44" s="111"/>
      <c r="O44" s="540"/>
      <c r="P44" s="540"/>
    </row>
    <row r="45" spans="1:19" x14ac:dyDescent="0.3">
      <c r="A45" s="93" t="s">
        <v>191</v>
      </c>
      <c r="B45" s="99" t="s">
        <v>150</v>
      </c>
      <c r="C45" s="213" t="str">
        <f>+C41</f>
        <v>***</v>
      </c>
      <c r="D45" s="122" t="str">
        <f>+G45</f>
        <v>***</v>
      </c>
      <c r="E45" s="213" t="str">
        <f>+E41</f>
        <v>***</v>
      </c>
      <c r="F45" s="710"/>
      <c r="G45" s="122" t="str">
        <f>+G41</f>
        <v>***</v>
      </c>
      <c r="H45" s="122" t="str">
        <f>+H41</f>
        <v>***</v>
      </c>
      <c r="I45" s="122" t="str">
        <f>+I41</f>
        <v>***</v>
      </c>
      <c r="J45" s="122" t="str">
        <f>+J41</f>
        <v>***</v>
      </c>
      <c r="K45" s="191" t="str">
        <f>+E45</f>
        <v>***</v>
      </c>
      <c r="L45" s="122">
        <f>+N45</f>
        <v>0</v>
      </c>
      <c r="M45" s="540"/>
      <c r="N45" s="111"/>
      <c r="O45" s="540"/>
      <c r="P45" s="540"/>
    </row>
    <row r="46" spans="1:19" x14ac:dyDescent="0.3">
      <c r="A46" s="93" t="s">
        <v>192</v>
      </c>
      <c r="B46" s="94" t="s">
        <v>193</v>
      </c>
      <c r="C46" s="148" t="str">
        <f>+C22</f>
        <v>*****</v>
      </c>
      <c r="D46" s="148" t="str">
        <f>+F22</f>
        <v>*****</v>
      </c>
      <c r="E46" s="148" t="str">
        <f>+E22</f>
        <v>*****</v>
      </c>
      <c r="F46" s="710"/>
      <c r="G46" s="148" t="str">
        <f t="shared" ref="G46:H47" si="9">+G22</f>
        <v>N.A</v>
      </c>
      <c r="H46" s="148" t="str">
        <f t="shared" si="9"/>
        <v>N.A</v>
      </c>
      <c r="I46" s="148" t="str">
        <f t="shared" ref="I46" si="10">+I22</f>
        <v>N.A</v>
      </c>
      <c r="J46" s="148" t="str">
        <f t="shared" ref="J46:L47" si="11">+I22</f>
        <v>N.A</v>
      </c>
      <c r="K46" s="191" t="str">
        <f t="shared" si="11"/>
        <v>*****</v>
      </c>
      <c r="L46" s="148" t="str">
        <f t="shared" si="11"/>
        <v>N.A.</v>
      </c>
      <c r="M46" s="540"/>
      <c r="N46" s="111"/>
      <c r="O46" s="540"/>
      <c r="P46" s="540"/>
    </row>
    <row r="47" spans="1:19" x14ac:dyDescent="0.3">
      <c r="A47" s="93" t="s">
        <v>195</v>
      </c>
      <c r="B47" s="94" t="s">
        <v>196</v>
      </c>
      <c r="C47" s="148" t="str">
        <f>+C23</f>
        <v>******</v>
      </c>
      <c r="D47" s="148" t="str">
        <f>+F23</f>
        <v>******</v>
      </c>
      <c r="E47" s="148" t="str">
        <f>+E23</f>
        <v>******</v>
      </c>
      <c r="F47" s="710"/>
      <c r="G47" s="148" t="str">
        <f t="shared" si="9"/>
        <v>******</v>
      </c>
      <c r="H47" s="148" t="str">
        <f t="shared" si="9"/>
        <v>******</v>
      </c>
      <c r="I47" s="148" t="str">
        <f t="shared" ref="I47" si="12">+I23</f>
        <v>******</v>
      </c>
      <c r="J47" s="148" t="str">
        <f t="shared" si="11"/>
        <v>******</v>
      </c>
      <c r="K47" s="191" t="str">
        <f t="shared" si="11"/>
        <v>******</v>
      </c>
      <c r="L47" s="148" t="str">
        <f t="shared" si="11"/>
        <v>******</v>
      </c>
      <c r="M47" s="540"/>
      <c r="N47" s="111"/>
      <c r="O47" s="540"/>
      <c r="P47" s="540"/>
    </row>
    <row r="48" spans="1:19" ht="15" thickBot="1" x14ac:dyDescent="0.35">
      <c r="A48" s="104" t="s">
        <v>197</v>
      </c>
      <c r="B48" s="105" t="s">
        <v>198</v>
      </c>
      <c r="C48" s="202"/>
      <c r="D48" s="132"/>
      <c r="E48" s="132"/>
      <c r="F48" s="152"/>
      <c r="G48" s="132"/>
      <c r="H48" s="132"/>
      <c r="I48" s="132"/>
      <c r="J48" s="132"/>
      <c r="K48" s="203"/>
      <c r="L48" s="132"/>
      <c r="M48" s="540"/>
      <c r="N48" s="111"/>
      <c r="O48" s="540"/>
      <c r="P48" s="540"/>
    </row>
    <row r="49" spans="1:16" ht="15" hidden="1" customHeight="1" thickTop="1" x14ac:dyDescent="0.3">
      <c r="A49" s="109"/>
      <c r="B49" s="110"/>
      <c r="C49" s="110"/>
      <c r="D49" s="111"/>
      <c r="E49" s="111"/>
      <c r="F49" s="111"/>
      <c r="G49" s="111"/>
      <c r="H49" s="111"/>
      <c r="I49" s="111"/>
      <c r="J49" s="111"/>
      <c r="K49" s="111"/>
      <c r="L49" s="111"/>
      <c r="M49" s="111"/>
      <c r="N49" s="540"/>
      <c r="O49" s="540"/>
    </row>
    <row r="50" spans="1:16" ht="15" hidden="1" customHeight="1" thickTop="1" x14ac:dyDescent="0.3">
      <c r="A50" s="143"/>
      <c r="B50" s="118" t="s">
        <v>425</v>
      </c>
      <c r="C50" s="904" t="s">
        <v>163</v>
      </c>
      <c r="D50" s="905"/>
      <c r="E50" s="905"/>
      <c r="F50" s="905"/>
      <c r="G50" s="905"/>
      <c r="H50" s="905"/>
      <c r="I50" s="905"/>
      <c r="J50" s="905"/>
      <c r="K50" s="933" t="s">
        <v>232</v>
      </c>
      <c r="L50" s="934"/>
      <c r="M50" s="935"/>
      <c r="N50" s="540"/>
      <c r="O50" s="540"/>
    </row>
    <row r="51" spans="1:16" ht="63.3" hidden="1" customHeight="1" thickTop="1" x14ac:dyDescent="0.3">
      <c r="A51" s="119"/>
      <c r="B51" s="216" t="s">
        <v>253</v>
      </c>
      <c r="C51" s="906"/>
      <c r="D51" s="907"/>
      <c r="E51" s="907"/>
      <c r="F51" s="907"/>
      <c r="G51" s="907"/>
      <c r="H51" s="907"/>
      <c r="I51" s="907"/>
      <c r="J51" s="907"/>
      <c r="K51" s="936"/>
      <c r="L51" s="937"/>
      <c r="M51" s="938"/>
      <c r="N51" s="540"/>
      <c r="O51" s="540"/>
    </row>
    <row r="52" spans="1:16" ht="38.25" hidden="1" customHeight="1" thickTop="1" x14ac:dyDescent="0.3">
      <c r="A52" s="896" t="s">
        <v>164</v>
      </c>
      <c r="B52" s="898" t="s">
        <v>165</v>
      </c>
      <c r="C52" s="902" t="s">
        <v>223</v>
      </c>
      <c r="D52" s="417" t="s">
        <v>96</v>
      </c>
      <c r="E52" s="690"/>
      <c r="F52" s="690"/>
      <c r="G52" s="417" t="s">
        <v>155</v>
      </c>
      <c r="H52" s="458"/>
      <c r="I52" s="417" t="s">
        <v>397</v>
      </c>
      <c r="J52" s="900" t="s">
        <v>373</v>
      </c>
      <c r="K52" s="610" t="s">
        <v>96</v>
      </c>
      <c r="L52" s="609" t="str">
        <f>+I52</f>
        <v>Biodiesel B12</v>
      </c>
      <c r="M52" s="609" t="s">
        <v>124</v>
      </c>
      <c r="N52" s="540"/>
      <c r="O52" s="540"/>
    </row>
    <row r="53" spans="1:16" ht="21.75" hidden="1" customHeight="1" thickTop="1" x14ac:dyDescent="0.3">
      <c r="A53" s="896"/>
      <c r="B53" s="898"/>
      <c r="C53" s="903"/>
      <c r="D53" s="414">
        <v>0.08</v>
      </c>
      <c r="E53" s="480"/>
      <c r="F53" s="480"/>
      <c r="G53" s="138">
        <v>0.02</v>
      </c>
      <c r="H53" s="138"/>
      <c r="I53" s="322">
        <f>+BOYACA!J54</f>
        <v>0</v>
      </c>
      <c r="J53" s="901"/>
      <c r="K53" s="217">
        <v>0.04</v>
      </c>
      <c r="L53" s="323">
        <f>+I53</f>
        <v>0</v>
      </c>
      <c r="M53" s="218" t="s">
        <v>245</v>
      </c>
      <c r="N53" s="540"/>
      <c r="O53" s="540"/>
    </row>
    <row r="54" spans="1:16" ht="15" hidden="1" customHeight="1" thickTop="1" x14ac:dyDescent="0.3">
      <c r="A54" s="897"/>
      <c r="B54" s="899"/>
      <c r="C54" s="416" t="s">
        <v>166</v>
      </c>
      <c r="D54" s="417" t="s">
        <v>166</v>
      </c>
      <c r="E54" s="690"/>
      <c r="F54" s="690"/>
      <c r="G54" s="417" t="s">
        <v>166</v>
      </c>
      <c r="H54" s="458"/>
      <c r="I54" s="417" t="s">
        <v>166</v>
      </c>
      <c r="J54" s="417" t="s">
        <v>166</v>
      </c>
      <c r="K54" s="610" t="s">
        <v>166</v>
      </c>
      <c r="L54" s="609" t="s">
        <v>166</v>
      </c>
      <c r="M54" s="207" t="s">
        <v>166</v>
      </c>
      <c r="N54" s="540"/>
      <c r="O54" s="540"/>
    </row>
    <row r="55" spans="1:16" ht="15" hidden="1" customHeight="1" thickTop="1" x14ac:dyDescent="0.3">
      <c r="A55" s="93" t="s">
        <v>167</v>
      </c>
      <c r="B55" s="99" t="s">
        <v>168</v>
      </c>
      <c r="C55" s="208">
        <f>+'Calculo IP ZDF'!$B$42</f>
        <v>5262.5</v>
      </c>
      <c r="D55" s="208">
        <f>+'Calculo IP ZDF'!$H$42</f>
        <v>5573.9283999999998</v>
      </c>
      <c r="E55" s="208"/>
      <c r="F55" s="208"/>
      <c r="G55" s="208">
        <f>+'Calculo IP ZDF'!$F$42</f>
        <v>4944.5761999999995</v>
      </c>
      <c r="H55" s="208"/>
      <c r="I55" s="208">
        <f>+'Calculo IP ZDF'!$O$42</f>
        <v>6506.1772000000001</v>
      </c>
      <c r="J55" s="128">
        <f>+'Calculo IP ZDF'!$C$42</f>
        <v>4632.25</v>
      </c>
      <c r="K55" s="191">
        <f>+'GAS CTE'!$E$9</f>
        <v>5573.9283999999998</v>
      </c>
      <c r="L55" s="148">
        <f>+BIODIESEL!$J$9</f>
        <v>6506.1772000000001</v>
      </c>
      <c r="M55" s="170" t="e">
        <f>+#REF!</f>
        <v>#REF!</v>
      </c>
      <c r="N55" s="540"/>
      <c r="O55" s="540"/>
    </row>
    <row r="56" spans="1:16" ht="15" hidden="1" customHeight="1" thickTop="1" x14ac:dyDescent="0.3">
      <c r="A56" s="93" t="s">
        <v>169</v>
      </c>
      <c r="B56" s="99" t="s">
        <v>170</v>
      </c>
      <c r="C56" s="146" t="str">
        <f>+G56</f>
        <v>------------------</v>
      </c>
      <c r="D56" s="146" t="s">
        <v>171</v>
      </c>
      <c r="E56" s="146"/>
      <c r="F56" s="146"/>
      <c r="G56" s="146" t="s">
        <v>171</v>
      </c>
      <c r="H56" s="146"/>
      <c r="I56" s="146" t="s">
        <v>171</v>
      </c>
      <c r="J56" s="123" t="s">
        <v>171</v>
      </c>
      <c r="K56" s="193">
        <f>+'GAS CTE'!$E$10</f>
        <v>562.79999999999995</v>
      </c>
      <c r="L56" s="145">
        <f>+BIODIESEL!$H$10</f>
        <v>505.00800000000004</v>
      </c>
      <c r="M56" s="167" t="e">
        <f>+#REF!</f>
        <v>#REF!</v>
      </c>
      <c r="N56" s="540"/>
      <c r="O56" s="540"/>
    </row>
    <row r="57" spans="1:16" ht="15" hidden="1" customHeight="1" thickTop="1" x14ac:dyDescent="0.3">
      <c r="A57" s="93"/>
      <c r="B57" s="99" t="s">
        <v>129</v>
      </c>
      <c r="C57" s="146" t="str">
        <f>+G57</f>
        <v>------------------</v>
      </c>
      <c r="D57" s="146" t="s">
        <v>171</v>
      </c>
      <c r="E57" s="146"/>
      <c r="F57" s="146"/>
      <c r="G57" s="146" t="s">
        <v>171</v>
      </c>
      <c r="H57" s="146"/>
      <c r="I57" s="146" t="s">
        <v>171</v>
      </c>
      <c r="J57" s="123" t="s">
        <v>171</v>
      </c>
      <c r="K57" s="193" t="str">
        <f>+J10</f>
        <v>(3)</v>
      </c>
      <c r="L57" s="193" t="str">
        <f>+K10</f>
        <v>(3)</v>
      </c>
      <c r="M57" s="167" t="e">
        <f>'[6]CORRIENTE OXIGENADA'!D60</f>
        <v>#REF!</v>
      </c>
      <c r="N57" s="540"/>
      <c r="O57" s="540"/>
    </row>
    <row r="58" spans="1:16" ht="15" hidden="1" customHeight="1" thickTop="1" x14ac:dyDescent="0.3">
      <c r="A58" s="93"/>
      <c r="B58" s="99" t="s">
        <v>131</v>
      </c>
      <c r="C58" s="194">
        <f>+'GAS CTE'!$C$12</f>
        <v>169</v>
      </c>
      <c r="D58" s="194">
        <f>+'GAS CTE'!$E$12</f>
        <v>162.23999999999998</v>
      </c>
      <c r="E58" s="194"/>
      <c r="F58" s="194"/>
      <c r="G58" s="194">
        <f>+BIODIESEL!$E$12</f>
        <v>187.18</v>
      </c>
      <c r="H58" s="194"/>
      <c r="I58" s="194">
        <f>+BIODIESEL!$H$12</f>
        <v>171.9</v>
      </c>
      <c r="J58" s="128">
        <f>+BIODIESEL!$C$12</f>
        <v>191</v>
      </c>
      <c r="K58" s="193">
        <f>+'GAS CTE'!$E$12</f>
        <v>162.23999999999998</v>
      </c>
      <c r="L58" s="145">
        <f>+I58</f>
        <v>171.9</v>
      </c>
      <c r="M58" s="167" t="e">
        <f>+#REF!</f>
        <v>#REF!</v>
      </c>
      <c r="N58" s="540"/>
      <c r="O58" s="361" t="s">
        <v>388</v>
      </c>
    </row>
    <row r="59" spans="1:16" ht="15" hidden="1" customHeight="1" thickTop="1" x14ac:dyDescent="0.3">
      <c r="A59" s="93" t="s">
        <v>172</v>
      </c>
      <c r="B59" s="99" t="s">
        <v>250</v>
      </c>
      <c r="C59" s="211" t="s">
        <v>200</v>
      </c>
      <c r="D59" s="146" t="str">
        <f>+C59</f>
        <v>(2)</v>
      </c>
      <c r="E59" s="146"/>
      <c r="F59" s="146"/>
      <c r="G59" s="146" t="str">
        <f>+C59</f>
        <v>(2)</v>
      </c>
      <c r="H59" s="146"/>
      <c r="I59" s="146" t="str">
        <f>+C59</f>
        <v>(2)</v>
      </c>
      <c r="J59" s="122" t="str">
        <f>+C59</f>
        <v>(2)</v>
      </c>
      <c r="K59" s="193" t="str">
        <f>+M59</f>
        <v>(2)</v>
      </c>
      <c r="L59" s="145" t="str">
        <f>+D59</f>
        <v>(2)</v>
      </c>
      <c r="M59" s="167" t="str">
        <f>+G59</f>
        <v>(2)</v>
      </c>
      <c r="N59" s="540"/>
      <c r="O59" s="540"/>
    </row>
    <row r="60" spans="1:16" ht="15" hidden="1" customHeight="1" thickTop="1" x14ac:dyDescent="0.3">
      <c r="A60" s="93" t="s">
        <v>174</v>
      </c>
      <c r="B60" s="99" t="s">
        <v>175</v>
      </c>
      <c r="C60" s="194">
        <f>+RUBROS!$Z$13</f>
        <v>22.249601678692599</v>
      </c>
      <c r="D60" s="122">
        <f>+C60</f>
        <v>22.249601678692599</v>
      </c>
      <c r="E60" s="122"/>
      <c r="F60" s="122"/>
      <c r="G60" s="122">
        <f>+C60</f>
        <v>22.249601678692599</v>
      </c>
      <c r="H60" s="122"/>
      <c r="I60" s="122">
        <f>+C60</f>
        <v>22.249601678692599</v>
      </c>
      <c r="J60" s="122">
        <f>+C60</f>
        <v>22.249601678692599</v>
      </c>
      <c r="K60" s="191" t="e">
        <f>+#REF!</f>
        <v>#REF!</v>
      </c>
      <c r="L60" s="122" t="e">
        <f>+#REF!</f>
        <v>#REF!</v>
      </c>
      <c r="M60" s="96" t="e">
        <f>+#REF!</f>
        <v>#REF!</v>
      </c>
      <c r="N60" s="540"/>
      <c r="O60" s="361" t="s">
        <v>388</v>
      </c>
      <c r="P60" s="361" t="s">
        <v>387</v>
      </c>
    </row>
    <row r="61" spans="1:16" ht="15" hidden="1" customHeight="1" thickTop="1" x14ac:dyDescent="0.3">
      <c r="A61" s="93" t="s">
        <v>178</v>
      </c>
      <c r="B61" s="99" t="s">
        <v>179</v>
      </c>
      <c r="C61" s="194">
        <f>+RUBROS!$AP$42</f>
        <v>12.938273064269636</v>
      </c>
      <c r="D61" s="122">
        <f>+C61</f>
        <v>12.938273064269636</v>
      </c>
      <c r="E61" s="122"/>
      <c r="F61" s="122"/>
      <c r="G61" s="122">
        <f>+C61</f>
        <v>12.938273064269636</v>
      </c>
      <c r="H61" s="122"/>
      <c r="I61" s="122">
        <f>+C61</f>
        <v>12.938273064269636</v>
      </c>
      <c r="J61" s="122">
        <f>+C61</f>
        <v>12.938273064269636</v>
      </c>
      <c r="K61" s="191">
        <f>+C61</f>
        <v>12.938273064269636</v>
      </c>
      <c r="L61" s="122">
        <f>+K61</f>
        <v>12.938273064269636</v>
      </c>
      <c r="M61" s="96">
        <f>+K61</f>
        <v>12.938273064269636</v>
      </c>
      <c r="N61" s="540"/>
      <c r="O61" s="361" t="s">
        <v>387</v>
      </c>
    </row>
    <row r="62" spans="1:16" ht="15" hidden="1" customHeight="1" thickTop="1" x14ac:dyDescent="0.3">
      <c r="A62" s="93"/>
      <c r="B62" s="99" t="s">
        <v>180</v>
      </c>
      <c r="C62" s="194"/>
      <c r="D62" s="122"/>
      <c r="E62" s="122"/>
      <c r="F62" s="122"/>
      <c r="G62" s="122"/>
      <c r="H62" s="122"/>
      <c r="I62" s="122"/>
      <c r="J62" s="122"/>
      <c r="K62" s="191"/>
      <c r="L62" s="122"/>
      <c r="M62" s="96">
        <f>+C62</f>
        <v>0</v>
      </c>
      <c r="N62" s="540"/>
      <c r="O62" s="365" t="s">
        <v>389</v>
      </c>
    </row>
    <row r="63" spans="1:16" ht="15" hidden="1" customHeight="1" thickTop="1" x14ac:dyDescent="0.3">
      <c r="A63" s="100" t="s">
        <v>181</v>
      </c>
      <c r="B63" s="129" t="s">
        <v>182</v>
      </c>
      <c r="C63" s="195">
        <f>SUM(C55:C62)</f>
        <v>5466.6878747429619</v>
      </c>
      <c r="D63" s="195">
        <f t="shared" ref="D63:M63" si="13">SUM(D55:D62)</f>
        <v>5771.3562747429614</v>
      </c>
      <c r="E63" s="195"/>
      <c r="F63" s="195"/>
      <c r="G63" s="195">
        <f t="shared" si="13"/>
        <v>5166.9440747429617</v>
      </c>
      <c r="H63" s="195"/>
      <c r="I63" s="195">
        <f t="shared" si="13"/>
        <v>6713.2650747429616</v>
      </c>
      <c r="J63" s="195">
        <f t="shared" si="13"/>
        <v>4858.4378747429619</v>
      </c>
      <c r="K63" s="197" t="e">
        <f t="shared" si="13"/>
        <v>#REF!</v>
      </c>
      <c r="L63" s="195" t="e">
        <f t="shared" si="13"/>
        <v>#REF!</v>
      </c>
      <c r="M63" s="198" t="e">
        <f t="shared" si="13"/>
        <v>#REF!</v>
      </c>
      <c r="N63" s="540"/>
      <c r="O63" s="540"/>
    </row>
    <row r="64" spans="1:16" ht="15" hidden="1" customHeight="1" thickTop="1" x14ac:dyDescent="0.3">
      <c r="A64" s="93" t="s">
        <v>183</v>
      </c>
      <c r="B64" s="99" t="s">
        <v>246</v>
      </c>
      <c r="C64" s="212" t="s">
        <v>214</v>
      </c>
      <c r="D64" s="122" t="str">
        <f>+C64</f>
        <v>***</v>
      </c>
      <c r="E64" s="122"/>
      <c r="F64" s="122"/>
      <c r="G64" s="122" t="str">
        <f>+C64</f>
        <v>***</v>
      </c>
      <c r="H64" s="122"/>
      <c r="I64" s="122" t="str">
        <f>+G64</f>
        <v>***</v>
      </c>
      <c r="J64" s="122" t="str">
        <f>+G64</f>
        <v>***</v>
      </c>
      <c r="K64" s="191" t="str">
        <f>M64</f>
        <v>***</v>
      </c>
      <c r="L64" s="122" t="str">
        <f>+M64</f>
        <v>***</v>
      </c>
      <c r="M64" s="96" t="str">
        <f>+G64</f>
        <v>***</v>
      </c>
      <c r="N64" s="540"/>
      <c r="O64" s="540"/>
    </row>
    <row r="65" spans="1:13" ht="15" hidden="1" customHeight="1" thickTop="1" x14ac:dyDescent="0.3">
      <c r="A65" s="93" t="s">
        <v>185</v>
      </c>
      <c r="B65" s="99" t="s">
        <v>186</v>
      </c>
      <c r="C65" s="211" t="s">
        <v>212</v>
      </c>
      <c r="D65" s="122" t="str">
        <f>+C65</f>
        <v>**</v>
      </c>
      <c r="E65" s="122"/>
      <c r="F65" s="122"/>
      <c r="G65" s="122" t="str">
        <f>+C65</f>
        <v>**</v>
      </c>
      <c r="H65" s="122"/>
      <c r="I65" s="122" t="str">
        <f>+C65</f>
        <v>**</v>
      </c>
      <c r="J65" s="122" t="str">
        <f>+C65</f>
        <v>**</v>
      </c>
      <c r="K65" s="191" t="e">
        <f>+#REF!</f>
        <v>#REF!</v>
      </c>
      <c r="L65" s="122" t="e">
        <f>+K65</f>
        <v>#REF!</v>
      </c>
      <c r="M65" s="96" t="e">
        <f>+L65</f>
        <v>#REF!</v>
      </c>
    </row>
    <row r="66" spans="1:13" ht="15" hidden="1" customHeight="1" thickTop="1" x14ac:dyDescent="0.3">
      <c r="A66" s="93" t="s">
        <v>187</v>
      </c>
      <c r="B66" s="165" t="s">
        <v>134</v>
      </c>
      <c r="C66" s="199">
        <f>+G66</f>
        <v>0</v>
      </c>
      <c r="D66" s="122">
        <f t="shared" ref="D66" si="14">+G66</f>
        <v>0</v>
      </c>
      <c r="E66" s="122"/>
      <c r="F66" s="122"/>
      <c r="G66" s="128">
        <f>+A161</f>
        <v>0</v>
      </c>
      <c r="H66" s="128"/>
      <c r="I66" s="128">
        <f>+G66</f>
        <v>0</v>
      </c>
      <c r="J66" s="128">
        <f>+A161</f>
        <v>0</v>
      </c>
      <c r="K66" s="214">
        <f>C66</f>
        <v>0</v>
      </c>
      <c r="L66" s="122">
        <f>+M66</f>
        <v>0</v>
      </c>
      <c r="M66" s="98">
        <f>K66</f>
        <v>0</v>
      </c>
    </row>
    <row r="67" spans="1:13" ht="15" hidden="1" customHeight="1" thickTop="1" x14ac:dyDescent="0.3">
      <c r="A67" s="100" t="s">
        <v>189</v>
      </c>
      <c r="B67" s="129" t="s">
        <v>190</v>
      </c>
      <c r="C67" s="200">
        <f t="shared" ref="C67:M68" si="15">+C63</f>
        <v>5466.6878747429619</v>
      </c>
      <c r="D67" s="130">
        <f t="shared" si="15"/>
        <v>5771.3562747429614</v>
      </c>
      <c r="E67" s="130"/>
      <c r="F67" s="130"/>
      <c r="G67" s="130">
        <f t="shared" si="15"/>
        <v>5166.9440747429617</v>
      </c>
      <c r="H67" s="130"/>
      <c r="I67" s="130">
        <f t="shared" si="15"/>
        <v>6713.2650747429616</v>
      </c>
      <c r="J67" s="130">
        <f t="shared" si="15"/>
        <v>4858.4378747429619</v>
      </c>
      <c r="K67" s="197" t="e">
        <f t="shared" si="15"/>
        <v>#REF!</v>
      </c>
      <c r="L67" s="130" t="e">
        <f t="shared" si="15"/>
        <v>#REF!</v>
      </c>
      <c r="M67" s="102" t="e">
        <f t="shared" si="15"/>
        <v>#REF!</v>
      </c>
    </row>
    <row r="68" spans="1:13" ht="15" hidden="1" customHeight="1" thickTop="1" x14ac:dyDescent="0.3">
      <c r="A68" s="93" t="s">
        <v>191</v>
      </c>
      <c r="B68" s="99" t="s">
        <v>150</v>
      </c>
      <c r="C68" s="194" t="str">
        <f>+G68</f>
        <v>***</v>
      </c>
      <c r="D68" s="122" t="str">
        <f t="shared" ref="D68" si="16">+G68</f>
        <v>***</v>
      </c>
      <c r="E68" s="122"/>
      <c r="F68" s="122"/>
      <c r="G68" s="122" t="str">
        <f t="shared" si="15"/>
        <v>***</v>
      </c>
      <c r="H68" s="122"/>
      <c r="I68" s="122" t="str">
        <f>+G68</f>
        <v>***</v>
      </c>
      <c r="J68" s="122" t="str">
        <f>+J64</f>
        <v>***</v>
      </c>
      <c r="K68" s="191" t="str">
        <f>M68</f>
        <v>***</v>
      </c>
      <c r="L68" s="122" t="str">
        <f>+M68</f>
        <v>***</v>
      </c>
      <c r="M68" s="96" t="str">
        <f>+M64</f>
        <v>***</v>
      </c>
    </row>
    <row r="69" spans="1:13" ht="15" hidden="1" customHeight="1" thickTop="1" x14ac:dyDescent="0.3">
      <c r="A69" s="93" t="s">
        <v>192</v>
      </c>
      <c r="B69" s="94" t="s">
        <v>193</v>
      </c>
      <c r="C69" s="201" t="s">
        <v>218</v>
      </c>
      <c r="D69" s="122" t="str">
        <f>+C69</f>
        <v>*****</v>
      </c>
      <c r="E69" s="122"/>
      <c r="F69" s="122"/>
      <c r="G69" s="122" t="s">
        <v>194</v>
      </c>
      <c r="H69" s="122"/>
      <c r="I69" s="122" t="str">
        <f>+G69</f>
        <v>N.A</v>
      </c>
      <c r="J69" s="122" t="s">
        <v>194</v>
      </c>
      <c r="K69" s="191" t="e">
        <f>+#REF!</f>
        <v>#REF!</v>
      </c>
      <c r="L69" s="122" t="s">
        <v>236</v>
      </c>
      <c r="M69" s="96" t="e">
        <f>+#REF!</f>
        <v>#REF!</v>
      </c>
    </row>
    <row r="70" spans="1:13" ht="24.75" hidden="1" customHeight="1" thickTop="1" x14ac:dyDescent="0.3">
      <c r="A70" s="93" t="s">
        <v>195</v>
      </c>
      <c r="B70" s="94" t="s">
        <v>196</v>
      </c>
      <c r="C70" s="201" t="s">
        <v>219</v>
      </c>
      <c r="D70" s="122" t="str">
        <f>+C70</f>
        <v>******</v>
      </c>
      <c r="E70" s="122"/>
      <c r="F70" s="122"/>
      <c r="G70" s="122" t="str">
        <f>+C70</f>
        <v>******</v>
      </c>
      <c r="H70" s="122"/>
      <c r="I70" s="122" t="str">
        <f>+C70</f>
        <v>******</v>
      </c>
      <c r="J70" s="122" t="str">
        <f>+C70</f>
        <v>******</v>
      </c>
      <c r="K70" s="191" t="str">
        <f>+C70</f>
        <v>******</v>
      </c>
      <c r="L70" s="122" t="str">
        <f>+C70</f>
        <v>******</v>
      </c>
      <c r="M70" s="96" t="str">
        <f>+C70</f>
        <v>******</v>
      </c>
    </row>
    <row r="71" spans="1:13" ht="15.6" hidden="1" customHeight="1" thickTop="1" thickBot="1" x14ac:dyDescent="0.35">
      <c r="A71" s="104" t="s">
        <v>197</v>
      </c>
      <c r="B71" s="105" t="s">
        <v>198</v>
      </c>
      <c r="C71" s="202"/>
      <c r="D71" s="132"/>
      <c r="E71" s="132"/>
      <c r="F71" s="132"/>
      <c r="G71" s="132"/>
      <c r="H71" s="132"/>
      <c r="I71" s="132"/>
      <c r="J71" s="132"/>
      <c r="K71" s="330"/>
      <c r="L71" s="331"/>
      <c r="M71" s="332"/>
    </row>
    <row r="72" spans="1:13" ht="15" hidden="1" customHeight="1" thickTop="1" x14ac:dyDescent="0.3">
      <c r="A72" s="109"/>
      <c r="B72" s="110"/>
      <c r="C72" s="110"/>
      <c r="D72" s="111"/>
      <c r="E72" s="111"/>
      <c r="F72" s="111"/>
      <c r="G72" s="111"/>
      <c r="H72" s="111"/>
      <c r="I72" s="111"/>
      <c r="J72" s="111"/>
      <c r="K72" s="111"/>
      <c r="L72" s="111"/>
      <c r="M72" s="111"/>
    </row>
    <row r="73" spans="1:13" ht="15" hidden="1" customHeight="1" thickTop="1" x14ac:dyDescent="0.3">
      <c r="A73" s="109"/>
      <c r="B73" s="110"/>
      <c r="C73" s="110"/>
      <c r="D73" s="111"/>
      <c r="E73" s="111"/>
      <c r="F73" s="111"/>
      <c r="G73" s="111"/>
      <c r="H73" s="111"/>
      <c r="I73" s="111"/>
      <c r="J73" s="111"/>
      <c r="K73" s="111"/>
      <c r="L73" s="111"/>
      <c r="M73" s="111"/>
    </row>
    <row r="74" spans="1:13" ht="15" hidden="1" customHeight="1" thickTop="1" x14ac:dyDescent="0.3">
      <c r="A74" s="143"/>
      <c r="B74" s="118" t="s">
        <v>426</v>
      </c>
      <c r="C74" s="904" t="s">
        <v>163</v>
      </c>
      <c r="D74" s="905"/>
      <c r="E74" s="905"/>
      <c r="F74" s="905"/>
      <c r="G74" s="905"/>
      <c r="H74" s="905"/>
      <c r="I74" s="905"/>
      <c r="J74" s="905"/>
      <c r="K74" s="933" t="s">
        <v>232</v>
      </c>
      <c r="L74" s="934"/>
      <c r="M74" s="935"/>
    </row>
    <row r="75" spans="1:13" ht="43.2" hidden="1" customHeight="1" thickTop="1" x14ac:dyDescent="0.3">
      <c r="A75" s="119"/>
      <c r="B75" s="216" t="s">
        <v>253</v>
      </c>
      <c r="C75" s="906"/>
      <c r="D75" s="907"/>
      <c r="E75" s="907"/>
      <c r="F75" s="907"/>
      <c r="G75" s="907"/>
      <c r="H75" s="907"/>
      <c r="I75" s="907"/>
      <c r="J75" s="907"/>
      <c r="K75" s="936"/>
      <c r="L75" s="937"/>
      <c r="M75" s="938"/>
    </row>
    <row r="76" spans="1:13" ht="42" hidden="1" customHeight="1" thickTop="1" x14ac:dyDescent="0.3">
      <c r="A76" s="896" t="s">
        <v>164</v>
      </c>
      <c r="B76" s="898" t="s">
        <v>165</v>
      </c>
      <c r="C76" s="902" t="s">
        <v>223</v>
      </c>
      <c r="D76" s="417" t="s">
        <v>96</v>
      </c>
      <c r="E76" s="690"/>
      <c r="F76" s="690"/>
      <c r="G76" s="417" t="s">
        <v>155</v>
      </c>
      <c r="H76" s="458"/>
      <c r="I76" s="417" t="s">
        <v>397</v>
      </c>
      <c r="J76" s="900" t="s">
        <v>373</v>
      </c>
      <c r="K76" s="610" t="s">
        <v>96</v>
      </c>
      <c r="L76" s="609" t="str">
        <f>+I76</f>
        <v>Biodiesel B12</v>
      </c>
      <c r="M76" s="609" t="s">
        <v>124</v>
      </c>
    </row>
    <row r="77" spans="1:13" ht="15" hidden="1" customHeight="1" thickTop="1" x14ac:dyDescent="0.3">
      <c r="A77" s="896"/>
      <c r="B77" s="898"/>
      <c r="C77" s="903"/>
      <c r="D77" s="414">
        <v>0.08</v>
      </c>
      <c r="E77" s="480"/>
      <c r="F77" s="480"/>
      <c r="G77" s="138">
        <v>0.02</v>
      </c>
      <c r="H77" s="138"/>
      <c r="I77" s="322">
        <f>+BOYACA!J78</f>
        <v>0</v>
      </c>
      <c r="J77" s="901"/>
      <c r="K77" s="217">
        <v>0.04</v>
      </c>
      <c r="L77" s="323">
        <f>+I77</f>
        <v>0</v>
      </c>
      <c r="M77" s="218" t="s">
        <v>245</v>
      </c>
    </row>
    <row r="78" spans="1:13" ht="15" hidden="1" customHeight="1" thickTop="1" x14ac:dyDescent="0.3">
      <c r="A78" s="897"/>
      <c r="B78" s="899"/>
      <c r="C78" s="416" t="s">
        <v>166</v>
      </c>
      <c r="D78" s="417" t="s">
        <v>166</v>
      </c>
      <c r="E78" s="690"/>
      <c r="F78" s="690"/>
      <c r="G78" s="417" t="s">
        <v>166</v>
      </c>
      <c r="H78" s="458"/>
      <c r="I78" s="417" t="s">
        <v>166</v>
      </c>
      <c r="J78" s="417" t="s">
        <v>166</v>
      </c>
      <c r="K78" s="610" t="s">
        <v>166</v>
      </c>
      <c r="L78" s="609" t="s">
        <v>166</v>
      </c>
      <c r="M78" s="207" t="s">
        <v>166</v>
      </c>
    </row>
    <row r="79" spans="1:13" ht="15" hidden="1" customHeight="1" thickTop="1" x14ac:dyDescent="0.3">
      <c r="A79" s="93" t="s">
        <v>167</v>
      </c>
      <c r="B79" s="99" t="s">
        <v>168</v>
      </c>
      <c r="C79" s="208">
        <f>+'Calculo IP ZDF'!$B$43</f>
        <v>5262.5</v>
      </c>
      <c r="D79" s="208">
        <f>+'Calculo IP ZDF'!$H$43</f>
        <v>5573.9283999999998</v>
      </c>
      <c r="E79" s="208"/>
      <c r="F79" s="208"/>
      <c r="G79" s="208">
        <f>+'Calculo IP ZDF'!$F$43</f>
        <v>4944.5761999999995</v>
      </c>
      <c r="H79" s="208"/>
      <c r="I79" s="208">
        <f>+'Calculo IP ZDF'!$O$43</f>
        <v>6506.1772000000001</v>
      </c>
      <c r="J79" s="128">
        <f>+'Calculo IP ZDF'!$C$43</f>
        <v>4632.25</v>
      </c>
      <c r="K79" s="191">
        <f>+'GAS CTE'!$E$9</f>
        <v>5573.9283999999998</v>
      </c>
      <c r="L79" s="148">
        <f>+BIODIESEL!$J$9</f>
        <v>6506.1772000000001</v>
      </c>
      <c r="M79" s="170" t="e">
        <f>+#REF!</f>
        <v>#REF!</v>
      </c>
    </row>
    <row r="80" spans="1:13" ht="15" hidden="1" customHeight="1" thickTop="1" x14ac:dyDescent="0.3">
      <c r="A80" s="93" t="s">
        <v>169</v>
      </c>
      <c r="B80" s="99" t="s">
        <v>170</v>
      </c>
      <c r="C80" s="146" t="str">
        <f>+G80</f>
        <v>------------------</v>
      </c>
      <c r="D80" s="146" t="s">
        <v>171</v>
      </c>
      <c r="E80" s="146"/>
      <c r="F80" s="146"/>
      <c r="G80" s="146" t="s">
        <v>171</v>
      </c>
      <c r="H80" s="146"/>
      <c r="I80" s="146" t="s">
        <v>171</v>
      </c>
      <c r="J80" s="123" t="s">
        <v>171</v>
      </c>
      <c r="K80" s="193">
        <f>+'GAS CTE'!$E$10</f>
        <v>562.79999999999995</v>
      </c>
      <c r="L80" s="145">
        <f>+BIODIESEL!$H$10</f>
        <v>505.00800000000004</v>
      </c>
      <c r="M80" s="167" t="e">
        <f>+#REF!</f>
        <v>#REF!</v>
      </c>
    </row>
    <row r="81" spans="1:13" ht="15" hidden="1" customHeight="1" thickTop="1" x14ac:dyDescent="0.3">
      <c r="A81" s="93"/>
      <c r="B81" s="99" t="s">
        <v>129</v>
      </c>
      <c r="C81" s="146" t="str">
        <f>+G81</f>
        <v>------------------</v>
      </c>
      <c r="D81" s="146" t="s">
        <v>171</v>
      </c>
      <c r="E81" s="146"/>
      <c r="F81" s="146"/>
      <c r="G81" s="146" t="s">
        <v>171</v>
      </c>
      <c r="H81" s="146"/>
      <c r="I81" s="146" t="s">
        <v>171</v>
      </c>
      <c r="J81" s="123" t="s">
        <v>171</v>
      </c>
      <c r="K81" s="193" t="e">
        <f>+#REF!</f>
        <v>#REF!</v>
      </c>
      <c r="L81" s="193">
        <f>+M34</f>
        <v>0</v>
      </c>
      <c r="M81" s="167" t="e">
        <f>'[6]CORRIENTE OXIGENADA'!D84</f>
        <v>#REF!</v>
      </c>
    </row>
    <row r="82" spans="1:13" ht="15" hidden="1" customHeight="1" thickTop="1" x14ac:dyDescent="0.3">
      <c r="A82" s="93"/>
      <c r="B82" s="99" t="s">
        <v>131</v>
      </c>
      <c r="C82" s="194">
        <f>+'GAS CTE'!$C$12</f>
        <v>169</v>
      </c>
      <c r="D82" s="194">
        <f>+'GAS CTE'!$E$12</f>
        <v>162.23999999999998</v>
      </c>
      <c r="E82" s="194"/>
      <c r="F82" s="194"/>
      <c r="G82" s="194">
        <f>+BIODIESEL!$E$12</f>
        <v>187.18</v>
      </c>
      <c r="H82" s="194"/>
      <c r="I82" s="194">
        <f>+BIODIESEL!$H$12</f>
        <v>171.9</v>
      </c>
      <c r="J82" s="128">
        <f>+BIODIESEL!$C$12</f>
        <v>191</v>
      </c>
      <c r="K82" s="193">
        <f>+'GAS CTE'!$E$12</f>
        <v>162.23999999999998</v>
      </c>
      <c r="L82" s="145">
        <f>+I82</f>
        <v>171.9</v>
      </c>
      <c r="M82" s="167" t="e">
        <f>+#REF!</f>
        <v>#REF!</v>
      </c>
    </row>
    <row r="83" spans="1:13" ht="15" hidden="1" customHeight="1" thickTop="1" x14ac:dyDescent="0.3">
      <c r="A83" s="93" t="s">
        <v>172</v>
      </c>
      <c r="B83" s="99" t="s">
        <v>250</v>
      </c>
      <c r="C83" s="211" t="s">
        <v>200</v>
      </c>
      <c r="D83" s="146" t="str">
        <f>+C83</f>
        <v>(2)</v>
      </c>
      <c r="E83" s="146"/>
      <c r="F83" s="146"/>
      <c r="G83" s="146" t="str">
        <f>+C83</f>
        <v>(2)</v>
      </c>
      <c r="H83" s="146"/>
      <c r="I83" s="146" t="str">
        <f>+C83</f>
        <v>(2)</v>
      </c>
      <c r="J83" s="122" t="str">
        <f>+C83</f>
        <v>(2)</v>
      </c>
      <c r="K83" s="193" t="str">
        <f>+M83</f>
        <v>(2)</v>
      </c>
      <c r="L83" s="145" t="str">
        <f>+D83</f>
        <v>(2)</v>
      </c>
      <c r="M83" s="167" t="str">
        <f>+G83</f>
        <v>(2)</v>
      </c>
    </row>
    <row r="84" spans="1:13" ht="15" hidden="1" customHeight="1" thickTop="1" x14ac:dyDescent="0.3">
      <c r="A84" s="93" t="s">
        <v>174</v>
      </c>
      <c r="B84" s="99" t="s">
        <v>175</v>
      </c>
      <c r="C84" s="194">
        <f>+RUBROS!$Z$13</f>
        <v>22.249601678692599</v>
      </c>
      <c r="D84" s="122">
        <f>+C84</f>
        <v>22.249601678692599</v>
      </c>
      <c r="E84" s="122"/>
      <c r="F84" s="122"/>
      <c r="G84" s="122">
        <f>+C84</f>
        <v>22.249601678692599</v>
      </c>
      <c r="H84" s="122"/>
      <c r="I84" s="122">
        <f>+C84</f>
        <v>22.249601678692599</v>
      </c>
      <c r="J84" s="122">
        <f>+C84</f>
        <v>22.249601678692599</v>
      </c>
      <c r="K84" s="191" t="e">
        <f>+#REF!</f>
        <v>#REF!</v>
      </c>
      <c r="L84" s="122" t="e">
        <f>+#REF!</f>
        <v>#REF!</v>
      </c>
      <c r="M84" s="96" t="e">
        <f>+#REF!</f>
        <v>#REF!</v>
      </c>
    </row>
    <row r="85" spans="1:13" ht="15" hidden="1" customHeight="1" thickTop="1" x14ac:dyDescent="0.3">
      <c r="A85" s="93" t="s">
        <v>178</v>
      </c>
      <c r="B85" s="99" t="s">
        <v>179</v>
      </c>
      <c r="C85" s="194">
        <f>+RUBROS!$AP$42</f>
        <v>12.938273064269636</v>
      </c>
      <c r="D85" s="122">
        <f>+C85</f>
        <v>12.938273064269636</v>
      </c>
      <c r="E85" s="122"/>
      <c r="F85" s="122"/>
      <c r="G85" s="122">
        <f>+C85</f>
        <v>12.938273064269636</v>
      </c>
      <c r="H85" s="122"/>
      <c r="I85" s="122">
        <f>+C85</f>
        <v>12.938273064269636</v>
      </c>
      <c r="J85" s="122">
        <f>+C85</f>
        <v>12.938273064269636</v>
      </c>
      <c r="K85" s="191">
        <f>+C85</f>
        <v>12.938273064269636</v>
      </c>
      <c r="L85" s="122">
        <f>+K85</f>
        <v>12.938273064269636</v>
      </c>
      <c r="M85" s="96">
        <f>+K85</f>
        <v>12.938273064269636</v>
      </c>
    </row>
    <row r="86" spans="1:13" ht="15" hidden="1" customHeight="1" thickTop="1" x14ac:dyDescent="0.3">
      <c r="A86" s="93"/>
      <c r="B86" s="99" t="s">
        <v>180</v>
      </c>
      <c r="C86" s="194"/>
      <c r="D86" s="122"/>
      <c r="E86" s="122"/>
      <c r="F86" s="122"/>
      <c r="G86" s="122"/>
      <c r="H86" s="122"/>
      <c r="I86" s="122"/>
      <c r="J86" s="122"/>
      <c r="K86" s="191"/>
      <c r="L86" s="122"/>
      <c r="M86" s="96">
        <f>+C86</f>
        <v>0</v>
      </c>
    </row>
    <row r="87" spans="1:13" ht="15" hidden="1" customHeight="1" thickTop="1" x14ac:dyDescent="0.3">
      <c r="A87" s="100" t="s">
        <v>181</v>
      </c>
      <c r="B87" s="129" t="s">
        <v>182</v>
      </c>
      <c r="C87" s="195">
        <f>SUM(C79:C86)</f>
        <v>5466.6878747429619</v>
      </c>
      <c r="D87" s="195">
        <f t="shared" ref="D87:M87" si="17">SUM(D79:D86)</f>
        <v>5771.3562747429614</v>
      </c>
      <c r="E87" s="195"/>
      <c r="F87" s="195"/>
      <c r="G87" s="195">
        <f t="shared" si="17"/>
        <v>5166.9440747429617</v>
      </c>
      <c r="H87" s="195"/>
      <c r="I87" s="195">
        <f t="shared" si="17"/>
        <v>6713.2650747429616</v>
      </c>
      <c r="J87" s="195">
        <f t="shared" si="17"/>
        <v>4858.4378747429619</v>
      </c>
      <c r="K87" s="197" t="e">
        <f t="shared" si="17"/>
        <v>#REF!</v>
      </c>
      <c r="L87" s="195" t="e">
        <f t="shared" si="17"/>
        <v>#REF!</v>
      </c>
      <c r="M87" s="198" t="e">
        <f t="shared" si="17"/>
        <v>#REF!</v>
      </c>
    </row>
    <row r="88" spans="1:13" ht="15" hidden="1" customHeight="1" thickTop="1" x14ac:dyDescent="0.3">
      <c r="A88" s="93" t="s">
        <v>183</v>
      </c>
      <c r="B88" s="99" t="s">
        <v>246</v>
      </c>
      <c r="C88" s="212" t="s">
        <v>214</v>
      </c>
      <c r="D88" s="122" t="str">
        <f>+C88</f>
        <v>***</v>
      </c>
      <c r="E88" s="122"/>
      <c r="F88" s="122"/>
      <c r="G88" s="122" t="str">
        <f>+C88</f>
        <v>***</v>
      </c>
      <c r="H88" s="122"/>
      <c r="I88" s="122" t="str">
        <f>+G88</f>
        <v>***</v>
      </c>
      <c r="J88" s="122" t="str">
        <f>+G88</f>
        <v>***</v>
      </c>
      <c r="K88" s="191" t="str">
        <f>M88</f>
        <v>***</v>
      </c>
      <c r="L88" s="122" t="str">
        <f>+M88</f>
        <v>***</v>
      </c>
      <c r="M88" s="96" t="str">
        <f>+G88</f>
        <v>***</v>
      </c>
    </row>
    <row r="89" spans="1:13" ht="15" hidden="1" customHeight="1" thickTop="1" x14ac:dyDescent="0.3">
      <c r="A89" s="93" t="s">
        <v>185</v>
      </c>
      <c r="B89" s="99" t="s">
        <v>186</v>
      </c>
      <c r="C89" s="211" t="s">
        <v>212</v>
      </c>
      <c r="D89" s="122" t="str">
        <f>+C89</f>
        <v>**</v>
      </c>
      <c r="E89" s="122"/>
      <c r="F89" s="122"/>
      <c r="G89" s="122" t="str">
        <f>+C89</f>
        <v>**</v>
      </c>
      <c r="H89" s="122"/>
      <c r="I89" s="122" t="str">
        <f>+C89</f>
        <v>**</v>
      </c>
      <c r="J89" s="122" t="str">
        <f>+C89</f>
        <v>**</v>
      </c>
      <c r="K89" s="191" t="e">
        <f>+#REF!</f>
        <v>#REF!</v>
      </c>
      <c r="L89" s="122" t="e">
        <f>+K89</f>
        <v>#REF!</v>
      </c>
      <c r="M89" s="96" t="e">
        <f>+L89</f>
        <v>#REF!</v>
      </c>
    </row>
    <row r="90" spans="1:13" ht="15" hidden="1" customHeight="1" thickTop="1" x14ac:dyDescent="0.3">
      <c r="A90" s="93" t="s">
        <v>187</v>
      </c>
      <c r="B90" s="165" t="s">
        <v>134</v>
      </c>
      <c r="C90" s="199">
        <f>+G90</f>
        <v>0</v>
      </c>
      <c r="D90" s="122">
        <f t="shared" ref="D90" si="18">+G90</f>
        <v>0</v>
      </c>
      <c r="E90" s="122"/>
      <c r="F90" s="122"/>
      <c r="G90" s="128">
        <f>+A185</f>
        <v>0</v>
      </c>
      <c r="H90" s="128"/>
      <c r="I90" s="128">
        <f>+G90</f>
        <v>0</v>
      </c>
      <c r="J90" s="128">
        <f>+A185</f>
        <v>0</v>
      </c>
      <c r="K90" s="214">
        <f>C90</f>
        <v>0</v>
      </c>
      <c r="L90" s="122">
        <f>+M90</f>
        <v>0</v>
      </c>
      <c r="M90" s="98">
        <f>K90</f>
        <v>0</v>
      </c>
    </row>
    <row r="91" spans="1:13" ht="15" hidden="1" customHeight="1" thickTop="1" x14ac:dyDescent="0.3">
      <c r="A91" s="100" t="s">
        <v>189</v>
      </c>
      <c r="B91" s="129" t="s">
        <v>190</v>
      </c>
      <c r="C91" s="200">
        <f t="shared" ref="C91:M91" si="19">+C87</f>
        <v>5466.6878747429619</v>
      </c>
      <c r="D91" s="130">
        <f t="shared" si="19"/>
        <v>5771.3562747429614</v>
      </c>
      <c r="E91" s="130"/>
      <c r="F91" s="130"/>
      <c r="G91" s="130">
        <f t="shared" si="19"/>
        <v>5166.9440747429617</v>
      </c>
      <c r="H91" s="130"/>
      <c r="I91" s="130">
        <f t="shared" si="19"/>
        <v>6713.2650747429616</v>
      </c>
      <c r="J91" s="130">
        <f t="shared" si="19"/>
        <v>4858.4378747429619</v>
      </c>
      <c r="K91" s="197" t="e">
        <f t="shared" si="19"/>
        <v>#REF!</v>
      </c>
      <c r="L91" s="130" t="e">
        <f t="shared" si="19"/>
        <v>#REF!</v>
      </c>
      <c r="M91" s="102" t="e">
        <f t="shared" si="19"/>
        <v>#REF!</v>
      </c>
    </row>
    <row r="92" spans="1:13" ht="15" hidden="1" customHeight="1" thickTop="1" x14ac:dyDescent="0.3">
      <c r="A92" s="93" t="s">
        <v>191</v>
      </c>
      <c r="B92" s="99" t="s">
        <v>150</v>
      </c>
      <c r="C92" s="194" t="str">
        <f>+G92</f>
        <v>***</v>
      </c>
      <c r="D92" s="122" t="str">
        <f t="shared" ref="D92" si="20">+G92</f>
        <v>***</v>
      </c>
      <c r="E92" s="122"/>
      <c r="F92" s="122"/>
      <c r="G92" s="122" t="str">
        <f t="shared" ref="G92" si="21">+G88</f>
        <v>***</v>
      </c>
      <c r="H92" s="122"/>
      <c r="I92" s="122" t="str">
        <f>+G92</f>
        <v>***</v>
      </c>
      <c r="J92" s="122" t="str">
        <f>+J88</f>
        <v>***</v>
      </c>
      <c r="K92" s="191" t="str">
        <f>M92</f>
        <v>***</v>
      </c>
      <c r="L92" s="122" t="str">
        <f>+M92</f>
        <v>***</v>
      </c>
      <c r="M92" s="96" t="str">
        <f>+M88</f>
        <v>***</v>
      </c>
    </row>
    <row r="93" spans="1:13" ht="15" hidden="1" customHeight="1" thickTop="1" x14ac:dyDescent="0.3">
      <c r="A93" s="93" t="s">
        <v>192</v>
      </c>
      <c r="B93" s="94" t="s">
        <v>193</v>
      </c>
      <c r="C93" s="201" t="s">
        <v>218</v>
      </c>
      <c r="D93" s="122" t="str">
        <f>+C93</f>
        <v>*****</v>
      </c>
      <c r="E93" s="122"/>
      <c r="F93" s="122"/>
      <c r="G93" s="122" t="s">
        <v>194</v>
      </c>
      <c r="H93" s="122"/>
      <c r="I93" s="122" t="str">
        <f>+G93</f>
        <v>N.A</v>
      </c>
      <c r="J93" s="122" t="s">
        <v>194</v>
      </c>
      <c r="K93" s="191" t="e">
        <f>+#REF!</f>
        <v>#REF!</v>
      </c>
      <c r="L93" s="122" t="s">
        <v>236</v>
      </c>
      <c r="M93" s="96" t="e">
        <f>+#REF!</f>
        <v>#REF!</v>
      </c>
    </row>
    <row r="94" spans="1:13" ht="15" hidden="1" customHeight="1" thickTop="1" x14ac:dyDescent="0.3">
      <c r="A94" s="93" t="s">
        <v>195</v>
      </c>
      <c r="B94" s="94" t="s">
        <v>196</v>
      </c>
      <c r="C94" s="201" t="s">
        <v>219</v>
      </c>
      <c r="D94" s="122" t="str">
        <f>+C94</f>
        <v>******</v>
      </c>
      <c r="E94" s="122"/>
      <c r="F94" s="122"/>
      <c r="G94" s="122" t="str">
        <f>+C94</f>
        <v>******</v>
      </c>
      <c r="H94" s="122"/>
      <c r="I94" s="122" t="str">
        <f>+C94</f>
        <v>******</v>
      </c>
      <c r="J94" s="122" t="str">
        <f>+C94</f>
        <v>******</v>
      </c>
      <c r="K94" s="191" t="str">
        <f>+C94</f>
        <v>******</v>
      </c>
      <c r="L94" s="122" t="str">
        <f>+C94</f>
        <v>******</v>
      </c>
      <c r="M94" s="96" t="str">
        <f>+C94</f>
        <v>******</v>
      </c>
    </row>
    <row r="95" spans="1:13" ht="15.6" hidden="1" customHeight="1" thickTop="1" thickBot="1" x14ac:dyDescent="0.35">
      <c r="A95" s="104" t="s">
        <v>197</v>
      </c>
      <c r="B95" s="105" t="s">
        <v>198</v>
      </c>
      <c r="C95" s="202"/>
      <c r="D95" s="132"/>
      <c r="E95" s="132"/>
      <c r="F95" s="132"/>
      <c r="G95" s="132"/>
      <c r="H95" s="132"/>
      <c r="I95" s="132"/>
      <c r="J95" s="132"/>
      <c r="K95" s="330"/>
      <c r="L95" s="331"/>
      <c r="M95" s="332"/>
    </row>
    <row r="96" spans="1:13" ht="15" hidden="1" customHeight="1" thickTop="1" x14ac:dyDescent="0.3">
      <c r="A96" s="109"/>
      <c r="B96" s="110"/>
      <c r="C96" s="110"/>
      <c r="D96" s="111"/>
      <c r="E96" s="111"/>
      <c r="F96" s="111"/>
      <c r="G96" s="111"/>
      <c r="H96" s="111"/>
      <c r="I96" s="111"/>
      <c r="J96" s="111"/>
      <c r="K96" s="111"/>
      <c r="L96" s="111"/>
      <c r="M96" s="111"/>
    </row>
    <row r="97" spans="1:13" ht="15" hidden="1" customHeight="1" thickTop="1" x14ac:dyDescent="0.3">
      <c r="A97" s="109"/>
      <c r="B97" s="110"/>
      <c r="C97" s="110"/>
      <c r="D97" s="111"/>
      <c r="E97" s="111"/>
      <c r="F97" s="111"/>
      <c r="G97" s="111"/>
      <c r="H97" s="111"/>
      <c r="I97" s="111"/>
      <c r="J97" s="111"/>
      <c r="K97" s="111"/>
      <c r="L97" s="111"/>
      <c r="M97" s="111"/>
    </row>
    <row r="98" spans="1:13" ht="15" hidden="1" customHeight="1" thickTop="1" x14ac:dyDescent="0.3">
      <c r="A98" s="109"/>
      <c r="B98" s="110"/>
      <c r="C98" s="110"/>
      <c r="D98" s="111"/>
      <c r="E98" s="111"/>
      <c r="F98" s="111"/>
      <c r="G98" s="111"/>
      <c r="H98" s="111"/>
      <c r="I98" s="111"/>
      <c r="J98" s="111"/>
      <c r="K98" s="111"/>
      <c r="L98" s="111"/>
      <c r="M98" s="111"/>
    </row>
    <row r="99" spans="1:13" ht="15" thickTop="1" x14ac:dyDescent="0.3">
      <c r="A99" s="109"/>
      <c r="B99" s="110"/>
      <c r="C99" s="110"/>
      <c r="D99" s="111"/>
      <c r="E99" s="111"/>
      <c r="F99" s="111"/>
      <c r="G99" s="111"/>
      <c r="H99" s="111"/>
      <c r="I99" s="111"/>
      <c r="J99" s="111"/>
      <c r="K99" s="111"/>
      <c r="L99" s="111"/>
      <c r="M99" s="111"/>
    </row>
    <row r="100" spans="1:13" x14ac:dyDescent="0.3">
      <c r="A100" s="109"/>
      <c r="B100" s="110"/>
      <c r="C100" s="110"/>
      <c r="D100" s="111"/>
      <c r="E100" s="111"/>
      <c r="F100" s="111"/>
      <c r="G100" s="111"/>
      <c r="H100" s="111"/>
      <c r="I100" s="111"/>
      <c r="J100" s="111"/>
      <c r="K100" s="111"/>
      <c r="L100" s="111"/>
      <c r="M100" s="111"/>
    </row>
    <row r="101" spans="1:13" x14ac:dyDescent="0.3">
      <c r="A101" s="109"/>
      <c r="B101" s="210" t="s">
        <v>210</v>
      </c>
      <c r="C101" s="110"/>
      <c r="D101" s="111"/>
      <c r="E101" s="111"/>
      <c r="F101" s="111"/>
      <c r="G101" s="111"/>
      <c r="H101" s="111"/>
      <c r="I101" s="111"/>
      <c r="J101" s="111"/>
      <c r="K101" s="111"/>
      <c r="L101" s="111"/>
      <c r="M101" s="111"/>
    </row>
    <row r="102" spans="1:13" x14ac:dyDescent="0.3">
      <c r="A102" s="109"/>
      <c r="B102" s="110"/>
      <c r="C102" s="110"/>
      <c r="D102" s="111"/>
      <c r="E102" s="111"/>
      <c r="F102" s="111"/>
      <c r="G102" s="111"/>
      <c r="H102" s="111"/>
      <c r="I102" s="111"/>
      <c r="J102" s="111"/>
      <c r="K102" s="111"/>
      <c r="L102" s="111"/>
      <c r="M102" s="111"/>
    </row>
    <row r="103" spans="1:13" ht="39.6" customHeight="1" x14ac:dyDescent="0.3">
      <c r="A103" s="112" t="s">
        <v>173</v>
      </c>
      <c r="B103" s="915" t="str">
        <f>+BOYACA!B29</f>
        <v>De acuerdo con lo establecido en la Resoluccion 91349 de 2014 del MME para combustible de origen nacional o importado a ser distribuido en zonas de frontera, aplica la tarifa de marcación o remarcación vigente a la fecha según corresponda</v>
      </c>
      <c r="C103" s="915"/>
      <c r="D103" s="915"/>
      <c r="E103" s="915"/>
      <c r="F103" s="915"/>
      <c r="G103" s="915"/>
      <c r="H103" s="915"/>
      <c r="I103" s="915"/>
      <c r="J103" s="915"/>
      <c r="K103" s="915"/>
      <c r="L103" s="111"/>
      <c r="M103" s="111"/>
    </row>
    <row r="104" spans="1:13" ht="24.75" customHeight="1" x14ac:dyDescent="0.3">
      <c r="A104" s="112" t="s">
        <v>200</v>
      </c>
      <c r="B104" s="893" t="s">
        <v>251</v>
      </c>
      <c r="C104" s="893"/>
      <c r="D104" s="893"/>
      <c r="E104" s="893"/>
      <c r="F104" s="893"/>
      <c r="G104" s="893"/>
      <c r="H104" s="893"/>
      <c r="I104" s="893"/>
      <c r="J104" s="893"/>
      <c r="K104" s="893"/>
      <c r="L104" s="111"/>
      <c r="M104" s="111"/>
    </row>
    <row r="105" spans="1:13" ht="39.299999999999997" customHeight="1" x14ac:dyDescent="0.3">
      <c r="A105" s="112" t="s">
        <v>130</v>
      </c>
      <c r="B105" s="915" t="s">
        <v>307</v>
      </c>
      <c r="C105" s="915"/>
      <c r="D105" s="915"/>
      <c r="E105" s="915"/>
      <c r="F105" s="915"/>
      <c r="G105" s="915"/>
      <c r="H105" s="915"/>
      <c r="I105" s="915"/>
      <c r="J105" s="915"/>
      <c r="K105" s="915"/>
      <c r="L105" s="111"/>
      <c r="M105" s="111"/>
    </row>
    <row r="106" spans="1:13" ht="7.5" customHeight="1" x14ac:dyDescent="0.3">
      <c r="A106" s="112"/>
      <c r="B106" s="164"/>
      <c r="C106" s="164"/>
      <c r="D106" s="164"/>
      <c r="E106" s="684"/>
      <c r="F106" s="684"/>
      <c r="G106" s="164"/>
      <c r="H106" s="457"/>
      <c r="I106" s="164"/>
      <c r="J106" s="164"/>
      <c r="K106" s="164"/>
      <c r="L106" s="111"/>
      <c r="M106" s="111"/>
    </row>
    <row r="107" spans="1:13" ht="25.5" customHeight="1" x14ac:dyDescent="0.3">
      <c r="A107" s="204">
        <v>2</v>
      </c>
      <c r="B107" s="939" t="s">
        <v>247</v>
      </c>
      <c r="C107" s="939"/>
      <c r="D107" s="939"/>
      <c r="E107" s="939"/>
      <c r="F107" s="939"/>
      <c r="G107" s="939"/>
      <c r="H107" s="939"/>
      <c r="I107" s="939"/>
      <c r="J107" s="939"/>
      <c r="K107" s="939"/>
      <c r="L107" s="939"/>
      <c r="M107" s="939"/>
    </row>
    <row r="108" spans="1:13" ht="39.15" customHeight="1" x14ac:dyDescent="0.3">
      <c r="A108" s="112"/>
      <c r="B108" s="915" t="s">
        <v>467</v>
      </c>
      <c r="C108" s="915"/>
      <c r="D108" s="915"/>
      <c r="E108" s="915"/>
      <c r="F108" s="915"/>
      <c r="G108" s="915"/>
      <c r="H108" s="915"/>
      <c r="I108" s="915"/>
      <c r="J108" s="915"/>
      <c r="K108" s="915"/>
      <c r="L108" s="915"/>
      <c r="M108" s="915"/>
    </row>
    <row r="109" spans="1:13" x14ac:dyDescent="0.3">
      <c r="A109" s="134" t="s">
        <v>102</v>
      </c>
      <c r="B109" s="892" t="s">
        <v>211</v>
      </c>
      <c r="C109" s="892"/>
      <c r="D109" s="892"/>
      <c r="E109" s="892"/>
      <c r="F109" s="892"/>
      <c r="G109" s="892"/>
      <c r="H109" s="892"/>
      <c r="I109" s="892"/>
      <c r="J109" s="892"/>
      <c r="K109" s="892"/>
      <c r="L109" s="205"/>
      <c r="M109" s="205"/>
    </row>
    <row r="110" spans="1:13" x14ac:dyDescent="0.3">
      <c r="A110" s="134" t="s">
        <v>212</v>
      </c>
      <c r="B110" s="892" t="s">
        <v>243</v>
      </c>
      <c r="C110" s="892"/>
      <c r="D110" s="892"/>
      <c r="E110" s="892"/>
      <c r="F110" s="892"/>
      <c r="G110" s="892"/>
      <c r="H110" s="892"/>
      <c r="I110" s="892"/>
      <c r="J110" s="892"/>
      <c r="K110" s="892"/>
      <c r="L110" s="892"/>
      <c r="M110" s="892"/>
    </row>
    <row r="111" spans="1:13" x14ac:dyDescent="0.3">
      <c r="A111" s="134" t="s">
        <v>214</v>
      </c>
      <c r="B111" s="892" t="s">
        <v>252</v>
      </c>
      <c r="C111" s="892"/>
      <c r="D111" s="892"/>
      <c r="E111" s="892"/>
      <c r="F111" s="892"/>
      <c r="G111" s="892"/>
      <c r="H111" s="892"/>
      <c r="I111" s="892"/>
      <c r="J111" s="892"/>
      <c r="K111" s="892"/>
      <c r="L111" s="892"/>
      <c r="M111" s="892"/>
    </row>
    <row r="112" spans="1:13" ht="17.7" customHeight="1" x14ac:dyDescent="0.3">
      <c r="A112" s="134" t="s">
        <v>216</v>
      </c>
      <c r="B112" s="892" t="s">
        <v>429</v>
      </c>
      <c r="C112" s="892"/>
      <c r="D112" s="892"/>
      <c r="E112" s="892"/>
      <c r="F112" s="892"/>
      <c r="G112" s="892"/>
      <c r="H112" s="892"/>
      <c r="I112" s="892"/>
      <c r="J112" s="892"/>
      <c r="K112" s="892"/>
      <c r="L112" s="892"/>
      <c r="M112" s="892"/>
    </row>
    <row r="113" spans="1:13" x14ac:dyDescent="0.3">
      <c r="A113" s="134" t="s">
        <v>218</v>
      </c>
      <c r="B113" s="892" t="s">
        <v>220</v>
      </c>
      <c r="C113" s="892"/>
      <c r="D113" s="892"/>
      <c r="E113" s="892"/>
      <c r="F113" s="892"/>
      <c r="G113" s="892"/>
      <c r="H113" s="892"/>
      <c r="I113" s="892"/>
      <c r="J113" s="892"/>
      <c r="K113" s="139"/>
      <c r="L113" s="206"/>
      <c r="M113" s="206"/>
    </row>
    <row r="114" spans="1:13" x14ac:dyDescent="0.3">
      <c r="A114" s="134" t="s">
        <v>219</v>
      </c>
      <c r="B114" s="892" t="s">
        <v>249</v>
      </c>
      <c r="C114" s="892"/>
      <c r="D114" s="892"/>
      <c r="E114" s="892"/>
      <c r="F114" s="892"/>
      <c r="G114" s="892"/>
      <c r="H114" s="892"/>
      <c r="I114" s="892"/>
      <c r="J114" s="892"/>
      <c r="K114" s="892"/>
      <c r="L114" s="892"/>
      <c r="M114" s="892"/>
    </row>
    <row r="115" spans="1:13" ht="38.700000000000003" customHeight="1" x14ac:dyDescent="0.3">
      <c r="A115" s="187"/>
      <c r="B115" s="892" t="s">
        <v>433</v>
      </c>
      <c r="C115" s="892"/>
      <c r="D115" s="892"/>
      <c r="E115" s="892"/>
      <c r="F115" s="892"/>
      <c r="G115" s="892"/>
      <c r="H115" s="892"/>
      <c r="I115" s="892"/>
      <c r="J115" s="892"/>
      <c r="K115" s="188"/>
      <c r="L115" s="188"/>
      <c r="M115" s="188"/>
    </row>
    <row r="116" spans="1:13" ht="46.05" customHeight="1" x14ac:dyDescent="0.3">
      <c r="A116" s="187"/>
      <c r="B116" s="419"/>
      <c r="C116" s="419"/>
      <c r="D116" s="419"/>
      <c r="E116" s="683"/>
      <c r="F116" s="683"/>
      <c r="G116" s="419"/>
      <c r="H116" s="456"/>
      <c r="I116" s="419"/>
      <c r="J116" s="419"/>
      <c r="K116" s="188"/>
      <c r="L116" s="188"/>
      <c r="M116" s="188"/>
    </row>
    <row r="117" spans="1:13" ht="88.05" customHeight="1" x14ac:dyDescent="0.3">
      <c r="A117" s="895" t="s">
        <v>137</v>
      </c>
      <c r="B117" s="895"/>
      <c r="C117" s="895"/>
      <c r="D117" s="895"/>
      <c r="E117" s="895"/>
      <c r="F117" s="895"/>
      <c r="G117" s="895"/>
      <c r="H117" s="895"/>
      <c r="I117" s="895"/>
      <c r="J117" s="895"/>
      <c r="K117" s="895"/>
    </row>
  </sheetData>
  <sheetProtection algorithmName="SHA-512" hashValue="X33hIIIfmGFMkNswnLvFx/LAGXHBXt9LIDhvhf80z6ZLwHNRrdfGRsuSHjdh6aANNdHlHtXdB33fPEvX1MDCJA==" saltValue="ZyBYyvM1TUaRMJkkOZlJJw==" spinCount="100000" sheet="1" objects="1" scenarios="1"/>
  <mergeCells count="34">
    <mergeCell ref="J3:K4"/>
    <mergeCell ref="A29:A31"/>
    <mergeCell ref="B29:B31"/>
    <mergeCell ref="C29:C30"/>
    <mergeCell ref="C50:J51"/>
    <mergeCell ref="K50:M51"/>
    <mergeCell ref="A5:A7"/>
    <mergeCell ref="B5:B7"/>
    <mergeCell ref="C5:C6"/>
    <mergeCell ref="I5:I6"/>
    <mergeCell ref="C3:I4"/>
    <mergeCell ref="A117:K117"/>
    <mergeCell ref="B103:K103"/>
    <mergeCell ref="B105:K105"/>
    <mergeCell ref="B114:M114"/>
    <mergeCell ref="B110:M110"/>
    <mergeCell ref="B111:M111"/>
    <mergeCell ref="B112:M112"/>
    <mergeCell ref="B113:J113"/>
    <mergeCell ref="B115:J115"/>
    <mergeCell ref="B108:M108"/>
    <mergeCell ref="B107:M107"/>
    <mergeCell ref="B104:K104"/>
    <mergeCell ref="B109:K109"/>
    <mergeCell ref="C52:C53"/>
    <mergeCell ref="J52:J53"/>
    <mergeCell ref="C74:J75"/>
    <mergeCell ref="K74:M75"/>
    <mergeCell ref="A76:A78"/>
    <mergeCell ref="B76:B78"/>
    <mergeCell ref="C76:C77"/>
    <mergeCell ref="J76:J77"/>
    <mergeCell ref="A52:A54"/>
    <mergeCell ref="B52:B54"/>
  </mergeCells>
  <hyperlinks>
    <hyperlink ref="B101" location="CESAR!A66" display="Ver Nota Informativa" xr:uid="{00000000-0004-0000-0B00-000001000000}"/>
  </hyperlinks>
  <pageMargins left="0.7" right="0.7" top="0.75" bottom="0.75" header="0.3" footer="0.3"/>
  <pageSetup orientation="portrait" r:id="rId1"/>
  <ignoredErrors>
    <ignoredError sqref="C17:C19 G13:G14 H13:I13 G12:K12 H14:K14 C12" numberStoredAsText="1"/>
    <ignoredError sqref="D40:D47 G20:K20 C20" formula="1"/>
    <ignoredError sqref="I16 G21:G23 G16:G19 H17:I18 K18 H22:I22 K22 H21:K21 J16:K17 H19:K19 H23:K23 C21:C23" numberStoredAsText="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R41"/>
  <sheetViews>
    <sheetView showGridLines="0" zoomScale="80" zoomScaleNormal="80" workbookViewId="0">
      <selection activeCell="Q24" sqref="Q24"/>
    </sheetView>
  </sheetViews>
  <sheetFormatPr baseColWidth="10" defaultColWidth="45" defaultRowHeight="14.4" x14ac:dyDescent="0.3"/>
  <cols>
    <col min="1" max="1" width="7" customWidth="1"/>
    <col min="2" max="2" width="48" customWidth="1"/>
    <col min="3" max="3" width="15.21875" bestFit="1" customWidth="1"/>
    <col min="4" max="4" width="12.77734375" style="540" customWidth="1"/>
    <col min="5" max="5" width="12.109375" style="540" customWidth="1"/>
    <col min="6" max="6" width="15.77734375" hidden="1" customWidth="1"/>
    <col min="7" max="7" width="14" style="540" hidden="1" customWidth="1"/>
    <col min="8" max="8" width="12" customWidth="1"/>
    <col min="9" max="9" width="12.88671875" style="540" customWidth="1"/>
    <col min="10" max="10" width="15.77734375" hidden="1" customWidth="1"/>
    <col min="11" max="11" width="15" hidden="1" customWidth="1"/>
    <col min="12" max="12" width="14.109375" style="540" customWidth="1"/>
    <col min="13" max="13" width="19.77734375" hidden="1" customWidth="1"/>
    <col min="14" max="14" width="14.6640625" style="540" hidden="1" customWidth="1"/>
    <col min="15" max="15" width="14" style="540" customWidth="1"/>
    <col min="16" max="16" width="19.109375" hidden="1" customWidth="1"/>
    <col min="17" max="17" width="33.109375" customWidth="1"/>
    <col min="18" max="18" width="17.21875" hidden="1" customWidth="1"/>
  </cols>
  <sheetData>
    <row r="1" spans="1:18" x14ac:dyDescent="0.3">
      <c r="A1" s="187" t="s">
        <v>148</v>
      </c>
      <c r="B1" s="89" t="str">
        <f>+AMAZONAS!C1</f>
        <v>Vigencia: 01 de Octubre de 2022; 00:00 horas</v>
      </c>
      <c r="C1" s="89"/>
      <c r="D1" s="89"/>
      <c r="E1" s="89"/>
      <c r="F1" s="188"/>
      <c r="G1" s="188"/>
      <c r="H1" s="188"/>
      <c r="I1" s="188"/>
      <c r="J1" s="188"/>
      <c r="K1" s="188"/>
      <c r="L1" s="188"/>
      <c r="M1" s="188"/>
      <c r="N1" s="188"/>
      <c r="O1" s="188"/>
      <c r="P1" s="188"/>
    </row>
    <row r="2" spans="1:18" ht="15" thickBot="1" x14ac:dyDescent="0.35">
      <c r="A2" s="115" t="s">
        <v>162</v>
      </c>
      <c r="B2" s="116"/>
      <c r="C2" s="116"/>
      <c r="D2" s="116"/>
      <c r="E2" s="116"/>
      <c r="F2" s="116"/>
      <c r="G2" s="116"/>
      <c r="H2" s="116"/>
      <c r="I2" s="116"/>
      <c r="J2" s="116"/>
      <c r="K2" s="116"/>
      <c r="L2" s="116"/>
      <c r="M2" s="189"/>
      <c r="N2" s="189"/>
      <c r="O2" s="189"/>
      <c r="P2" s="116"/>
    </row>
    <row r="3" spans="1:18" ht="22.05" customHeight="1" thickTop="1" x14ac:dyDescent="0.3">
      <c r="A3" s="143"/>
      <c r="B3" s="118" t="s">
        <v>254</v>
      </c>
      <c r="C3" s="904" t="s">
        <v>163</v>
      </c>
      <c r="D3" s="905"/>
      <c r="E3" s="905"/>
      <c r="F3" s="905"/>
      <c r="G3" s="905"/>
      <c r="H3" s="905"/>
      <c r="I3" s="905"/>
      <c r="J3" s="905"/>
      <c r="K3" s="905"/>
      <c r="L3" s="904" t="s">
        <v>232</v>
      </c>
      <c r="M3" s="905"/>
      <c r="N3" s="905"/>
      <c r="O3" s="905"/>
      <c r="P3" s="905"/>
    </row>
    <row r="4" spans="1:18" ht="22.95" customHeight="1" x14ac:dyDescent="0.3">
      <c r="A4" s="119"/>
      <c r="B4" s="603" t="s">
        <v>476</v>
      </c>
      <c r="C4" s="906"/>
      <c r="D4" s="907"/>
      <c r="E4" s="907"/>
      <c r="F4" s="907"/>
      <c r="G4" s="907"/>
      <c r="H4" s="907"/>
      <c r="I4" s="907"/>
      <c r="J4" s="907"/>
      <c r="K4" s="907"/>
      <c r="L4" s="906"/>
      <c r="M4" s="907"/>
      <c r="N4" s="907"/>
      <c r="O4" s="907"/>
      <c r="P4" s="907"/>
    </row>
    <row r="5" spans="1:18" ht="26.55" customHeight="1" x14ac:dyDescent="0.3">
      <c r="A5" s="896" t="s">
        <v>164</v>
      </c>
      <c r="B5" s="898" t="s">
        <v>165</v>
      </c>
      <c r="C5" s="902" t="s">
        <v>223</v>
      </c>
      <c r="D5" s="749" t="s">
        <v>96</v>
      </c>
      <c r="E5" s="690" t="s">
        <v>96</v>
      </c>
      <c r="F5" s="698" t="s">
        <v>96</v>
      </c>
      <c r="G5" s="549" t="s">
        <v>96</v>
      </c>
      <c r="H5" s="120" t="s">
        <v>155</v>
      </c>
      <c r="I5" s="587" t="s">
        <v>375</v>
      </c>
      <c r="J5" s="120" t="s">
        <v>465</v>
      </c>
      <c r="K5" s="942"/>
      <c r="L5" s="223" t="s">
        <v>96</v>
      </c>
      <c r="M5" s="223" t="s">
        <v>96</v>
      </c>
      <c r="N5" s="223" t="s">
        <v>96</v>
      </c>
      <c r="O5" s="587" t="s">
        <v>375</v>
      </c>
      <c r="P5" s="587" t="str">
        <f>+J5</f>
        <v>Biodiesel B11</v>
      </c>
    </row>
    <row r="6" spans="1:18" x14ac:dyDescent="0.3">
      <c r="A6" s="896"/>
      <c r="B6" s="898"/>
      <c r="C6" s="903"/>
      <c r="D6" s="480" t="s">
        <v>516</v>
      </c>
      <c r="E6" s="480" t="s">
        <v>491</v>
      </c>
      <c r="F6" s="712" t="s">
        <v>459</v>
      </c>
      <c r="G6" s="480" t="s">
        <v>464</v>
      </c>
      <c r="H6" s="138">
        <v>0.02</v>
      </c>
      <c r="I6" s="322">
        <v>0.1</v>
      </c>
      <c r="J6" s="322">
        <v>0.11</v>
      </c>
      <c r="K6" s="943"/>
      <c r="L6" s="459" t="str">
        <f>+E6</f>
        <v>Oxigena 4%</v>
      </c>
      <c r="M6" s="459" t="str">
        <f>+F6</f>
        <v>Oxigena 5%</v>
      </c>
      <c r="N6" s="459" t="str">
        <f>+G6</f>
        <v>Oxigena 6%</v>
      </c>
      <c r="O6" s="225">
        <v>0.1</v>
      </c>
      <c r="P6" s="225">
        <f>+J6</f>
        <v>0.11</v>
      </c>
    </row>
    <row r="7" spans="1:18" x14ac:dyDescent="0.3">
      <c r="A7" s="897"/>
      <c r="B7" s="899"/>
      <c r="C7" s="91" t="s">
        <v>166</v>
      </c>
      <c r="D7" s="749" t="s">
        <v>166</v>
      </c>
      <c r="E7" s="690" t="s">
        <v>166</v>
      </c>
      <c r="F7" s="698" t="s">
        <v>166</v>
      </c>
      <c r="G7" s="549" t="s">
        <v>166</v>
      </c>
      <c r="H7" s="120" t="s">
        <v>166</v>
      </c>
      <c r="I7" s="587" t="s">
        <v>166</v>
      </c>
      <c r="J7" s="120" t="s">
        <v>166</v>
      </c>
      <c r="K7" s="190" t="s">
        <v>166</v>
      </c>
      <c r="L7" s="223" t="s">
        <v>166</v>
      </c>
      <c r="M7" s="223" t="s">
        <v>166</v>
      </c>
      <c r="N7" s="223" t="s">
        <v>166</v>
      </c>
      <c r="O7" s="224" t="s">
        <v>166</v>
      </c>
      <c r="P7" s="224" t="s">
        <v>166</v>
      </c>
    </row>
    <row r="8" spans="1:18" x14ac:dyDescent="0.3">
      <c r="A8" s="93" t="s">
        <v>167</v>
      </c>
      <c r="B8" s="99" t="s">
        <v>168</v>
      </c>
      <c r="C8" s="208">
        <f>+'Calculo IP ZDF'!B33</f>
        <v>5262.5</v>
      </c>
      <c r="D8" s="208">
        <f>+'Calculo IP ZDF'!G33</f>
        <v>5418.2142000000003</v>
      </c>
      <c r="E8" s="208">
        <f>+'Calculo IP ZDF'!H33</f>
        <v>5573.9283999999998</v>
      </c>
      <c r="F8" s="699">
        <f>+'Calculo IP ZDF'!I33</f>
        <v>5651.7855</v>
      </c>
      <c r="G8" s="557">
        <f>+'Calculo IP ZDF'!J33</f>
        <v>5729.6426000000001</v>
      </c>
      <c r="H8" s="208">
        <f>+'Calculo IP ZDF'!F33</f>
        <v>4741.1961999999994</v>
      </c>
      <c r="I8" s="208">
        <f>+'Calculo IP ZDF'!M33</f>
        <v>6007.0836799999997</v>
      </c>
      <c r="J8" s="208">
        <f>+'Calculo IP ZDF'!L33</f>
        <v>6165.319528</v>
      </c>
      <c r="K8" s="166"/>
      <c r="L8" s="228">
        <f>+'GAS CTE'!E9</f>
        <v>5573.9283999999998</v>
      </c>
      <c r="M8" s="713">
        <f>+'GAS CTE'!F9</f>
        <v>5651.7855</v>
      </c>
      <c r="N8" s="557">
        <f>+'GAS CTE'!G9</f>
        <v>5729.6426000000001</v>
      </c>
      <c r="O8" s="174">
        <f>+BIODIESEL!H9</f>
        <v>6193.8560000000007</v>
      </c>
      <c r="P8" s="174">
        <f>+BIODIESEL!I9</f>
        <v>6350.0166000000008</v>
      </c>
    </row>
    <row r="9" spans="1:18" x14ac:dyDescent="0.3">
      <c r="A9" s="93" t="s">
        <v>169</v>
      </c>
      <c r="B9" s="99" t="s">
        <v>170</v>
      </c>
      <c r="C9" s="146" t="str">
        <f>+H9</f>
        <v>------------------</v>
      </c>
      <c r="D9" s="146" t="s">
        <v>171</v>
      </c>
      <c r="E9" s="146" t="s">
        <v>171</v>
      </c>
      <c r="F9" s="700" t="s">
        <v>171</v>
      </c>
      <c r="G9" s="558" t="s">
        <v>171</v>
      </c>
      <c r="H9" s="146" t="s">
        <v>171</v>
      </c>
      <c r="I9" s="146" t="s">
        <v>171</v>
      </c>
      <c r="J9" s="146" t="s">
        <v>171</v>
      </c>
      <c r="K9" s="192" t="s">
        <v>171</v>
      </c>
      <c r="L9" s="193">
        <f>+'GAS CTE'!E10</f>
        <v>562.79999999999995</v>
      </c>
      <c r="M9" s="714">
        <f>+'GAS CTE'!F10</f>
        <v>556.9375</v>
      </c>
      <c r="N9" s="558">
        <f>+'GAS CTE'!G10</f>
        <v>551.07499999999993</v>
      </c>
      <c r="O9" s="167">
        <f>+BIODIESEL!H10</f>
        <v>505.00800000000004</v>
      </c>
      <c r="P9" s="167">
        <f>+BIODIESEL!I10</f>
        <v>499.39679999999998</v>
      </c>
    </row>
    <row r="10" spans="1:18" x14ac:dyDescent="0.3">
      <c r="A10" s="93"/>
      <c r="B10" s="99" t="s">
        <v>129</v>
      </c>
      <c r="C10" s="146" t="str">
        <f>+H10</f>
        <v>------------------</v>
      </c>
      <c r="D10" s="146" t="s">
        <v>171</v>
      </c>
      <c r="E10" s="146" t="s">
        <v>171</v>
      </c>
      <c r="F10" s="700" t="s">
        <v>171</v>
      </c>
      <c r="G10" s="558" t="s">
        <v>171</v>
      </c>
      <c r="H10" s="146" t="s">
        <v>171</v>
      </c>
      <c r="I10" s="146" t="s">
        <v>171</v>
      </c>
      <c r="J10" s="146" t="s">
        <v>171</v>
      </c>
      <c r="K10" s="192" t="s">
        <v>171</v>
      </c>
      <c r="L10" s="193" t="s">
        <v>130</v>
      </c>
      <c r="M10" s="714" t="s">
        <v>130</v>
      </c>
      <c r="N10" s="558" t="s">
        <v>130</v>
      </c>
      <c r="O10" s="167" t="s">
        <v>130</v>
      </c>
      <c r="P10" s="167" t="s">
        <v>130</v>
      </c>
    </row>
    <row r="11" spans="1:18" x14ac:dyDescent="0.3">
      <c r="A11" s="93"/>
      <c r="B11" s="99" t="s">
        <v>131</v>
      </c>
      <c r="C11" s="194" t="str">
        <f>+VAUPES!C11</f>
        <v>(4)</v>
      </c>
      <c r="D11" s="194" t="s">
        <v>201</v>
      </c>
      <c r="E11" s="194" t="s">
        <v>201</v>
      </c>
      <c r="F11" s="701" t="str">
        <f>+C11</f>
        <v>(4)</v>
      </c>
      <c r="G11" s="559" t="str">
        <f t="shared" ref="G11:G14" si="0">+F11</f>
        <v>(4)</v>
      </c>
      <c r="H11" s="194" t="str">
        <f>+C11</f>
        <v>(4)</v>
      </c>
      <c r="I11" s="194" t="s">
        <v>201</v>
      </c>
      <c r="J11" s="194" t="str">
        <f>+C11</f>
        <v>(4)</v>
      </c>
      <c r="K11" s="166" t="str">
        <f>+C11</f>
        <v>(4)</v>
      </c>
      <c r="L11" s="193" t="s">
        <v>201</v>
      </c>
      <c r="M11" s="714" t="str">
        <f>+C11</f>
        <v>(4)</v>
      </c>
      <c r="N11" s="559" t="str">
        <f>+F11</f>
        <v>(4)</v>
      </c>
      <c r="O11" s="167" t="str">
        <f>+C11</f>
        <v>(4)</v>
      </c>
      <c r="P11" s="167" t="str">
        <f>+F11</f>
        <v>(4)</v>
      </c>
    </row>
    <row r="12" spans="1:18" x14ac:dyDescent="0.3">
      <c r="A12" s="93" t="s">
        <v>172</v>
      </c>
      <c r="B12" s="99" t="s">
        <v>250</v>
      </c>
      <c r="C12" s="211" t="s">
        <v>200</v>
      </c>
      <c r="D12" s="211" t="s">
        <v>200</v>
      </c>
      <c r="E12" s="211" t="s">
        <v>200</v>
      </c>
      <c r="F12" s="700" t="str">
        <f>+C12</f>
        <v>(2)</v>
      </c>
      <c r="G12" s="558" t="str">
        <f t="shared" si="0"/>
        <v>(2)</v>
      </c>
      <c r="H12" s="146" t="str">
        <f>+C12</f>
        <v>(2)</v>
      </c>
      <c r="I12" s="146" t="s">
        <v>200</v>
      </c>
      <c r="J12" s="146" t="str">
        <f>+C12</f>
        <v>(2)</v>
      </c>
      <c r="K12" s="178" t="str">
        <f>+C12</f>
        <v>(2)</v>
      </c>
      <c r="L12" s="193" t="s">
        <v>200</v>
      </c>
      <c r="M12" s="714" t="str">
        <f>+C12</f>
        <v>(2)</v>
      </c>
      <c r="N12" s="558" t="str">
        <f>+F12</f>
        <v>(2)</v>
      </c>
      <c r="O12" s="167" t="str">
        <f>+C12</f>
        <v>(2)</v>
      </c>
      <c r="P12" s="167" t="str">
        <f>+F12</f>
        <v>(2)</v>
      </c>
    </row>
    <row r="13" spans="1:18" x14ac:dyDescent="0.3">
      <c r="A13" s="93" t="s">
        <v>174</v>
      </c>
      <c r="B13" s="99" t="s">
        <v>175</v>
      </c>
      <c r="C13" s="194">
        <f>+RUBROS!AC13</f>
        <v>23.500029293035123</v>
      </c>
      <c r="D13" s="194">
        <f>+C13</f>
        <v>23.500029293035123</v>
      </c>
      <c r="E13" s="194">
        <f>+C13</f>
        <v>23.500029293035123</v>
      </c>
      <c r="F13" s="702">
        <f>+C13</f>
        <v>23.500029293035123</v>
      </c>
      <c r="G13" s="551">
        <f t="shared" si="0"/>
        <v>23.500029293035123</v>
      </c>
      <c r="H13" s="122">
        <f>+C13</f>
        <v>23.500029293035123</v>
      </c>
      <c r="I13" s="122">
        <f>+C13</f>
        <v>23.500029293035123</v>
      </c>
      <c r="J13" s="122">
        <f>+C13</f>
        <v>23.500029293035123</v>
      </c>
      <c r="K13" s="178">
        <f>+C13</f>
        <v>23.500029293035123</v>
      </c>
      <c r="L13" s="191">
        <f>+E13</f>
        <v>23.500029293035123</v>
      </c>
      <c r="M13" s="715">
        <f>+C13</f>
        <v>23.500029293035123</v>
      </c>
      <c r="N13" s="551">
        <f>+RUBROS!AD13</f>
        <v>23.500029293035123</v>
      </c>
      <c r="O13" s="96">
        <f>+C13</f>
        <v>23.500029293035123</v>
      </c>
      <c r="P13" s="96">
        <f>+C13</f>
        <v>23.500029293035123</v>
      </c>
      <c r="R13" s="361" t="s">
        <v>387</v>
      </c>
    </row>
    <row r="14" spans="1:18" x14ac:dyDescent="0.3">
      <c r="A14" s="93" t="s">
        <v>178</v>
      </c>
      <c r="B14" s="99" t="s">
        <v>179</v>
      </c>
      <c r="C14" s="194">
        <f>+RUBROS!AU43</f>
        <v>13.326421256197724</v>
      </c>
      <c r="D14" s="194">
        <f>+C14</f>
        <v>13.326421256197724</v>
      </c>
      <c r="E14" s="194">
        <f>+C14</f>
        <v>13.326421256197724</v>
      </c>
      <c r="F14" s="702">
        <f>+C14</f>
        <v>13.326421256197724</v>
      </c>
      <c r="G14" s="551">
        <f t="shared" si="0"/>
        <v>13.326421256197724</v>
      </c>
      <c r="H14" s="122">
        <f>+C14</f>
        <v>13.326421256197724</v>
      </c>
      <c r="I14" s="122">
        <f>+C14</f>
        <v>13.326421256197724</v>
      </c>
      <c r="J14" s="122">
        <f>+C14</f>
        <v>13.326421256197724</v>
      </c>
      <c r="K14" s="178">
        <f>+C14</f>
        <v>13.326421256197724</v>
      </c>
      <c r="L14" s="191">
        <f>+E14</f>
        <v>13.326421256197724</v>
      </c>
      <c r="M14" s="715">
        <f>+C14</f>
        <v>13.326421256197724</v>
      </c>
      <c r="N14" s="551">
        <f>+M14</f>
        <v>13.326421256197724</v>
      </c>
      <c r="O14" s="96">
        <f>+M14</f>
        <v>13.326421256197724</v>
      </c>
      <c r="P14" s="96">
        <f>+M14</f>
        <v>13.326421256197724</v>
      </c>
      <c r="R14" s="361" t="s">
        <v>387</v>
      </c>
    </row>
    <row r="15" spans="1:18" ht="14.25" hidden="1" customHeight="1" x14ac:dyDescent="0.3">
      <c r="A15" s="93"/>
      <c r="B15" s="99" t="s">
        <v>180</v>
      </c>
      <c r="C15" s="194"/>
      <c r="D15" s="194"/>
      <c r="E15" s="194"/>
      <c r="F15" s="702"/>
      <c r="G15" s="122"/>
      <c r="H15" s="122"/>
      <c r="I15" s="122"/>
      <c r="J15" s="122"/>
      <c r="K15" s="178"/>
      <c r="L15" s="191"/>
      <c r="M15" s="191"/>
      <c r="N15" s="148"/>
      <c r="O15" s="96"/>
      <c r="P15" s="96"/>
      <c r="R15" t="s">
        <v>389</v>
      </c>
    </row>
    <row r="16" spans="1:18" x14ac:dyDescent="0.3">
      <c r="A16" s="100" t="s">
        <v>181</v>
      </c>
      <c r="B16" s="129" t="s">
        <v>182</v>
      </c>
      <c r="C16" s="195">
        <f>SUM(C8:C15)</f>
        <v>5299.3264505492334</v>
      </c>
      <c r="D16" s="195">
        <f>SUM(D8:D15)</f>
        <v>5455.0406505492338</v>
      </c>
      <c r="E16" s="195">
        <f>SUM(E8:E15)</f>
        <v>5610.7548505492332</v>
      </c>
      <c r="F16" s="703">
        <f t="shared" ref="F16:P16" si="1">SUM(F8:F15)</f>
        <v>5688.6119505492334</v>
      </c>
      <c r="G16" s="195">
        <f t="shared" si="1"/>
        <v>5766.4690505492335</v>
      </c>
      <c r="H16" s="195">
        <f t="shared" si="1"/>
        <v>4778.0226505492328</v>
      </c>
      <c r="I16" s="195">
        <f t="shared" si="1"/>
        <v>6043.9101305492331</v>
      </c>
      <c r="J16" s="195">
        <f t="shared" si="1"/>
        <v>6202.1459785492334</v>
      </c>
      <c r="K16" s="196">
        <f t="shared" si="1"/>
        <v>36.826450549232845</v>
      </c>
      <c r="L16" s="197">
        <f t="shared" si="1"/>
        <v>6173.5548505492334</v>
      </c>
      <c r="M16" s="197">
        <f t="shared" si="1"/>
        <v>6245.5494505492334</v>
      </c>
      <c r="N16" s="195">
        <f t="shared" si="1"/>
        <v>6317.5440505492334</v>
      </c>
      <c r="O16" s="198">
        <f t="shared" si="1"/>
        <v>6735.6904505492339</v>
      </c>
      <c r="P16" s="198">
        <f t="shared" si="1"/>
        <v>6886.2398505492347</v>
      </c>
    </row>
    <row r="17" spans="1:16" x14ac:dyDescent="0.3">
      <c r="A17" s="93" t="s">
        <v>183</v>
      </c>
      <c r="B17" s="99" t="s">
        <v>246</v>
      </c>
      <c r="C17" s="211" t="s">
        <v>214</v>
      </c>
      <c r="D17" s="211" t="s">
        <v>214</v>
      </c>
      <c r="E17" s="211" t="s">
        <v>214</v>
      </c>
      <c r="F17" s="702" t="str">
        <f>+C17</f>
        <v>***</v>
      </c>
      <c r="G17" s="122" t="str">
        <f>+F17</f>
        <v>***</v>
      </c>
      <c r="H17" s="122" t="str">
        <f>+C17</f>
        <v>***</v>
      </c>
      <c r="I17" s="122" t="s">
        <v>214</v>
      </c>
      <c r="J17" s="122" t="str">
        <f>+H17</f>
        <v>***</v>
      </c>
      <c r="K17" s="178" t="str">
        <f>+H17</f>
        <v>***</v>
      </c>
      <c r="L17" s="191" t="s">
        <v>214</v>
      </c>
      <c r="M17" s="191" t="str">
        <f>+K17</f>
        <v>***</v>
      </c>
      <c r="N17" s="122" t="str">
        <f>+M17</f>
        <v>***</v>
      </c>
      <c r="O17" s="96" t="s">
        <v>214</v>
      </c>
      <c r="P17" s="96" t="str">
        <f>+K17</f>
        <v>***</v>
      </c>
    </row>
    <row r="18" spans="1:16" x14ac:dyDescent="0.3">
      <c r="A18" s="93" t="s">
        <v>185</v>
      </c>
      <c r="B18" s="99" t="s">
        <v>186</v>
      </c>
      <c r="C18" s="211" t="s">
        <v>212</v>
      </c>
      <c r="D18" s="211" t="s">
        <v>212</v>
      </c>
      <c r="E18" s="211" t="s">
        <v>212</v>
      </c>
      <c r="F18" s="702" t="str">
        <f>+C18</f>
        <v>**</v>
      </c>
      <c r="G18" s="122" t="str">
        <f>+F18</f>
        <v>**</v>
      </c>
      <c r="H18" s="122" t="str">
        <f>+C18</f>
        <v>**</v>
      </c>
      <c r="I18" s="122" t="s">
        <v>212</v>
      </c>
      <c r="J18" s="122" t="str">
        <f>+C18</f>
        <v>**</v>
      </c>
      <c r="K18" s="178" t="str">
        <f>+C18</f>
        <v>**</v>
      </c>
      <c r="L18" s="191" t="s">
        <v>212</v>
      </c>
      <c r="M18" s="191" t="str">
        <f>+C18</f>
        <v>**</v>
      </c>
      <c r="N18" s="122" t="str">
        <f>+F18</f>
        <v>**</v>
      </c>
      <c r="O18" s="96" t="s">
        <v>212</v>
      </c>
      <c r="P18" s="96" t="str">
        <f>+M18</f>
        <v>**</v>
      </c>
    </row>
    <row r="19" spans="1:16" x14ac:dyDescent="0.3">
      <c r="A19" s="93" t="s">
        <v>187</v>
      </c>
      <c r="B19" s="165" t="s">
        <v>134</v>
      </c>
      <c r="C19" s="215" t="str">
        <f>+H19</f>
        <v>****</v>
      </c>
      <c r="D19" s="215" t="str">
        <f>+I19</f>
        <v>****</v>
      </c>
      <c r="E19" s="215" t="str">
        <f>+I19</f>
        <v>****</v>
      </c>
      <c r="F19" s="702" t="str">
        <f t="shared" ref="F19:F21" si="2">+H19</f>
        <v>****</v>
      </c>
      <c r="G19" s="122" t="str">
        <f>+F19</f>
        <v>****</v>
      </c>
      <c r="H19" s="128" t="str">
        <f>+A37</f>
        <v>****</v>
      </c>
      <c r="I19" s="128" t="s">
        <v>216</v>
      </c>
      <c r="J19" s="128" t="str">
        <f>+H19</f>
        <v>****</v>
      </c>
      <c r="K19" s="166" t="str">
        <f>+A37</f>
        <v>****</v>
      </c>
      <c r="L19" s="214" t="s">
        <v>216</v>
      </c>
      <c r="M19" s="214" t="str">
        <f>C19</f>
        <v>****</v>
      </c>
      <c r="N19" s="122" t="str">
        <f>F19</f>
        <v>****</v>
      </c>
      <c r="O19" s="96" t="s">
        <v>216</v>
      </c>
      <c r="P19" s="96" t="str">
        <f>+M19</f>
        <v>****</v>
      </c>
    </row>
    <row r="20" spans="1:16" x14ac:dyDescent="0.3">
      <c r="A20" s="100" t="s">
        <v>189</v>
      </c>
      <c r="B20" s="129" t="s">
        <v>190</v>
      </c>
      <c r="C20" s="200">
        <f t="shared" ref="C20:P20" si="3">+C16</f>
        <v>5299.3264505492334</v>
      </c>
      <c r="D20" s="200">
        <f t="shared" ref="D20" si="4">+D16</f>
        <v>5455.0406505492338</v>
      </c>
      <c r="E20" s="200">
        <f t="shared" si="3"/>
        <v>5610.7548505492332</v>
      </c>
      <c r="F20" s="704">
        <f t="shared" si="3"/>
        <v>5688.6119505492334</v>
      </c>
      <c r="G20" s="130">
        <f t="shared" si="3"/>
        <v>5766.4690505492335</v>
      </c>
      <c r="H20" s="130">
        <f t="shared" si="3"/>
        <v>4778.0226505492328</v>
      </c>
      <c r="I20" s="130">
        <f t="shared" si="3"/>
        <v>6043.9101305492331</v>
      </c>
      <c r="J20" s="130">
        <f t="shared" si="3"/>
        <v>6202.1459785492334</v>
      </c>
      <c r="K20" s="179">
        <f t="shared" si="3"/>
        <v>36.826450549232845</v>
      </c>
      <c r="L20" s="197">
        <f t="shared" ref="L20" si="5">+L16</f>
        <v>6173.5548505492334</v>
      </c>
      <c r="M20" s="197">
        <f t="shared" si="3"/>
        <v>6245.5494505492334</v>
      </c>
      <c r="N20" s="130">
        <f t="shared" ref="N20" si="6">+N16</f>
        <v>6317.5440505492334</v>
      </c>
      <c r="O20" s="102">
        <f t="shared" si="3"/>
        <v>6735.6904505492339</v>
      </c>
      <c r="P20" s="102">
        <f t="shared" si="3"/>
        <v>6886.2398505492347</v>
      </c>
    </row>
    <row r="21" spans="1:16" x14ac:dyDescent="0.3">
      <c r="A21" s="93" t="s">
        <v>191</v>
      </c>
      <c r="B21" s="99" t="s">
        <v>150</v>
      </c>
      <c r="C21" s="194" t="str">
        <f>+H21</f>
        <v>***</v>
      </c>
      <c r="D21" s="194" t="str">
        <f>+I21</f>
        <v>***</v>
      </c>
      <c r="E21" s="194" t="str">
        <f>+I21</f>
        <v>***</v>
      </c>
      <c r="F21" s="702" t="str">
        <f t="shared" si="2"/>
        <v>***</v>
      </c>
      <c r="G21" s="122" t="str">
        <f>+J21</f>
        <v>***</v>
      </c>
      <c r="H21" s="122" t="str">
        <f t="shared" ref="H21" si="7">+H17</f>
        <v>***</v>
      </c>
      <c r="I21" s="122" t="s">
        <v>214</v>
      </c>
      <c r="J21" s="122" t="str">
        <f>+H21</f>
        <v>***</v>
      </c>
      <c r="K21" s="178" t="str">
        <f>+K17</f>
        <v>***</v>
      </c>
      <c r="L21" s="191" t="s">
        <v>214</v>
      </c>
      <c r="M21" s="191" t="str">
        <f>+K21</f>
        <v>***</v>
      </c>
      <c r="N21" s="122" t="str">
        <f>+M21</f>
        <v>***</v>
      </c>
      <c r="O21" s="96" t="s">
        <v>214</v>
      </c>
      <c r="P21" s="96" t="str">
        <f>+C21</f>
        <v>***</v>
      </c>
    </row>
    <row r="22" spans="1:16" x14ac:dyDescent="0.3">
      <c r="A22" s="93" t="s">
        <v>192</v>
      </c>
      <c r="B22" s="94" t="s">
        <v>193</v>
      </c>
      <c r="C22" s="201" t="s">
        <v>218</v>
      </c>
      <c r="D22" s="201" t="s">
        <v>218</v>
      </c>
      <c r="E22" s="201" t="s">
        <v>218</v>
      </c>
      <c r="F22" s="702" t="str">
        <f>+C22</f>
        <v>*****</v>
      </c>
      <c r="G22" s="122" t="str">
        <f>+F22</f>
        <v>*****</v>
      </c>
      <c r="H22" s="122" t="s">
        <v>194</v>
      </c>
      <c r="I22" s="122" t="s">
        <v>194</v>
      </c>
      <c r="J22" s="122" t="str">
        <f>+H22</f>
        <v>N.A</v>
      </c>
      <c r="K22" s="178" t="s">
        <v>194</v>
      </c>
      <c r="L22" s="191" t="s">
        <v>218</v>
      </c>
      <c r="M22" s="191" t="str">
        <f>+F22</f>
        <v>*****</v>
      </c>
      <c r="N22" s="122" t="str">
        <f>+G22</f>
        <v>*****</v>
      </c>
      <c r="O22" s="96" t="s">
        <v>236</v>
      </c>
      <c r="P22" s="96" t="s">
        <v>236</v>
      </c>
    </row>
    <row r="23" spans="1:16" ht="17.55" customHeight="1" x14ac:dyDescent="0.3">
      <c r="A23" s="93" t="s">
        <v>195</v>
      </c>
      <c r="B23" s="94" t="s">
        <v>196</v>
      </c>
      <c r="C23" s="201" t="s">
        <v>219</v>
      </c>
      <c r="D23" s="201" t="s">
        <v>219</v>
      </c>
      <c r="E23" s="201" t="s">
        <v>219</v>
      </c>
      <c r="F23" s="702" t="str">
        <f>+C23</f>
        <v>******</v>
      </c>
      <c r="G23" s="122" t="str">
        <f>+F23</f>
        <v>******</v>
      </c>
      <c r="H23" s="122" t="str">
        <f>+C23</f>
        <v>******</v>
      </c>
      <c r="I23" s="122" t="s">
        <v>219</v>
      </c>
      <c r="J23" s="122" t="str">
        <f>+C23</f>
        <v>******</v>
      </c>
      <c r="K23" s="178" t="str">
        <f>+C23</f>
        <v>******</v>
      </c>
      <c r="L23" s="229" t="s">
        <v>219</v>
      </c>
      <c r="M23" s="229" t="str">
        <f>+C23</f>
        <v>******</v>
      </c>
      <c r="N23" s="122" t="str">
        <f>+F23</f>
        <v>******</v>
      </c>
      <c r="O23" s="230" t="s">
        <v>219</v>
      </c>
      <c r="P23" s="230" t="str">
        <f>+C23</f>
        <v>******</v>
      </c>
    </row>
    <row r="24" spans="1:16" ht="15" thickBot="1" x14ac:dyDescent="0.35">
      <c r="A24" s="104" t="s">
        <v>197</v>
      </c>
      <c r="B24" s="105" t="s">
        <v>198</v>
      </c>
      <c r="C24" s="202"/>
      <c r="D24" s="202"/>
      <c r="E24" s="202"/>
      <c r="F24" s="132"/>
      <c r="G24" s="132"/>
      <c r="H24" s="132"/>
      <c r="I24" s="132"/>
      <c r="J24" s="132"/>
      <c r="K24" s="180"/>
      <c r="L24" s="226"/>
      <c r="M24" s="226"/>
      <c r="N24" s="560"/>
      <c r="O24" s="560"/>
      <c r="P24" s="227"/>
    </row>
    <row r="25" spans="1:16" ht="15" thickTop="1" x14ac:dyDescent="0.3">
      <c r="A25" s="109"/>
      <c r="B25" s="110"/>
      <c r="C25" s="110"/>
      <c r="D25" s="110"/>
      <c r="E25" s="110"/>
      <c r="F25" s="111"/>
      <c r="G25" s="111"/>
      <c r="H25" s="111"/>
      <c r="I25" s="111"/>
      <c r="J25" s="111"/>
      <c r="K25" s="111"/>
      <c r="L25" s="111"/>
      <c r="M25" s="111"/>
      <c r="N25" s="111"/>
      <c r="O25" s="111"/>
      <c r="P25" s="111"/>
    </row>
    <row r="26" spans="1:16" x14ac:dyDescent="0.3">
      <c r="A26" s="109"/>
      <c r="B26" s="110"/>
      <c r="C26" s="110"/>
      <c r="D26" s="110"/>
      <c r="E26" s="110"/>
      <c r="F26" s="111"/>
      <c r="G26" s="111"/>
      <c r="H26" s="111"/>
      <c r="I26" s="111"/>
      <c r="J26" s="111"/>
      <c r="K26" s="111"/>
      <c r="L26" s="111"/>
      <c r="M26" s="111"/>
      <c r="N26" s="111"/>
      <c r="O26" s="111"/>
      <c r="P26" s="111"/>
    </row>
    <row r="27" spans="1:16" ht="15" customHeight="1" x14ac:dyDescent="0.3">
      <c r="A27" s="109"/>
      <c r="B27" s="210" t="s">
        <v>210</v>
      </c>
      <c r="C27" s="110"/>
      <c r="D27" s="110"/>
      <c r="E27" s="110"/>
      <c r="F27" s="111"/>
      <c r="G27" s="111"/>
      <c r="H27" s="111"/>
      <c r="I27" s="111"/>
      <c r="J27" s="111"/>
      <c r="K27" s="111"/>
      <c r="L27" s="111"/>
      <c r="M27" s="111"/>
      <c r="N27" s="111"/>
      <c r="O27" s="111"/>
      <c r="P27" s="111"/>
    </row>
    <row r="28" spans="1:16" x14ac:dyDescent="0.3">
      <c r="A28" s="109"/>
      <c r="B28" s="110"/>
      <c r="C28" s="110"/>
      <c r="D28" s="110"/>
      <c r="E28" s="110"/>
      <c r="F28" s="111"/>
      <c r="G28" s="111"/>
      <c r="H28" s="111"/>
      <c r="I28" s="111"/>
      <c r="J28" s="111"/>
      <c r="K28" s="111"/>
      <c r="L28" s="111"/>
      <c r="M28" s="111"/>
      <c r="N28" s="111"/>
      <c r="O28" s="111"/>
      <c r="P28" s="111"/>
    </row>
    <row r="29" spans="1:16" ht="19.649999999999999" customHeight="1" x14ac:dyDescent="0.3">
      <c r="A29" s="112" t="s">
        <v>173</v>
      </c>
      <c r="B29" s="915" t="str">
        <f>+CESAR!B103</f>
        <v>De acuerdo con lo establecido en la Resoluccion 91349 de 2014 del MME para combustible de origen nacional o importado a ser distribuido en zonas de frontera, aplica la tarifa de marcación o remarcación vigente a la fecha según corresponda</v>
      </c>
      <c r="C29" s="915"/>
      <c r="D29" s="915"/>
      <c r="E29" s="915"/>
      <c r="F29" s="915"/>
      <c r="G29" s="915"/>
      <c r="H29" s="915"/>
      <c r="I29" s="915"/>
      <c r="J29" s="915"/>
      <c r="K29" s="915"/>
      <c r="L29" s="915"/>
      <c r="M29" s="915"/>
      <c r="N29" s="544"/>
      <c r="O29" s="583"/>
      <c r="P29" s="111"/>
    </row>
    <row r="30" spans="1:16" ht="24.75" customHeight="1" x14ac:dyDescent="0.3">
      <c r="A30" s="112" t="s">
        <v>200</v>
      </c>
      <c r="B30" s="893" t="s">
        <v>251</v>
      </c>
      <c r="C30" s="893"/>
      <c r="D30" s="893"/>
      <c r="E30" s="893"/>
      <c r="F30" s="893"/>
      <c r="G30" s="893"/>
      <c r="H30" s="893"/>
      <c r="I30" s="893"/>
      <c r="J30" s="893"/>
      <c r="K30" s="893"/>
      <c r="L30" s="893"/>
      <c r="M30" s="893"/>
      <c r="N30" s="893"/>
      <c r="O30" s="893"/>
      <c r="P30" s="893"/>
    </row>
    <row r="31" spans="1:16" ht="52.5" customHeight="1" x14ac:dyDescent="0.3">
      <c r="A31" s="112" t="s">
        <v>130</v>
      </c>
      <c r="B31" s="893" t="s">
        <v>307</v>
      </c>
      <c r="C31" s="893"/>
      <c r="D31" s="893"/>
      <c r="E31" s="893"/>
      <c r="F31" s="893"/>
      <c r="G31" s="893"/>
      <c r="H31" s="893"/>
      <c r="I31" s="893"/>
      <c r="J31" s="893"/>
      <c r="K31" s="893"/>
      <c r="L31" s="893"/>
      <c r="M31" s="893"/>
      <c r="N31" s="893"/>
      <c r="O31" s="893"/>
      <c r="P31" s="893"/>
    </row>
    <row r="32" spans="1:16" ht="52.5" customHeight="1" x14ac:dyDescent="0.3">
      <c r="A32" s="136" t="s">
        <v>201</v>
      </c>
      <c r="B32" s="914" t="s">
        <v>376</v>
      </c>
      <c r="C32" s="914"/>
      <c r="D32" s="914"/>
      <c r="E32" s="914"/>
      <c r="F32" s="914"/>
      <c r="G32" s="914"/>
      <c r="H32" s="914"/>
      <c r="I32" s="914"/>
      <c r="J32" s="914"/>
      <c r="K32" s="914"/>
      <c r="L32" s="914"/>
      <c r="M32" s="914"/>
      <c r="N32" s="914"/>
      <c r="O32" s="914"/>
      <c r="P32" s="914"/>
    </row>
    <row r="33" spans="1:17" ht="17.55" customHeight="1" x14ac:dyDescent="0.3">
      <c r="A33" s="112"/>
      <c r="B33" s="915"/>
      <c r="C33" s="915"/>
      <c r="D33" s="915"/>
      <c r="E33" s="915"/>
      <c r="F33" s="915"/>
      <c r="G33" s="915"/>
      <c r="H33" s="915"/>
      <c r="I33" s="915"/>
      <c r="J33" s="915"/>
      <c r="K33" s="915"/>
      <c r="L33" s="915"/>
      <c r="M33" s="915"/>
      <c r="N33" s="915"/>
      <c r="O33" s="915"/>
      <c r="P33" s="915"/>
    </row>
    <row r="34" spans="1:17" x14ac:dyDescent="0.3">
      <c r="A34" s="134" t="s">
        <v>102</v>
      </c>
      <c r="B34" s="892" t="s">
        <v>211</v>
      </c>
      <c r="C34" s="892"/>
      <c r="D34" s="892"/>
      <c r="E34" s="892"/>
      <c r="F34" s="892"/>
      <c r="G34" s="892"/>
      <c r="H34" s="892"/>
      <c r="I34" s="892"/>
      <c r="J34" s="892"/>
      <c r="K34" s="892"/>
      <c r="L34" s="892"/>
      <c r="M34" s="892"/>
      <c r="N34" s="541"/>
      <c r="O34" s="582"/>
      <c r="P34" s="205"/>
    </row>
    <row r="35" spans="1:17" ht="15" customHeight="1" x14ac:dyDescent="0.3">
      <c r="A35" s="134" t="s">
        <v>212</v>
      </c>
      <c r="B35" s="892" t="s">
        <v>243</v>
      </c>
      <c r="C35" s="892"/>
      <c r="D35" s="892"/>
      <c r="E35" s="892"/>
      <c r="F35" s="892"/>
      <c r="G35" s="892"/>
      <c r="H35" s="892"/>
      <c r="I35" s="892"/>
      <c r="J35" s="892"/>
      <c r="K35" s="892"/>
      <c r="L35" s="892"/>
      <c r="M35" s="892"/>
      <c r="N35" s="892"/>
      <c r="O35" s="892"/>
      <c r="P35" s="892"/>
    </row>
    <row r="36" spans="1:17" ht="26.4" customHeight="1" x14ac:dyDescent="0.3">
      <c r="A36" s="134" t="s">
        <v>214</v>
      </c>
      <c r="B36" s="893" t="s">
        <v>252</v>
      </c>
      <c r="C36" s="893"/>
      <c r="D36" s="893"/>
      <c r="E36" s="893"/>
      <c r="F36" s="893"/>
      <c r="G36" s="893"/>
      <c r="H36" s="893"/>
      <c r="I36" s="893"/>
      <c r="J36" s="893"/>
      <c r="K36" s="893"/>
      <c r="L36" s="893"/>
      <c r="M36" s="893"/>
      <c r="N36" s="893"/>
      <c r="O36" s="893"/>
      <c r="P36" s="893"/>
    </row>
    <row r="37" spans="1:17" x14ac:dyDescent="0.3">
      <c r="A37" s="134" t="s">
        <v>216</v>
      </c>
      <c r="B37" s="892" t="s">
        <v>429</v>
      </c>
      <c r="C37" s="892"/>
      <c r="D37" s="892"/>
      <c r="E37" s="892"/>
      <c r="F37" s="892"/>
      <c r="G37" s="892"/>
      <c r="H37" s="892"/>
      <c r="I37" s="892"/>
      <c r="J37" s="892"/>
      <c r="K37" s="892"/>
      <c r="L37" s="892"/>
      <c r="M37" s="892"/>
      <c r="N37" s="892"/>
      <c r="O37" s="892"/>
      <c r="P37" s="892"/>
    </row>
    <row r="38" spans="1:17" x14ac:dyDescent="0.3">
      <c r="A38" s="134" t="s">
        <v>218</v>
      </c>
      <c r="B38" s="893" t="s">
        <v>220</v>
      </c>
      <c r="C38" s="893"/>
      <c r="D38" s="893"/>
      <c r="E38" s="893"/>
      <c r="F38" s="893"/>
      <c r="G38" s="893"/>
      <c r="H38" s="893"/>
      <c r="I38" s="893"/>
      <c r="J38" s="893"/>
      <c r="K38" s="893"/>
      <c r="L38" s="893"/>
      <c r="M38" s="893"/>
      <c r="N38" s="893"/>
      <c r="O38" s="893"/>
      <c r="P38" s="893"/>
    </row>
    <row r="39" spans="1:17" x14ac:dyDescent="0.3">
      <c r="A39" s="134" t="s">
        <v>219</v>
      </c>
      <c r="B39" s="892" t="s">
        <v>249</v>
      </c>
      <c r="C39" s="892"/>
      <c r="D39" s="892"/>
      <c r="E39" s="892"/>
      <c r="F39" s="892"/>
      <c r="G39" s="892"/>
      <c r="H39" s="892"/>
      <c r="I39" s="892"/>
      <c r="J39" s="892"/>
      <c r="K39" s="892"/>
      <c r="L39" s="892"/>
      <c r="M39" s="892"/>
      <c r="N39" s="892"/>
      <c r="O39" s="892"/>
      <c r="P39" s="892"/>
    </row>
    <row r="40" spans="1:17" x14ac:dyDescent="0.3">
      <c r="A40" s="187"/>
      <c r="B40" s="188"/>
      <c r="C40" s="188"/>
      <c r="D40" s="188"/>
      <c r="E40" s="188"/>
      <c r="F40" s="188"/>
      <c r="G40" s="188"/>
      <c r="H40" s="188"/>
      <c r="I40" s="188"/>
      <c r="J40" s="188"/>
      <c r="K40" s="188"/>
      <c r="L40" s="188"/>
      <c r="M40" s="188"/>
      <c r="N40" s="188"/>
      <c r="O40" s="188"/>
      <c r="P40" s="188"/>
    </row>
    <row r="41" spans="1:17" ht="88.5" customHeight="1" x14ac:dyDescent="0.3">
      <c r="A41" s="895" t="s">
        <v>137</v>
      </c>
      <c r="B41" s="895"/>
      <c r="C41" s="895"/>
      <c r="D41" s="895"/>
      <c r="E41" s="895"/>
      <c r="F41" s="895"/>
      <c r="G41" s="895"/>
      <c r="H41" s="895"/>
      <c r="I41" s="895"/>
      <c r="J41" s="895"/>
      <c r="K41" s="895"/>
      <c r="L41" s="895"/>
      <c r="M41" s="895"/>
      <c r="N41" s="895"/>
      <c r="O41" s="895"/>
      <c r="P41" s="895"/>
      <c r="Q41" s="895"/>
    </row>
  </sheetData>
  <sheetProtection algorithmName="SHA-512" hashValue="O5utDRX4FpbTFCaPrVT/XZYXPSzy+CQaNGjHtsyGD1H6aKTbtZwlV8GjPeshJ97rduhJPN3Gu1PHNECjqOUCug==" saltValue="W+lP5qytLHWm7fDTWvkGfQ==" spinCount="100000" sheet="1" objects="1" scenarios="1"/>
  <mergeCells count="18">
    <mergeCell ref="B38:P38"/>
    <mergeCell ref="B32:P32"/>
    <mergeCell ref="A41:Q41"/>
    <mergeCell ref="B36:P36"/>
    <mergeCell ref="B37:P37"/>
    <mergeCell ref="B39:P39"/>
    <mergeCell ref="B34:M34"/>
    <mergeCell ref="B35:P35"/>
    <mergeCell ref="B33:P33"/>
    <mergeCell ref="C3:K4"/>
    <mergeCell ref="B31:P31"/>
    <mergeCell ref="A5:A7"/>
    <mergeCell ref="B5:B7"/>
    <mergeCell ref="C5:C6"/>
    <mergeCell ref="K5:K6"/>
    <mergeCell ref="B30:P30"/>
    <mergeCell ref="B29:M29"/>
    <mergeCell ref="L3:P4"/>
  </mergeCells>
  <hyperlinks>
    <hyperlink ref="B27" location="CHOCO!A40" display="Ver Nota Informativa" xr:uid="{00000000-0004-0000-0C00-000001000000}"/>
  </hyperlinks>
  <pageMargins left="0.7" right="0.7" top="0.75" bottom="0.75" header="0.3" footer="0.3"/>
  <pageSetup orientation="portrait" r:id="rId1"/>
  <ignoredErrors>
    <ignoredError sqref="P22 F21:F22 M22 H22 C21:C22 J22:K22" numberStoredAsText="1"/>
    <ignoredError sqref="P12:P14 M12:M14 P16 F16:F19 F12:F14 M16 H16 H12:H14 C12 C16:C19 J16:K16 J12:K14" numberStoredAsText="1" formula="1"/>
    <ignoredError sqref="P17:P21 M11 J9:K10 F20 F10 M17:M21 H17:H20 H10 C10 C20 J17:K21 J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Y83"/>
  <sheetViews>
    <sheetView showGridLines="0" zoomScale="80" zoomScaleNormal="80" workbookViewId="0">
      <selection activeCell="H13" sqref="H13"/>
    </sheetView>
  </sheetViews>
  <sheetFormatPr baseColWidth="10" defaultColWidth="45" defaultRowHeight="14.4" x14ac:dyDescent="0.3"/>
  <cols>
    <col min="1" max="1" width="7" customWidth="1"/>
    <col min="2" max="2" width="43" customWidth="1"/>
    <col min="3" max="3" width="15.44140625" customWidth="1"/>
    <col min="4" max="4" width="14.33203125" style="540" hidden="1" customWidth="1"/>
    <col min="5" max="5" width="14.5546875" style="540" customWidth="1"/>
    <col min="6" max="6" width="14.33203125" hidden="1" customWidth="1"/>
    <col min="7" max="7" width="14.21875" style="540" hidden="1" customWidth="1"/>
    <col min="8" max="8" width="14" customWidth="1"/>
    <col min="9" max="9" width="14" style="540" customWidth="1"/>
    <col min="10" max="10" width="14.77734375" hidden="1" customWidth="1"/>
    <col min="11" max="11" width="13.77734375" customWidth="1"/>
    <col min="12" max="12" width="14.77734375" style="540" customWidth="1"/>
    <col min="13" max="13" width="15.88671875" hidden="1" customWidth="1"/>
    <col min="14" max="14" width="14.33203125" style="540" hidden="1" customWidth="1"/>
    <col min="15" max="15" width="15.21875" style="540" customWidth="1"/>
    <col min="16" max="16" width="17.88671875" hidden="1" customWidth="1"/>
    <col min="17" max="17" width="20.77734375" customWidth="1"/>
    <col min="18" max="18" width="12.77734375" hidden="1" customWidth="1"/>
  </cols>
  <sheetData>
    <row r="1" spans="1:18" x14ac:dyDescent="0.3">
      <c r="A1" s="187" t="s">
        <v>148</v>
      </c>
      <c r="B1" s="89" t="str">
        <f>+AMAZONAS!C1</f>
        <v>Vigencia: 01 de Octubre de 2022; 00:00 horas</v>
      </c>
      <c r="C1" s="89"/>
      <c r="D1" s="89"/>
      <c r="E1" s="89"/>
      <c r="F1" s="188"/>
      <c r="G1" s="188"/>
      <c r="H1" s="188"/>
      <c r="I1" s="188"/>
      <c r="J1" s="188"/>
      <c r="K1" s="188"/>
      <c r="L1" s="188"/>
      <c r="M1" s="188"/>
      <c r="N1" s="188"/>
      <c r="O1" s="188"/>
      <c r="P1" s="188"/>
    </row>
    <row r="2" spans="1:18" ht="15" thickBot="1" x14ac:dyDescent="0.35">
      <c r="A2" s="115" t="s">
        <v>162</v>
      </c>
      <c r="B2" s="116"/>
      <c r="C2" s="116"/>
      <c r="D2" s="116"/>
      <c r="E2" s="116"/>
      <c r="F2" s="116"/>
      <c r="G2" s="116"/>
      <c r="H2" s="116"/>
      <c r="I2" s="116"/>
      <c r="J2" s="116"/>
      <c r="K2" s="116"/>
      <c r="L2" s="116"/>
      <c r="M2" s="189"/>
      <c r="N2" s="189"/>
      <c r="O2" s="189"/>
      <c r="P2" s="116"/>
    </row>
    <row r="3" spans="1:18" ht="15" customHeight="1" thickTop="1" x14ac:dyDescent="0.3">
      <c r="A3" s="143"/>
      <c r="B3" s="118" t="s">
        <v>261</v>
      </c>
      <c r="C3" s="904" t="s">
        <v>163</v>
      </c>
      <c r="D3" s="905"/>
      <c r="E3" s="905"/>
      <c r="F3" s="905"/>
      <c r="G3" s="905"/>
      <c r="H3" s="905"/>
      <c r="I3" s="905"/>
      <c r="J3" s="905"/>
      <c r="K3" s="905"/>
      <c r="L3" s="944" t="s">
        <v>232</v>
      </c>
      <c r="M3" s="945"/>
      <c r="N3" s="945"/>
      <c r="O3" s="945"/>
      <c r="P3" s="397"/>
    </row>
    <row r="4" spans="1:18" ht="34.200000000000003" customHeight="1" x14ac:dyDescent="0.3">
      <c r="A4" s="119"/>
      <c r="B4" s="603" t="s">
        <v>476</v>
      </c>
      <c r="C4" s="906"/>
      <c r="D4" s="907"/>
      <c r="E4" s="907"/>
      <c r="F4" s="907"/>
      <c r="G4" s="907"/>
      <c r="H4" s="907"/>
      <c r="I4" s="907"/>
      <c r="J4" s="907"/>
      <c r="K4" s="907"/>
      <c r="L4" s="936"/>
      <c r="M4" s="937"/>
      <c r="N4" s="937"/>
      <c r="O4" s="937"/>
      <c r="P4" s="398"/>
    </row>
    <row r="5" spans="1:18" ht="25.5" customHeight="1" x14ac:dyDescent="0.3">
      <c r="A5" s="896" t="s">
        <v>164</v>
      </c>
      <c r="B5" s="898" t="s">
        <v>165</v>
      </c>
      <c r="C5" s="902" t="s">
        <v>223</v>
      </c>
      <c r="D5" s="749" t="s">
        <v>96</v>
      </c>
      <c r="E5" s="690" t="s">
        <v>96</v>
      </c>
      <c r="F5" s="120" t="s">
        <v>96</v>
      </c>
      <c r="G5" s="549" t="s">
        <v>96</v>
      </c>
      <c r="H5" s="120" t="s">
        <v>155</v>
      </c>
      <c r="I5" s="587" t="s">
        <v>375</v>
      </c>
      <c r="J5" s="120" t="str">
        <f>+'LA GUAJIRA'!J5</f>
        <v>Biodiesel B11</v>
      </c>
      <c r="K5" s="900" t="s">
        <v>373</v>
      </c>
      <c r="L5" s="689" t="s">
        <v>96</v>
      </c>
      <c r="M5" s="91" t="s">
        <v>96</v>
      </c>
      <c r="N5" s="548" t="s">
        <v>96</v>
      </c>
      <c r="O5" s="584" t="str">
        <f>+I5</f>
        <v>Biodiesel B10</v>
      </c>
      <c r="P5" s="182" t="str">
        <f>+J5</f>
        <v>Biodiesel B11</v>
      </c>
    </row>
    <row r="6" spans="1:18" ht="20.100000000000001" customHeight="1" x14ac:dyDescent="0.3">
      <c r="A6" s="896"/>
      <c r="B6" s="898"/>
      <c r="C6" s="903"/>
      <c r="D6" s="480" t="s">
        <v>516</v>
      </c>
      <c r="E6" s="480" t="s">
        <v>491</v>
      </c>
      <c r="F6" s="480" t="s">
        <v>459</v>
      </c>
      <c r="G6" s="480" t="s">
        <v>464</v>
      </c>
      <c r="H6" s="138">
        <v>0.02</v>
      </c>
      <c r="I6" s="121">
        <v>0.1</v>
      </c>
      <c r="J6" s="121">
        <f>+'LA GUAJIRA'!J6</f>
        <v>0.11</v>
      </c>
      <c r="K6" s="901"/>
      <c r="L6" s="459" t="str">
        <f>+E6</f>
        <v>Oxigena 4%</v>
      </c>
      <c r="M6" s="459" t="str">
        <f>+F6</f>
        <v>Oxigena 5%</v>
      </c>
      <c r="N6" s="459" t="str">
        <f>+G6</f>
        <v>Oxigena 6%</v>
      </c>
      <c r="O6" s="121">
        <f>+I6</f>
        <v>0.1</v>
      </c>
      <c r="P6" s="121">
        <f>+J6</f>
        <v>0.11</v>
      </c>
    </row>
    <row r="7" spans="1:18" x14ac:dyDescent="0.3">
      <c r="A7" s="897"/>
      <c r="B7" s="899"/>
      <c r="C7" s="91" t="s">
        <v>166</v>
      </c>
      <c r="D7" s="749" t="s">
        <v>166</v>
      </c>
      <c r="E7" s="690" t="s">
        <v>166</v>
      </c>
      <c r="F7" s="120" t="s">
        <v>166</v>
      </c>
      <c r="G7" s="549" t="s">
        <v>166</v>
      </c>
      <c r="H7" s="120" t="s">
        <v>166</v>
      </c>
      <c r="I7" s="587" t="s">
        <v>166</v>
      </c>
      <c r="J7" s="120" t="s">
        <v>166</v>
      </c>
      <c r="K7" s="120" t="s">
        <v>166</v>
      </c>
      <c r="L7" s="689" t="s">
        <v>166</v>
      </c>
      <c r="M7" s="91" t="s">
        <v>166</v>
      </c>
      <c r="N7" s="548" t="s">
        <v>166</v>
      </c>
      <c r="O7" s="584" t="s">
        <v>166</v>
      </c>
      <c r="P7" s="182" t="s">
        <v>166</v>
      </c>
    </row>
    <row r="8" spans="1:18" x14ac:dyDescent="0.3">
      <c r="A8" s="93" t="s">
        <v>167</v>
      </c>
      <c r="B8" s="99" t="s">
        <v>168</v>
      </c>
      <c r="C8" s="208">
        <f>+'Calculo IP ZDF'!B36</f>
        <v>5262.5</v>
      </c>
      <c r="D8" s="208">
        <f>+'Calculo IP ZDF'!G36</f>
        <v>5418.2142000000003</v>
      </c>
      <c r="E8" s="208">
        <f>+'Calculo IP ZDF'!H36</f>
        <v>5573.9283999999998</v>
      </c>
      <c r="F8" s="208">
        <f>+'Calculo IP ZDF'!I36</f>
        <v>5651.7855</v>
      </c>
      <c r="G8" s="557">
        <f>+'Calculo IP ZDF'!J36</f>
        <v>5729.6426000000001</v>
      </c>
      <c r="H8" s="208">
        <f>+'Calculo IP ZDF'!F36</f>
        <v>4732.5761999999995</v>
      </c>
      <c r="I8" s="209">
        <f>+'Calculo IP ZDF'!M36</f>
        <v>5999.1625325000005</v>
      </c>
      <c r="J8" s="209">
        <f>+'Calculo IP ZDF'!L36</f>
        <v>6157.4863932500002</v>
      </c>
      <c r="K8" s="128">
        <f>+'Calculo IP ZDF'!C36</f>
        <v>4415.9239250000001</v>
      </c>
      <c r="L8" s="191">
        <f>+'GAS CTE'!E9</f>
        <v>5573.9283999999998</v>
      </c>
      <c r="M8" s="191">
        <f>+'GAS CTE'!F9</f>
        <v>5651.7855</v>
      </c>
      <c r="N8" s="561">
        <f>+'GAS CTE'!G9</f>
        <v>5729.6426000000001</v>
      </c>
      <c r="O8" s="148">
        <f>+BIODIESEL!H9</f>
        <v>6193.8560000000007</v>
      </c>
      <c r="P8" s="148">
        <f>+BIODIESEL!I9</f>
        <v>6350.0166000000008</v>
      </c>
    </row>
    <row r="9" spans="1:18" x14ac:dyDescent="0.3">
      <c r="A9" s="93" t="s">
        <v>169</v>
      </c>
      <c r="B9" s="99" t="s">
        <v>170</v>
      </c>
      <c r="C9" s="146" t="str">
        <f>+H9</f>
        <v>------------------</v>
      </c>
      <c r="D9" s="146" t="s">
        <v>171</v>
      </c>
      <c r="E9" s="146" t="s">
        <v>171</v>
      </c>
      <c r="F9" s="146" t="s">
        <v>171</v>
      </c>
      <c r="G9" s="558" t="s">
        <v>171</v>
      </c>
      <c r="H9" s="146" t="s">
        <v>171</v>
      </c>
      <c r="I9" s="146"/>
      <c r="J9" s="146" t="s">
        <v>171</v>
      </c>
      <c r="K9" s="123" t="s">
        <v>171</v>
      </c>
      <c r="L9" s="193">
        <f>+'GAS CTE'!E10</f>
        <v>562.79999999999995</v>
      </c>
      <c r="M9" s="193">
        <f>+'GAS CTE'!F10</f>
        <v>556.9375</v>
      </c>
      <c r="N9" s="561">
        <f>+'GAS CTE'!G10</f>
        <v>551.07499999999993</v>
      </c>
      <c r="O9" s="145">
        <f>+BIODIESEL!H10</f>
        <v>505.00800000000004</v>
      </c>
      <c r="P9" s="145">
        <f>+BIODIESEL!I10</f>
        <v>499.39679999999998</v>
      </c>
    </row>
    <row r="10" spans="1:18" x14ac:dyDescent="0.3">
      <c r="A10" s="93"/>
      <c r="B10" s="99" t="s">
        <v>129</v>
      </c>
      <c r="C10" s="146" t="str">
        <f>+H10</f>
        <v>------------------</v>
      </c>
      <c r="D10" s="146" t="s">
        <v>171</v>
      </c>
      <c r="E10" s="146" t="s">
        <v>171</v>
      </c>
      <c r="F10" s="146" t="s">
        <v>171</v>
      </c>
      <c r="G10" s="558" t="s">
        <v>171</v>
      </c>
      <c r="H10" s="146" t="s">
        <v>171</v>
      </c>
      <c r="I10" s="146"/>
      <c r="J10" s="146" t="s">
        <v>171</v>
      </c>
      <c r="K10" s="123" t="s">
        <v>171</v>
      </c>
      <c r="L10" s="565" t="s">
        <v>130</v>
      </c>
      <c r="M10" s="565" t="s">
        <v>130</v>
      </c>
      <c r="N10" s="565" t="s">
        <v>130</v>
      </c>
      <c r="O10" s="565"/>
      <c r="P10" s="565" t="s">
        <v>130</v>
      </c>
    </row>
    <row r="11" spans="1:18" x14ac:dyDescent="0.3">
      <c r="A11" s="93"/>
      <c r="B11" s="99" t="s">
        <v>131</v>
      </c>
      <c r="C11" s="194">
        <f>+'GAS CTE'!C12</f>
        <v>169</v>
      </c>
      <c r="D11" s="194">
        <f>+'GAS CTE'!D12</f>
        <v>165.62</v>
      </c>
      <c r="E11" s="194">
        <f>+'GAS CTE'!E12</f>
        <v>162.23999999999998</v>
      </c>
      <c r="F11" s="194">
        <f>+'GAS CTE'!F12</f>
        <v>160.54999999999998</v>
      </c>
      <c r="G11" s="559">
        <f>+'GAS CTE'!G12</f>
        <v>158.85999999999999</v>
      </c>
      <c r="H11" s="194">
        <f>+BIODIESEL!E12</f>
        <v>187.18</v>
      </c>
      <c r="I11" s="194">
        <f>+BIODIESEL!H12</f>
        <v>171.9</v>
      </c>
      <c r="J11" s="194">
        <f>+BIODIESEL!I12</f>
        <v>169.99</v>
      </c>
      <c r="K11" s="128">
        <f>+BIODIESEL!C12</f>
        <v>191</v>
      </c>
      <c r="L11" s="193">
        <f>+E11</f>
        <v>162.23999999999998</v>
      </c>
      <c r="M11" s="193">
        <f>+F11</f>
        <v>160.54999999999998</v>
      </c>
      <c r="N11" s="553">
        <f>+'GAS CTE'!G12</f>
        <v>158.85999999999999</v>
      </c>
      <c r="O11" s="145">
        <f>+I11</f>
        <v>171.9</v>
      </c>
      <c r="P11" s="145">
        <f>+J11</f>
        <v>169.99</v>
      </c>
    </row>
    <row r="12" spans="1:18" ht="16.2" customHeight="1" x14ac:dyDescent="0.3">
      <c r="A12" s="93" t="s">
        <v>172</v>
      </c>
      <c r="B12" s="99" t="s">
        <v>250</v>
      </c>
      <c r="C12" s="211" t="s">
        <v>200</v>
      </c>
      <c r="D12" s="211" t="s">
        <v>200</v>
      </c>
      <c r="E12" s="211" t="s">
        <v>200</v>
      </c>
      <c r="F12" s="146" t="str">
        <f>+C12</f>
        <v>(2)</v>
      </c>
      <c r="G12" s="146" t="str">
        <f t="shared" ref="G12:G15" si="0">+F12</f>
        <v>(2)</v>
      </c>
      <c r="H12" s="146" t="str">
        <f>+C12</f>
        <v>(2)</v>
      </c>
      <c r="I12" s="146">
        <v>12</v>
      </c>
      <c r="J12" s="146" t="str">
        <f>+C12</f>
        <v>(2)</v>
      </c>
      <c r="K12" s="122" t="str">
        <f>+C12</f>
        <v>(2)</v>
      </c>
      <c r="L12" s="193" t="s">
        <v>200</v>
      </c>
      <c r="M12" s="193" t="str">
        <f>+K12</f>
        <v>(2)</v>
      </c>
      <c r="N12" s="553" t="str">
        <f>+M12</f>
        <v>(2)</v>
      </c>
      <c r="O12" s="145"/>
      <c r="P12" s="145" t="str">
        <f>+F12</f>
        <v>(2)</v>
      </c>
    </row>
    <row r="13" spans="1:18" x14ac:dyDescent="0.3">
      <c r="A13" s="93" t="s">
        <v>174</v>
      </c>
      <c r="B13" s="99" t="s">
        <v>175</v>
      </c>
      <c r="C13" s="194">
        <f>+RUBROS!AC18</f>
        <v>16.002047868544253</v>
      </c>
      <c r="D13" s="194">
        <f>+C13</f>
        <v>16.002047868544253</v>
      </c>
      <c r="E13" s="122">
        <f>+C13</f>
        <v>16.002047868544253</v>
      </c>
      <c r="F13" s="122">
        <f>+C13</f>
        <v>16.002047868544253</v>
      </c>
      <c r="G13" s="551">
        <f t="shared" si="0"/>
        <v>16.002047868544253</v>
      </c>
      <c r="H13" s="122">
        <f>+C13</f>
        <v>16.002047868544253</v>
      </c>
      <c r="I13" s="122">
        <f>+C13</f>
        <v>16.002047868544253</v>
      </c>
      <c r="J13" s="122">
        <f>+C13</f>
        <v>16.002047868544253</v>
      </c>
      <c r="K13" s="122">
        <f>+C13</f>
        <v>16.002047868544253</v>
      </c>
      <c r="L13" s="122">
        <f>+RUBROS!$AD$18</f>
        <v>23.500029293035123</v>
      </c>
      <c r="M13" s="122">
        <f>+RUBROS!$AD$18</f>
        <v>23.500029293035123</v>
      </c>
      <c r="N13" s="553">
        <f>+RUBROS!$AD$18</f>
        <v>23.500029293035123</v>
      </c>
      <c r="O13" s="122">
        <f>+RUBROS!$AD$18</f>
        <v>23.500029293035123</v>
      </c>
      <c r="P13" s="122">
        <f>+RUBROS!AD18</f>
        <v>23.500029293035123</v>
      </c>
      <c r="R13" s="361" t="s">
        <v>387</v>
      </c>
    </row>
    <row r="14" spans="1:18" x14ac:dyDescent="0.3">
      <c r="A14" s="93" t="s">
        <v>176</v>
      </c>
      <c r="B14" s="240" t="s">
        <v>177</v>
      </c>
      <c r="C14" s="277">
        <f>+RUBROS!AC54</f>
        <v>112.5832368093597</v>
      </c>
      <c r="D14" s="194">
        <f>+C14</f>
        <v>112.5832368093597</v>
      </c>
      <c r="E14" s="122">
        <f>+C14</f>
        <v>112.5832368093597</v>
      </c>
      <c r="F14" s="122">
        <f>+C14</f>
        <v>112.5832368093597</v>
      </c>
      <c r="G14" s="551">
        <f t="shared" si="0"/>
        <v>112.5832368093597</v>
      </c>
      <c r="H14" s="122">
        <f>+F14</f>
        <v>112.5832368093597</v>
      </c>
      <c r="I14" s="122">
        <f>+H14</f>
        <v>112.5832368093597</v>
      </c>
      <c r="J14" s="122">
        <f>+H14</f>
        <v>112.5832368093597</v>
      </c>
      <c r="K14" s="122">
        <f>+J14</f>
        <v>112.5832368093597</v>
      </c>
      <c r="L14" s="191">
        <f>+E14</f>
        <v>112.5832368093597</v>
      </c>
      <c r="M14" s="191">
        <f>+C14</f>
        <v>112.5832368093597</v>
      </c>
      <c r="N14" s="553">
        <f>+RUBROS!AD54</f>
        <v>112.5832368093597</v>
      </c>
      <c r="O14" s="122">
        <f>+RUBROS!AD54</f>
        <v>112.5832368093597</v>
      </c>
      <c r="P14" s="122">
        <f>+RUBROS!AD54</f>
        <v>112.5832368093597</v>
      </c>
      <c r="R14" s="361" t="s">
        <v>387</v>
      </c>
    </row>
    <row r="15" spans="1:18" x14ac:dyDescent="0.3">
      <c r="A15" s="93" t="s">
        <v>178</v>
      </c>
      <c r="B15" s="99" t="s">
        <v>262</v>
      </c>
      <c r="C15" s="194">
        <f>+RUBROS!AU40</f>
        <v>13.326421256197724</v>
      </c>
      <c r="D15" s="194">
        <f>+C15</f>
        <v>13.326421256197724</v>
      </c>
      <c r="E15" s="122">
        <f>+C15</f>
        <v>13.326421256197724</v>
      </c>
      <c r="F15" s="122">
        <f>+C15</f>
        <v>13.326421256197724</v>
      </c>
      <c r="G15" s="551">
        <f t="shared" si="0"/>
        <v>13.326421256197724</v>
      </c>
      <c r="H15" s="122">
        <f>+C15</f>
        <v>13.326421256197724</v>
      </c>
      <c r="I15" s="122">
        <f>+C15</f>
        <v>13.326421256197724</v>
      </c>
      <c r="J15" s="122">
        <f>+C15</f>
        <v>13.326421256197724</v>
      </c>
      <c r="K15" s="122">
        <f>+C15</f>
        <v>13.326421256197724</v>
      </c>
      <c r="L15" s="191">
        <f>+E15</f>
        <v>13.326421256197724</v>
      </c>
      <c r="M15" s="191">
        <f>+C15</f>
        <v>13.326421256197724</v>
      </c>
      <c r="N15" s="553">
        <f>+M15</f>
        <v>13.326421256197724</v>
      </c>
      <c r="O15" s="122">
        <f>+M15</f>
        <v>13.326421256197724</v>
      </c>
      <c r="P15" s="122">
        <f>+M15</f>
        <v>13.326421256197724</v>
      </c>
      <c r="R15" s="361" t="s">
        <v>387</v>
      </c>
    </row>
    <row r="16" spans="1:18" hidden="1" x14ac:dyDescent="0.3">
      <c r="A16" s="93"/>
      <c r="B16" s="99" t="s">
        <v>180</v>
      </c>
      <c r="C16" s="194"/>
      <c r="D16" s="194"/>
      <c r="E16" s="194"/>
      <c r="F16" s="122"/>
      <c r="G16" s="122"/>
      <c r="H16" s="122"/>
      <c r="I16" s="122"/>
      <c r="J16" s="122"/>
      <c r="K16" s="122"/>
      <c r="L16" s="191"/>
      <c r="M16" s="191"/>
      <c r="N16" s="148"/>
      <c r="O16" s="122"/>
      <c r="P16" s="122"/>
    </row>
    <row r="17" spans="1:16" x14ac:dyDescent="0.3">
      <c r="A17" s="100" t="s">
        <v>181</v>
      </c>
      <c r="B17" s="129" t="s">
        <v>182</v>
      </c>
      <c r="C17" s="195">
        <f>SUM(C8:C16)</f>
        <v>5573.4117059341024</v>
      </c>
      <c r="D17" s="195">
        <f>SUM(D8:D16)</f>
        <v>5725.7459059341027</v>
      </c>
      <c r="E17" s="195">
        <f>SUM(E8:E16)</f>
        <v>5878.080105934102</v>
      </c>
      <c r="F17" s="195">
        <f t="shared" ref="F17:P17" si="1">SUM(F8:F16)</f>
        <v>5954.2472059341026</v>
      </c>
      <c r="G17" s="195">
        <f t="shared" si="1"/>
        <v>6030.4143059341022</v>
      </c>
      <c r="H17" s="195">
        <f t="shared" si="1"/>
        <v>5061.6679059341022</v>
      </c>
      <c r="I17" s="195">
        <f t="shared" si="1"/>
        <v>6324.9742384341025</v>
      </c>
      <c r="J17" s="195">
        <f t="shared" si="1"/>
        <v>6469.3880991841024</v>
      </c>
      <c r="K17" s="195">
        <f t="shared" si="1"/>
        <v>4748.8356309341025</v>
      </c>
      <c r="L17" s="197">
        <f t="shared" si="1"/>
        <v>6448.3780873585929</v>
      </c>
      <c r="M17" s="197">
        <f t="shared" si="1"/>
        <v>6518.6826873585933</v>
      </c>
      <c r="N17" s="197">
        <f t="shared" ref="N17" si="2">SUM(N8:N16)</f>
        <v>6588.9872873585928</v>
      </c>
      <c r="O17" s="195">
        <f t="shared" si="1"/>
        <v>7020.1736873585933</v>
      </c>
      <c r="P17" s="195">
        <f t="shared" si="1"/>
        <v>7168.8130873585942</v>
      </c>
    </row>
    <row r="18" spans="1:16" x14ac:dyDescent="0.3">
      <c r="A18" s="93" t="s">
        <v>183</v>
      </c>
      <c r="B18" s="99" t="s">
        <v>246</v>
      </c>
      <c r="C18" s="212" t="s">
        <v>214</v>
      </c>
      <c r="D18" s="212" t="s">
        <v>214</v>
      </c>
      <c r="E18" s="211" t="s">
        <v>214</v>
      </c>
      <c r="F18" s="122" t="str">
        <f>+C18</f>
        <v>***</v>
      </c>
      <c r="G18" s="122" t="str">
        <f>+F18</f>
        <v>***</v>
      </c>
      <c r="H18" s="122" t="str">
        <f>+C18</f>
        <v>***</v>
      </c>
      <c r="I18" s="122" t="s">
        <v>214</v>
      </c>
      <c r="J18" s="122" t="str">
        <f>+H18</f>
        <v>***</v>
      </c>
      <c r="K18" s="122" t="str">
        <f>+H18</f>
        <v>***</v>
      </c>
      <c r="L18" s="191" t="s">
        <v>214</v>
      </c>
      <c r="M18" s="191" t="str">
        <f>+K18</f>
        <v>***</v>
      </c>
      <c r="N18" s="191" t="str">
        <f>+M18</f>
        <v>***</v>
      </c>
      <c r="O18" s="122" t="s">
        <v>214</v>
      </c>
      <c r="P18" s="122" t="str">
        <f>+M18</f>
        <v>***</v>
      </c>
    </row>
    <row r="19" spans="1:16" x14ac:dyDescent="0.3">
      <c r="A19" s="93" t="s">
        <v>185</v>
      </c>
      <c r="B19" s="99" t="s">
        <v>186</v>
      </c>
      <c r="C19" s="212" t="s">
        <v>212</v>
      </c>
      <c r="D19" s="212" t="s">
        <v>212</v>
      </c>
      <c r="E19" s="211" t="s">
        <v>212</v>
      </c>
      <c r="F19" s="122" t="str">
        <f>+C19</f>
        <v>**</v>
      </c>
      <c r="G19" s="122" t="str">
        <f>+F19</f>
        <v>**</v>
      </c>
      <c r="H19" s="122" t="str">
        <f>+C19</f>
        <v>**</v>
      </c>
      <c r="I19" s="122" t="s">
        <v>212</v>
      </c>
      <c r="J19" s="122" t="str">
        <f>+C19</f>
        <v>**</v>
      </c>
      <c r="K19" s="122" t="str">
        <f>+C19</f>
        <v>**</v>
      </c>
      <c r="L19" s="191" t="s">
        <v>212</v>
      </c>
      <c r="M19" s="191" t="str">
        <f>+K19</f>
        <v>**</v>
      </c>
      <c r="N19" s="191" t="str">
        <f>+M19</f>
        <v>**</v>
      </c>
      <c r="O19" s="122" t="s">
        <v>212</v>
      </c>
      <c r="P19" s="122" t="str">
        <f>+M19</f>
        <v>**</v>
      </c>
    </row>
    <row r="20" spans="1:16" x14ac:dyDescent="0.3">
      <c r="A20" s="93" t="s">
        <v>187</v>
      </c>
      <c r="B20" s="165" t="s">
        <v>134</v>
      </c>
      <c r="C20" s="199" t="str">
        <f>+H20</f>
        <v>****</v>
      </c>
      <c r="D20" s="199" t="s">
        <v>216</v>
      </c>
      <c r="E20" s="215" t="s">
        <v>216</v>
      </c>
      <c r="F20" s="122" t="str">
        <f t="shared" ref="F20:F22" si="3">+H20</f>
        <v>****</v>
      </c>
      <c r="G20" s="122" t="str">
        <f>+J20</f>
        <v>****</v>
      </c>
      <c r="H20" s="128" t="str">
        <f>+A37</f>
        <v>****</v>
      </c>
      <c r="I20" s="128" t="s">
        <v>216</v>
      </c>
      <c r="J20" s="128" t="str">
        <f>+H20</f>
        <v>****</v>
      </c>
      <c r="K20" s="128" t="str">
        <f>+A37</f>
        <v>****</v>
      </c>
      <c r="L20" s="214" t="s">
        <v>216</v>
      </c>
      <c r="M20" s="214" t="str">
        <f>C20</f>
        <v>****</v>
      </c>
      <c r="N20" s="214" t="str">
        <f>F20</f>
        <v>****</v>
      </c>
      <c r="O20" s="122" t="s">
        <v>216</v>
      </c>
      <c r="P20" s="122" t="str">
        <f>+M20</f>
        <v>****</v>
      </c>
    </row>
    <row r="21" spans="1:16" x14ac:dyDescent="0.3">
      <c r="A21" s="100" t="s">
        <v>189</v>
      </c>
      <c r="B21" s="129" t="s">
        <v>190</v>
      </c>
      <c r="C21" s="200">
        <f>SUM(C17:C20)</f>
        <v>5573.4117059341024</v>
      </c>
      <c r="D21" s="200">
        <f>SUM(D17:D20)</f>
        <v>5725.7459059341027</v>
      </c>
      <c r="E21" s="200">
        <f>SUM(E17:E20)</f>
        <v>5878.080105934102</v>
      </c>
      <c r="F21" s="130">
        <f t="shared" ref="F21:P21" si="4">SUM(F17:F20)</f>
        <v>5954.2472059341026</v>
      </c>
      <c r="G21" s="130">
        <f t="shared" ref="G21" si="5">SUM(G17:G20)</f>
        <v>6030.4143059341022</v>
      </c>
      <c r="H21" s="130">
        <f t="shared" si="4"/>
        <v>5061.6679059341022</v>
      </c>
      <c r="I21" s="130">
        <f t="shared" si="4"/>
        <v>6324.9742384341025</v>
      </c>
      <c r="J21" s="130">
        <f t="shared" si="4"/>
        <v>6469.3880991841024</v>
      </c>
      <c r="K21" s="130">
        <f t="shared" si="4"/>
        <v>4748.8356309341025</v>
      </c>
      <c r="L21" s="197">
        <f t="shared" si="4"/>
        <v>6448.3780873585929</v>
      </c>
      <c r="M21" s="197">
        <f t="shared" si="4"/>
        <v>6518.6826873585933</v>
      </c>
      <c r="N21" s="197">
        <f t="shared" ref="N21" si="6">SUM(N17:N20)</f>
        <v>6588.9872873585928</v>
      </c>
      <c r="O21" s="130">
        <f t="shared" si="4"/>
        <v>7020.1736873585933</v>
      </c>
      <c r="P21" s="130">
        <f t="shared" si="4"/>
        <v>7168.8130873585942</v>
      </c>
    </row>
    <row r="22" spans="1:16" x14ac:dyDescent="0.3">
      <c r="A22" s="93" t="s">
        <v>191</v>
      </c>
      <c r="B22" s="99" t="s">
        <v>150</v>
      </c>
      <c r="C22" s="194" t="str">
        <f>+H22</f>
        <v>***</v>
      </c>
      <c r="D22" s="194" t="str">
        <f>+I22</f>
        <v>***</v>
      </c>
      <c r="E22" s="194" t="str">
        <f>+I22</f>
        <v>***</v>
      </c>
      <c r="F22" s="122" t="str">
        <f t="shared" si="3"/>
        <v>***</v>
      </c>
      <c r="G22" s="122" t="str">
        <f>+J22</f>
        <v>***</v>
      </c>
      <c r="H22" s="122" t="str">
        <f t="shared" ref="H22" si="7">+H18</f>
        <v>***</v>
      </c>
      <c r="I22" s="122" t="s">
        <v>214</v>
      </c>
      <c r="J22" s="122" t="str">
        <f>+H22</f>
        <v>***</v>
      </c>
      <c r="K22" s="122" t="str">
        <f>+K18</f>
        <v>***</v>
      </c>
      <c r="L22" s="191" t="s">
        <v>214</v>
      </c>
      <c r="M22" s="191" t="str">
        <f>+K22</f>
        <v>***</v>
      </c>
      <c r="N22" s="191" t="str">
        <f>+M22</f>
        <v>***</v>
      </c>
      <c r="O22" s="122" t="s">
        <v>214</v>
      </c>
      <c r="P22" s="122" t="str">
        <f>+M22</f>
        <v>***</v>
      </c>
    </row>
    <row r="23" spans="1:16" x14ac:dyDescent="0.3">
      <c r="A23" s="93" t="s">
        <v>192</v>
      </c>
      <c r="B23" s="94" t="s">
        <v>193</v>
      </c>
      <c r="C23" s="201" t="s">
        <v>218</v>
      </c>
      <c r="D23" s="201" t="s">
        <v>218</v>
      </c>
      <c r="E23" s="201" t="s">
        <v>218</v>
      </c>
      <c r="F23" s="122" t="str">
        <f>+C23</f>
        <v>*****</v>
      </c>
      <c r="G23" s="122" t="str">
        <f>+F23</f>
        <v>*****</v>
      </c>
      <c r="H23" s="122" t="s">
        <v>194</v>
      </c>
      <c r="I23" s="122" t="s">
        <v>194</v>
      </c>
      <c r="J23" s="122" t="str">
        <f>+H23</f>
        <v>N.A</v>
      </c>
      <c r="K23" s="122" t="s">
        <v>194</v>
      </c>
      <c r="L23" s="191" t="s">
        <v>218</v>
      </c>
      <c r="M23" s="191" t="str">
        <f>+F23</f>
        <v>*****</v>
      </c>
      <c r="N23" s="191" t="str">
        <f>+G23</f>
        <v>*****</v>
      </c>
      <c r="O23" s="122" t="s">
        <v>236</v>
      </c>
      <c r="P23" s="122" t="s">
        <v>236</v>
      </c>
    </row>
    <row r="24" spans="1:16" x14ac:dyDescent="0.3">
      <c r="A24" s="93" t="s">
        <v>195</v>
      </c>
      <c r="B24" s="94" t="s">
        <v>196</v>
      </c>
      <c r="C24" s="201" t="s">
        <v>219</v>
      </c>
      <c r="D24" s="201" t="s">
        <v>219</v>
      </c>
      <c r="E24" s="201" t="s">
        <v>219</v>
      </c>
      <c r="F24" s="122" t="str">
        <f>+C24</f>
        <v>******</v>
      </c>
      <c r="G24" s="122" t="str">
        <f>+F24</f>
        <v>******</v>
      </c>
      <c r="H24" s="122" t="str">
        <f>+C24</f>
        <v>******</v>
      </c>
      <c r="I24" s="122" t="s">
        <v>219</v>
      </c>
      <c r="J24" s="122" t="str">
        <f>+C24</f>
        <v>******</v>
      </c>
      <c r="K24" s="122" t="str">
        <f>+C24</f>
        <v>******</v>
      </c>
      <c r="L24" s="191" t="s">
        <v>219</v>
      </c>
      <c r="M24" s="191" t="str">
        <f>+C24</f>
        <v>******</v>
      </c>
      <c r="N24" s="191" t="str">
        <f>+F24</f>
        <v>******</v>
      </c>
      <c r="O24" s="122" t="s">
        <v>219</v>
      </c>
      <c r="P24" s="122" t="str">
        <f>+C24</f>
        <v>******</v>
      </c>
    </row>
    <row r="25" spans="1:16" ht="15" thickBot="1" x14ac:dyDescent="0.35">
      <c r="A25" s="104" t="s">
        <v>197</v>
      </c>
      <c r="B25" s="105" t="s">
        <v>198</v>
      </c>
      <c r="C25" s="202"/>
      <c r="D25" s="202"/>
      <c r="E25" s="202"/>
      <c r="F25" s="132"/>
      <c r="G25" s="132"/>
      <c r="H25" s="132"/>
      <c r="I25" s="132"/>
      <c r="J25" s="132"/>
      <c r="K25" s="132"/>
      <c r="L25" s="203"/>
      <c r="M25" s="203"/>
      <c r="N25" s="158"/>
      <c r="O25" s="158"/>
      <c r="P25" s="132"/>
    </row>
    <row r="26" spans="1:16" ht="15" thickTop="1" x14ac:dyDescent="0.3">
      <c r="A26" s="109"/>
      <c r="B26" s="110"/>
      <c r="C26" s="110"/>
      <c r="D26" s="110"/>
      <c r="E26" s="110"/>
      <c r="F26" s="111"/>
      <c r="G26" s="111"/>
      <c r="H26" s="111"/>
      <c r="I26" s="111"/>
      <c r="J26" s="111"/>
      <c r="K26" s="111"/>
      <c r="L26" s="111"/>
      <c r="M26" s="111"/>
      <c r="N26" s="111"/>
      <c r="O26" s="111"/>
      <c r="P26" s="111"/>
    </row>
    <row r="27" spans="1:16" x14ac:dyDescent="0.3">
      <c r="A27" s="109"/>
      <c r="B27" s="210" t="s">
        <v>210</v>
      </c>
      <c r="C27" s="110"/>
      <c r="D27" s="110"/>
      <c r="E27" s="110"/>
      <c r="F27" s="111"/>
      <c r="G27" s="111"/>
      <c r="H27" s="111"/>
      <c r="I27" s="111"/>
      <c r="J27" s="111"/>
      <c r="K27" s="111"/>
      <c r="L27" s="111"/>
      <c r="M27" s="111"/>
      <c r="N27" s="111"/>
      <c r="O27" s="111"/>
      <c r="P27" s="111"/>
    </row>
    <row r="28" spans="1:16" x14ac:dyDescent="0.3">
      <c r="A28" s="109"/>
      <c r="B28" s="110"/>
      <c r="C28" s="110"/>
      <c r="D28" s="110"/>
      <c r="E28" s="110"/>
      <c r="F28" s="111"/>
      <c r="G28" s="111"/>
      <c r="H28" s="111"/>
      <c r="I28" s="111"/>
      <c r="J28" s="111"/>
      <c r="K28" s="111"/>
      <c r="L28" s="111"/>
      <c r="M28" s="111"/>
      <c r="N28" s="111"/>
      <c r="O28" s="111"/>
      <c r="P28" s="111"/>
    </row>
    <row r="29" spans="1:16" ht="31.05" customHeight="1" x14ac:dyDescent="0.3">
      <c r="A29" s="112" t="s">
        <v>173</v>
      </c>
      <c r="B29" s="915" t="str">
        <f>+'LA GUAJIRA'!B78:K78</f>
        <v>De acuerdo con lo establecido en la Resoluccion 91349 de 2014 del MME para combustible de origen nacional o importado a ser distribuido en zonas de frontera, aplica la tarifa de marcación o remarcación vigente a la fecha según corresponda</v>
      </c>
      <c r="C29" s="915"/>
      <c r="D29" s="915"/>
      <c r="E29" s="915"/>
      <c r="F29" s="915"/>
      <c r="G29" s="915"/>
      <c r="H29" s="915"/>
      <c r="I29" s="915"/>
      <c r="J29" s="915"/>
      <c r="K29" s="915"/>
      <c r="L29" s="915"/>
      <c r="M29" s="915"/>
      <c r="N29" s="544"/>
      <c r="O29" s="583"/>
      <c r="P29" s="111"/>
    </row>
    <row r="30" spans="1:16" x14ac:dyDescent="0.3">
      <c r="A30" s="112" t="s">
        <v>200</v>
      </c>
      <c r="B30" s="893" t="s">
        <v>251</v>
      </c>
      <c r="C30" s="893"/>
      <c r="D30" s="893"/>
      <c r="E30" s="893"/>
      <c r="F30" s="893"/>
      <c r="G30" s="893"/>
      <c r="H30" s="893"/>
      <c r="I30" s="893"/>
      <c r="J30" s="893"/>
      <c r="K30" s="893"/>
      <c r="L30" s="893"/>
      <c r="M30" s="893"/>
      <c r="N30" s="542"/>
      <c r="O30" s="581"/>
      <c r="P30" s="111"/>
    </row>
    <row r="31" spans="1:16" ht="72.75" customHeight="1" x14ac:dyDescent="0.3">
      <c r="A31" s="112" t="s">
        <v>130</v>
      </c>
      <c r="B31" s="915" t="s">
        <v>307</v>
      </c>
      <c r="C31" s="915"/>
      <c r="D31" s="915"/>
      <c r="E31" s="915"/>
      <c r="F31" s="915"/>
      <c r="G31" s="915"/>
      <c r="H31" s="915"/>
      <c r="I31" s="915"/>
      <c r="J31" s="915"/>
      <c r="K31" s="915"/>
      <c r="L31" s="915"/>
      <c r="M31" s="915"/>
      <c r="N31" s="544"/>
      <c r="O31" s="583"/>
      <c r="P31" s="111"/>
    </row>
    <row r="32" spans="1:16" ht="21.15" customHeight="1" x14ac:dyDescent="0.3">
      <c r="A32" s="112"/>
      <c r="B32" s="958"/>
      <c r="C32" s="958"/>
      <c r="D32" s="958"/>
      <c r="E32" s="958"/>
      <c r="F32" s="958"/>
      <c r="G32" s="958"/>
      <c r="H32" s="958"/>
      <c r="I32" s="958"/>
      <c r="J32" s="958"/>
      <c r="K32" s="958"/>
      <c r="L32" s="688"/>
      <c r="M32" s="183"/>
      <c r="N32" s="544"/>
      <c r="O32" s="583"/>
      <c r="P32" s="111"/>
    </row>
    <row r="33" spans="1:25" x14ac:dyDescent="0.3">
      <c r="A33" s="112"/>
      <c r="B33" s="133"/>
      <c r="C33" s="133"/>
      <c r="D33" s="133"/>
      <c r="E33" s="133"/>
      <c r="F33" s="162"/>
      <c r="G33" s="162"/>
      <c r="H33" s="162"/>
      <c r="I33" s="162"/>
      <c r="J33" s="162"/>
      <c r="K33" s="162"/>
      <c r="L33" s="162"/>
      <c r="M33" s="162"/>
      <c r="N33" s="162"/>
      <c r="O33" s="162"/>
      <c r="P33" s="162"/>
    </row>
    <row r="34" spans="1:25" x14ac:dyDescent="0.3">
      <c r="A34" s="134" t="s">
        <v>102</v>
      </c>
      <c r="B34" s="892" t="s">
        <v>211</v>
      </c>
      <c r="C34" s="892"/>
      <c r="D34" s="892"/>
      <c r="E34" s="892"/>
      <c r="F34" s="892"/>
      <c r="G34" s="892"/>
      <c r="H34" s="892"/>
      <c r="I34" s="892"/>
      <c r="J34" s="892"/>
      <c r="K34" s="892"/>
      <c r="L34" s="892"/>
      <c r="M34" s="892"/>
      <c r="N34" s="541"/>
      <c r="O34" s="582"/>
      <c r="P34" s="205"/>
    </row>
    <row r="35" spans="1:25" ht="23.4" customHeight="1" x14ac:dyDescent="0.3">
      <c r="A35" s="134" t="s">
        <v>212</v>
      </c>
      <c r="B35" s="892" t="s">
        <v>243</v>
      </c>
      <c r="C35" s="892"/>
      <c r="D35" s="892"/>
      <c r="E35" s="892"/>
      <c r="F35" s="892"/>
      <c r="G35" s="892"/>
      <c r="H35" s="892"/>
      <c r="I35" s="892"/>
      <c r="J35" s="892"/>
      <c r="K35" s="892"/>
      <c r="L35" s="892"/>
      <c r="M35" s="892"/>
      <c r="N35" s="892"/>
      <c r="O35" s="892"/>
      <c r="P35" s="892"/>
    </row>
    <row r="36" spans="1:25" ht="22.8" customHeight="1" x14ac:dyDescent="0.3">
      <c r="A36" s="134" t="s">
        <v>214</v>
      </c>
      <c r="B36" s="892" t="s">
        <v>252</v>
      </c>
      <c r="C36" s="892"/>
      <c r="D36" s="892"/>
      <c r="E36" s="892"/>
      <c r="F36" s="892"/>
      <c r="G36" s="892"/>
      <c r="H36" s="892"/>
      <c r="I36" s="892"/>
      <c r="J36" s="892"/>
      <c r="K36" s="892"/>
      <c r="L36" s="892"/>
      <c r="M36" s="892"/>
      <c r="N36" s="892"/>
      <c r="O36" s="892"/>
      <c r="P36" s="892"/>
    </row>
    <row r="37" spans="1:25" x14ac:dyDescent="0.3">
      <c r="A37" s="134" t="s">
        <v>216</v>
      </c>
      <c r="B37" s="892" t="s">
        <v>429</v>
      </c>
      <c r="C37" s="892"/>
      <c r="D37" s="892"/>
      <c r="E37" s="892"/>
      <c r="F37" s="892"/>
      <c r="G37" s="892"/>
      <c r="H37" s="892"/>
      <c r="I37" s="892"/>
      <c r="J37" s="892"/>
      <c r="K37" s="892"/>
      <c r="L37" s="892"/>
      <c r="M37" s="892"/>
      <c r="N37" s="892"/>
      <c r="O37" s="892"/>
      <c r="P37" s="892"/>
    </row>
    <row r="38" spans="1:25" ht="23.4" customHeight="1" x14ac:dyDescent="0.3">
      <c r="A38" s="134" t="s">
        <v>218</v>
      </c>
      <c r="B38" s="892" t="s">
        <v>220</v>
      </c>
      <c r="C38" s="892"/>
      <c r="D38" s="892"/>
      <c r="E38" s="892"/>
      <c r="F38" s="892"/>
      <c r="G38" s="892"/>
      <c r="H38" s="892"/>
      <c r="I38" s="892"/>
      <c r="J38" s="892"/>
      <c r="K38" s="892"/>
      <c r="L38" s="683"/>
      <c r="M38" s="181"/>
      <c r="N38" s="541"/>
      <c r="O38" s="582"/>
      <c r="P38" s="206"/>
    </row>
    <row r="39" spans="1:25" x14ac:dyDescent="0.3">
      <c r="A39" s="134" t="s">
        <v>219</v>
      </c>
      <c r="B39" s="892" t="s">
        <v>249</v>
      </c>
      <c r="C39" s="892"/>
      <c r="D39" s="892"/>
      <c r="E39" s="892"/>
      <c r="F39" s="892"/>
      <c r="G39" s="892"/>
      <c r="H39" s="892"/>
      <c r="I39" s="892"/>
      <c r="J39" s="892"/>
      <c r="K39" s="892"/>
      <c r="L39" s="892"/>
      <c r="M39" s="892"/>
      <c r="N39" s="892"/>
      <c r="O39" s="892"/>
      <c r="P39" s="892"/>
    </row>
    <row r="40" spans="1:25" x14ac:dyDescent="0.3">
      <c r="A40" s="187"/>
      <c r="B40" s="188"/>
      <c r="C40" s="188"/>
      <c r="D40" s="188"/>
      <c r="E40" s="188"/>
      <c r="F40" s="188"/>
      <c r="G40" s="188"/>
      <c r="H40" s="188"/>
      <c r="I40" s="188"/>
      <c r="J40" s="188"/>
      <c r="K40" s="188"/>
      <c r="L40" s="188"/>
      <c r="M40" s="188"/>
      <c r="N40" s="188"/>
      <c r="O40" s="188"/>
      <c r="P40" s="188"/>
    </row>
    <row r="41" spans="1:25" ht="97.5" customHeight="1" x14ac:dyDescent="0.3">
      <c r="A41" s="895" t="s">
        <v>137</v>
      </c>
      <c r="B41" s="895"/>
      <c r="C41" s="895"/>
      <c r="D41" s="895"/>
      <c r="E41" s="895"/>
      <c r="F41" s="895"/>
      <c r="G41" s="895"/>
      <c r="H41" s="895"/>
      <c r="I41" s="895"/>
      <c r="J41" s="895"/>
      <c r="K41" s="895"/>
      <c r="L41" s="895"/>
      <c r="M41" s="895"/>
      <c r="N41" s="543"/>
      <c r="O41" s="585"/>
    </row>
    <row r="42" spans="1:25" x14ac:dyDescent="0.3">
      <c r="A42" s="220"/>
      <c r="B42" s="220"/>
      <c r="C42" s="220"/>
      <c r="D42" s="743"/>
      <c r="E42" s="685"/>
      <c r="F42" s="220"/>
      <c r="G42" s="543"/>
      <c r="H42" s="220"/>
      <c r="I42" s="585"/>
      <c r="J42" s="220"/>
      <c r="K42" s="220"/>
      <c r="L42" s="685"/>
      <c r="M42" s="220"/>
      <c r="N42" s="543"/>
      <c r="O42" s="585"/>
    </row>
    <row r="43" spans="1:25" hidden="1" x14ac:dyDescent="0.3">
      <c r="B43" t="str">
        <f>+AMAZONAS!C1</f>
        <v>Vigencia: 01 de Octubre de 2022; 00:00 horas</v>
      </c>
    </row>
    <row r="44" spans="1:25" hidden="1" x14ac:dyDescent="0.3">
      <c r="A44" s="956" t="s">
        <v>162</v>
      </c>
      <c r="B44" s="956"/>
      <c r="C44" s="957"/>
      <c r="D44" s="957"/>
      <c r="E44" s="957"/>
      <c r="F44" s="957"/>
      <c r="G44" s="957"/>
      <c r="H44" s="957"/>
      <c r="I44" s="957"/>
      <c r="J44" s="957"/>
      <c r="K44" s="957"/>
      <c r="L44" s="957"/>
      <c r="M44" s="957"/>
      <c r="N44" s="957"/>
      <c r="O44" s="957"/>
      <c r="P44" s="957"/>
      <c r="Q44" s="957"/>
      <c r="R44" s="957"/>
      <c r="S44" s="957"/>
      <c r="T44" s="957"/>
      <c r="U44" s="184"/>
      <c r="V44" s="184"/>
      <c r="W44" s="184"/>
      <c r="X44" s="232"/>
      <c r="Y44" s="232"/>
    </row>
    <row r="45" spans="1:25" ht="15" hidden="1" thickTop="1" x14ac:dyDescent="0.3">
      <c r="A45" s="233"/>
      <c r="B45" s="954" t="s">
        <v>261</v>
      </c>
      <c r="C45" s="918" t="s">
        <v>163</v>
      </c>
      <c r="D45" s="918"/>
      <c r="E45" s="918"/>
      <c r="F45" s="918"/>
      <c r="G45" s="545"/>
      <c r="H45" s="950" t="s">
        <v>232</v>
      </c>
      <c r="I45" s="950"/>
      <c r="J45" s="951"/>
    </row>
    <row r="46" spans="1:25" hidden="1" x14ac:dyDescent="0.3">
      <c r="A46" s="90"/>
      <c r="B46" s="955"/>
      <c r="C46" s="949"/>
      <c r="D46" s="949"/>
      <c r="E46" s="949"/>
      <c r="F46" s="949"/>
      <c r="G46" s="547"/>
      <c r="H46" s="952"/>
      <c r="I46" s="952"/>
      <c r="J46" s="953"/>
    </row>
    <row r="47" spans="1:25" ht="25.5" hidden="1" customHeight="1" x14ac:dyDescent="0.3">
      <c r="A47" s="896" t="s">
        <v>164</v>
      </c>
      <c r="B47" s="946" t="s">
        <v>165</v>
      </c>
      <c r="C47" s="234" t="s">
        <v>96</v>
      </c>
      <c r="D47" s="562"/>
      <c r="E47" s="562"/>
      <c r="F47" s="235" t="s">
        <v>263</v>
      </c>
      <c r="G47" s="562"/>
      <c r="H47" s="234" t="s">
        <v>96</v>
      </c>
      <c r="I47" s="562"/>
      <c r="J47" s="235" t="s">
        <v>263</v>
      </c>
    </row>
    <row r="48" spans="1:25" ht="27.6" hidden="1" x14ac:dyDescent="0.3">
      <c r="A48" s="896"/>
      <c r="B48" s="946"/>
      <c r="C48" s="236" t="s">
        <v>264</v>
      </c>
      <c r="D48" s="593"/>
      <c r="E48" s="593"/>
      <c r="F48" s="237" t="s">
        <v>264</v>
      </c>
      <c r="G48" s="563"/>
      <c r="H48" s="236" t="s">
        <v>264</v>
      </c>
      <c r="I48" s="593"/>
      <c r="J48" s="237" t="s">
        <v>264</v>
      </c>
    </row>
    <row r="49" spans="1:10" hidden="1" x14ac:dyDescent="0.3">
      <c r="A49" s="897"/>
      <c r="B49" s="947"/>
      <c r="C49" s="238" t="s">
        <v>166</v>
      </c>
      <c r="D49" s="564"/>
      <c r="E49" s="564"/>
      <c r="F49" s="239" t="s">
        <v>166</v>
      </c>
      <c r="G49" s="564"/>
      <c r="H49" s="238" t="s">
        <v>166</v>
      </c>
      <c r="I49" s="564"/>
      <c r="J49" s="239" t="s">
        <v>166</v>
      </c>
    </row>
    <row r="50" spans="1:10" hidden="1" x14ac:dyDescent="0.3">
      <c r="A50" s="93" t="s">
        <v>167</v>
      </c>
      <c r="B50" s="240" t="s">
        <v>168</v>
      </c>
      <c r="C50" s="95" t="e">
        <f>+'Calculo IP ZDF'!#REF!</f>
        <v>#REF!</v>
      </c>
      <c r="D50" s="95"/>
      <c r="E50" s="95"/>
      <c r="F50" s="95" t="e">
        <f>+'Calculo IP ZDF'!#REF!</f>
        <v>#REF!</v>
      </c>
      <c r="G50" s="95"/>
      <c r="H50" s="131" t="e">
        <f>+'Calculo IP ZDF'!#REF!</f>
        <v>#REF!</v>
      </c>
      <c r="I50" s="145"/>
      <c r="J50" s="96" t="e">
        <f>+'Calculo IP ZDF'!#REF!</f>
        <v>#REF!</v>
      </c>
    </row>
    <row r="51" spans="1:10" hidden="1" x14ac:dyDescent="0.3">
      <c r="A51" s="93" t="s">
        <v>169</v>
      </c>
      <c r="B51" s="240" t="s">
        <v>170</v>
      </c>
      <c r="C51" s="103" t="s">
        <v>171</v>
      </c>
      <c r="D51" s="594"/>
      <c r="E51" s="594"/>
      <c r="F51" s="98" t="s">
        <v>171</v>
      </c>
      <c r="G51" s="145"/>
      <c r="H51" s="131">
        <v>526.26030379999997</v>
      </c>
      <c r="I51" s="145"/>
      <c r="J51" s="96">
        <v>503.70629078000002</v>
      </c>
    </row>
    <row r="52" spans="1:10" hidden="1" x14ac:dyDescent="0.3">
      <c r="A52" s="93"/>
      <c r="B52" s="240" t="s">
        <v>129</v>
      </c>
      <c r="C52" s="103" t="s">
        <v>171</v>
      </c>
      <c r="D52" s="594"/>
      <c r="E52" s="594"/>
      <c r="F52" s="98" t="s">
        <v>171</v>
      </c>
      <c r="G52" s="145"/>
      <c r="H52" s="241" t="s">
        <v>200</v>
      </c>
      <c r="I52" s="589"/>
      <c r="J52" s="98" t="s">
        <v>200</v>
      </c>
    </row>
    <row r="53" spans="1:10" hidden="1" x14ac:dyDescent="0.3">
      <c r="A53" s="93"/>
      <c r="B53" s="240" t="s">
        <v>131</v>
      </c>
      <c r="C53" s="103">
        <v>148</v>
      </c>
      <c r="D53" s="594"/>
      <c r="E53" s="594"/>
      <c r="F53" s="98">
        <v>166</v>
      </c>
      <c r="G53" s="145"/>
      <c r="H53" s="156">
        <v>148</v>
      </c>
      <c r="I53" s="145"/>
      <c r="J53" s="98">
        <v>166</v>
      </c>
    </row>
    <row r="54" spans="1:10" hidden="1" x14ac:dyDescent="0.3">
      <c r="A54" s="93" t="s">
        <v>174</v>
      </c>
      <c r="B54" s="240" t="s">
        <v>175</v>
      </c>
      <c r="C54" s="103" t="s">
        <v>171</v>
      </c>
      <c r="D54" s="594"/>
      <c r="E54" s="594"/>
      <c r="F54" s="98" t="s">
        <v>171</v>
      </c>
      <c r="G54" s="145"/>
      <c r="H54" s="103" t="s">
        <v>171</v>
      </c>
      <c r="I54" s="594"/>
      <c r="J54" s="98" t="s">
        <v>171</v>
      </c>
    </row>
    <row r="55" spans="1:10" hidden="1" x14ac:dyDescent="0.3">
      <c r="A55" s="93" t="s">
        <v>176</v>
      </c>
      <c r="B55" s="240" t="s">
        <v>177</v>
      </c>
      <c r="C55" s="103" t="s">
        <v>171</v>
      </c>
      <c r="D55" s="594"/>
      <c r="E55" s="594"/>
      <c r="F55" s="98" t="s">
        <v>171</v>
      </c>
      <c r="G55" s="145"/>
      <c r="H55" s="103" t="s">
        <v>171</v>
      </c>
      <c r="I55" s="594"/>
      <c r="J55" s="98" t="s">
        <v>171</v>
      </c>
    </row>
    <row r="56" spans="1:10" hidden="1" x14ac:dyDescent="0.3">
      <c r="A56" s="93" t="s">
        <v>178</v>
      </c>
      <c r="B56" s="240" t="s">
        <v>265</v>
      </c>
      <c r="C56" s="103">
        <v>12.2</v>
      </c>
      <c r="D56" s="594"/>
      <c r="E56" s="594"/>
      <c r="F56" s="98">
        <f>+C56</f>
        <v>12.2</v>
      </c>
      <c r="G56" s="145"/>
      <c r="H56" s="103">
        <f>+F56</f>
        <v>12.2</v>
      </c>
      <c r="I56" s="594"/>
      <c r="J56" s="98">
        <f>+C56</f>
        <v>12.2</v>
      </c>
    </row>
    <row r="57" spans="1:10" hidden="1" x14ac:dyDescent="0.3">
      <c r="A57" s="93"/>
      <c r="B57" s="240" t="s">
        <v>180</v>
      </c>
      <c r="C57" s="95">
        <v>71.510000000000005</v>
      </c>
      <c r="D57" s="148"/>
      <c r="E57" s="148"/>
      <c r="F57" s="96">
        <f>+C57</f>
        <v>71.510000000000005</v>
      </c>
      <c r="G57" s="148"/>
      <c r="H57" s="95">
        <f>+C57</f>
        <v>71.510000000000005</v>
      </c>
      <c r="I57" s="148"/>
      <c r="J57" s="96">
        <f>+F57</f>
        <v>71.510000000000005</v>
      </c>
    </row>
    <row r="58" spans="1:10" hidden="1" x14ac:dyDescent="0.3">
      <c r="A58" s="100" t="s">
        <v>181</v>
      </c>
      <c r="B58" s="242" t="s">
        <v>182</v>
      </c>
      <c r="C58" s="101" t="e">
        <f>SUM(C50:C57)</f>
        <v>#REF!</v>
      </c>
      <c r="D58" s="154"/>
      <c r="E58" s="154"/>
      <c r="F58" s="102" t="e">
        <f t="shared" ref="F58:J58" si="8">SUM(F50:F57)</f>
        <v>#REF!</v>
      </c>
      <c r="G58" s="154"/>
      <c r="H58" s="101" t="e">
        <f t="shared" si="8"/>
        <v>#REF!</v>
      </c>
      <c r="I58" s="154"/>
      <c r="J58" s="102" t="e">
        <f t="shared" si="8"/>
        <v>#REF!</v>
      </c>
    </row>
    <row r="59" spans="1:10" hidden="1" x14ac:dyDescent="0.3">
      <c r="A59" s="93" t="s">
        <v>183</v>
      </c>
      <c r="B59" s="240" t="s">
        <v>246</v>
      </c>
      <c r="C59" s="95" t="s">
        <v>214</v>
      </c>
      <c r="D59" s="148"/>
      <c r="E59" s="148"/>
      <c r="F59" s="96" t="s">
        <v>214</v>
      </c>
      <c r="G59" s="148"/>
      <c r="H59" s="95" t="s">
        <v>214</v>
      </c>
      <c r="I59" s="148"/>
      <c r="J59" s="96" t="s">
        <v>214</v>
      </c>
    </row>
    <row r="60" spans="1:10" hidden="1" x14ac:dyDescent="0.3">
      <c r="A60" s="93" t="s">
        <v>187</v>
      </c>
      <c r="B60" s="240" t="s">
        <v>134</v>
      </c>
      <c r="C60" s="95" t="s">
        <v>216</v>
      </c>
      <c r="D60" s="148"/>
      <c r="E60" s="148"/>
      <c r="F60" s="96" t="s">
        <v>216</v>
      </c>
      <c r="G60" s="148"/>
      <c r="H60" s="95" t="s">
        <v>216</v>
      </c>
      <c r="I60" s="148"/>
      <c r="J60" s="96" t="s">
        <v>216</v>
      </c>
    </row>
    <row r="61" spans="1:10" hidden="1" x14ac:dyDescent="0.3">
      <c r="A61" s="100" t="s">
        <v>189</v>
      </c>
      <c r="B61" s="242" t="s">
        <v>190</v>
      </c>
      <c r="C61" s="101">
        <v>5316.4418400000004</v>
      </c>
      <c r="D61" s="154"/>
      <c r="E61" s="154"/>
      <c r="F61" s="102">
        <v>5474.7219600000008</v>
      </c>
      <c r="G61" s="154"/>
      <c r="H61" s="101">
        <v>6314.9703037999998</v>
      </c>
      <c r="I61" s="154"/>
      <c r="J61" s="102">
        <v>6956.0162907800004</v>
      </c>
    </row>
    <row r="62" spans="1:10" hidden="1" x14ac:dyDescent="0.3">
      <c r="A62" s="93" t="s">
        <v>191</v>
      </c>
      <c r="B62" s="240" t="s">
        <v>150</v>
      </c>
      <c r="C62" s="95" t="s">
        <v>214</v>
      </c>
      <c r="D62" s="148"/>
      <c r="E62" s="148"/>
      <c r="F62" s="96" t="s">
        <v>214</v>
      </c>
      <c r="G62" s="148"/>
      <c r="H62" s="95" t="s">
        <v>214</v>
      </c>
      <c r="I62" s="148"/>
      <c r="J62" s="96" t="s">
        <v>214</v>
      </c>
    </row>
    <row r="63" spans="1:10" hidden="1" x14ac:dyDescent="0.3">
      <c r="A63" s="93" t="s">
        <v>192</v>
      </c>
      <c r="B63" s="240" t="s">
        <v>193</v>
      </c>
      <c r="C63" s="131" t="s">
        <v>218</v>
      </c>
      <c r="D63" s="145"/>
      <c r="E63" s="145"/>
      <c r="F63" s="96" t="s">
        <v>194</v>
      </c>
      <c r="G63" s="148"/>
      <c r="H63" s="95" t="s">
        <v>218</v>
      </c>
      <c r="I63" s="148"/>
      <c r="J63" s="98" t="s">
        <v>194</v>
      </c>
    </row>
    <row r="64" spans="1:10" hidden="1" x14ac:dyDescent="0.3">
      <c r="A64" s="93" t="s">
        <v>195</v>
      </c>
      <c r="B64" s="240" t="s">
        <v>266</v>
      </c>
      <c r="C64" s="131" t="s">
        <v>219</v>
      </c>
      <c r="D64" s="145"/>
      <c r="E64" s="145"/>
      <c r="F64" s="98" t="s">
        <v>219</v>
      </c>
      <c r="G64" s="145"/>
      <c r="H64" s="131" t="s">
        <v>219</v>
      </c>
      <c r="I64" s="145"/>
      <c r="J64" s="98" t="s">
        <v>219</v>
      </c>
    </row>
    <row r="65" spans="1:25" ht="15" hidden="1" thickBot="1" x14ac:dyDescent="0.35">
      <c r="A65" s="104" t="s">
        <v>197</v>
      </c>
      <c r="B65" s="243" t="s">
        <v>198</v>
      </c>
      <c r="C65" s="132"/>
      <c r="D65" s="132"/>
      <c r="E65" s="132"/>
      <c r="F65" s="132"/>
      <c r="G65" s="132"/>
      <c r="H65" s="132"/>
      <c r="I65" s="180"/>
      <c r="J65" s="107"/>
    </row>
    <row r="66" spans="1:25" hidden="1" x14ac:dyDescent="0.3">
      <c r="A66" s="109"/>
      <c r="B66" s="244"/>
      <c r="C66" s="244"/>
      <c r="D66" s="244"/>
      <c r="E66" s="244"/>
      <c r="F66" s="245"/>
      <c r="G66" s="245"/>
      <c r="H66" s="245"/>
      <c r="I66" s="245"/>
      <c r="J66" s="245"/>
      <c r="K66" s="245"/>
      <c r="L66" s="245"/>
      <c r="M66" s="246"/>
      <c r="N66" s="246"/>
      <c r="O66" s="246"/>
      <c r="P66" s="246"/>
      <c r="Q66" s="246"/>
      <c r="R66" s="246"/>
      <c r="S66" s="246"/>
      <c r="T66" s="246"/>
      <c r="U66" s="246"/>
      <c r="V66" s="246"/>
      <c r="W66" s="246"/>
      <c r="X66" s="205"/>
      <c r="Y66" s="205"/>
    </row>
    <row r="67" spans="1:25" hidden="1" x14ac:dyDescent="0.3">
      <c r="A67" s="109"/>
      <c r="B67" s="210" t="s">
        <v>210</v>
      </c>
      <c r="C67" s="110"/>
      <c r="D67" s="110"/>
      <c r="E67" s="110"/>
      <c r="F67" s="111"/>
      <c r="G67" s="111"/>
      <c r="H67" s="111"/>
      <c r="I67" s="111"/>
      <c r="J67" s="111"/>
      <c r="K67" s="111"/>
      <c r="L67" s="111"/>
      <c r="M67" s="111"/>
      <c r="N67" s="111"/>
      <c r="O67" s="111"/>
      <c r="P67" s="111"/>
      <c r="Q67" s="206"/>
      <c r="R67" s="206"/>
      <c r="S67" s="206"/>
      <c r="T67" s="206"/>
      <c r="U67" s="206"/>
      <c r="V67" s="206"/>
      <c r="W67" s="206"/>
      <c r="X67" s="205"/>
      <c r="Y67" s="205"/>
    </row>
    <row r="68" spans="1:25" hidden="1" x14ac:dyDescent="0.3">
      <c r="A68" s="109"/>
      <c r="B68" s="110"/>
      <c r="C68" s="110"/>
      <c r="D68" s="110"/>
      <c r="E68" s="110"/>
      <c r="F68" s="111"/>
      <c r="G68" s="111"/>
      <c r="H68" s="111"/>
      <c r="I68" s="111"/>
      <c r="J68" s="111"/>
      <c r="K68" s="111"/>
      <c r="L68" s="111"/>
      <c r="M68" s="111"/>
      <c r="N68" s="111"/>
      <c r="O68" s="111"/>
      <c r="P68" s="111"/>
      <c r="Q68" s="206"/>
      <c r="R68" s="206"/>
      <c r="S68" s="206"/>
      <c r="T68" s="206"/>
      <c r="U68" s="206"/>
      <c r="V68" s="206"/>
      <c r="W68" s="206"/>
      <c r="X68" s="205"/>
      <c r="Y68" s="205"/>
    </row>
    <row r="69" spans="1:25" hidden="1" x14ac:dyDescent="0.3">
      <c r="A69" s="112" t="s">
        <v>173</v>
      </c>
      <c r="B69" s="948" t="s">
        <v>242</v>
      </c>
      <c r="C69" s="948"/>
      <c r="D69" s="948"/>
      <c r="E69" s="948"/>
      <c r="F69" s="948"/>
      <c r="G69" s="948"/>
      <c r="H69" s="948"/>
      <c r="I69" s="948"/>
      <c r="J69" s="948"/>
      <c r="K69" s="948"/>
      <c r="L69" s="948"/>
      <c r="M69" s="948"/>
      <c r="N69" s="546"/>
      <c r="O69" s="586"/>
      <c r="P69" s="111"/>
      <c r="Q69" s="206"/>
      <c r="R69" s="206"/>
      <c r="S69" s="206"/>
      <c r="T69" s="206"/>
      <c r="U69" s="206"/>
      <c r="V69" s="206"/>
      <c r="W69" s="206"/>
      <c r="X69" s="205"/>
      <c r="Y69" s="205"/>
    </row>
    <row r="70" spans="1:25" hidden="1" x14ac:dyDescent="0.3">
      <c r="A70" s="112" t="s">
        <v>130</v>
      </c>
      <c r="B70" s="915" t="s">
        <v>224</v>
      </c>
      <c r="C70" s="915"/>
      <c r="D70" s="915"/>
      <c r="E70" s="915"/>
      <c r="F70" s="915"/>
      <c r="G70" s="915"/>
      <c r="H70" s="915"/>
      <c r="I70" s="915"/>
      <c r="J70" s="915"/>
      <c r="K70" s="915"/>
      <c r="L70" s="915"/>
      <c r="M70" s="915"/>
      <c r="N70" s="544"/>
      <c r="O70" s="583"/>
      <c r="P70" s="111"/>
      <c r="Q70" s="206"/>
      <c r="R70" s="206"/>
      <c r="S70" s="206"/>
      <c r="T70" s="206"/>
      <c r="U70" s="206"/>
      <c r="V70" s="206"/>
      <c r="W70" s="206"/>
      <c r="X70" s="205"/>
      <c r="Y70" s="205"/>
    </row>
    <row r="71" spans="1:25" hidden="1" x14ac:dyDescent="0.3">
      <c r="A71" s="112"/>
      <c r="B71" s="222"/>
      <c r="C71" s="222"/>
      <c r="D71" s="747"/>
      <c r="E71" s="684"/>
      <c r="F71" s="222"/>
      <c r="G71" s="544"/>
      <c r="H71" s="222"/>
      <c r="I71" s="583"/>
      <c r="J71" s="222"/>
      <c r="K71" s="222"/>
      <c r="L71" s="684"/>
      <c r="M71" s="222"/>
      <c r="N71" s="544"/>
      <c r="O71" s="583"/>
      <c r="P71" s="111"/>
      <c r="Q71" s="206"/>
      <c r="R71" s="206"/>
      <c r="S71" s="206"/>
      <c r="T71" s="206"/>
      <c r="U71" s="206"/>
      <c r="V71" s="206"/>
      <c r="W71" s="206"/>
      <c r="X71" s="205"/>
      <c r="Y71" s="205"/>
    </row>
    <row r="72" spans="1:25" hidden="1" x14ac:dyDescent="0.3">
      <c r="A72" s="112"/>
      <c r="B72" s="133" t="s">
        <v>148</v>
      </c>
      <c r="C72" s="133"/>
      <c r="D72" s="133"/>
      <c r="E72" s="133"/>
      <c r="F72" s="162"/>
      <c r="G72" s="162"/>
      <c r="H72" s="162"/>
      <c r="I72" s="162"/>
      <c r="J72" s="162"/>
      <c r="K72" s="162"/>
      <c r="L72" s="162"/>
      <c r="M72" s="162"/>
      <c r="N72" s="162"/>
      <c r="O72" s="162"/>
      <c r="P72" s="162"/>
      <c r="Q72" s="206"/>
      <c r="R72" s="206"/>
      <c r="S72" s="206"/>
      <c r="T72" s="206"/>
      <c r="U72" s="206"/>
      <c r="V72" s="206"/>
      <c r="W72" s="206"/>
      <c r="X72" s="205"/>
      <c r="Y72" s="205"/>
    </row>
    <row r="73" spans="1:25" hidden="1" x14ac:dyDescent="0.3">
      <c r="A73" s="134" t="s">
        <v>102</v>
      </c>
      <c r="B73" s="892" t="s">
        <v>211</v>
      </c>
      <c r="C73" s="892"/>
      <c r="D73" s="892"/>
      <c r="E73" s="892"/>
      <c r="F73" s="892"/>
      <c r="G73" s="892"/>
      <c r="H73" s="892"/>
      <c r="I73" s="892"/>
      <c r="J73" s="892"/>
      <c r="K73" s="892"/>
      <c r="L73" s="892"/>
      <c r="M73" s="892"/>
      <c r="N73" s="541"/>
      <c r="O73" s="582"/>
      <c r="P73" s="205"/>
      <c r="Q73" s="206"/>
      <c r="R73" s="206"/>
      <c r="S73" s="206"/>
      <c r="T73" s="206"/>
      <c r="U73" s="206"/>
      <c r="V73" s="206"/>
      <c r="W73" s="206"/>
      <c r="X73" s="205"/>
      <c r="Y73" s="205"/>
    </row>
    <row r="74" spans="1:25" hidden="1" x14ac:dyDescent="0.3">
      <c r="A74" s="134" t="s">
        <v>212</v>
      </c>
      <c r="B74" s="892" t="s">
        <v>243</v>
      </c>
      <c r="C74" s="892"/>
      <c r="D74" s="892"/>
      <c r="E74" s="892"/>
      <c r="F74" s="892"/>
      <c r="G74" s="892"/>
      <c r="H74" s="892"/>
      <c r="I74" s="892"/>
      <c r="J74" s="892"/>
      <c r="K74" s="892"/>
      <c r="L74" s="892"/>
      <c r="M74" s="892"/>
      <c r="N74" s="892"/>
      <c r="O74" s="892"/>
      <c r="P74" s="892"/>
      <c r="Q74" s="206"/>
      <c r="R74" s="206"/>
      <c r="S74" s="206"/>
      <c r="T74" s="206"/>
      <c r="U74" s="206"/>
      <c r="V74" s="206"/>
      <c r="W74" s="206"/>
      <c r="X74" s="205"/>
      <c r="Y74" s="205"/>
    </row>
    <row r="75" spans="1:25" hidden="1" x14ac:dyDescent="0.3">
      <c r="A75" s="134" t="s">
        <v>214</v>
      </c>
      <c r="B75" s="892" t="s">
        <v>252</v>
      </c>
      <c r="C75" s="892"/>
      <c r="D75" s="892"/>
      <c r="E75" s="892"/>
      <c r="F75" s="892"/>
      <c r="G75" s="892"/>
      <c r="H75" s="892"/>
      <c r="I75" s="892"/>
      <c r="J75" s="892"/>
      <c r="K75" s="892"/>
      <c r="L75" s="892"/>
      <c r="M75" s="892"/>
      <c r="N75" s="892"/>
      <c r="O75" s="892"/>
      <c r="P75" s="892"/>
      <c r="Q75" s="206"/>
      <c r="R75" s="206"/>
      <c r="S75" s="206"/>
      <c r="T75" s="206"/>
      <c r="U75" s="206"/>
      <c r="V75" s="206"/>
      <c r="W75" s="206"/>
      <c r="X75" s="205"/>
      <c r="Y75" s="205"/>
    </row>
    <row r="76" spans="1:25" hidden="1" x14ac:dyDescent="0.3">
      <c r="A76" s="134" t="s">
        <v>216</v>
      </c>
      <c r="B76" s="892" t="s">
        <v>248</v>
      </c>
      <c r="C76" s="892"/>
      <c r="D76" s="892"/>
      <c r="E76" s="892"/>
      <c r="F76" s="892"/>
      <c r="G76" s="892"/>
      <c r="H76" s="892"/>
      <c r="I76" s="892"/>
      <c r="J76" s="892"/>
      <c r="K76" s="892"/>
      <c r="L76" s="892"/>
      <c r="M76" s="892"/>
      <c r="N76" s="892"/>
      <c r="O76" s="892"/>
      <c r="P76" s="892"/>
      <c r="Q76" s="206"/>
      <c r="R76" s="206"/>
      <c r="S76" s="206"/>
      <c r="T76" s="206"/>
      <c r="U76" s="206"/>
      <c r="V76" s="206"/>
      <c r="W76" s="206"/>
      <c r="X76" s="205"/>
      <c r="Y76" s="205"/>
    </row>
    <row r="77" spans="1:25" hidden="1" x14ac:dyDescent="0.3">
      <c r="A77" s="134" t="s">
        <v>218</v>
      </c>
      <c r="B77" s="892" t="s">
        <v>220</v>
      </c>
      <c r="C77" s="892"/>
      <c r="D77" s="892"/>
      <c r="E77" s="892"/>
      <c r="F77" s="892"/>
      <c r="G77" s="892"/>
      <c r="H77" s="892"/>
      <c r="I77" s="892"/>
      <c r="J77" s="892"/>
      <c r="K77" s="892"/>
      <c r="L77" s="683"/>
      <c r="M77" s="219"/>
      <c r="N77" s="541"/>
      <c r="O77" s="582"/>
      <c r="P77" s="206"/>
      <c r="Q77" s="206"/>
      <c r="R77" s="206"/>
      <c r="S77" s="206"/>
      <c r="T77" s="206"/>
      <c r="U77" s="206"/>
      <c r="V77" s="206"/>
      <c r="W77" s="206"/>
      <c r="X77" s="205"/>
      <c r="Y77" s="205"/>
    </row>
    <row r="78" spans="1:25" hidden="1" x14ac:dyDescent="0.3">
      <c r="A78" s="134" t="s">
        <v>219</v>
      </c>
      <c r="B78" s="892" t="s">
        <v>249</v>
      </c>
      <c r="C78" s="892"/>
      <c r="D78" s="892"/>
      <c r="E78" s="892"/>
      <c r="F78" s="892"/>
      <c r="G78" s="892"/>
      <c r="H78" s="892"/>
      <c r="I78" s="892"/>
      <c r="J78" s="892"/>
      <c r="K78" s="892"/>
      <c r="L78" s="892"/>
      <c r="M78" s="892"/>
      <c r="N78" s="892"/>
      <c r="O78" s="892"/>
      <c r="P78" s="892"/>
      <c r="Q78" s="206"/>
      <c r="R78" s="206"/>
      <c r="S78" s="206"/>
      <c r="T78" s="206"/>
      <c r="U78" s="206"/>
      <c r="V78" s="206"/>
      <c r="W78" s="206"/>
      <c r="X78" s="205"/>
      <c r="Y78" s="205"/>
    </row>
    <row r="79" spans="1:25" hidden="1" x14ac:dyDescent="0.3">
      <c r="A79" s="187"/>
      <c r="B79" s="188"/>
      <c r="C79" s="188"/>
      <c r="D79" s="188"/>
      <c r="E79" s="188"/>
      <c r="F79" s="188"/>
      <c r="G79" s="188"/>
      <c r="H79" s="188"/>
      <c r="I79" s="188"/>
      <c r="J79" s="188"/>
      <c r="K79" s="188"/>
      <c r="L79" s="188"/>
      <c r="M79" s="188"/>
      <c r="N79" s="188"/>
      <c r="O79" s="188"/>
      <c r="P79" s="188"/>
      <c r="Q79" s="206"/>
      <c r="R79" s="206"/>
      <c r="S79" s="206"/>
      <c r="T79" s="206"/>
      <c r="U79" s="206"/>
      <c r="V79" s="206"/>
      <c r="W79" s="206"/>
      <c r="X79" s="205"/>
      <c r="Y79" s="205"/>
    </row>
    <row r="80" spans="1:25" hidden="1" x14ac:dyDescent="0.3">
      <c r="A80" s="895" t="s">
        <v>137</v>
      </c>
      <c r="B80" s="895"/>
      <c r="C80" s="895"/>
      <c r="D80" s="895"/>
      <c r="E80" s="895"/>
      <c r="F80" s="895"/>
      <c r="G80" s="895"/>
      <c r="H80" s="895"/>
      <c r="I80" s="895"/>
      <c r="J80" s="895"/>
      <c r="K80" s="895"/>
      <c r="L80" s="895"/>
      <c r="M80" s="895"/>
      <c r="N80" s="543"/>
      <c r="O80" s="585"/>
      <c r="Q80" s="206"/>
      <c r="R80" s="206"/>
      <c r="S80" s="206"/>
      <c r="T80" s="206"/>
      <c r="U80" s="206"/>
      <c r="V80" s="206"/>
      <c r="W80" s="206"/>
      <c r="X80" s="205"/>
      <c r="Y80" s="205"/>
    </row>
    <row r="81" spans="1:25" hidden="1" x14ac:dyDescent="0.3">
      <c r="A81" s="247"/>
      <c r="B81" s="133"/>
      <c r="C81" s="133"/>
      <c r="D81" s="133"/>
      <c r="E81" s="133"/>
      <c r="F81" s="206"/>
      <c r="G81" s="206"/>
      <c r="H81" s="206"/>
      <c r="I81" s="206"/>
      <c r="J81" s="206"/>
      <c r="K81" s="206"/>
      <c r="L81" s="206"/>
      <c r="M81" s="206"/>
      <c r="N81" s="206"/>
      <c r="O81" s="206"/>
      <c r="P81" s="206"/>
      <c r="Q81" s="206"/>
      <c r="R81" s="206"/>
      <c r="S81" s="206"/>
      <c r="T81" s="206"/>
      <c r="U81" s="206"/>
      <c r="V81" s="206"/>
      <c r="W81" s="206"/>
      <c r="X81" s="205"/>
      <c r="Y81" s="205"/>
    </row>
    <row r="82" spans="1:25" hidden="1" x14ac:dyDescent="0.3">
      <c r="A82" s="247"/>
      <c r="B82" s="133"/>
      <c r="C82" s="133"/>
      <c r="D82" s="133"/>
      <c r="E82" s="133"/>
      <c r="F82" s="206"/>
      <c r="G82" s="206"/>
      <c r="H82" s="206"/>
      <c r="I82" s="206"/>
      <c r="J82" s="206"/>
      <c r="K82" s="206"/>
      <c r="L82" s="206"/>
      <c r="M82" s="206"/>
      <c r="N82" s="206"/>
      <c r="O82" s="206"/>
      <c r="P82" s="206"/>
      <c r="Q82" s="206"/>
      <c r="R82" s="206"/>
      <c r="S82" s="206"/>
      <c r="T82" s="206"/>
      <c r="U82" s="206"/>
      <c r="V82" s="206"/>
      <c r="W82" s="206"/>
      <c r="X82" s="205"/>
      <c r="Y82" s="205"/>
    </row>
    <row r="83" spans="1:25" hidden="1" x14ac:dyDescent="0.3">
      <c r="A83" s="247"/>
      <c r="B83" s="133"/>
      <c r="C83" s="133"/>
      <c r="D83" s="133"/>
      <c r="E83" s="133"/>
      <c r="F83" s="206"/>
      <c r="G83" s="206"/>
      <c r="H83" s="206"/>
      <c r="I83" s="206"/>
      <c r="J83" s="206"/>
      <c r="K83" s="206"/>
      <c r="L83" s="206"/>
      <c r="M83" s="206"/>
      <c r="N83" s="206"/>
      <c r="O83" s="206"/>
      <c r="P83" s="206"/>
      <c r="Q83" s="206"/>
      <c r="R83" s="206"/>
      <c r="S83" s="206"/>
      <c r="T83" s="206"/>
      <c r="U83" s="206"/>
      <c r="V83" s="206"/>
      <c r="W83" s="206"/>
      <c r="X83" s="205"/>
      <c r="Y83" s="205"/>
    </row>
  </sheetData>
  <sheetProtection algorithmName="SHA-512" hashValue="Wlcb60xM9FVMS98wWxHTKdUT4es7+f42v75t/MDDiZzQ9pfor12d1xYtr8OdS0HcUUk3HLYj4KN0nu6AGxzyog==" saltValue="k+KacDwBhHClhA2N+Y5Ghg==" spinCount="100000" sheet="1" objects="1" scenarios="1"/>
  <mergeCells count="32">
    <mergeCell ref="B36:P36"/>
    <mergeCell ref="B37:P37"/>
    <mergeCell ref="B38:K38"/>
    <mergeCell ref="B39:P39"/>
    <mergeCell ref="A41:M41"/>
    <mergeCell ref="B29:M29"/>
    <mergeCell ref="B30:M30"/>
    <mergeCell ref="B31:M31"/>
    <mergeCell ref="B34:M34"/>
    <mergeCell ref="B35:P35"/>
    <mergeCell ref="B32:K32"/>
    <mergeCell ref="B69:M69"/>
    <mergeCell ref="C45:F46"/>
    <mergeCell ref="H45:J46"/>
    <mergeCell ref="B45:B46"/>
    <mergeCell ref="A44:T44"/>
    <mergeCell ref="L3:O4"/>
    <mergeCell ref="B77:K77"/>
    <mergeCell ref="B78:P78"/>
    <mergeCell ref="A80:M80"/>
    <mergeCell ref="B70:M70"/>
    <mergeCell ref="B73:M73"/>
    <mergeCell ref="B74:P74"/>
    <mergeCell ref="B75:P75"/>
    <mergeCell ref="B76:P76"/>
    <mergeCell ref="C3:K4"/>
    <mergeCell ref="A5:A7"/>
    <mergeCell ref="B5:B7"/>
    <mergeCell ref="C5:C6"/>
    <mergeCell ref="K5:K6"/>
    <mergeCell ref="A47:A49"/>
    <mergeCell ref="B47:B49"/>
  </mergeCells>
  <hyperlinks>
    <hyperlink ref="B27" location="NARIÑO!A41" display="Ver Nota Informativa" xr:uid="{00000000-0004-0000-0F00-000001000000}"/>
    <hyperlink ref="B72" location="Nota" display="Ver Nota Informativa" xr:uid="{00000000-0004-0000-0F00-000002000000}"/>
    <hyperlink ref="B67" location="NARIÑO!A79" display="Ver Nota Informativa" xr:uid="{00000000-0004-0000-0F00-000003000000}"/>
  </hyperlinks>
  <pageMargins left="0.7" right="0.7" top="0.75" bottom="0.75" header="0.3" footer="0.3"/>
  <pageSetup orientation="portrait" r:id="rId1"/>
  <ignoredErrors>
    <ignoredError sqref="J17:K21 P19 P17 M20:M21 J22 P21 P23:P24 F17:F21 M24 M17 H17:H21 C17:C21" formula="1"/>
    <ignoredError sqref="J12:K12 F12 H12 C12" numberStoredAsText="1"/>
    <ignoredError sqref="P15 P12 J13:K15 F14:F15 M14:M15 H13:H15" numberStoredAsText="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rgb="FFFFFF00"/>
  </sheetPr>
  <dimension ref="A1:U42"/>
  <sheetViews>
    <sheetView showGridLines="0" zoomScale="85" zoomScaleNormal="85" workbookViewId="0">
      <selection activeCell="P18" sqref="P18"/>
    </sheetView>
  </sheetViews>
  <sheetFormatPr baseColWidth="10" defaultRowHeight="14.4" x14ac:dyDescent="0.3"/>
  <cols>
    <col min="1" max="1" width="7.21875" customWidth="1"/>
    <col min="2" max="2" width="44.77734375" customWidth="1"/>
    <col min="3" max="3" width="12.21875" customWidth="1"/>
    <col min="4" max="4" width="13.21875" style="540" hidden="1" customWidth="1"/>
    <col min="5" max="5" width="13.21875" style="540" customWidth="1"/>
    <col min="6" max="7" width="13.21875" hidden="1" customWidth="1"/>
    <col min="8" max="8" width="12.5546875" style="540" customWidth="1"/>
    <col min="9" max="9" width="13.77734375" hidden="1" customWidth="1"/>
    <col min="10" max="10" width="12.44140625" style="540" customWidth="1"/>
    <col min="11" max="11" width="11.77734375" hidden="1" customWidth="1"/>
    <col min="12" max="12" width="14.109375" customWidth="1"/>
    <col min="13" max="13" width="12.6640625" hidden="1" customWidth="1"/>
    <col min="14" max="14" width="13" style="540" hidden="1" customWidth="1"/>
    <col min="15" max="15" width="15.77734375" hidden="1" customWidth="1"/>
    <col min="16" max="16" width="13.21875" customWidth="1"/>
  </cols>
  <sheetData>
    <row r="1" spans="1:16" x14ac:dyDescent="0.3">
      <c r="A1" s="88"/>
      <c r="B1" s="88" t="str">
        <f>+AMAZONAS!C1</f>
        <v>Vigencia: 01 de Octubre de 2022; 00:00 horas</v>
      </c>
    </row>
    <row r="2" spans="1:16" ht="15" thickBot="1" x14ac:dyDescent="0.35">
      <c r="A2" s="115" t="s">
        <v>162</v>
      </c>
      <c r="B2" s="115"/>
    </row>
    <row r="3" spans="1:16" ht="16.05" customHeight="1" thickTop="1" x14ac:dyDescent="0.3">
      <c r="A3" s="143"/>
      <c r="B3" s="144" t="s">
        <v>255</v>
      </c>
      <c r="C3" s="917" t="s">
        <v>163</v>
      </c>
      <c r="D3" s="918"/>
      <c r="E3" s="918"/>
      <c r="F3" s="918"/>
      <c r="G3" s="918"/>
      <c r="H3" s="918"/>
      <c r="I3" s="918"/>
      <c r="J3" s="918"/>
      <c r="K3" s="919"/>
      <c r="L3" s="923" t="s">
        <v>232</v>
      </c>
      <c r="M3" s="924"/>
      <c r="N3" s="924"/>
      <c r="O3" s="924"/>
      <c r="P3" s="924"/>
    </row>
    <row r="4" spans="1:16" ht="27.6" x14ac:dyDescent="0.3">
      <c r="A4" s="90"/>
      <c r="B4" s="603" t="s">
        <v>476</v>
      </c>
      <c r="C4" s="920"/>
      <c r="D4" s="921"/>
      <c r="E4" s="921"/>
      <c r="F4" s="921"/>
      <c r="G4" s="921"/>
      <c r="H4" s="921"/>
      <c r="I4" s="921"/>
      <c r="J4" s="921"/>
      <c r="K4" s="922"/>
      <c r="L4" s="925"/>
      <c r="M4" s="926"/>
      <c r="N4" s="926"/>
      <c r="O4" s="926"/>
      <c r="P4" s="926"/>
    </row>
    <row r="5" spans="1:16" ht="25.8" customHeight="1" x14ac:dyDescent="0.3">
      <c r="A5" s="896" t="s">
        <v>164</v>
      </c>
      <c r="B5" s="898" t="s">
        <v>165</v>
      </c>
      <c r="C5" s="902" t="s">
        <v>223</v>
      </c>
      <c r="D5" s="749" t="s">
        <v>96</v>
      </c>
      <c r="E5" s="690" t="s">
        <v>96</v>
      </c>
      <c r="F5" s="516" t="s">
        <v>96</v>
      </c>
      <c r="G5" s="120" t="s">
        <v>485</v>
      </c>
      <c r="H5" s="724" t="s">
        <v>370</v>
      </c>
      <c r="I5" s="120" t="s">
        <v>509</v>
      </c>
      <c r="J5" s="604" t="s">
        <v>375</v>
      </c>
      <c r="K5" s="120" t="str">
        <f>+CHOCO!J5</f>
        <v>Biodiesel B11</v>
      </c>
      <c r="L5" s="120" t="s">
        <v>96</v>
      </c>
      <c r="M5" s="516" t="s">
        <v>96</v>
      </c>
      <c r="N5" s="616" t="s">
        <v>485</v>
      </c>
      <c r="O5" s="182" t="str">
        <f>+I5</f>
        <v xml:space="preserve">Biodiesel B5 </v>
      </c>
      <c r="P5" s="609" t="str">
        <f>+J5</f>
        <v>Biodiesel B10</v>
      </c>
    </row>
    <row r="6" spans="1:16" ht="15.6" customHeight="1" x14ac:dyDescent="0.3">
      <c r="A6" s="896"/>
      <c r="B6" s="898"/>
      <c r="C6" s="903"/>
      <c r="D6" s="480" t="s">
        <v>512</v>
      </c>
      <c r="E6" s="480" t="s">
        <v>488</v>
      </c>
      <c r="F6" s="480" t="s">
        <v>452</v>
      </c>
      <c r="G6" s="617">
        <v>0.1</v>
      </c>
      <c r="H6" s="617">
        <v>0.02</v>
      </c>
      <c r="I6" s="617">
        <v>0.05</v>
      </c>
      <c r="J6" s="617">
        <v>0.1</v>
      </c>
      <c r="K6" s="322">
        <f>+CHOCO!J6</f>
        <v>0.11</v>
      </c>
      <c r="L6" s="480" t="s">
        <v>488</v>
      </c>
      <c r="M6" s="460">
        <v>5</v>
      </c>
      <c r="N6" s="617">
        <v>0.1</v>
      </c>
      <c r="O6" s="121">
        <f>+I6</f>
        <v>0.05</v>
      </c>
      <c r="P6" s="121">
        <f>+J6</f>
        <v>0.1</v>
      </c>
    </row>
    <row r="7" spans="1:16" x14ac:dyDescent="0.3">
      <c r="A7" s="897"/>
      <c r="B7" s="899"/>
      <c r="C7" s="91" t="s">
        <v>166</v>
      </c>
      <c r="D7" s="749" t="s">
        <v>166</v>
      </c>
      <c r="E7" s="690" t="s">
        <v>166</v>
      </c>
      <c r="F7" s="516" t="s">
        <v>166</v>
      </c>
      <c r="G7" s="120" t="s">
        <v>166</v>
      </c>
      <c r="H7" s="724" t="s">
        <v>166</v>
      </c>
      <c r="I7" s="120" t="s">
        <v>166</v>
      </c>
      <c r="J7" s="611" t="s">
        <v>166</v>
      </c>
      <c r="K7" s="120" t="s">
        <v>166</v>
      </c>
      <c r="L7" s="91" t="s">
        <v>166</v>
      </c>
      <c r="M7" s="515" t="s">
        <v>166</v>
      </c>
      <c r="N7" s="616" t="s">
        <v>166</v>
      </c>
      <c r="O7" s="182" t="s">
        <v>166</v>
      </c>
      <c r="P7" s="609" t="s">
        <v>166</v>
      </c>
    </row>
    <row r="8" spans="1:16" ht="15.6" customHeight="1" x14ac:dyDescent="0.3">
      <c r="A8" s="93" t="s">
        <v>167</v>
      </c>
      <c r="B8" s="99" t="s">
        <v>168</v>
      </c>
      <c r="C8" s="160">
        <f>+'Calculo IP ZDF'!B34</f>
        <v>5041.4749999999995</v>
      </c>
      <c r="D8" s="160">
        <f>+'Calculo IP ZDF'!G34</f>
        <v>5201.6097</v>
      </c>
      <c r="E8" s="160">
        <f>+'Calculo IP ZDF'!H34</f>
        <v>5361.7443999999987</v>
      </c>
      <c r="F8" s="668">
        <f>+'Calculo IP ZDF'!I34</f>
        <v>5441.8117499999989</v>
      </c>
      <c r="G8" s="668">
        <f>+'Calculo IP ZDF'!K34</f>
        <v>5842.1484999999993</v>
      </c>
      <c r="H8" s="145">
        <f>+'Calculo IP ZDF'!F34</f>
        <v>3741.5762</v>
      </c>
      <c r="I8" s="168">
        <f>+'Calculo IP ZDF'!R34</f>
        <v>4246.8840625000003</v>
      </c>
      <c r="J8" s="145">
        <f>+'Calculo IP ZDF'!M34</f>
        <v>5089.0643749999999</v>
      </c>
      <c r="K8" s="167">
        <f>+'Calculo IP ZDF'!M34</f>
        <v>5089.0643749999999</v>
      </c>
      <c r="L8" s="145">
        <f>+'GAS CTE'!E9</f>
        <v>5573.9283999999998</v>
      </c>
      <c r="M8" s="145">
        <f>+'GAS CTE'!F9</f>
        <v>5651.7855</v>
      </c>
      <c r="N8" s="168">
        <f>+'GAS CTE'!I9</f>
        <v>6041.0709999999999</v>
      </c>
      <c r="O8" s="167">
        <f>+BIODIESEL!G9</f>
        <v>5413.0529999999999</v>
      </c>
      <c r="P8" s="167">
        <f>+BIODIESEL!H9</f>
        <v>6193.8560000000007</v>
      </c>
    </row>
    <row r="9" spans="1:16" ht="15.6" customHeight="1" x14ac:dyDescent="0.3">
      <c r="A9" s="93" t="s">
        <v>169</v>
      </c>
      <c r="B9" s="99" t="s">
        <v>170</v>
      </c>
      <c r="C9" s="146" t="str">
        <f t="shared" ref="C9:C13" si="0">+G9</f>
        <v>------------------</v>
      </c>
      <c r="D9" s="146" t="s">
        <v>171</v>
      </c>
      <c r="E9" s="146" t="s">
        <v>171</v>
      </c>
      <c r="F9" s="619" t="s">
        <v>171</v>
      </c>
      <c r="G9" s="619" t="s">
        <v>171</v>
      </c>
      <c r="H9" s="532" t="s">
        <v>171</v>
      </c>
      <c r="I9" s="147" t="s">
        <v>171</v>
      </c>
      <c r="J9" s="532" t="s">
        <v>171</v>
      </c>
      <c r="K9" s="96" t="s">
        <v>171</v>
      </c>
      <c r="L9" s="145">
        <f>+'GAS CTE'!E10</f>
        <v>562.79999999999995</v>
      </c>
      <c r="M9" s="145">
        <f>+'GAS CTE'!F10</f>
        <v>556.9375</v>
      </c>
      <c r="N9" s="145">
        <f>+'GAS CTE'!I10</f>
        <v>501.24375000000003</v>
      </c>
      <c r="O9" s="740">
        <f>+BIODIESEL!G10</f>
        <v>533.06399999999996</v>
      </c>
      <c r="P9" s="740">
        <f>+BIODIESEL!H10</f>
        <v>505.00800000000004</v>
      </c>
    </row>
    <row r="10" spans="1:16" ht="15.6" customHeight="1" x14ac:dyDescent="0.3">
      <c r="A10" s="93"/>
      <c r="B10" s="99" t="s">
        <v>129</v>
      </c>
      <c r="C10" s="146" t="str">
        <f>+G10</f>
        <v>------------------</v>
      </c>
      <c r="D10" s="146" t="s">
        <v>171</v>
      </c>
      <c r="E10" s="146" t="s">
        <v>171</v>
      </c>
      <c r="F10" s="619" t="s">
        <v>171</v>
      </c>
      <c r="G10" s="619" t="s">
        <v>171</v>
      </c>
      <c r="H10" s="532" t="s">
        <v>171</v>
      </c>
      <c r="I10" s="147" t="s">
        <v>171</v>
      </c>
      <c r="J10" s="532" t="s">
        <v>171</v>
      </c>
      <c r="K10" s="96" t="s">
        <v>171</v>
      </c>
      <c r="L10" s="161" t="s">
        <v>130</v>
      </c>
      <c r="M10" s="740" t="str">
        <f>+BIODIESEL!F11</f>
        <v>(3)</v>
      </c>
      <c r="N10" s="740" t="str">
        <f>+BIODIESEL!G11</f>
        <v>(3)</v>
      </c>
      <c r="O10" s="740" t="str">
        <f>+BIODIESEL!H11</f>
        <v>(3)</v>
      </c>
      <c r="P10" s="740" t="s">
        <v>130</v>
      </c>
    </row>
    <row r="11" spans="1:16" ht="15.6" customHeight="1" x14ac:dyDescent="0.3">
      <c r="A11" s="93"/>
      <c r="B11" s="99" t="s">
        <v>131</v>
      </c>
      <c r="C11" s="211" t="s">
        <v>201</v>
      </c>
      <c r="D11" s="211" t="s">
        <v>201</v>
      </c>
      <c r="E11" s="211" t="s">
        <v>201</v>
      </c>
      <c r="F11" s="619" t="str">
        <f>+C11</f>
        <v>(4)</v>
      </c>
      <c r="G11" s="619" t="s">
        <v>201</v>
      </c>
      <c r="H11" s="532" t="s">
        <v>201</v>
      </c>
      <c r="I11" s="147" t="str">
        <f>+C11</f>
        <v>(4)</v>
      </c>
      <c r="J11" s="532" t="str">
        <f>+F11</f>
        <v>(4)</v>
      </c>
      <c r="K11" s="96" t="str">
        <f>+C11</f>
        <v>(4)</v>
      </c>
      <c r="L11" s="145" t="s">
        <v>201</v>
      </c>
      <c r="M11" s="145" t="str">
        <f>+I11</f>
        <v>(4)</v>
      </c>
      <c r="N11" s="145" t="str">
        <f>+J11</f>
        <v>(4)</v>
      </c>
      <c r="O11" s="167" t="str">
        <f>+K11</f>
        <v>(4)</v>
      </c>
      <c r="P11" s="167" t="s">
        <v>201</v>
      </c>
    </row>
    <row r="12" spans="1:16" ht="15.6" customHeight="1" x14ac:dyDescent="0.3">
      <c r="A12" s="93" t="s">
        <v>172</v>
      </c>
      <c r="B12" s="99" t="s">
        <v>250</v>
      </c>
      <c r="C12" s="146" t="str">
        <f>+AMAZONAS!C12</f>
        <v>(2)</v>
      </c>
      <c r="D12" s="146" t="s">
        <v>200</v>
      </c>
      <c r="E12" s="146" t="s">
        <v>200</v>
      </c>
      <c r="F12" s="620" t="s">
        <v>200</v>
      </c>
      <c r="G12" s="620" t="s">
        <v>200</v>
      </c>
      <c r="H12" s="156" t="s">
        <v>200</v>
      </c>
      <c r="I12" s="97" t="s">
        <v>200</v>
      </c>
      <c r="J12" s="156" t="s">
        <v>200</v>
      </c>
      <c r="K12" s="96" t="s">
        <v>200</v>
      </c>
      <c r="L12" s="145">
        <v>0</v>
      </c>
      <c r="M12" s="145">
        <f>+L12</f>
        <v>0</v>
      </c>
      <c r="N12" s="145">
        <f>+M12</f>
        <v>0</v>
      </c>
      <c r="O12" s="167" t="s">
        <v>200</v>
      </c>
      <c r="P12" s="167" t="s">
        <v>200</v>
      </c>
    </row>
    <row r="13" spans="1:16" ht="15.6" customHeight="1" x14ac:dyDescent="0.3">
      <c r="A13" s="93" t="s">
        <v>234</v>
      </c>
      <c r="B13" s="99" t="s">
        <v>235</v>
      </c>
      <c r="C13" s="146" t="str">
        <f t="shared" si="0"/>
        <v>N.A.</v>
      </c>
      <c r="D13" s="146" t="s">
        <v>236</v>
      </c>
      <c r="E13" s="146" t="s">
        <v>236</v>
      </c>
      <c r="F13" s="620" t="s">
        <v>236</v>
      </c>
      <c r="G13" s="620" t="s">
        <v>236</v>
      </c>
      <c r="H13" s="156" t="s">
        <v>236</v>
      </c>
      <c r="I13" s="147" t="s">
        <v>201</v>
      </c>
      <c r="J13" s="532" t="s">
        <v>201</v>
      </c>
      <c r="K13" s="98" t="str">
        <f>+I13</f>
        <v>(4)</v>
      </c>
      <c r="L13" s="145" t="s">
        <v>236</v>
      </c>
      <c r="M13" s="145" t="s">
        <v>236</v>
      </c>
      <c r="N13" s="145" t="s">
        <v>236</v>
      </c>
      <c r="O13" s="167" t="str">
        <f>+K13</f>
        <v>(4)</v>
      </c>
      <c r="P13" s="167" t="s">
        <v>201</v>
      </c>
    </row>
    <row r="14" spans="1:16" ht="15.6" customHeight="1" x14ac:dyDescent="0.3">
      <c r="A14" s="93" t="s">
        <v>174</v>
      </c>
      <c r="B14" s="99" t="s">
        <v>175</v>
      </c>
      <c r="C14" s="146">
        <f>+RUBROS!AC16</f>
        <v>10.866833607342301</v>
      </c>
      <c r="D14" s="146">
        <f>+C14</f>
        <v>10.866833607342301</v>
      </c>
      <c r="E14" s="146">
        <f>+C14</f>
        <v>10.866833607342301</v>
      </c>
      <c r="F14" s="620">
        <f>+C14</f>
        <v>10.866833607342301</v>
      </c>
      <c r="G14" s="97">
        <f>+C14</f>
        <v>10.866833607342301</v>
      </c>
      <c r="H14" s="97">
        <f>+C14</f>
        <v>10.866833607342301</v>
      </c>
      <c r="I14" s="97">
        <f>+C14</f>
        <v>10.866833607342301</v>
      </c>
      <c r="J14" s="145">
        <f>+C14</f>
        <v>10.866833607342301</v>
      </c>
      <c r="K14" s="96">
        <f>+C14</f>
        <v>10.866833607342301</v>
      </c>
      <c r="L14" s="145">
        <f>+RUBROS!$AD$16</f>
        <v>23.500029293035123</v>
      </c>
      <c r="M14" s="145">
        <f>+RUBROS!$AD$16</f>
        <v>23.500029293035123</v>
      </c>
      <c r="N14" s="145">
        <f>+RUBROS!$AD$16</f>
        <v>23.500029293035123</v>
      </c>
      <c r="O14" s="167">
        <f>+RUBROS!AD16</f>
        <v>23.500029293035123</v>
      </c>
      <c r="P14" s="167">
        <f>+RUBROS!AD16</f>
        <v>23.500029293035123</v>
      </c>
    </row>
    <row r="15" spans="1:16" ht="15.6" customHeight="1" x14ac:dyDescent="0.3">
      <c r="A15" s="93" t="s">
        <v>176</v>
      </c>
      <c r="B15" s="99" t="s">
        <v>177</v>
      </c>
      <c r="C15" s="146">
        <f>+RUBROS!AC52</f>
        <v>112.5832368093597</v>
      </c>
      <c r="D15" s="146">
        <f>+C15</f>
        <v>112.5832368093597</v>
      </c>
      <c r="E15" s="146">
        <f>+C15</f>
        <v>112.5832368093597</v>
      </c>
      <c r="F15" s="620">
        <f>+C15</f>
        <v>112.5832368093597</v>
      </c>
      <c r="G15" s="97">
        <f>+C15</f>
        <v>112.5832368093597</v>
      </c>
      <c r="H15" s="97">
        <f>+C15</f>
        <v>112.5832368093597</v>
      </c>
      <c r="I15" s="97">
        <f>+C15</f>
        <v>112.5832368093597</v>
      </c>
      <c r="J15" s="145">
        <f>+I15</f>
        <v>112.5832368093597</v>
      </c>
      <c r="K15" s="96">
        <f>+C15</f>
        <v>112.5832368093597</v>
      </c>
      <c r="L15" s="145">
        <f>+RUBROS!$AC$52</f>
        <v>112.5832368093597</v>
      </c>
      <c r="M15" s="145">
        <f>+RUBROS!$AC$52</f>
        <v>112.5832368093597</v>
      </c>
      <c r="N15" s="145">
        <f>+RUBROS!$AC$52</f>
        <v>112.5832368093597</v>
      </c>
      <c r="O15" s="167">
        <f>+C15</f>
        <v>112.5832368093597</v>
      </c>
      <c r="P15" s="167">
        <f>+F15</f>
        <v>112.5832368093597</v>
      </c>
    </row>
    <row r="16" spans="1:16" ht="15.6" customHeight="1" x14ac:dyDescent="0.3">
      <c r="A16" s="93" t="s">
        <v>178</v>
      </c>
      <c r="B16" s="165" t="s">
        <v>179</v>
      </c>
      <c r="C16" s="146">
        <f>+RUBROS!AU30</f>
        <v>13.326421256197724</v>
      </c>
      <c r="D16" s="146">
        <f>+C16</f>
        <v>13.326421256197724</v>
      </c>
      <c r="E16" s="146">
        <f>+C16</f>
        <v>13.326421256197724</v>
      </c>
      <c r="F16" s="97">
        <f>+C16</f>
        <v>13.326421256197724</v>
      </c>
      <c r="G16" s="97">
        <f>+C16</f>
        <v>13.326421256197724</v>
      </c>
      <c r="H16" s="148">
        <f>+C16</f>
        <v>13.326421256197724</v>
      </c>
      <c r="I16" s="148">
        <f>+C16</f>
        <v>13.326421256197724</v>
      </c>
      <c r="J16" s="145">
        <f>+I16</f>
        <v>13.326421256197724</v>
      </c>
      <c r="K16" s="96">
        <f>+C16</f>
        <v>13.326421256197724</v>
      </c>
      <c r="L16" s="145">
        <f>+E16</f>
        <v>13.326421256197724</v>
      </c>
      <c r="M16" s="145">
        <f>+C16</f>
        <v>13.326421256197724</v>
      </c>
      <c r="N16" s="145">
        <f>+C16</f>
        <v>13.326421256197724</v>
      </c>
      <c r="O16" s="167">
        <f>+C16</f>
        <v>13.326421256197724</v>
      </c>
      <c r="P16" s="167">
        <f>+F16</f>
        <v>13.326421256197724</v>
      </c>
    </row>
    <row r="17" spans="1:21" hidden="1" x14ac:dyDescent="0.3">
      <c r="A17" s="93"/>
      <c r="B17" s="99" t="s">
        <v>180</v>
      </c>
      <c r="C17" s="146"/>
      <c r="D17" s="517"/>
      <c r="E17" s="517"/>
      <c r="F17" s="149"/>
      <c r="G17" s="519"/>
      <c r="H17" s="741"/>
      <c r="I17" s="150"/>
      <c r="J17" s="615"/>
      <c r="K17" s="96"/>
      <c r="L17" s="154"/>
      <c r="M17" s="145"/>
      <c r="N17" s="520"/>
      <c r="O17" s="172"/>
      <c r="P17" s="172"/>
    </row>
    <row r="18" spans="1:21" x14ac:dyDescent="0.3">
      <c r="A18" s="100" t="s">
        <v>181</v>
      </c>
      <c r="B18" s="129" t="s">
        <v>182</v>
      </c>
      <c r="C18" s="151">
        <f t="shared" ref="C18:O18" si="1">SUM(C8:C17)</f>
        <v>5178.2514916728996</v>
      </c>
      <c r="D18" s="151">
        <f t="shared" si="1"/>
        <v>5338.3861916729002</v>
      </c>
      <c r="E18" s="151">
        <f t="shared" si="1"/>
        <v>5498.5208916728989</v>
      </c>
      <c r="F18" s="152">
        <f>SUM(F8:F17)</f>
        <v>5578.5882416728991</v>
      </c>
      <c r="G18" s="152">
        <f>SUM(G8:G17)</f>
        <v>5978.9249916728995</v>
      </c>
      <c r="H18" s="152">
        <f>SUM(H8:H17)</f>
        <v>3878.3526916728997</v>
      </c>
      <c r="I18" s="152">
        <f t="shared" si="1"/>
        <v>4383.6605541729004</v>
      </c>
      <c r="J18" s="152">
        <f t="shared" si="1"/>
        <v>5225.8408666729001</v>
      </c>
      <c r="K18" s="153">
        <f t="shared" si="1"/>
        <v>5225.8408666729001</v>
      </c>
      <c r="L18" s="154">
        <f t="shared" ref="L18:N18" si="2">SUM(L8:L17)</f>
        <v>6286.1380873585931</v>
      </c>
      <c r="M18" s="154">
        <f t="shared" si="2"/>
        <v>6358.1326873585931</v>
      </c>
      <c r="N18" s="154">
        <f t="shared" si="2"/>
        <v>6691.7244373585927</v>
      </c>
      <c r="O18" s="173">
        <f t="shared" si="1"/>
        <v>6095.5266873585933</v>
      </c>
      <c r="P18" s="173">
        <f t="shared" ref="P18" si="3">SUM(P8:P17)</f>
        <v>6848.2736873585936</v>
      </c>
    </row>
    <row r="19" spans="1:21" x14ac:dyDescent="0.3">
      <c r="A19" s="93" t="s">
        <v>183</v>
      </c>
      <c r="B19" s="99" t="s">
        <v>184</v>
      </c>
      <c r="C19" s="146" t="s">
        <v>214</v>
      </c>
      <c r="D19" s="146" t="s">
        <v>214</v>
      </c>
      <c r="E19" s="146" t="s">
        <v>214</v>
      </c>
      <c r="F19" s="155" t="str">
        <f>+C19</f>
        <v>***</v>
      </c>
      <c r="G19" s="155" t="str">
        <f>+F19</f>
        <v>***</v>
      </c>
      <c r="H19" s="155" t="str">
        <f>+G19</f>
        <v>***</v>
      </c>
      <c r="I19" s="155" t="str">
        <f>+C19</f>
        <v>***</v>
      </c>
      <c r="J19" s="155" t="str">
        <f>+F19</f>
        <v>***</v>
      </c>
      <c r="K19" s="96" t="str">
        <f>+C19</f>
        <v>***</v>
      </c>
      <c r="L19" s="148" t="s">
        <v>214</v>
      </c>
      <c r="M19" s="148" t="s">
        <v>214</v>
      </c>
      <c r="N19" s="148" t="s">
        <v>214</v>
      </c>
      <c r="O19" s="174" t="s">
        <v>214</v>
      </c>
      <c r="P19" s="174" t="s">
        <v>214</v>
      </c>
    </row>
    <row r="20" spans="1:21" x14ac:dyDescent="0.3">
      <c r="A20" s="93" t="s">
        <v>185</v>
      </c>
      <c r="B20" s="99" t="s">
        <v>186</v>
      </c>
      <c r="C20" s="146" t="str">
        <f t="shared" ref="C20:E21" si="4">+G20</f>
        <v>**</v>
      </c>
      <c r="D20" s="146" t="str">
        <f t="shared" si="4"/>
        <v>**</v>
      </c>
      <c r="E20" s="146" t="str">
        <f t="shared" si="4"/>
        <v>**</v>
      </c>
      <c r="F20" s="156" t="s">
        <v>212</v>
      </c>
      <c r="G20" s="156" t="s">
        <v>212</v>
      </c>
      <c r="H20" s="156" t="s">
        <v>212</v>
      </c>
      <c r="I20" s="156" t="s">
        <v>212</v>
      </c>
      <c r="J20" s="156" t="s">
        <v>212</v>
      </c>
      <c r="K20" s="96" t="s">
        <v>212</v>
      </c>
      <c r="L20" s="148" t="str">
        <f>+N20</f>
        <v>**</v>
      </c>
      <c r="M20" s="148" t="str">
        <f>+O20</f>
        <v>**</v>
      </c>
      <c r="N20" s="148" t="str">
        <f>+P20</f>
        <v>**</v>
      </c>
      <c r="O20" s="167" t="s">
        <v>212</v>
      </c>
      <c r="P20" s="167" t="s">
        <v>212</v>
      </c>
    </row>
    <row r="21" spans="1:21" x14ac:dyDescent="0.3">
      <c r="A21" s="93" t="s">
        <v>187</v>
      </c>
      <c r="B21" s="99" t="s">
        <v>188</v>
      </c>
      <c r="C21" s="146" t="str">
        <f t="shared" si="4"/>
        <v>****</v>
      </c>
      <c r="D21" s="146" t="str">
        <f t="shared" si="4"/>
        <v>****</v>
      </c>
      <c r="E21" s="146" t="str">
        <f t="shared" si="4"/>
        <v>****</v>
      </c>
      <c r="F21" s="97" t="s">
        <v>216</v>
      </c>
      <c r="G21" s="97" t="s">
        <v>216</v>
      </c>
      <c r="H21" s="97" t="s">
        <v>216</v>
      </c>
      <c r="I21" s="97" t="str">
        <f>+G21</f>
        <v>****</v>
      </c>
      <c r="J21" s="97" t="str">
        <f>+I21</f>
        <v>****</v>
      </c>
      <c r="K21" s="96" t="str">
        <f>+I21</f>
        <v>****</v>
      </c>
      <c r="L21" s="148" t="s">
        <v>216</v>
      </c>
      <c r="M21" s="148" t="s">
        <v>216</v>
      </c>
      <c r="N21" s="148" t="s">
        <v>216</v>
      </c>
      <c r="O21" s="170" t="str">
        <f>+K21</f>
        <v>****</v>
      </c>
      <c r="P21" s="170" t="str">
        <f>+L21</f>
        <v>****</v>
      </c>
      <c r="Q21" s="19"/>
    </row>
    <row r="22" spans="1:21" x14ac:dyDescent="0.3">
      <c r="A22" s="100" t="s">
        <v>189</v>
      </c>
      <c r="B22" s="129" t="s">
        <v>190</v>
      </c>
      <c r="C22" s="151">
        <f>+C18</f>
        <v>5178.2514916728996</v>
      </c>
      <c r="D22" s="151">
        <f>+D18</f>
        <v>5338.3861916729002</v>
      </c>
      <c r="E22" s="151">
        <f>+E18</f>
        <v>5498.5208916728989</v>
      </c>
      <c r="F22" s="151">
        <f t="shared" ref="F22:G22" si="5">+F18</f>
        <v>5578.5882416728991</v>
      </c>
      <c r="G22" s="151">
        <f t="shared" si="5"/>
        <v>5978.9249916728995</v>
      </c>
      <c r="H22" s="151">
        <f t="shared" ref="H22" si="6">+H18</f>
        <v>3878.3526916728997</v>
      </c>
      <c r="I22" s="151">
        <f t="shared" ref="I22:O22" si="7">+I18</f>
        <v>4383.6605541729004</v>
      </c>
      <c r="J22" s="151">
        <f t="shared" ref="J22" si="8">+J18</f>
        <v>5225.8408666729001</v>
      </c>
      <c r="K22" s="169">
        <f t="shared" si="7"/>
        <v>5225.8408666729001</v>
      </c>
      <c r="L22" s="151">
        <f t="shared" si="7"/>
        <v>6286.1380873585931</v>
      </c>
      <c r="M22" s="151">
        <f t="shared" ref="M22:N22" si="9">+M18</f>
        <v>6358.1326873585931</v>
      </c>
      <c r="N22" s="151">
        <f t="shared" si="9"/>
        <v>6691.7244373585927</v>
      </c>
      <c r="O22" s="169">
        <f t="shared" si="7"/>
        <v>6095.5266873585933</v>
      </c>
      <c r="P22" s="169">
        <f t="shared" ref="P22" si="10">+P18</f>
        <v>6848.2736873585936</v>
      </c>
    </row>
    <row r="23" spans="1:21" x14ac:dyDescent="0.3">
      <c r="A23" s="93" t="s">
        <v>191</v>
      </c>
      <c r="B23" s="99" t="s">
        <v>150</v>
      </c>
      <c r="C23" s="146" t="s">
        <v>214</v>
      </c>
      <c r="D23" s="146" t="s">
        <v>214</v>
      </c>
      <c r="E23" s="146" t="s">
        <v>214</v>
      </c>
      <c r="F23" s="97" t="str">
        <f>+C23</f>
        <v>***</v>
      </c>
      <c r="G23" s="97" t="str">
        <f>+F23</f>
        <v>***</v>
      </c>
      <c r="H23" s="97" t="str">
        <f>+G23</f>
        <v>***</v>
      </c>
      <c r="I23" s="97" t="str">
        <f>+G23</f>
        <v>***</v>
      </c>
      <c r="J23" s="97" t="str">
        <f>+I23</f>
        <v>***</v>
      </c>
      <c r="K23" s="96" t="str">
        <f>+I23</f>
        <v>***</v>
      </c>
      <c r="L23" s="148" t="str">
        <f>+N23</f>
        <v>***</v>
      </c>
      <c r="M23" s="148" t="str">
        <f>+O23</f>
        <v>***</v>
      </c>
      <c r="N23" s="148" t="str">
        <f>+P23</f>
        <v>***</v>
      </c>
      <c r="O23" s="170" t="s">
        <v>214</v>
      </c>
      <c r="P23" s="170" t="s">
        <v>214</v>
      </c>
    </row>
    <row r="24" spans="1:21" x14ac:dyDescent="0.3">
      <c r="A24" s="93" t="s">
        <v>192</v>
      </c>
      <c r="B24" s="94" t="s">
        <v>193</v>
      </c>
      <c r="C24" s="146" t="str">
        <f t="shared" ref="C24:E25" si="11">+G24</f>
        <v>*****</v>
      </c>
      <c r="D24" s="146" t="str">
        <f t="shared" si="11"/>
        <v>*****</v>
      </c>
      <c r="E24" s="146" t="str">
        <f t="shared" si="11"/>
        <v>N.A.</v>
      </c>
      <c r="F24" s="97" t="s">
        <v>218</v>
      </c>
      <c r="G24" s="97" t="s">
        <v>218</v>
      </c>
      <c r="H24" s="97" t="s">
        <v>218</v>
      </c>
      <c r="I24" s="97" t="s">
        <v>236</v>
      </c>
      <c r="J24" s="97" t="s">
        <v>236</v>
      </c>
      <c r="K24" s="96" t="s">
        <v>194</v>
      </c>
      <c r="L24" s="148" t="str">
        <f>+F24</f>
        <v>*****</v>
      </c>
      <c r="M24" s="148" t="str">
        <f>+G24</f>
        <v>*****</v>
      </c>
      <c r="N24" s="148" t="str">
        <f>+I24</f>
        <v>N.A.</v>
      </c>
      <c r="O24" s="170" t="s">
        <v>237</v>
      </c>
      <c r="P24" s="170" t="s">
        <v>237</v>
      </c>
    </row>
    <row r="25" spans="1:21" x14ac:dyDescent="0.3">
      <c r="A25" s="93" t="s">
        <v>195</v>
      </c>
      <c r="B25" s="99" t="s">
        <v>196</v>
      </c>
      <c r="C25" s="146" t="str">
        <f t="shared" si="11"/>
        <v>******</v>
      </c>
      <c r="D25" s="146" t="str">
        <f t="shared" si="11"/>
        <v>******</v>
      </c>
      <c r="E25" s="146" t="str">
        <f t="shared" si="11"/>
        <v>******</v>
      </c>
      <c r="F25" s="156" t="s">
        <v>219</v>
      </c>
      <c r="G25" s="156" t="s">
        <v>219</v>
      </c>
      <c r="H25" s="156" t="s">
        <v>219</v>
      </c>
      <c r="I25" s="156" t="str">
        <f>+G25</f>
        <v>******</v>
      </c>
      <c r="J25" s="156" t="str">
        <f>+I25</f>
        <v>******</v>
      </c>
      <c r="K25" s="98" t="str">
        <f>+I25</f>
        <v>******</v>
      </c>
      <c r="L25" s="148" t="str">
        <f>+K25</f>
        <v>******</v>
      </c>
      <c r="M25" s="148" t="str">
        <f>+L25</f>
        <v>******</v>
      </c>
      <c r="N25" s="148" t="str">
        <f>+M25</f>
        <v>******</v>
      </c>
      <c r="O25" s="167" t="str">
        <f>+L25</f>
        <v>******</v>
      </c>
      <c r="P25" s="167" t="str">
        <f>+M25</f>
        <v>******</v>
      </c>
    </row>
    <row r="26" spans="1:21" ht="15" thickBot="1" x14ac:dyDescent="0.35">
      <c r="A26" s="104" t="s">
        <v>197</v>
      </c>
      <c r="B26" s="105" t="s">
        <v>198</v>
      </c>
      <c r="C26" s="157"/>
      <c r="D26" s="157"/>
      <c r="E26" s="157"/>
      <c r="F26" s="157"/>
      <c r="G26" s="108"/>
      <c r="H26" s="158"/>
      <c r="I26" s="158"/>
      <c r="J26" s="158"/>
      <c r="K26" s="107"/>
      <c r="L26" s="158"/>
      <c r="M26" s="158"/>
      <c r="N26" s="158"/>
      <c r="O26" s="175"/>
      <c r="P26" s="175"/>
    </row>
    <row r="27" spans="1:21" ht="15" thickTop="1" x14ac:dyDescent="0.3"/>
    <row r="28" spans="1:21" x14ac:dyDescent="0.3">
      <c r="A28" s="112"/>
      <c r="B28" s="210" t="s">
        <v>210</v>
      </c>
      <c r="C28" s="162"/>
      <c r="D28" s="162"/>
      <c r="E28" s="162"/>
      <c r="F28" s="162"/>
      <c r="G28" s="162"/>
      <c r="H28" s="162"/>
      <c r="I28" s="162"/>
      <c r="J28" s="162"/>
      <c r="K28" s="162"/>
      <c r="L28" s="142"/>
      <c r="M28" s="142"/>
      <c r="N28" s="142"/>
      <c r="O28" s="142"/>
      <c r="P28" s="142"/>
      <c r="Q28" s="142"/>
      <c r="R28" s="142"/>
      <c r="S28" s="142"/>
      <c r="T28" s="142"/>
      <c r="U28" s="142"/>
    </row>
    <row r="29" spans="1:21" x14ac:dyDescent="0.3">
      <c r="A29" s="112"/>
      <c r="B29" s="133"/>
      <c r="C29" s="162"/>
      <c r="D29" s="162"/>
      <c r="E29" s="162"/>
      <c r="F29" s="162"/>
      <c r="G29" s="162"/>
      <c r="H29" s="162"/>
      <c r="I29" s="162"/>
      <c r="J29" s="162"/>
      <c r="K29" s="162"/>
      <c r="L29" s="142"/>
      <c r="M29" s="142"/>
      <c r="N29" s="142"/>
      <c r="O29" s="142"/>
      <c r="P29" s="142"/>
      <c r="Q29" s="142"/>
      <c r="R29" s="142"/>
      <c r="S29" s="142"/>
      <c r="T29" s="142"/>
      <c r="U29" s="142"/>
    </row>
    <row r="30" spans="1:21" ht="28.5" customHeight="1" x14ac:dyDescent="0.3">
      <c r="A30" s="112" t="s">
        <v>173</v>
      </c>
      <c r="B30" s="915" t="str">
        <f>+CHOCO!B29</f>
        <v>De acuerdo con lo establecido en la Resoluccion 91349 de 2014 del MME para combustible de origen nacional o importado a ser distribuido en zonas de frontera, aplica la tarifa de marcación o remarcación vigente a la fecha según corresponda</v>
      </c>
      <c r="C30" s="915"/>
      <c r="D30" s="915"/>
      <c r="E30" s="915"/>
      <c r="F30" s="915"/>
      <c r="G30" s="915"/>
      <c r="H30" s="915"/>
      <c r="I30" s="915"/>
      <c r="J30" s="915"/>
      <c r="K30" s="915"/>
      <c r="L30" s="915"/>
      <c r="M30" s="915"/>
      <c r="N30" s="915"/>
      <c r="O30" s="915"/>
      <c r="P30" s="915"/>
      <c r="Q30" s="163"/>
      <c r="R30" s="163"/>
      <c r="S30" s="163"/>
      <c r="T30" s="163"/>
      <c r="U30" s="163"/>
    </row>
    <row r="31" spans="1:21" ht="27.15" customHeight="1" x14ac:dyDescent="0.3">
      <c r="A31" s="112" t="s">
        <v>200</v>
      </c>
      <c r="B31" s="893" t="s">
        <v>251</v>
      </c>
      <c r="C31" s="893"/>
      <c r="D31" s="893"/>
      <c r="E31" s="893"/>
      <c r="F31" s="893"/>
      <c r="G31" s="893"/>
      <c r="H31" s="893"/>
      <c r="I31" s="893"/>
      <c r="J31" s="893"/>
      <c r="K31" s="893"/>
      <c r="L31" s="893"/>
      <c r="M31" s="893"/>
      <c r="N31" s="893"/>
      <c r="O31" s="893"/>
      <c r="P31" s="893"/>
      <c r="Q31" s="142"/>
      <c r="R31" s="142"/>
      <c r="S31" s="142"/>
      <c r="T31" s="142"/>
      <c r="U31" s="142"/>
    </row>
    <row r="32" spans="1:21" ht="53.55" customHeight="1" x14ac:dyDescent="0.3">
      <c r="A32" s="112" t="s">
        <v>130</v>
      </c>
      <c r="B32" s="915" t="s">
        <v>307</v>
      </c>
      <c r="C32" s="915"/>
      <c r="D32" s="915"/>
      <c r="E32" s="915"/>
      <c r="F32" s="915"/>
      <c r="G32" s="915"/>
      <c r="H32" s="915"/>
      <c r="I32" s="915"/>
      <c r="J32" s="915"/>
      <c r="K32" s="915"/>
      <c r="L32" s="915"/>
      <c r="M32" s="915"/>
      <c r="N32" s="915"/>
      <c r="O32" s="915"/>
      <c r="P32" s="915"/>
      <c r="Q32" s="142"/>
      <c r="R32" s="142"/>
      <c r="S32" s="142"/>
      <c r="T32" s="142"/>
      <c r="U32" s="142"/>
    </row>
    <row r="33" spans="1:21" ht="53.55" customHeight="1" x14ac:dyDescent="0.3">
      <c r="A33" s="112" t="s">
        <v>201</v>
      </c>
      <c r="B33" s="914" t="s">
        <v>376</v>
      </c>
      <c r="C33" s="914"/>
      <c r="D33" s="914"/>
      <c r="E33" s="914"/>
      <c r="F33" s="914"/>
      <c r="G33" s="914"/>
      <c r="H33" s="914"/>
      <c r="I33" s="914"/>
      <c r="J33" s="914"/>
      <c r="K33" s="914"/>
      <c r="L33" s="914"/>
      <c r="M33" s="914"/>
      <c r="N33" s="914"/>
      <c r="O33" s="914"/>
      <c r="P33" s="914"/>
      <c r="Q33" s="142"/>
      <c r="R33" s="142"/>
      <c r="S33" s="142"/>
      <c r="T33" s="142"/>
      <c r="U33" s="142"/>
    </row>
    <row r="34" spans="1:21" ht="25.95" customHeight="1" x14ac:dyDescent="0.3">
      <c r="A34" s="112"/>
      <c r="B34" s="915"/>
      <c r="C34" s="915"/>
      <c r="D34" s="915"/>
      <c r="E34" s="915"/>
      <c r="F34" s="915"/>
      <c r="G34" s="915"/>
      <c r="H34" s="915"/>
      <c r="I34" s="915"/>
      <c r="J34" s="915"/>
      <c r="K34" s="915"/>
      <c r="L34" s="915"/>
      <c r="M34" s="915"/>
      <c r="N34" s="915"/>
      <c r="O34" s="915"/>
      <c r="P34" s="915"/>
      <c r="Q34" s="142"/>
      <c r="R34" s="142"/>
      <c r="S34" s="142"/>
      <c r="T34" s="142"/>
      <c r="U34" s="142"/>
    </row>
    <row r="35" spans="1:21" ht="15" customHeight="1" x14ac:dyDescent="0.3">
      <c r="A35" s="134" t="s">
        <v>102</v>
      </c>
      <c r="B35" s="892" t="s">
        <v>211</v>
      </c>
      <c r="C35" s="892"/>
      <c r="D35" s="892"/>
      <c r="E35" s="892"/>
      <c r="F35" s="892"/>
      <c r="G35" s="892"/>
      <c r="H35" s="892"/>
      <c r="I35" s="892"/>
      <c r="J35" s="892"/>
      <c r="K35" s="892"/>
      <c r="L35" s="892"/>
      <c r="M35" s="892"/>
      <c r="N35" s="892"/>
      <c r="O35" s="892"/>
      <c r="P35" s="892"/>
      <c r="Q35" s="142"/>
      <c r="R35" s="142"/>
      <c r="S35" s="142"/>
      <c r="T35" s="142"/>
      <c r="U35" s="142"/>
    </row>
    <row r="36" spans="1:21" ht="15" customHeight="1" x14ac:dyDescent="0.3">
      <c r="A36" s="134" t="s">
        <v>212</v>
      </c>
      <c r="B36" s="915" t="s">
        <v>294</v>
      </c>
      <c r="C36" s="915"/>
      <c r="D36" s="915"/>
      <c r="E36" s="915"/>
      <c r="F36" s="915"/>
      <c r="G36" s="915"/>
      <c r="H36" s="915"/>
      <c r="I36" s="915"/>
      <c r="J36" s="915"/>
      <c r="K36" s="915"/>
      <c r="L36" s="915"/>
      <c r="M36" s="915"/>
      <c r="N36" s="915"/>
      <c r="O36" s="915"/>
      <c r="P36" s="915"/>
      <c r="Q36" s="142"/>
      <c r="R36" s="142"/>
      <c r="S36" s="142"/>
      <c r="T36" s="142"/>
      <c r="U36" s="142"/>
    </row>
    <row r="37" spans="1:21" ht="15" customHeight="1" x14ac:dyDescent="0.3">
      <c r="A37" s="112" t="s">
        <v>214</v>
      </c>
      <c r="B37" s="915" t="s">
        <v>215</v>
      </c>
      <c r="C37" s="915"/>
      <c r="D37" s="915"/>
      <c r="E37" s="915"/>
      <c r="F37" s="915"/>
      <c r="G37" s="915"/>
      <c r="H37" s="915"/>
      <c r="I37" s="915"/>
      <c r="J37" s="915"/>
      <c r="K37" s="915"/>
      <c r="L37" s="915"/>
      <c r="M37" s="915"/>
      <c r="N37" s="915"/>
      <c r="O37" s="915"/>
      <c r="P37" s="112"/>
      <c r="Q37" s="892"/>
      <c r="R37" s="892"/>
      <c r="S37" s="892"/>
      <c r="T37" s="892"/>
      <c r="U37" s="892"/>
    </row>
    <row r="38" spans="1:21" ht="15" customHeight="1" x14ac:dyDescent="0.3">
      <c r="A38" s="112" t="s">
        <v>216</v>
      </c>
      <c r="B38" s="892" t="s">
        <v>429</v>
      </c>
      <c r="C38" s="892"/>
      <c r="D38" s="892"/>
      <c r="E38" s="892"/>
      <c r="F38" s="892"/>
      <c r="G38" s="892"/>
      <c r="H38" s="892"/>
      <c r="I38" s="892"/>
      <c r="J38" s="892"/>
      <c r="K38" s="892"/>
      <c r="L38" s="892"/>
      <c r="M38" s="892"/>
      <c r="N38" s="892"/>
      <c r="O38" s="892"/>
      <c r="P38" s="112"/>
      <c r="Q38" s="181"/>
      <c r="R38" s="181"/>
      <c r="S38" s="181"/>
      <c r="T38" s="181"/>
      <c r="U38" s="181"/>
    </row>
    <row r="39" spans="1:21" ht="24" customHeight="1" x14ac:dyDescent="0.3">
      <c r="A39" s="134" t="s">
        <v>218</v>
      </c>
      <c r="B39" s="915" t="s">
        <v>220</v>
      </c>
      <c r="C39" s="915"/>
      <c r="D39" s="915"/>
      <c r="E39" s="915"/>
      <c r="F39" s="915"/>
      <c r="G39" s="915"/>
      <c r="H39" s="915"/>
      <c r="I39" s="915"/>
      <c r="J39" s="915"/>
      <c r="K39" s="915"/>
      <c r="L39" s="915"/>
      <c r="M39" s="915"/>
      <c r="N39" s="915"/>
      <c r="O39" s="915"/>
      <c r="P39" s="915"/>
      <c r="Q39" s="142"/>
      <c r="R39" s="142"/>
      <c r="S39" s="142"/>
      <c r="T39" s="142"/>
      <c r="U39" s="142"/>
    </row>
    <row r="40" spans="1:21" x14ac:dyDescent="0.3">
      <c r="A40" s="134" t="s">
        <v>219</v>
      </c>
      <c r="B40" s="915" t="s">
        <v>256</v>
      </c>
      <c r="C40" s="915"/>
      <c r="D40" s="915"/>
      <c r="E40" s="915"/>
      <c r="F40" s="915"/>
      <c r="G40" s="915"/>
      <c r="H40" s="915"/>
      <c r="I40" s="915"/>
      <c r="J40" s="915"/>
      <c r="K40" s="915"/>
      <c r="L40" s="915"/>
      <c r="M40" s="915"/>
      <c r="N40" s="915"/>
      <c r="O40" s="915"/>
      <c r="P40" s="915"/>
      <c r="Q40" s="142"/>
      <c r="R40" s="142"/>
      <c r="S40" s="142"/>
      <c r="T40" s="142"/>
      <c r="U40" s="142"/>
    </row>
    <row r="41" spans="1:21" x14ac:dyDescent="0.3">
      <c r="B41" s="892" t="s">
        <v>434</v>
      </c>
      <c r="C41" s="892"/>
      <c r="D41" s="892"/>
      <c r="E41" s="892"/>
      <c r="F41" s="892"/>
      <c r="G41" s="892"/>
      <c r="H41" s="892"/>
      <c r="I41" s="892"/>
      <c r="J41" s="892"/>
      <c r="K41" s="892"/>
      <c r="L41" s="892"/>
      <c r="M41" s="892"/>
      <c r="N41" s="892"/>
      <c r="O41" s="892"/>
      <c r="P41" s="892"/>
    </row>
    <row r="42" spans="1:21" ht="88.05" customHeight="1" x14ac:dyDescent="0.3">
      <c r="B42" s="895" t="s">
        <v>137</v>
      </c>
      <c r="C42" s="895"/>
      <c r="D42" s="895"/>
      <c r="E42" s="895"/>
      <c r="F42" s="895"/>
      <c r="G42" s="895"/>
      <c r="H42" s="895"/>
      <c r="I42" s="895"/>
      <c r="J42" s="895"/>
      <c r="K42" s="895"/>
      <c r="L42" s="895"/>
      <c r="M42" s="895"/>
      <c r="N42" s="895"/>
      <c r="O42" s="895"/>
      <c r="P42" s="895"/>
      <c r="Q42" s="895"/>
    </row>
  </sheetData>
  <sheetProtection algorithmName="SHA-512" hashValue="gtkRN8qYe/A5lJRCVu+JhHUqZjY7Qyd4SRSOw3X39cVWBUkjC+V5xU9JtBgGTg9zGCoHaY4xYcfkGz+3wJfpRg==" saltValue="7TlCm8kOiDEyrZIrdNCDsA==" spinCount="100000" sheet="1" objects="1" scenarios="1"/>
  <mergeCells count="19">
    <mergeCell ref="B42:Q42"/>
    <mergeCell ref="B31:P31"/>
    <mergeCell ref="B32:P32"/>
    <mergeCell ref="B35:P35"/>
    <mergeCell ref="B36:P36"/>
    <mergeCell ref="B37:O37"/>
    <mergeCell ref="B34:P34"/>
    <mergeCell ref="Q37:U37"/>
    <mergeCell ref="B33:P33"/>
    <mergeCell ref="B41:P41"/>
    <mergeCell ref="B38:O38"/>
    <mergeCell ref="B39:P39"/>
    <mergeCell ref="B40:P40"/>
    <mergeCell ref="B30:P30"/>
    <mergeCell ref="C3:K4"/>
    <mergeCell ref="A5:A7"/>
    <mergeCell ref="B5:B7"/>
    <mergeCell ref="C5:C6"/>
    <mergeCell ref="L3:P4"/>
  </mergeCells>
  <hyperlinks>
    <hyperlink ref="B28" location="GUAINIA!A41" display="Ver Nota Informativa" xr:uid="{00000000-0004-0000-0D00-000000000000}"/>
  </hyperlinks>
  <pageMargins left="0.7" right="0.7" top="0.75" bottom="0.75" header="0.3" footer="0.3"/>
  <pageSetup orientation="portrait" r:id="rId1"/>
  <ignoredErrors>
    <ignoredError sqref="O11:O12 K12" numberStoredAsText="1"/>
    <ignoredError sqref="I12 I13" numberStoredAsText="1" formula="1"/>
    <ignoredError sqref="I18:I22 K22 I14:I16 C13 C18:C2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rgb="FFFFFF00"/>
  </sheetPr>
  <dimension ref="A1:Q89"/>
  <sheetViews>
    <sheetView showGridLines="0" zoomScale="80" zoomScaleNormal="80" workbookViewId="0">
      <selection activeCell="P57" sqref="P57"/>
    </sheetView>
  </sheetViews>
  <sheetFormatPr baseColWidth="10" defaultColWidth="45" defaultRowHeight="14.4" x14ac:dyDescent="0.3"/>
  <cols>
    <col min="1" max="1" width="7" customWidth="1"/>
    <col min="2" max="2" width="45.109375" customWidth="1"/>
    <col min="3" max="3" width="15.21875" bestFit="1" customWidth="1"/>
    <col min="4" max="4" width="13.6640625" style="540" hidden="1" customWidth="1"/>
    <col min="5" max="5" width="13.6640625" customWidth="1"/>
    <col min="6" max="6" width="13.6640625" hidden="1" customWidth="1"/>
    <col min="7" max="7" width="12.5546875" style="540" hidden="1" customWidth="1"/>
    <col min="8" max="8" width="14.6640625" hidden="1" customWidth="1"/>
    <col min="9" max="9" width="14.6640625" style="540" customWidth="1"/>
    <col min="10" max="10" width="15.21875" hidden="1" customWidth="1"/>
    <col min="11" max="11" width="17.109375" customWidth="1"/>
    <col min="12" max="12" width="16.77734375" hidden="1" customWidth="1"/>
    <col min="13" max="13" width="15" hidden="1" customWidth="1"/>
    <col min="14" max="14" width="15.21875" hidden="1" customWidth="1"/>
    <col min="15" max="15" width="16.77734375" customWidth="1"/>
  </cols>
  <sheetData>
    <row r="1" spans="1:15" x14ac:dyDescent="0.3">
      <c r="A1" s="187" t="s">
        <v>148</v>
      </c>
      <c r="B1" s="89" t="str">
        <f>+AMAZONAS!C1</f>
        <v>Vigencia: 01 de Octubre de 2022; 00:00 horas</v>
      </c>
      <c r="C1" s="89"/>
      <c r="D1" s="89"/>
      <c r="E1" s="188"/>
      <c r="F1" s="188"/>
      <c r="G1" s="188"/>
      <c r="H1" s="188"/>
      <c r="I1" s="188"/>
      <c r="J1" s="188"/>
      <c r="K1" s="188"/>
    </row>
    <row r="2" spans="1:15" ht="15" thickBot="1" x14ac:dyDescent="0.35">
      <c r="A2" s="115" t="s">
        <v>162</v>
      </c>
      <c r="B2" s="116"/>
      <c r="C2" s="116"/>
      <c r="D2" s="116"/>
      <c r="E2" s="116"/>
      <c r="F2" s="116"/>
      <c r="G2" s="116"/>
      <c r="H2" s="116"/>
      <c r="I2" s="116"/>
      <c r="J2" s="116"/>
      <c r="K2" s="116"/>
      <c r="M2" s="540"/>
    </row>
    <row r="3" spans="1:15" ht="15" customHeight="1" thickTop="1" x14ac:dyDescent="0.3">
      <c r="A3" s="143"/>
      <c r="B3" s="118" t="s">
        <v>257</v>
      </c>
      <c r="C3" s="669" t="s">
        <v>163</v>
      </c>
      <c r="D3" s="670"/>
      <c r="E3" s="670"/>
      <c r="F3" s="670"/>
      <c r="G3" s="670"/>
      <c r="H3" s="670"/>
      <c r="I3" s="670"/>
      <c r="J3" s="671"/>
      <c r="K3" s="944" t="s">
        <v>487</v>
      </c>
      <c r="L3" s="945"/>
      <c r="M3" s="945"/>
      <c r="N3" s="945"/>
      <c r="O3" s="945"/>
    </row>
    <row r="4" spans="1:15" ht="37.950000000000003" customHeight="1" x14ac:dyDescent="0.3">
      <c r="A4" s="119"/>
      <c r="B4" s="603" t="s">
        <v>476</v>
      </c>
      <c r="C4" s="672"/>
      <c r="D4" s="673"/>
      <c r="E4" s="673"/>
      <c r="F4" s="673"/>
      <c r="G4" s="673"/>
      <c r="H4" s="673"/>
      <c r="I4" s="673"/>
      <c r="J4" s="674"/>
      <c r="K4" s="936"/>
      <c r="L4" s="937"/>
      <c r="M4" s="937"/>
      <c r="N4" s="937"/>
      <c r="O4" s="937"/>
    </row>
    <row r="5" spans="1:15" ht="22.2" customHeight="1" x14ac:dyDescent="0.3">
      <c r="A5" s="896" t="s">
        <v>164</v>
      </c>
      <c r="B5" s="898" t="s">
        <v>165</v>
      </c>
      <c r="C5" s="902" t="s">
        <v>223</v>
      </c>
      <c r="D5" s="749" t="s">
        <v>513</v>
      </c>
      <c r="E5" s="690" t="s">
        <v>490</v>
      </c>
      <c r="F5" s="516" t="s">
        <v>510</v>
      </c>
      <c r="G5" s="616" t="s">
        <v>485</v>
      </c>
      <c r="H5" s="120" t="s">
        <v>448</v>
      </c>
      <c r="I5" s="611" t="s">
        <v>375</v>
      </c>
      <c r="J5" s="321" t="str">
        <f>+GUAINIA!K5</f>
        <v>Biodiesel B11</v>
      </c>
      <c r="K5" s="689" t="s">
        <v>96</v>
      </c>
      <c r="L5" s="515" t="s">
        <v>96</v>
      </c>
      <c r="M5" s="616" t="s">
        <v>485</v>
      </c>
      <c r="N5" s="182" t="str">
        <f>+H5</f>
        <v>Biodiesel B5</v>
      </c>
      <c r="O5" s="609" t="str">
        <f>+I5</f>
        <v>Biodiesel B10</v>
      </c>
    </row>
    <row r="6" spans="1:15" ht="21.75" customHeight="1" x14ac:dyDescent="0.3">
      <c r="A6" s="896"/>
      <c r="B6" s="898"/>
      <c r="C6" s="903"/>
      <c r="D6" s="460" t="s">
        <v>512</v>
      </c>
      <c r="E6" s="460" t="s">
        <v>488</v>
      </c>
      <c r="F6" s="617">
        <v>0.05</v>
      </c>
      <c r="G6" s="617">
        <v>0.1</v>
      </c>
      <c r="H6" s="480" t="s">
        <v>452</v>
      </c>
      <c r="I6" s="624">
        <v>0.1</v>
      </c>
      <c r="J6" s="121">
        <f>+GUAINIA!K6</f>
        <v>0.11</v>
      </c>
      <c r="K6" s="460" t="str">
        <f>+E6</f>
        <v>Oxigenada 4%</v>
      </c>
      <c r="L6" s="460">
        <v>5</v>
      </c>
      <c r="M6" s="617">
        <v>0.1</v>
      </c>
      <c r="N6" s="121" t="str">
        <f>+H6</f>
        <v>Oxigenada 5%</v>
      </c>
      <c r="O6" s="121">
        <f>+I6</f>
        <v>0.1</v>
      </c>
    </row>
    <row r="7" spans="1:15" x14ac:dyDescent="0.3">
      <c r="A7" s="897"/>
      <c r="B7" s="899"/>
      <c r="C7" s="91" t="s">
        <v>166</v>
      </c>
      <c r="D7" s="749" t="s">
        <v>166</v>
      </c>
      <c r="E7" s="690" t="s">
        <v>166</v>
      </c>
      <c r="F7" s="516" t="s">
        <v>166</v>
      </c>
      <c r="G7" s="616" t="s">
        <v>166</v>
      </c>
      <c r="H7" s="120" t="s">
        <v>166</v>
      </c>
      <c r="I7" s="611" t="s">
        <v>166</v>
      </c>
      <c r="J7" s="120" t="s">
        <v>166</v>
      </c>
      <c r="K7" s="689" t="s">
        <v>166</v>
      </c>
      <c r="L7" s="515" t="s">
        <v>166</v>
      </c>
      <c r="M7" s="616" t="s">
        <v>166</v>
      </c>
      <c r="N7" s="182" t="s">
        <v>166</v>
      </c>
      <c r="O7" s="609" t="s">
        <v>166</v>
      </c>
    </row>
    <row r="8" spans="1:15" ht="15.6" customHeight="1" x14ac:dyDescent="0.3">
      <c r="A8" s="93" t="s">
        <v>167</v>
      </c>
      <c r="B8" s="99" t="s">
        <v>168</v>
      </c>
      <c r="C8" s="208">
        <f>+'Calculo IP ZDF'!$B$35</f>
        <v>4711.5162499999997</v>
      </c>
      <c r="D8" s="208">
        <f>+'Calculo IP ZDF'!G35</f>
        <v>4878.2501249999996</v>
      </c>
      <c r="E8" s="208">
        <f>+'Calculo IP ZDF'!H35</f>
        <v>5044.9839999999995</v>
      </c>
      <c r="F8" s="675">
        <f>+'Calculo IP ZDF'!I35</f>
        <v>5128.3509374999994</v>
      </c>
      <c r="G8" s="675">
        <f>+'Calculo IP ZDF'!K35</f>
        <v>5545.1856250000001</v>
      </c>
      <c r="H8" s="194">
        <f>+'Calculo IP ZDF'!R35</f>
        <v>4083.6204112499995</v>
      </c>
      <c r="I8" s="199">
        <f>+'Calculo IP ZDF'!M35</f>
        <v>4934.3935474999998</v>
      </c>
      <c r="J8" s="128">
        <f>+'Calculo IP ZDF'!M35</f>
        <v>4934.3935474999998</v>
      </c>
      <c r="K8" s="170">
        <f>+'GAS CTE'!E9</f>
        <v>5573.9283999999998</v>
      </c>
      <c r="L8" s="676">
        <f>+'GAS CTE'!F9</f>
        <v>5651.7855</v>
      </c>
      <c r="M8" s="614">
        <f>+'GAS CTE'!I9</f>
        <v>6041.0709999999999</v>
      </c>
      <c r="N8" s="170">
        <f>+BIODIESEL!G9</f>
        <v>5413.0529999999999</v>
      </c>
      <c r="O8" s="167">
        <f>+BIODIESEL!H9</f>
        <v>6193.8560000000007</v>
      </c>
    </row>
    <row r="9" spans="1:15" x14ac:dyDescent="0.3">
      <c r="A9" s="93" t="s">
        <v>169</v>
      </c>
      <c r="B9" s="99" t="s">
        <v>469</v>
      </c>
      <c r="C9" s="146" t="s">
        <v>171</v>
      </c>
      <c r="D9" s="146" t="s">
        <v>171</v>
      </c>
      <c r="E9" s="146" t="s">
        <v>171</v>
      </c>
      <c r="F9" s="626" t="s">
        <v>171</v>
      </c>
      <c r="G9" s="626" t="s">
        <v>171</v>
      </c>
      <c r="H9" s="146" t="s">
        <v>171</v>
      </c>
      <c r="I9" s="215" t="s">
        <v>171</v>
      </c>
      <c r="J9" s="123" t="s">
        <v>171</v>
      </c>
      <c r="K9" s="167">
        <f>+'GAS CTE'!E10</f>
        <v>562.79999999999995</v>
      </c>
      <c r="L9" s="676">
        <f>+'GAS CTE'!F10</f>
        <v>556.9375</v>
      </c>
      <c r="M9" s="614">
        <f>+'GAS CTE'!I10</f>
        <v>501.24375000000003</v>
      </c>
      <c r="N9" s="167">
        <f>+BIODIESEL!G10</f>
        <v>533.06399999999996</v>
      </c>
      <c r="O9" s="167">
        <f>+BIODIESEL!H10</f>
        <v>505.00800000000004</v>
      </c>
    </row>
    <row r="10" spans="1:15" x14ac:dyDescent="0.3">
      <c r="A10" s="93"/>
      <c r="B10" s="99" t="s">
        <v>129</v>
      </c>
      <c r="C10" s="146" t="s">
        <v>171</v>
      </c>
      <c r="D10" s="146" t="s">
        <v>171</v>
      </c>
      <c r="E10" s="146" t="s">
        <v>171</v>
      </c>
      <c r="F10" s="626" t="s">
        <v>171</v>
      </c>
      <c r="G10" s="626" t="s">
        <v>171</v>
      </c>
      <c r="H10" s="146" t="s">
        <v>171</v>
      </c>
      <c r="I10" s="215" t="s">
        <v>171</v>
      </c>
      <c r="J10" s="123" t="s">
        <v>171</v>
      </c>
      <c r="K10" s="167" t="s">
        <v>130</v>
      </c>
      <c r="L10" s="676" t="s">
        <v>130</v>
      </c>
      <c r="M10" s="676" t="s">
        <v>130</v>
      </c>
      <c r="N10" s="167" t="s">
        <v>130</v>
      </c>
      <c r="O10" s="167" t="s">
        <v>130</v>
      </c>
    </row>
    <row r="11" spans="1:15" x14ac:dyDescent="0.3">
      <c r="A11" s="93"/>
      <c r="B11" s="99" t="s">
        <v>468</v>
      </c>
      <c r="C11" s="194">
        <f>+'GAS CTE'!$C$12</f>
        <v>169</v>
      </c>
      <c r="D11" s="194">
        <f>+'GAS CTE'!D12</f>
        <v>165.62</v>
      </c>
      <c r="E11" s="194">
        <f>+'GAS CTE'!E12</f>
        <v>162.23999999999998</v>
      </c>
      <c r="F11" s="625">
        <f>+'GAS CTE'!F12</f>
        <v>160.54999999999998</v>
      </c>
      <c r="G11" s="625">
        <f>+'GAS CTE'!I12</f>
        <v>144.49499999999998</v>
      </c>
      <c r="H11" s="194">
        <f>+BIODIESEL!$E$12</f>
        <v>187.18</v>
      </c>
      <c r="I11" s="199">
        <f>+BIODIESEL!H12</f>
        <v>171.9</v>
      </c>
      <c r="J11" s="128">
        <f>+BIODIESEL!H12</f>
        <v>171.9</v>
      </c>
      <c r="K11" s="167">
        <f>+E11</f>
        <v>162.23999999999998</v>
      </c>
      <c r="L11" s="676">
        <f>+F11</f>
        <v>160.54999999999998</v>
      </c>
      <c r="M11" s="614">
        <f>+G11</f>
        <v>144.49499999999998</v>
      </c>
      <c r="N11" s="167">
        <f>+BIODIESEL!G12</f>
        <v>181.45</v>
      </c>
      <c r="O11" s="167">
        <f>+BIODIESEL!H12</f>
        <v>171.9</v>
      </c>
    </row>
    <row r="12" spans="1:15" x14ac:dyDescent="0.3">
      <c r="A12" s="93" t="s">
        <v>172</v>
      </c>
      <c r="B12" s="99" t="s">
        <v>250</v>
      </c>
      <c r="C12" s="211" t="s">
        <v>200</v>
      </c>
      <c r="D12" s="211" t="s">
        <v>200</v>
      </c>
      <c r="E12" s="211" t="str">
        <f>+C12</f>
        <v>(2)</v>
      </c>
      <c r="F12" s="626" t="str">
        <f>+E12</f>
        <v>(2)</v>
      </c>
      <c r="G12" s="626" t="str">
        <f>+F12</f>
        <v>(2)</v>
      </c>
      <c r="H12" s="146" t="str">
        <f>+C12</f>
        <v>(2)</v>
      </c>
      <c r="I12" s="215" t="s">
        <v>200</v>
      </c>
      <c r="J12" s="122" t="str">
        <f>+C12</f>
        <v>(2)</v>
      </c>
      <c r="K12" s="167" t="str">
        <f>+C12</f>
        <v>(2)</v>
      </c>
      <c r="L12" s="676" t="str">
        <f>+C12</f>
        <v>(2)</v>
      </c>
      <c r="M12" s="676" t="str">
        <f>+E12</f>
        <v>(2)</v>
      </c>
      <c r="N12" s="167" t="str">
        <f>+E12</f>
        <v>(2)</v>
      </c>
      <c r="O12" s="167" t="str">
        <f>+F12</f>
        <v>(2)</v>
      </c>
    </row>
    <row r="13" spans="1:15" x14ac:dyDescent="0.3">
      <c r="A13" s="93" t="s">
        <v>176</v>
      </c>
      <c r="B13" s="99" t="s">
        <v>177</v>
      </c>
      <c r="C13" s="211">
        <f>+RUBROS!$AC$53</f>
        <v>82.836649224944082</v>
      </c>
      <c r="D13" s="211">
        <f>+C13</f>
        <v>82.836649224944082</v>
      </c>
      <c r="E13" s="211">
        <f>+C13</f>
        <v>82.836649224944082</v>
      </c>
      <c r="F13" s="626">
        <f>+C13</f>
        <v>82.836649224944082</v>
      </c>
      <c r="G13" s="626">
        <f>+C13</f>
        <v>82.836649224944082</v>
      </c>
      <c r="H13" s="146">
        <f>+C13</f>
        <v>82.836649224944082</v>
      </c>
      <c r="I13" s="215">
        <f>+H13</f>
        <v>82.836649224944082</v>
      </c>
      <c r="J13" s="122">
        <f>+C13</f>
        <v>82.836649224944082</v>
      </c>
      <c r="K13" s="167">
        <f>+C13</f>
        <v>82.836649224944082</v>
      </c>
      <c r="L13" s="676">
        <f>+RUBROS!$AD$53</f>
        <v>82.836649224944082</v>
      </c>
      <c r="M13" s="676">
        <f>+RUBROS!$AD$53</f>
        <v>82.836649224944082</v>
      </c>
      <c r="N13" s="167">
        <f>+RUBROS!$AD$53</f>
        <v>82.836649224944082</v>
      </c>
      <c r="O13" s="167">
        <f>+RUBROS!$AD$53</f>
        <v>82.836649224944082</v>
      </c>
    </row>
    <row r="14" spans="1:15" x14ac:dyDescent="0.3">
      <c r="A14" s="93" t="s">
        <v>174</v>
      </c>
      <c r="B14" s="99" t="s">
        <v>175</v>
      </c>
      <c r="C14" s="194">
        <f>+RUBROS!$AC$17</f>
        <v>23.500029293035123</v>
      </c>
      <c r="D14" s="194">
        <f>+C14</f>
        <v>23.500029293035123</v>
      </c>
      <c r="E14" s="194">
        <f>+C14</f>
        <v>23.500029293035123</v>
      </c>
      <c r="F14" s="122">
        <f>+C14</f>
        <v>23.500029293035123</v>
      </c>
      <c r="G14" s="626">
        <f>+C14</f>
        <v>23.500029293035123</v>
      </c>
      <c r="H14" s="122">
        <f>+C14</f>
        <v>23.500029293035123</v>
      </c>
      <c r="I14" s="128">
        <f>+H14</f>
        <v>23.500029293035123</v>
      </c>
      <c r="J14" s="122">
        <f>+C14</f>
        <v>23.500029293035123</v>
      </c>
      <c r="K14" s="96">
        <f>+C14</f>
        <v>23.500029293035123</v>
      </c>
      <c r="L14" s="676">
        <f>+RUBROS!$AD$17</f>
        <v>23.500029293035123</v>
      </c>
      <c r="M14" s="676">
        <f>+RUBROS!$AD$17</f>
        <v>23.500029293035123</v>
      </c>
      <c r="N14" s="96">
        <f>+RUBROS!$AD$17</f>
        <v>23.500029293035123</v>
      </c>
      <c r="O14" s="98">
        <f>+RUBROS!$AD$17</f>
        <v>23.500029293035123</v>
      </c>
    </row>
    <row r="15" spans="1:15" x14ac:dyDescent="0.3">
      <c r="A15" s="93" t="s">
        <v>178</v>
      </c>
      <c r="B15" s="99" t="s">
        <v>179</v>
      </c>
      <c r="C15" s="194">
        <f>+RUBROS!$AU$42</f>
        <v>13.326421256197724</v>
      </c>
      <c r="D15" s="194">
        <f>+C15</f>
        <v>13.326421256197724</v>
      </c>
      <c r="E15" s="194">
        <f>+C15</f>
        <v>13.326421256197724</v>
      </c>
      <c r="F15" s="122">
        <f>+C15</f>
        <v>13.326421256197724</v>
      </c>
      <c r="G15" s="146">
        <f>+C15</f>
        <v>13.326421256197724</v>
      </c>
      <c r="H15" s="122">
        <f>+C15</f>
        <v>13.326421256197724</v>
      </c>
      <c r="I15" s="128">
        <f>+H15</f>
        <v>13.326421256197724</v>
      </c>
      <c r="J15" s="122">
        <f>+C15</f>
        <v>13.326421256197724</v>
      </c>
      <c r="K15" s="96">
        <f>+C15</f>
        <v>13.326421256197724</v>
      </c>
      <c r="L15" s="676">
        <f>+C15</f>
        <v>13.326421256197724</v>
      </c>
      <c r="M15" s="191">
        <f>+E15</f>
        <v>13.326421256197724</v>
      </c>
      <c r="N15" s="96">
        <f>+C15</f>
        <v>13.326421256197724</v>
      </c>
      <c r="O15" s="98">
        <f>+E15</f>
        <v>13.326421256197724</v>
      </c>
    </row>
    <row r="16" spans="1:15" hidden="1" x14ac:dyDescent="0.3">
      <c r="A16" s="93"/>
      <c r="B16" s="99" t="s">
        <v>180</v>
      </c>
      <c r="C16" s="194"/>
      <c r="D16" s="194"/>
      <c r="E16" s="523"/>
      <c r="F16" s="122"/>
      <c r="G16" s="122"/>
      <c r="H16" s="122"/>
      <c r="I16" s="122"/>
      <c r="J16" s="122"/>
      <c r="K16" s="96"/>
      <c r="L16" s="191"/>
      <c r="M16" s="148"/>
      <c r="N16" s="96"/>
      <c r="O16" s="96"/>
    </row>
    <row r="17" spans="1:17" x14ac:dyDescent="0.3">
      <c r="A17" s="100" t="s">
        <v>181</v>
      </c>
      <c r="B17" s="129" t="s">
        <v>182</v>
      </c>
      <c r="C17" s="523">
        <f t="shared" ref="C17:M17" si="0">SUM(C8:C16)</f>
        <v>5000.1793497741774</v>
      </c>
      <c r="D17" s="523">
        <f t="shared" si="0"/>
        <v>5163.5332247741771</v>
      </c>
      <c r="E17" s="523">
        <f t="shared" si="0"/>
        <v>5326.8870997741769</v>
      </c>
      <c r="F17" s="523">
        <f t="shared" ref="F17:G17" si="1">SUM(F8:F16)</f>
        <v>5408.5640372741773</v>
      </c>
      <c r="G17" s="523">
        <f t="shared" si="1"/>
        <v>5809.3437247741776</v>
      </c>
      <c r="H17" s="523">
        <f t="shared" si="0"/>
        <v>4390.463511024177</v>
      </c>
      <c r="I17" s="523">
        <f t="shared" si="0"/>
        <v>5225.9566472741772</v>
      </c>
      <c r="J17" s="523">
        <f t="shared" si="0"/>
        <v>5225.9566472741772</v>
      </c>
      <c r="K17" s="677">
        <f t="shared" si="0"/>
        <v>6418.6314997741774</v>
      </c>
      <c r="L17" s="524">
        <f t="shared" si="0"/>
        <v>6488.9360997741778</v>
      </c>
      <c r="M17" s="524">
        <f t="shared" si="0"/>
        <v>6806.4728497741771</v>
      </c>
      <c r="N17" s="677">
        <f>SUM(N8:N16)</f>
        <v>6247.2300997741777</v>
      </c>
      <c r="O17" s="677">
        <f>SUM(O8:O16)</f>
        <v>6990.4270997741778</v>
      </c>
    </row>
    <row r="18" spans="1:17" x14ac:dyDescent="0.3">
      <c r="A18" s="93" t="s">
        <v>183</v>
      </c>
      <c r="B18" s="99" t="s">
        <v>246</v>
      </c>
      <c r="C18" s="212" t="s">
        <v>214</v>
      </c>
      <c r="D18" s="212" t="s">
        <v>214</v>
      </c>
      <c r="E18" s="212" t="str">
        <f>+C18</f>
        <v>***</v>
      </c>
      <c r="F18" s="122" t="str">
        <f>+C18</f>
        <v>***</v>
      </c>
      <c r="G18" s="122" t="str">
        <f t="shared" ref="G18:G20" si="2">+E18</f>
        <v>***</v>
      </c>
      <c r="H18" s="122" t="s">
        <v>214</v>
      </c>
      <c r="I18" s="122" t="s">
        <v>214</v>
      </c>
      <c r="J18" s="122" t="str">
        <f>+H18</f>
        <v>***</v>
      </c>
      <c r="K18" s="96" t="str">
        <f>+C18</f>
        <v>***</v>
      </c>
      <c r="L18" s="191" t="str">
        <f>+C18</f>
        <v>***</v>
      </c>
      <c r="M18" s="191" t="str">
        <f t="shared" ref="M18:M20" si="3">+E18</f>
        <v>***</v>
      </c>
      <c r="N18" s="96" t="str">
        <f>+C18</f>
        <v>***</v>
      </c>
      <c r="O18" s="96" t="str">
        <f t="shared" ref="O18:O20" si="4">+E18</f>
        <v>***</v>
      </c>
    </row>
    <row r="19" spans="1:17" x14ac:dyDescent="0.3">
      <c r="A19" s="93" t="s">
        <v>185</v>
      </c>
      <c r="B19" s="99" t="s">
        <v>186</v>
      </c>
      <c r="C19" s="212" t="s">
        <v>212</v>
      </c>
      <c r="D19" s="212" t="s">
        <v>212</v>
      </c>
      <c r="E19" s="212" t="str">
        <f>+C19</f>
        <v>**</v>
      </c>
      <c r="F19" s="122" t="str">
        <f>+C19</f>
        <v>**</v>
      </c>
      <c r="G19" s="122" t="str">
        <f t="shared" si="2"/>
        <v>**</v>
      </c>
      <c r="H19" s="122" t="s">
        <v>212</v>
      </c>
      <c r="I19" s="122" t="s">
        <v>212</v>
      </c>
      <c r="J19" s="122" t="str">
        <f>+C19</f>
        <v>**</v>
      </c>
      <c r="K19" s="96" t="str">
        <f>+C19</f>
        <v>**</v>
      </c>
      <c r="L19" s="191" t="str">
        <f>+C19</f>
        <v>**</v>
      </c>
      <c r="M19" s="191" t="str">
        <f t="shared" si="3"/>
        <v>**</v>
      </c>
      <c r="N19" s="96" t="str">
        <f>+C19</f>
        <v>**</v>
      </c>
      <c r="O19" s="96" t="str">
        <f t="shared" si="4"/>
        <v>**</v>
      </c>
    </row>
    <row r="20" spans="1:17" x14ac:dyDescent="0.3">
      <c r="A20" s="93" t="s">
        <v>187</v>
      </c>
      <c r="B20" s="165" t="s">
        <v>134</v>
      </c>
      <c r="C20" s="759" t="s">
        <v>216</v>
      </c>
      <c r="D20" s="759" t="s">
        <v>216</v>
      </c>
      <c r="E20" s="759" t="str">
        <f>+C20</f>
        <v>****</v>
      </c>
      <c r="F20" s="122" t="str">
        <f>+C20</f>
        <v>****</v>
      </c>
      <c r="G20" s="122" t="str">
        <f t="shared" si="2"/>
        <v>****</v>
      </c>
      <c r="H20" s="128" t="s">
        <v>216</v>
      </c>
      <c r="I20" s="128" t="s">
        <v>216</v>
      </c>
      <c r="J20" s="128" t="str">
        <f>+C20</f>
        <v>****</v>
      </c>
      <c r="K20" s="96" t="str">
        <f>C20</f>
        <v>****</v>
      </c>
      <c r="L20" s="214" t="str">
        <f>+C20</f>
        <v>****</v>
      </c>
      <c r="M20" s="214" t="str">
        <f t="shared" si="3"/>
        <v>****</v>
      </c>
      <c r="N20" s="96" t="str">
        <f>+C20</f>
        <v>****</v>
      </c>
      <c r="O20" s="96" t="str">
        <f t="shared" si="4"/>
        <v>****</v>
      </c>
    </row>
    <row r="21" spans="1:17" x14ac:dyDescent="0.3">
      <c r="A21" s="100" t="s">
        <v>189</v>
      </c>
      <c r="B21" s="129" t="s">
        <v>190</v>
      </c>
      <c r="C21" s="522">
        <f t="shared" ref="C21:N21" si="5">+C17</f>
        <v>5000.1793497741774</v>
      </c>
      <c r="D21" s="522">
        <f t="shared" ref="D21" si="6">+D17</f>
        <v>5163.5332247741771</v>
      </c>
      <c r="E21" s="522">
        <f t="shared" si="5"/>
        <v>5326.8870997741769</v>
      </c>
      <c r="F21" s="523">
        <f t="shared" ref="F21:G21" si="7">+F17</f>
        <v>5408.5640372741773</v>
      </c>
      <c r="G21" s="523">
        <f t="shared" si="7"/>
        <v>5809.3437247741776</v>
      </c>
      <c r="H21" s="523">
        <f t="shared" si="5"/>
        <v>4390.463511024177</v>
      </c>
      <c r="I21" s="523">
        <f t="shared" si="5"/>
        <v>5225.9566472741772</v>
      </c>
      <c r="J21" s="523">
        <f t="shared" si="5"/>
        <v>5225.9566472741772</v>
      </c>
      <c r="K21" s="677">
        <f t="shared" si="5"/>
        <v>6418.6314997741774</v>
      </c>
      <c r="L21" s="524">
        <f t="shared" si="5"/>
        <v>6488.9360997741778</v>
      </c>
      <c r="M21" s="524">
        <f t="shared" ref="M21" si="8">+M17</f>
        <v>6806.4728497741771</v>
      </c>
      <c r="N21" s="677">
        <f t="shared" si="5"/>
        <v>6247.2300997741777</v>
      </c>
      <c r="O21" s="677">
        <f t="shared" ref="O21" si="9">+O17</f>
        <v>6990.4270997741778</v>
      </c>
    </row>
    <row r="22" spans="1:17" x14ac:dyDescent="0.3">
      <c r="A22" s="93" t="s">
        <v>191</v>
      </c>
      <c r="B22" s="99" t="s">
        <v>150</v>
      </c>
      <c r="C22" s="194" t="str">
        <f>+C18</f>
        <v>***</v>
      </c>
      <c r="D22" s="194" t="str">
        <f>+D18</f>
        <v>***</v>
      </c>
      <c r="E22" s="194" t="str">
        <f t="shared" ref="E22:J22" si="10">+E18</f>
        <v>***</v>
      </c>
      <c r="F22" s="194" t="str">
        <f t="shared" ref="F22:G22" si="11">+F18</f>
        <v>***</v>
      </c>
      <c r="G22" s="194" t="str">
        <f t="shared" si="11"/>
        <v>***</v>
      </c>
      <c r="H22" s="194" t="str">
        <f t="shared" si="10"/>
        <v>***</v>
      </c>
      <c r="I22" s="194" t="s">
        <v>214</v>
      </c>
      <c r="J22" s="194" t="str">
        <f t="shared" si="10"/>
        <v>***</v>
      </c>
      <c r="K22" s="96" t="str">
        <f>+K18</f>
        <v>***</v>
      </c>
      <c r="L22" s="191" t="str">
        <f>+L18</f>
        <v>***</v>
      </c>
      <c r="M22" s="191" t="str">
        <f>+M18</f>
        <v>***</v>
      </c>
      <c r="N22" s="96" t="str">
        <f>+N18</f>
        <v>***</v>
      </c>
      <c r="O22" s="96" t="str">
        <f>+O18</f>
        <v>***</v>
      </c>
    </row>
    <row r="23" spans="1:17" x14ac:dyDescent="0.3">
      <c r="A23" s="93" t="s">
        <v>192</v>
      </c>
      <c r="B23" s="94" t="s">
        <v>193</v>
      </c>
      <c r="C23" s="201" t="s">
        <v>218</v>
      </c>
      <c r="D23" s="201" t="s">
        <v>218</v>
      </c>
      <c r="E23" s="201" t="str">
        <f>+C23</f>
        <v>*****</v>
      </c>
      <c r="F23" s="122" t="str">
        <f>+C23</f>
        <v>*****</v>
      </c>
      <c r="G23" s="122" t="str">
        <f>+E23</f>
        <v>*****</v>
      </c>
      <c r="H23" s="122" t="s">
        <v>194</v>
      </c>
      <c r="I23" s="122" t="s">
        <v>194</v>
      </c>
      <c r="J23" s="122" t="s">
        <v>194</v>
      </c>
      <c r="K23" s="96" t="str">
        <f>+E23</f>
        <v>*****</v>
      </c>
      <c r="L23" s="191" t="str">
        <f>+C23</f>
        <v>*****</v>
      </c>
      <c r="M23" s="191" t="str">
        <f>+E23</f>
        <v>*****</v>
      </c>
      <c r="N23" s="96" t="s">
        <v>236</v>
      </c>
      <c r="O23" s="96" t="s">
        <v>236</v>
      </c>
      <c r="Q23" s="19"/>
    </row>
    <row r="24" spans="1:17" ht="13.2" customHeight="1" x14ac:dyDescent="0.3">
      <c r="A24" s="93" t="s">
        <v>195</v>
      </c>
      <c r="B24" s="94" t="s">
        <v>196</v>
      </c>
      <c r="C24" s="201" t="s">
        <v>219</v>
      </c>
      <c r="D24" s="201" t="s">
        <v>219</v>
      </c>
      <c r="E24" s="201" t="str">
        <f>+C24</f>
        <v>******</v>
      </c>
      <c r="F24" s="122" t="str">
        <f>+C24</f>
        <v>******</v>
      </c>
      <c r="G24" s="122" t="str">
        <f>+E24</f>
        <v>******</v>
      </c>
      <c r="H24" s="122" t="str">
        <f>+C24</f>
        <v>******</v>
      </c>
      <c r="I24" s="122" t="s">
        <v>219</v>
      </c>
      <c r="J24" s="122" t="str">
        <f>+C24</f>
        <v>******</v>
      </c>
      <c r="K24" s="96" t="str">
        <f>+C24</f>
        <v>******</v>
      </c>
      <c r="L24" s="191" t="str">
        <f>+C24</f>
        <v>******</v>
      </c>
      <c r="M24" s="191" t="str">
        <f>+E24</f>
        <v>******</v>
      </c>
      <c r="N24" s="96" t="str">
        <f>+C24</f>
        <v>******</v>
      </c>
      <c r="O24" s="96" t="str">
        <f>+E24</f>
        <v>******</v>
      </c>
    </row>
    <row r="25" spans="1:17" ht="15" thickBot="1" x14ac:dyDescent="0.35">
      <c r="A25" s="104" t="s">
        <v>197</v>
      </c>
      <c r="B25" s="105" t="s">
        <v>198</v>
      </c>
      <c r="C25" s="202"/>
      <c r="D25" s="202"/>
      <c r="E25" s="132"/>
      <c r="F25" s="132"/>
      <c r="G25" s="132"/>
      <c r="H25" s="132"/>
      <c r="I25" s="132"/>
      <c r="J25" s="132"/>
      <c r="K25" s="525"/>
      <c r="L25" s="203"/>
      <c r="M25" s="158"/>
      <c r="N25" s="107"/>
      <c r="O25" s="107"/>
    </row>
    <row r="26" spans="1:17" ht="15" thickTop="1" x14ac:dyDescent="0.3">
      <c r="A26" s="109"/>
      <c r="B26" s="110"/>
      <c r="C26" s="110"/>
      <c r="D26" s="110"/>
      <c r="E26" s="111"/>
      <c r="F26" s="111"/>
      <c r="G26" s="111"/>
      <c r="H26" s="111"/>
      <c r="I26" s="111"/>
      <c r="J26" s="111"/>
      <c r="K26" s="111"/>
      <c r="M26" s="540"/>
    </row>
    <row r="27" spans="1:17" ht="15" hidden="1" thickTop="1" x14ac:dyDescent="0.3">
      <c r="A27" s="143"/>
      <c r="B27" s="118" t="s">
        <v>427</v>
      </c>
      <c r="C27" s="904" t="s">
        <v>163</v>
      </c>
      <c r="D27" s="905"/>
      <c r="E27" s="905"/>
      <c r="F27" s="905"/>
      <c r="G27" s="905"/>
      <c r="H27" s="905"/>
      <c r="I27" s="607"/>
      <c r="J27" s="933" t="s">
        <v>232</v>
      </c>
      <c r="K27" s="935"/>
    </row>
    <row r="28" spans="1:17" ht="55.2" hidden="1" x14ac:dyDescent="0.3">
      <c r="A28" s="119"/>
      <c r="B28" s="216" t="s">
        <v>258</v>
      </c>
      <c r="C28" s="906"/>
      <c r="D28" s="907"/>
      <c r="E28" s="907"/>
      <c r="F28" s="907"/>
      <c r="G28" s="907"/>
      <c r="H28" s="907"/>
      <c r="I28" s="608"/>
      <c r="J28" s="936"/>
      <c r="K28" s="938"/>
    </row>
    <row r="29" spans="1:17" ht="27.6" hidden="1" x14ac:dyDescent="0.3">
      <c r="A29" s="896" t="s">
        <v>164</v>
      </c>
      <c r="B29" s="898" t="s">
        <v>165</v>
      </c>
      <c r="C29" s="902" t="s">
        <v>223</v>
      </c>
      <c r="D29" s="745"/>
      <c r="E29" s="417" t="s">
        <v>96</v>
      </c>
      <c r="F29" s="417" t="s">
        <v>370</v>
      </c>
      <c r="G29" s="616"/>
      <c r="H29" s="417">
        <f>+GUAINIA!K29</f>
        <v>0</v>
      </c>
      <c r="I29" s="621"/>
      <c r="J29" s="416" t="s">
        <v>96</v>
      </c>
      <c r="K29" s="415">
        <f>+H29</f>
        <v>0</v>
      </c>
    </row>
    <row r="30" spans="1:17" hidden="1" x14ac:dyDescent="0.3">
      <c r="A30" s="896"/>
      <c r="B30" s="898"/>
      <c r="C30" s="903"/>
      <c r="D30" s="746"/>
      <c r="E30" s="414">
        <v>0.08</v>
      </c>
      <c r="F30" s="121">
        <v>0.02</v>
      </c>
      <c r="G30" s="121"/>
      <c r="H30" s="121">
        <f>+GUAINIA!K30</f>
        <v>0</v>
      </c>
      <c r="I30" s="622"/>
      <c r="J30" s="217">
        <v>0.04</v>
      </c>
      <c r="K30" s="121">
        <f>+H30</f>
        <v>0</v>
      </c>
    </row>
    <row r="31" spans="1:17" hidden="1" x14ac:dyDescent="0.3">
      <c r="A31" s="897"/>
      <c r="B31" s="899"/>
      <c r="C31" s="416" t="s">
        <v>166</v>
      </c>
      <c r="D31" s="621"/>
      <c r="E31" s="417" t="s">
        <v>166</v>
      </c>
      <c r="F31" s="417" t="s">
        <v>166</v>
      </c>
      <c r="G31" s="616"/>
      <c r="H31" s="417" t="s">
        <v>166</v>
      </c>
      <c r="I31" s="621"/>
      <c r="J31" s="416" t="s">
        <v>166</v>
      </c>
      <c r="K31" s="415" t="s">
        <v>166</v>
      </c>
    </row>
    <row r="32" spans="1:17" hidden="1" x14ac:dyDescent="0.3">
      <c r="A32" s="93" t="s">
        <v>167</v>
      </c>
      <c r="B32" s="99" t="s">
        <v>168</v>
      </c>
      <c r="C32" s="208">
        <f>+'Calculo IP ZDF'!$B$44</f>
        <v>4711.5162499999997</v>
      </c>
      <c r="D32" s="208"/>
      <c r="E32" s="208">
        <f>+'Calculo IP ZDF'!$H$44</f>
        <v>5044.9839999999995</v>
      </c>
      <c r="F32" s="194">
        <f>+'Calculo IP ZDF'!$F$44</f>
        <v>3573.1561999999999</v>
      </c>
      <c r="G32" s="194"/>
      <c r="H32" s="128">
        <f>+'Calculo IP ZDF'!I59</f>
        <v>0</v>
      </c>
      <c r="I32" s="145"/>
      <c r="J32" s="191">
        <f>+'GAS CTE'!$E$9</f>
        <v>5573.9283999999998</v>
      </c>
      <c r="K32" s="170">
        <f>+BIODIESEL!H33</f>
        <v>0</v>
      </c>
    </row>
    <row r="33" spans="1:11" hidden="1" x14ac:dyDescent="0.3">
      <c r="A33" s="93" t="s">
        <v>169</v>
      </c>
      <c r="B33" s="99" t="s">
        <v>170</v>
      </c>
      <c r="C33" s="146" t="s">
        <v>171</v>
      </c>
      <c r="D33" s="146"/>
      <c r="E33" s="146" t="s">
        <v>171</v>
      </c>
      <c r="F33" s="146" t="s">
        <v>171</v>
      </c>
      <c r="G33" s="146"/>
      <c r="H33" s="123" t="s">
        <v>171</v>
      </c>
      <c r="I33" s="594"/>
      <c r="J33" s="193">
        <f>+'GAS CTE'!$E$10</f>
        <v>562.79999999999995</v>
      </c>
      <c r="K33" s="167">
        <f>+BIODIESEL!H34</f>
        <v>0</v>
      </c>
    </row>
    <row r="34" spans="1:11" hidden="1" x14ac:dyDescent="0.3">
      <c r="A34" s="93"/>
      <c r="B34" s="99" t="s">
        <v>129</v>
      </c>
      <c r="C34" s="146" t="s">
        <v>171</v>
      </c>
      <c r="D34" s="146"/>
      <c r="E34" s="146" t="s">
        <v>171</v>
      </c>
      <c r="F34" s="146" t="s">
        <v>171</v>
      </c>
      <c r="G34" s="146"/>
      <c r="H34" s="123" t="s">
        <v>171</v>
      </c>
      <c r="I34" s="594"/>
      <c r="J34" s="193" t="str">
        <f>+K10</f>
        <v>(3)</v>
      </c>
      <c r="K34" s="167" t="e">
        <f>'[6]CORRIENTE OXIGENADA'!C36</f>
        <v>#REF!</v>
      </c>
    </row>
    <row r="35" spans="1:11" hidden="1" x14ac:dyDescent="0.3">
      <c r="A35" s="93"/>
      <c r="B35" s="99" t="s">
        <v>131</v>
      </c>
      <c r="C35" s="194">
        <f>+'GAS CTE'!$C$12</f>
        <v>169</v>
      </c>
      <c r="D35" s="194"/>
      <c r="E35" s="194">
        <f>+'GAS CTE'!$E$12</f>
        <v>162.23999999999998</v>
      </c>
      <c r="F35" s="194">
        <f>+BIODIESEL!$E$12</f>
        <v>187.18</v>
      </c>
      <c r="G35" s="194"/>
      <c r="H35" s="128">
        <f>+BIODIESEL!H36</f>
        <v>0</v>
      </c>
      <c r="I35" s="145"/>
      <c r="J35" s="193">
        <f t="shared" ref="J35:J39" si="12">+C35</f>
        <v>169</v>
      </c>
      <c r="K35" s="167">
        <f>+BIODIESEL!H36</f>
        <v>0</v>
      </c>
    </row>
    <row r="36" spans="1:11" hidden="1" x14ac:dyDescent="0.3">
      <c r="A36" s="93" t="s">
        <v>172</v>
      </c>
      <c r="B36" s="99" t="s">
        <v>250</v>
      </c>
      <c r="C36" s="211" t="s">
        <v>200</v>
      </c>
      <c r="D36" s="211"/>
      <c r="E36" s="146" t="str">
        <f>+C36</f>
        <v>(2)</v>
      </c>
      <c r="F36" s="146" t="str">
        <f>+C36</f>
        <v>(2)</v>
      </c>
      <c r="G36" s="146"/>
      <c r="H36" s="122" t="str">
        <f>+C36</f>
        <v>(2)</v>
      </c>
      <c r="I36" s="148"/>
      <c r="J36" s="193" t="str">
        <f t="shared" si="12"/>
        <v>(2)</v>
      </c>
      <c r="K36" s="167" t="str">
        <f>+E36</f>
        <v>(2)</v>
      </c>
    </row>
    <row r="37" spans="1:11" hidden="1" x14ac:dyDescent="0.3">
      <c r="A37" s="93" t="s">
        <v>176</v>
      </c>
      <c r="B37" s="99" t="s">
        <v>177</v>
      </c>
      <c r="C37" s="211">
        <f>+RUBROS!$Z$53</f>
        <v>78.428942648119744</v>
      </c>
      <c r="D37" s="211"/>
      <c r="E37" s="146">
        <f>+C37</f>
        <v>78.428942648119744</v>
      </c>
      <c r="F37" s="146">
        <f>+C37</f>
        <v>78.428942648119744</v>
      </c>
      <c r="G37" s="146"/>
      <c r="H37" s="122">
        <f>+C37</f>
        <v>78.428942648119744</v>
      </c>
      <c r="I37" s="148"/>
      <c r="J37" s="193">
        <f t="shared" si="12"/>
        <v>78.428942648119744</v>
      </c>
      <c r="K37" s="167">
        <f>+C37</f>
        <v>78.428942648119744</v>
      </c>
    </row>
    <row r="38" spans="1:11" hidden="1" x14ac:dyDescent="0.3">
      <c r="A38" s="93" t="s">
        <v>174</v>
      </c>
      <c r="B38" s="99" t="s">
        <v>175</v>
      </c>
      <c r="C38" s="194">
        <f>+RUBROS!$Z$17</f>
        <v>22.249601678692599</v>
      </c>
      <c r="D38" s="194"/>
      <c r="E38" s="122">
        <f>+C38</f>
        <v>22.249601678692599</v>
      </c>
      <c r="F38" s="122">
        <f>+C38</f>
        <v>22.249601678692599</v>
      </c>
      <c r="G38" s="122"/>
      <c r="H38" s="122">
        <f>+C38</f>
        <v>22.249601678692599</v>
      </c>
      <c r="I38" s="148"/>
      <c r="J38" s="191">
        <f t="shared" si="12"/>
        <v>22.249601678692599</v>
      </c>
      <c r="K38" s="96">
        <f>+C38</f>
        <v>22.249601678692599</v>
      </c>
    </row>
    <row r="39" spans="1:11" hidden="1" x14ac:dyDescent="0.3">
      <c r="A39" s="93" t="s">
        <v>178</v>
      </c>
      <c r="B39" s="99" t="s">
        <v>179</v>
      </c>
      <c r="C39" s="194">
        <f>+RUBROS!$AQ$42</f>
        <v>12.938273064269636</v>
      </c>
      <c r="D39" s="194"/>
      <c r="E39" s="122">
        <f>+C39</f>
        <v>12.938273064269636</v>
      </c>
      <c r="F39" s="122">
        <f>+C39</f>
        <v>12.938273064269636</v>
      </c>
      <c r="G39" s="122"/>
      <c r="H39" s="122">
        <f>+C39</f>
        <v>12.938273064269636</v>
      </c>
      <c r="I39" s="148"/>
      <c r="J39" s="191">
        <f t="shared" si="12"/>
        <v>12.938273064269636</v>
      </c>
      <c r="K39" s="96">
        <f>+J39</f>
        <v>12.938273064269636</v>
      </c>
    </row>
    <row r="40" spans="1:11" hidden="1" x14ac:dyDescent="0.3">
      <c r="A40" s="93"/>
      <c r="B40" s="99" t="s">
        <v>180</v>
      </c>
      <c r="C40" s="194"/>
      <c r="D40" s="194"/>
      <c r="E40" s="122"/>
      <c r="F40" s="122"/>
      <c r="G40" s="122"/>
      <c r="H40" s="122"/>
      <c r="I40" s="148"/>
      <c r="J40" s="191"/>
      <c r="K40" s="96"/>
    </row>
    <row r="41" spans="1:11" hidden="1" x14ac:dyDescent="0.3">
      <c r="A41" s="100" t="s">
        <v>181</v>
      </c>
      <c r="B41" s="129" t="s">
        <v>182</v>
      </c>
      <c r="C41" s="195">
        <f t="shared" ref="C41:J41" si="13">SUM(C32:C40)</f>
        <v>4994.1330673910816</v>
      </c>
      <c r="D41" s="195"/>
      <c r="E41" s="195">
        <f t="shared" si="13"/>
        <v>5320.8408173910811</v>
      </c>
      <c r="F41" s="195">
        <f t="shared" si="13"/>
        <v>3873.9530173910816</v>
      </c>
      <c r="G41" s="195"/>
      <c r="H41" s="195">
        <f t="shared" si="13"/>
        <v>113.61681739108198</v>
      </c>
      <c r="I41" s="623"/>
      <c r="J41" s="197">
        <f t="shared" si="13"/>
        <v>6419.3452173910819</v>
      </c>
      <c r="K41" s="198" t="e">
        <f>SUM(K32:K40)</f>
        <v>#REF!</v>
      </c>
    </row>
    <row r="42" spans="1:11" hidden="1" x14ac:dyDescent="0.3">
      <c r="A42" s="93" t="s">
        <v>183</v>
      </c>
      <c r="B42" s="99" t="s">
        <v>246</v>
      </c>
      <c r="C42" s="211" t="s">
        <v>214</v>
      </c>
      <c r="D42" s="211"/>
      <c r="E42" s="122" t="str">
        <f>+C42</f>
        <v>***</v>
      </c>
      <c r="F42" s="122" t="str">
        <f>+E42</f>
        <v>***</v>
      </c>
      <c r="G42" s="122"/>
      <c r="H42" s="122" t="str">
        <f>+F42</f>
        <v>***</v>
      </c>
      <c r="I42" s="148"/>
      <c r="J42" s="191" t="str">
        <f>+H42</f>
        <v>***</v>
      </c>
      <c r="K42" s="96" t="str">
        <f>+C42</f>
        <v>***</v>
      </c>
    </row>
    <row r="43" spans="1:11" hidden="1" x14ac:dyDescent="0.3">
      <c r="A43" s="93" t="s">
        <v>185</v>
      </c>
      <c r="B43" s="99" t="s">
        <v>186</v>
      </c>
      <c r="C43" s="211" t="s">
        <v>212</v>
      </c>
      <c r="D43" s="211"/>
      <c r="E43" s="122" t="str">
        <f>+C43</f>
        <v>**</v>
      </c>
      <c r="F43" s="122" t="str">
        <f>+C43</f>
        <v>**</v>
      </c>
      <c r="G43" s="122"/>
      <c r="H43" s="122" t="str">
        <f>+C43</f>
        <v>**</v>
      </c>
      <c r="I43" s="148"/>
      <c r="J43" s="191" t="str">
        <f>+C43</f>
        <v>**</v>
      </c>
      <c r="K43" s="96" t="str">
        <f>+C43</f>
        <v>**</v>
      </c>
    </row>
    <row r="44" spans="1:11" hidden="1" x14ac:dyDescent="0.3">
      <c r="A44" s="93" t="s">
        <v>187</v>
      </c>
      <c r="B44" s="165" t="s">
        <v>134</v>
      </c>
      <c r="C44" s="231" t="s">
        <v>216</v>
      </c>
      <c r="D44" s="231"/>
      <c r="E44" s="122" t="str">
        <f>+C44</f>
        <v>****</v>
      </c>
      <c r="F44" s="128" t="str">
        <f>+C44</f>
        <v>****</v>
      </c>
      <c r="G44" s="128"/>
      <c r="H44" s="128" t="str">
        <f>+C44</f>
        <v>****</v>
      </c>
      <c r="I44" s="145"/>
      <c r="J44" s="214" t="str">
        <f>C44</f>
        <v>****</v>
      </c>
      <c r="K44" s="96" t="str">
        <f>+C44</f>
        <v>****</v>
      </c>
    </row>
    <row r="45" spans="1:11" hidden="1" x14ac:dyDescent="0.3">
      <c r="A45" s="100" t="s">
        <v>189</v>
      </c>
      <c r="B45" s="129" t="s">
        <v>190</v>
      </c>
      <c r="C45" s="200">
        <f t="shared" ref="C45:K45" si="14">+C41</f>
        <v>4994.1330673910816</v>
      </c>
      <c r="D45" s="200"/>
      <c r="E45" s="130">
        <f t="shared" si="14"/>
        <v>5320.8408173910811</v>
      </c>
      <c r="F45" s="130">
        <f t="shared" si="14"/>
        <v>3873.9530173910816</v>
      </c>
      <c r="G45" s="130"/>
      <c r="H45" s="130">
        <f t="shared" si="14"/>
        <v>113.61681739108198</v>
      </c>
      <c r="I45" s="154"/>
      <c r="J45" s="197">
        <f t="shared" si="14"/>
        <v>6419.3452173910819</v>
      </c>
      <c r="K45" s="102" t="e">
        <f t="shared" si="14"/>
        <v>#REF!</v>
      </c>
    </row>
    <row r="46" spans="1:11" hidden="1" x14ac:dyDescent="0.3">
      <c r="A46" s="93" t="s">
        <v>191</v>
      </c>
      <c r="B46" s="99" t="s">
        <v>150</v>
      </c>
      <c r="C46" s="194" t="str">
        <f>+C42</f>
        <v>***</v>
      </c>
      <c r="D46" s="194"/>
      <c r="E46" s="194" t="str">
        <f t="shared" ref="E46:H46" si="15">+E42</f>
        <v>***</v>
      </c>
      <c r="F46" s="194" t="str">
        <f t="shared" si="15"/>
        <v>***</v>
      </c>
      <c r="G46" s="194"/>
      <c r="H46" s="194" t="str">
        <f t="shared" si="15"/>
        <v>***</v>
      </c>
      <c r="I46" s="194"/>
      <c r="J46" s="191" t="str">
        <f>+J42</f>
        <v>***</v>
      </c>
      <c r="K46" s="96" t="str">
        <f>+K42</f>
        <v>***</v>
      </c>
    </row>
    <row r="47" spans="1:11" hidden="1" x14ac:dyDescent="0.3">
      <c r="A47" s="93" t="s">
        <v>192</v>
      </c>
      <c r="B47" s="94" t="s">
        <v>193</v>
      </c>
      <c r="C47" s="201" t="s">
        <v>218</v>
      </c>
      <c r="D47" s="201"/>
      <c r="E47" s="122" t="str">
        <f>+C47</f>
        <v>*****</v>
      </c>
      <c r="F47" s="122" t="s">
        <v>194</v>
      </c>
      <c r="G47" s="122"/>
      <c r="H47" s="122" t="s">
        <v>194</v>
      </c>
      <c r="I47" s="148"/>
      <c r="J47" s="191" t="str">
        <f>+E47</f>
        <v>*****</v>
      </c>
      <c r="K47" s="96" t="s">
        <v>236</v>
      </c>
    </row>
    <row r="48" spans="1:11" hidden="1" x14ac:dyDescent="0.3">
      <c r="A48" s="93" t="s">
        <v>195</v>
      </c>
      <c r="B48" s="94" t="s">
        <v>196</v>
      </c>
      <c r="C48" s="201" t="s">
        <v>219</v>
      </c>
      <c r="D48" s="201"/>
      <c r="E48" s="122" t="str">
        <f>+C48</f>
        <v>******</v>
      </c>
      <c r="F48" s="122" t="str">
        <f>+C48</f>
        <v>******</v>
      </c>
      <c r="G48" s="122"/>
      <c r="H48" s="122" t="str">
        <f>+C48</f>
        <v>******</v>
      </c>
      <c r="I48" s="148"/>
      <c r="J48" s="191" t="str">
        <f>+C48</f>
        <v>******</v>
      </c>
      <c r="K48" s="96" t="str">
        <f>+C48</f>
        <v>******</v>
      </c>
    </row>
    <row r="49" spans="1:13" ht="15" hidden="1" thickBot="1" x14ac:dyDescent="0.35">
      <c r="A49" s="104" t="s">
        <v>197</v>
      </c>
      <c r="B49" s="105" t="s">
        <v>198</v>
      </c>
      <c r="C49" s="202"/>
      <c r="D49" s="202"/>
      <c r="E49" s="132"/>
      <c r="F49" s="132"/>
      <c r="G49" s="132"/>
      <c r="H49" s="132"/>
      <c r="I49" s="158"/>
      <c r="J49" s="203"/>
      <c r="K49" s="107"/>
    </row>
    <row r="50" spans="1:13" x14ac:dyDescent="0.3">
      <c r="A50" s="109"/>
      <c r="B50" s="110"/>
      <c r="C50" s="110"/>
      <c r="D50" s="110"/>
      <c r="E50" s="111"/>
      <c r="F50" s="111"/>
      <c r="G50" s="111"/>
      <c r="H50" s="111"/>
      <c r="I50" s="111"/>
      <c r="J50" s="111"/>
      <c r="K50" s="111"/>
    </row>
    <row r="51" spans="1:13" ht="15" thickBot="1" x14ac:dyDescent="0.35">
      <c r="A51" s="109"/>
      <c r="B51" s="110"/>
      <c r="C51" s="110"/>
      <c r="D51" s="110"/>
      <c r="E51" s="111"/>
      <c r="F51" s="111"/>
      <c r="G51" s="111"/>
      <c r="H51" s="111"/>
      <c r="I51" s="111"/>
      <c r="J51" s="111"/>
      <c r="K51" s="111"/>
    </row>
    <row r="52" spans="1:13" ht="22.8" customHeight="1" thickTop="1" x14ac:dyDescent="0.3">
      <c r="A52" s="143"/>
      <c r="B52" s="118" t="s">
        <v>259</v>
      </c>
      <c r="C52" s="669" t="s">
        <v>163</v>
      </c>
      <c r="D52" s="670"/>
      <c r="E52" s="670"/>
      <c r="F52" s="670"/>
      <c r="G52" s="670"/>
      <c r="H52" s="670"/>
      <c r="I52" s="670"/>
      <c r="J52" s="671"/>
      <c r="K52" s="923" t="s">
        <v>232</v>
      </c>
      <c r="L52" s="924"/>
      <c r="M52" s="924"/>
    </row>
    <row r="53" spans="1:13" ht="46.5" customHeight="1" x14ac:dyDescent="0.3">
      <c r="A53" s="119"/>
      <c r="B53" s="603" t="s">
        <v>476</v>
      </c>
      <c r="C53" s="672"/>
      <c r="D53" s="673"/>
      <c r="E53" s="673"/>
      <c r="F53" s="673"/>
      <c r="G53" s="673"/>
      <c r="H53" s="673"/>
      <c r="I53" s="673"/>
      <c r="J53" s="674"/>
      <c r="K53" s="923"/>
      <c r="L53" s="924"/>
      <c r="M53" s="924"/>
    </row>
    <row r="54" spans="1:13" ht="38.25" customHeight="1" x14ac:dyDescent="0.3">
      <c r="A54" s="896" t="s">
        <v>164</v>
      </c>
      <c r="B54" s="898" t="s">
        <v>165</v>
      </c>
      <c r="C54" s="902" t="s">
        <v>223</v>
      </c>
      <c r="D54" s="749" t="s">
        <v>96</v>
      </c>
      <c r="E54" s="516" t="s">
        <v>96</v>
      </c>
      <c r="F54" s="120" t="s">
        <v>96</v>
      </c>
      <c r="G54" s="616"/>
      <c r="H54" s="120" t="str">
        <f>+H5</f>
        <v>Biodiesel B5</v>
      </c>
      <c r="I54" s="611" t="s">
        <v>375</v>
      </c>
      <c r="J54" s="624" t="str">
        <f>+J5</f>
        <v>Biodiesel B11</v>
      </c>
      <c r="K54" s="91" t="s">
        <v>96</v>
      </c>
      <c r="L54" s="515" t="s">
        <v>96</v>
      </c>
      <c r="M54" s="182" t="str">
        <f>+J54</f>
        <v>Biodiesel B11</v>
      </c>
    </row>
    <row r="55" spans="1:13" x14ac:dyDescent="0.3">
      <c r="A55" s="896"/>
      <c r="B55" s="898"/>
      <c r="C55" s="903"/>
      <c r="D55" s="480" t="s">
        <v>514</v>
      </c>
      <c r="E55" s="480">
        <v>0.08</v>
      </c>
      <c r="F55" s="460">
        <v>5</v>
      </c>
      <c r="G55" s="665"/>
      <c r="H55" s="121" t="str">
        <f>+H6</f>
        <v>Oxigenada 5%</v>
      </c>
      <c r="I55" s="624">
        <v>0.1</v>
      </c>
      <c r="J55" s="624">
        <v>0.11</v>
      </c>
      <c r="K55" s="217">
        <v>0.04</v>
      </c>
      <c r="L55" s="217" t="s">
        <v>452</v>
      </c>
      <c r="M55" s="121" t="str">
        <f>+N6</f>
        <v>Oxigenada 5%</v>
      </c>
    </row>
    <row r="56" spans="1:13" x14ac:dyDescent="0.3">
      <c r="A56" s="897"/>
      <c r="B56" s="899"/>
      <c r="C56" s="91" t="s">
        <v>166</v>
      </c>
      <c r="D56" s="749" t="s">
        <v>166</v>
      </c>
      <c r="E56" s="516" t="s">
        <v>166</v>
      </c>
      <c r="F56" s="120" t="s">
        <v>166</v>
      </c>
      <c r="G56" s="616"/>
      <c r="H56" s="120" t="s">
        <v>166</v>
      </c>
      <c r="I56" s="611" t="s">
        <v>166</v>
      </c>
      <c r="J56" s="611" t="s">
        <v>166</v>
      </c>
      <c r="K56" s="91" t="s">
        <v>166</v>
      </c>
      <c r="L56" s="515" t="s">
        <v>166</v>
      </c>
      <c r="M56" s="182" t="s">
        <v>166</v>
      </c>
    </row>
    <row r="57" spans="1:13" ht="15" customHeight="1" x14ac:dyDescent="0.3">
      <c r="A57" s="93" t="s">
        <v>167</v>
      </c>
      <c r="B57" s="99" t="s">
        <v>168</v>
      </c>
      <c r="C57" s="208">
        <f>+'GAS CTE'!C6</f>
        <v>5262.5</v>
      </c>
      <c r="D57" s="208">
        <f>+'GAS CTE'!D9</f>
        <v>5418.2142000000003</v>
      </c>
      <c r="E57" s="208">
        <f>+'GAS CTE'!E9</f>
        <v>5573.9283999999998</v>
      </c>
      <c r="F57" s="208">
        <f>+'GAS CTE'!F9</f>
        <v>5651.7855</v>
      </c>
      <c r="G57" s="208"/>
      <c r="H57" s="209">
        <f>+BIODIESEL!G9</f>
        <v>5413.0529999999999</v>
      </c>
      <c r="I57" s="817">
        <f>+BIODIESEL!H9</f>
        <v>6193.8560000000007</v>
      </c>
      <c r="J57" s="128">
        <f>+BIODIESEL!H9</f>
        <v>6193.8560000000007</v>
      </c>
      <c r="K57" s="191">
        <f>+E57</f>
        <v>5573.9283999999998</v>
      </c>
      <c r="L57" s="191">
        <f>+F57</f>
        <v>5651.7855</v>
      </c>
      <c r="M57" s="170">
        <f>+N8</f>
        <v>5413.0529999999999</v>
      </c>
    </row>
    <row r="58" spans="1:13" ht="15" customHeight="1" x14ac:dyDescent="0.3">
      <c r="A58" s="93" t="s">
        <v>169</v>
      </c>
      <c r="B58" s="99" t="s">
        <v>170</v>
      </c>
      <c r="C58" s="146" t="s">
        <v>171</v>
      </c>
      <c r="D58" s="146" t="s">
        <v>171</v>
      </c>
      <c r="E58" s="146" t="s">
        <v>171</v>
      </c>
      <c r="F58" s="146" t="s">
        <v>171</v>
      </c>
      <c r="G58" s="146"/>
      <c r="H58" s="146" t="s">
        <v>171</v>
      </c>
      <c r="I58" s="215" t="s">
        <v>171</v>
      </c>
      <c r="J58" s="123" t="s">
        <v>171</v>
      </c>
      <c r="K58" s="193">
        <f>+'GAS CTE'!E10</f>
        <v>562.79999999999995</v>
      </c>
      <c r="L58" s="193">
        <f>+'GAS CTE'!F10</f>
        <v>556.9375</v>
      </c>
      <c r="M58" s="167">
        <f>+N9</f>
        <v>533.06399999999996</v>
      </c>
    </row>
    <row r="59" spans="1:13" ht="15" customHeight="1" x14ac:dyDescent="0.3">
      <c r="A59" s="93"/>
      <c r="B59" s="99" t="s">
        <v>129</v>
      </c>
      <c r="C59" s="146" t="s">
        <v>171</v>
      </c>
      <c r="D59" s="146" t="s">
        <v>171</v>
      </c>
      <c r="E59" s="146" t="s">
        <v>171</v>
      </c>
      <c r="F59" s="146" t="s">
        <v>171</v>
      </c>
      <c r="G59" s="146"/>
      <c r="H59" s="146" t="s">
        <v>171</v>
      </c>
      <c r="I59" s="215" t="s">
        <v>171</v>
      </c>
      <c r="J59" s="123" t="s">
        <v>171</v>
      </c>
      <c r="K59" s="193" t="str">
        <f>+K10</f>
        <v>(3)</v>
      </c>
      <c r="L59" s="193"/>
      <c r="M59" s="167" t="str">
        <f>+K59</f>
        <v>(3)</v>
      </c>
    </row>
    <row r="60" spans="1:13" ht="15" customHeight="1" x14ac:dyDescent="0.3">
      <c r="A60" s="93"/>
      <c r="B60" s="99" t="s">
        <v>131</v>
      </c>
      <c r="C60" s="194">
        <f>'GAS CTE'!C12</f>
        <v>169</v>
      </c>
      <c r="D60" s="194">
        <f>+'GAS CTE'!D12</f>
        <v>165.62</v>
      </c>
      <c r="E60" s="194">
        <f>+'GAS CTE'!E12</f>
        <v>162.23999999999998</v>
      </c>
      <c r="F60" s="194">
        <f>+'GAS CTE'!F12</f>
        <v>160.54999999999998</v>
      </c>
      <c r="G60" s="194"/>
      <c r="H60" s="194">
        <f>+BIODIESEL!G12</f>
        <v>181.45</v>
      </c>
      <c r="I60" s="199">
        <f>+BIODIESEL!H12</f>
        <v>171.9</v>
      </c>
      <c r="J60" s="128">
        <f>+BIODIESEL!H12</f>
        <v>171.9</v>
      </c>
      <c r="K60" s="193">
        <f>+E60</f>
        <v>162.23999999999998</v>
      </c>
      <c r="L60" s="193">
        <f>+F60</f>
        <v>160.54999999999998</v>
      </c>
      <c r="M60" s="167">
        <f>+N11</f>
        <v>181.45</v>
      </c>
    </row>
    <row r="61" spans="1:13" ht="15" customHeight="1" x14ac:dyDescent="0.3">
      <c r="A61" s="93" t="s">
        <v>172</v>
      </c>
      <c r="B61" s="99" t="s">
        <v>250</v>
      </c>
      <c r="C61" s="146" t="str">
        <f>+C12</f>
        <v>(2)</v>
      </c>
      <c r="D61" s="146" t="s">
        <v>200</v>
      </c>
      <c r="E61" s="146" t="str">
        <f>+C61</f>
        <v>(2)</v>
      </c>
      <c r="F61" s="146" t="str">
        <f>+C61</f>
        <v>(2)</v>
      </c>
      <c r="G61" s="146"/>
      <c r="H61" s="146" t="str">
        <f>+C61</f>
        <v>(2)</v>
      </c>
      <c r="I61" s="215" t="s">
        <v>200</v>
      </c>
      <c r="J61" s="122" t="str">
        <f>+C61</f>
        <v>(2)</v>
      </c>
      <c r="K61" s="193" t="str">
        <f>+C61</f>
        <v>(2)</v>
      </c>
      <c r="L61" s="193" t="str">
        <f>+C61</f>
        <v>(2)</v>
      </c>
      <c r="M61" s="167" t="str">
        <f>+E61</f>
        <v>(2)</v>
      </c>
    </row>
    <row r="62" spans="1:13" ht="15" customHeight="1" x14ac:dyDescent="0.3">
      <c r="A62" s="93" t="s">
        <v>176</v>
      </c>
      <c r="B62" s="99" t="s">
        <v>177</v>
      </c>
      <c r="C62" s="146">
        <f>+C13</f>
        <v>82.836649224944082</v>
      </c>
      <c r="D62" s="146">
        <f>+C62</f>
        <v>82.836649224944082</v>
      </c>
      <c r="E62" s="146">
        <f>+C62</f>
        <v>82.836649224944082</v>
      </c>
      <c r="F62" s="146">
        <f>+C62</f>
        <v>82.836649224944082</v>
      </c>
      <c r="G62" s="146"/>
      <c r="H62" s="146">
        <f>+C62</f>
        <v>82.836649224944082</v>
      </c>
      <c r="I62" s="215">
        <f>+C62</f>
        <v>82.836649224944082</v>
      </c>
      <c r="J62" s="122">
        <f>+C62</f>
        <v>82.836649224944082</v>
      </c>
      <c r="K62" s="193">
        <f>+C62</f>
        <v>82.836649224944082</v>
      </c>
      <c r="L62" s="193">
        <f>+C62</f>
        <v>82.836649224944082</v>
      </c>
      <c r="M62" s="167">
        <f>+K62</f>
        <v>82.836649224944082</v>
      </c>
    </row>
    <row r="63" spans="1:13" ht="15" customHeight="1" x14ac:dyDescent="0.3">
      <c r="A63" s="93" t="s">
        <v>174</v>
      </c>
      <c r="B63" s="99" t="s">
        <v>175</v>
      </c>
      <c r="C63" s="194">
        <f>C14</f>
        <v>23.500029293035123</v>
      </c>
      <c r="D63" s="194">
        <f>+C63</f>
        <v>23.500029293035123</v>
      </c>
      <c r="E63" s="122">
        <f>+C63</f>
        <v>23.500029293035123</v>
      </c>
      <c r="F63" s="122">
        <f>+C63</f>
        <v>23.500029293035123</v>
      </c>
      <c r="G63" s="122"/>
      <c r="H63" s="122">
        <f>+C63</f>
        <v>23.500029293035123</v>
      </c>
      <c r="I63" s="215">
        <f>+C63</f>
        <v>23.500029293035123</v>
      </c>
      <c r="J63" s="122">
        <f>+C63</f>
        <v>23.500029293035123</v>
      </c>
      <c r="K63" s="191">
        <f>+C63</f>
        <v>23.500029293035123</v>
      </c>
      <c r="L63" s="191">
        <f>+C63</f>
        <v>23.500029293035123</v>
      </c>
      <c r="M63" s="96">
        <f>+C63</f>
        <v>23.500029293035123</v>
      </c>
    </row>
    <row r="64" spans="1:13" ht="15" customHeight="1" x14ac:dyDescent="0.3">
      <c r="A64" s="93" t="s">
        <v>178</v>
      </c>
      <c r="B64" s="99" t="s">
        <v>179</v>
      </c>
      <c r="C64" s="194">
        <f>+C15</f>
        <v>13.326421256197724</v>
      </c>
      <c r="D64" s="194">
        <f>+C64</f>
        <v>13.326421256197724</v>
      </c>
      <c r="E64" s="122">
        <f>+C64</f>
        <v>13.326421256197724</v>
      </c>
      <c r="F64" s="122">
        <f>+C64</f>
        <v>13.326421256197724</v>
      </c>
      <c r="G64" s="122"/>
      <c r="H64" s="122">
        <f>+C64</f>
        <v>13.326421256197724</v>
      </c>
      <c r="I64" s="215">
        <f>+C64</f>
        <v>13.326421256197724</v>
      </c>
      <c r="J64" s="122">
        <f>+C64</f>
        <v>13.326421256197724</v>
      </c>
      <c r="K64" s="191">
        <f>+C64</f>
        <v>13.326421256197724</v>
      </c>
      <c r="L64" s="191">
        <f>+C64</f>
        <v>13.326421256197724</v>
      </c>
      <c r="M64" s="96">
        <f>+K64</f>
        <v>13.326421256197724</v>
      </c>
    </row>
    <row r="65" spans="1:13" hidden="1" x14ac:dyDescent="0.3">
      <c r="A65" s="93"/>
      <c r="B65" s="99" t="s">
        <v>180</v>
      </c>
      <c r="C65" s="194"/>
      <c r="D65" s="709"/>
      <c r="E65" s="540"/>
      <c r="H65" s="122"/>
      <c r="I65" s="122"/>
      <c r="J65" s="122"/>
      <c r="K65" s="540"/>
      <c r="M65" s="96"/>
    </row>
    <row r="66" spans="1:13" x14ac:dyDescent="0.3">
      <c r="A66" s="100" t="s">
        <v>181</v>
      </c>
      <c r="B66" s="129" t="s">
        <v>182</v>
      </c>
      <c r="C66" s="195">
        <f t="shared" ref="C66:L66" si="16">SUM(C57:C65)</f>
        <v>5551.1630997741777</v>
      </c>
      <c r="D66" s="195">
        <f t="shared" si="16"/>
        <v>5703.4972997741779</v>
      </c>
      <c r="E66" s="195">
        <f>SUM(E57:E65)</f>
        <v>5855.8314997741772</v>
      </c>
      <c r="F66" s="195">
        <f>SUM(F57:F65)</f>
        <v>5931.9985997741778</v>
      </c>
      <c r="G66" s="195"/>
      <c r="H66" s="195">
        <f t="shared" si="16"/>
        <v>5714.1660997741774</v>
      </c>
      <c r="I66" s="195">
        <f t="shared" si="16"/>
        <v>6485.419099774178</v>
      </c>
      <c r="J66" s="195">
        <f t="shared" si="16"/>
        <v>6485.419099774178</v>
      </c>
      <c r="K66" s="197">
        <f t="shared" si="16"/>
        <v>6418.6314997741774</v>
      </c>
      <c r="L66" s="197">
        <f t="shared" si="16"/>
        <v>6488.9360997741778</v>
      </c>
      <c r="M66" s="198">
        <f>SUM(M57:M65)</f>
        <v>6247.2300997741777</v>
      </c>
    </row>
    <row r="67" spans="1:13" x14ac:dyDescent="0.3">
      <c r="A67" s="93" t="s">
        <v>183</v>
      </c>
      <c r="B67" s="99" t="s">
        <v>246</v>
      </c>
      <c r="C67" s="760" t="s">
        <v>214</v>
      </c>
      <c r="D67" s="760" t="s">
        <v>214</v>
      </c>
      <c r="E67" s="760" t="str">
        <f>+C67</f>
        <v>***</v>
      </c>
      <c r="F67" s="760" t="str">
        <f>+C67</f>
        <v>***</v>
      </c>
      <c r="G67" s="122"/>
      <c r="H67" s="122" t="str">
        <f>+E67</f>
        <v>***</v>
      </c>
      <c r="I67" s="122" t="str">
        <f>+F67</f>
        <v>***</v>
      </c>
      <c r="J67" s="122" t="str">
        <f>+H67</f>
        <v>***</v>
      </c>
      <c r="K67" s="526" t="str">
        <f>+C67</f>
        <v>***</v>
      </c>
      <c r="L67" s="526" t="str">
        <f>+C67</f>
        <v>***</v>
      </c>
      <c r="M67" s="96" t="str">
        <f>+K67</f>
        <v>***</v>
      </c>
    </row>
    <row r="68" spans="1:13" x14ac:dyDescent="0.3">
      <c r="A68" s="93" t="s">
        <v>185</v>
      </c>
      <c r="B68" s="99" t="s">
        <v>186</v>
      </c>
      <c r="C68" s="760" t="s">
        <v>212</v>
      </c>
      <c r="D68" s="760" t="s">
        <v>212</v>
      </c>
      <c r="E68" s="760" t="str">
        <f>+C68</f>
        <v>**</v>
      </c>
      <c r="F68" s="760" t="str">
        <f>+C68</f>
        <v>**</v>
      </c>
      <c r="G68" s="122"/>
      <c r="H68" s="122" t="str">
        <f>+C68</f>
        <v>**</v>
      </c>
      <c r="I68" s="122" t="str">
        <f>+E68</f>
        <v>**</v>
      </c>
      <c r="J68" s="122" t="str">
        <f>+C68</f>
        <v>**</v>
      </c>
      <c r="K68" s="526" t="str">
        <f>+C68</f>
        <v>**</v>
      </c>
      <c r="L68" s="526" t="str">
        <f>+C68</f>
        <v>**</v>
      </c>
      <c r="M68" s="96" t="str">
        <f>+K68</f>
        <v>**</v>
      </c>
    </row>
    <row r="69" spans="1:13" x14ac:dyDescent="0.3">
      <c r="A69" s="93" t="s">
        <v>187</v>
      </c>
      <c r="B69" s="165" t="s">
        <v>134</v>
      </c>
      <c r="C69" s="761" t="str">
        <f>+C20</f>
        <v>****</v>
      </c>
      <c r="D69" s="761" t="s">
        <v>216</v>
      </c>
      <c r="E69" s="761" t="str">
        <f>+C69</f>
        <v>****</v>
      </c>
      <c r="F69" s="761" t="str">
        <f>+C69</f>
        <v>****</v>
      </c>
      <c r="G69" s="128"/>
      <c r="H69" s="128" t="str">
        <f>+C69</f>
        <v>****</v>
      </c>
      <c r="I69" s="128" t="str">
        <f>+E69</f>
        <v>****</v>
      </c>
      <c r="J69" s="128" t="str">
        <f>+C69</f>
        <v>****</v>
      </c>
      <c r="K69" s="526" t="str">
        <f>C69</f>
        <v>****</v>
      </c>
      <c r="L69" s="526" t="str">
        <f>+C69</f>
        <v>****</v>
      </c>
      <c r="M69" s="96" t="str">
        <f>+C69</f>
        <v>****</v>
      </c>
    </row>
    <row r="70" spans="1:13" x14ac:dyDescent="0.3">
      <c r="A70" s="100" t="s">
        <v>189</v>
      </c>
      <c r="B70" s="129" t="s">
        <v>190</v>
      </c>
      <c r="C70" s="130">
        <f>SUM(C66:C69)</f>
        <v>5551.1630997741777</v>
      </c>
      <c r="D70" s="130">
        <f>SUM(D66:D69)</f>
        <v>5703.4972997741779</v>
      </c>
      <c r="E70" s="130">
        <f>SUM(E66:E69)</f>
        <v>5855.8314997741772</v>
      </c>
      <c r="F70" s="130">
        <f>SUM(F66:F69)</f>
        <v>5931.9985997741778</v>
      </c>
      <c r="G70" s="130"/>
      <c r="H70" s="130">
        <f t="shared" ref="H70:L70" si="17">SUM(H66:H69)</f>
        <v>5714.1660997741774</v>
      </c>
      <c r="I70" s="130">
        <f t="shared" si="17"/>
        <v>6485.419099774178</v>
      </c>
      <c r="J70" s="130">
        <f t="shared" si="17"/>
        <v>6485.419099774178</v>
      </c>
      <c r="K70" s="197">
        <f t="shared" si="17"/>
        <v>6418.6314997741774</v>
      </c>
      <c r="L70" s="197">
        <f t="shared" si="17"/>
        <v>6488.9360997741778</v>
      </c>
      <c r="M70" s="102">
        <f>SUM(M66:M69)</f>
        <v>6247.2300997741777</v>
      </c>
    </row>
    <row r="71" spans="1:13" x14ac:dyDescent="0.3">
      <c r="A71" s="93" t="s">
        <v>191</v>
      </c>
      <c r="B71" s="99" t="s">
        <v>150</v>
      </c>
      <c r="C71" s="760" t="str">
        <f>+C67</f>
        <v>***</v>
      </c>
      <c r="D71" s="760" t="s">
        <v>214</v>
      </c>
      <c r="E71" s="760" t="str">
        <f>+C71</f>
        <v>***</v>
      </c>
      <c r="F71" s="760" t="str">
        <f>+C71</f>
        <v>***</v>
      </c>
      <c r="G71" s="122"/>
      <c r="H71" s="122" t="str">
        <f>+C71</f>
        <v>***</v>
      </c>
      <c r="I71" s="122" t="str">
        <f>+E71</f>
        <v>***</v>
      </c>
      <c r="J71" s="122" t="str">
        <f>+J67</f>
        <v>***</v>
      </c>
      <c r="K71" s="527" t="str">
        <f>+C71</f>
        <v>***</v>
      </c>
      <c r="L71" s="527" t="str">
        <f>+C71</f>
        <v>***</v>
      </c>
      <c r="M71" s="96" t="str">
        <f>+C71</f>
        <v>***</v>
      </c>
    </row>
    <row r="72" spans="1:13" x14ac:dyDescent="0.3">
      <c r="A72" s="93" t="s">
        <v>192</v>
      </c>
      <c r="B72" s="94" t="s">
        <v>193</v>
      </c>
      <c r="C72" s="201" t="str">
        <f>+C23</f>
        <v>*****</v>
      </c>
      <c r="D72" s="201" t="s">
        <v>218</v>
      </c>
      <c r="E72" s="201" t="str">
        <f>+E23</f>
        <v>*****</v>
      </c>
      <c r="F72" s="201" t="str">
        <f>+C72</f>
        <v>*****</v>
      </c>
      <c r="G72" s="148"/>
      <c r="H72" s="148" t="str">
        <f t="shared" ref="H72:K73" si="18">+H23</f>
        <v>N.A</v>
      </c>
      <c r="I72" s="148" t="str">
        <f t="shared" ref="I72" si="19">+I23</f>
        <v>N.A</v>
      </c>
      <c r="J72" s="148" t="str">
        <f t="shared" si="18"/>
        <v>N.A</v>
      </c>
      <c r="K72" s="140" t="str">
        <f t="shared" si="18"/>
        <v>*****</v>
      </c>
      <c r="L72" s="140" t="str">
        <f>+C72</f>
        <v>*****</v>
      </c>
      <c r="M72" s="170" t="str">
        <f>+N23</f>
        <v>N.A.</v>
      </c>
    </row>
    <row r="73" spans="1:13" x14ac:dyDescent="0.3">
      <c r="A73" s="93" t="s">
        <v>195</v>
      </c>
      <c r="B73" s="94" t="s">
        <v>196</v>
      </c>
      <c r="C73" s="201" t="str">
        <f>+C24</f>
        <v>******</v>
      </c>
      <c r="D73" s="201" t="s">
        <v>219</v>
      </c>
      <c r="E73" s="201" t="str">
        <f>+E24</f>
        <v>******</v>
      </c>
      <c r="F73" s="201" t="str">
        <f>+C73</f>
        <v>******</v>
      </c>
      <c r="G73" s="148"/>
      <c r="H73" s="148" t="str">
        <f t="shared" si="18"/>
        <v>******</v>
      </c>
      <c r="I73" s="148" t="str">
        <f t="shared" ref="I73" si="20">+I24</f>
        <v>******</v>
      </c>
      <c r="J73" s="148" t="str">
        <f t="shared" si="18"/>
        <v>******</v>
      </c>
      <c r="K73" s="140" t="str">
        <f t="shared" si="18"/>
        <v>******</v>
      </c>
      <c r="L73" s="140" t="str">
        <f>+C73</f>
        <v>******</v>
      </c>
      <c r="M73" s="170" t="str">
        <f>+N24</f>
        <v>******</v>
      </c>
    </row>
    <row r="74" spans="1:13" ht="15" thickBot="1" x14ac:dyDescent="0.35">
      <c r="A74" s="104" t="s">
        <v>197</v>
      </c>
      <c r="B74" s="105" t="s">
        <v>198</v>
      </c>
      <c r="C74" s="202"/>
      <c r="D74" s="202"/>
      <c r="E74" s="132"/>
      <c r="F74" s="132"/>
      <c r="G74" s="132"/>
      <c r="H74" s="132"/>
      <c r="I74" s="132"/>
      <c r="J74" s="132"/>
      <c r="K74" s="203"/>
      <c r="L74" s="203"/>
      <c r="M74" s="107"/>
    </row>
    <row r="75" spans="1:13" ht="15" thickTop="1" x14ac:dyDescent="0.3">
      <c r="A75" s="109"/>
      <c r="B75" s="110"/>
      <c r="C75" s="110"/>
      <c r="D75" s="110"/>
      <c r="E75" s="111"/>
      <c r="F75" s="111"/>
      <c r="G75" s="111"/>
      <c r="H75" s="111"/>
      <c r="I75" s="111"/>
      <c r="J75" s="111"/>
      <c r="K75" s="111"/>
    </row>
    <row r="76" spans="1:13" ht="15" customHeight="1" x14ac:dyDescent="0.3">
      <c r="A76" s="109"/>
      <c r="B76" s="210" t="s">
        <v>210</v>
      </c>
      <c r="C76" s="110"/>
      <c r="D76" s="110"/>
      <c r="E76" s="111"/>
      <c r="F76" s="111"/>
      <c r="G76" s="111"/>
      <c r="H76" s="111"/>
      <c r="I76" s="111"/>
      <c r="J76" s="111"/>
      <c r="K76" s="111"/>
    </row>
    <row r="77" spans="1:13" x14ac:dyDescent="0.3">
      <c r="A77" s="109"/>
      <c r="B77" s="110"/>
      <c r="C77" s="110"/>
      <c r="D77" s="110"/>
      <c r="E77" s="111"/>
      <c r="F77" s="111"/>
      <c r="G77" s="111"/>
      <c r="H77" s="111"/>
      <c r="I77" s="111"/>
      <c r="J77" s="111"/>
      <c r="K77" s="111"/>
    </row>
    <row r="78" spans="1:13" ht="19.649999999999999" customHeight="1" x14ac:dyDescent="0.3">
      <c r="A78" s="112" t="s">
        <v>173</v>
      </c>
      <c r="B78" s="915" t="str">
        <f>+GUAINIA!B30</f>
        <v>De acuerdo con lo establecido en la Resoluccion 91349 de 2014 del MME para combustible de origen nacional o importado a ser distribuido en zonas de frontera, aplica la tarifa de marcación o remarcación vigente a la fecha según corresponda</v>
      </c>
      <c r="C78" s="915"/>
      <c r="D78" s="915"/>
      <c r="E78" s="915"/>
      <c r="F78" s="915"/>
      <c r="G78" s="915"/>
      <c r="H78" s="915"/>
      <c r="I78" s="915"/>
      <c r="J78" s="915"/>
      <c r="K78" s="915"/>
    </row>
    <row r="79" spans="1:13" ht="28.05" customHeight="1" x14ac:dyDescent="0.3">
      <c r="A79" s="112" t="s">
        <v>200</v>
      </c>
      <c r="B79" s="893" t="s">
        <v>251</v>
      </c>
      <c r="C79" s="893"/>
      <c r="D79" s="893"/>
      <c r="E79" s="893"/>
      <c r="F79" s="893"/>
      <c r="G79" s="893"/>
      <c r="H79" s="893"/>
      <c r="I79" s="893"/>
      <c r="J79" s="893"/>
      <c r="K79" s="893"/>
    </row>
    <row r="80" spans="1:13" ht="25.2" customHeight="1" x14ac:dyDescent="0.3">
      <c r="A80" s="112" t="s">
        <v>130</v>
      </c>
      <c r="B80" s="893" t="s">
        <v>224</v>
      </c>
      <c r="C80" s="893"/>
      <c r="D80" s="893"/>
      <c r="E80" s="893"/>
      <c r="F80" s="893"/>
      <c r="G80" s="893"/>
      <c r="H80" s="893"/>
      <c r="I80" s="893"/>
      <c r="J80" s="893"/>
      <c r="K80" s="893"/>
    </row>
    <row r="81" spans="1:12" x14ac:dyDescent="0.3">
      <c r="A81" s="112"/>
      <c r="B81" s="133" t="s">
        <v>148</v>
      </c>
      <c r="C81" s="133"/>
      <c r="D81" s="133"/>
      <c r="E81" s="162"/>
      <c r="F81" s="162"/>
      <c r="G81" s="162"/>
      <c r="H81" s="162"/>
      <c r="I81" s="162"/>
      <c r="J81" s="162"/>
      <c r="K81" s="162"/>
    </row>
    <row r="82" spans="1:12" ht="15" customHeight="1" x14ac:dyDescent="0.3">
      <c r="A82" s="134" t="s">
        <v>102</v>
      </c>
      <c r="B82" s="893" t="s">
        <v>211</v>
      </c>
      <c r="C82" s="893"/>
      <c r="D82" s="893"/>
      <c r="E82" s="893"/>
      <c r="F82" s="893"/>
      <c r="G82" s="893"/>
      <c r="H82" s="893"/>
      <c r="I82" s="893"/>
      <c r="J82" s="893"/>
      <c r="K82" s="893"/>
    </row>
    <row r="83" spans="1:12" ht="20.25" customHeight="1" x14ac:dyDescent="0.3">
      <c r="A83" s="134" t="s">
        <v>212</v>
      </c>
      <c r="B83" s="892" t="s">
        <v>260</v>
      </c>
      <c r="C83" s="892"/>
      <c r="D83" s="892"/>
      <c r="E83" s="892"/>
      <c r="F83" s="892"/>
      <c r="G83" s="892"/>
      <c r="H83" s="892"/>
      <c r="I83" s="892"/>
      <c r="J83" s="892"/>
      <c r="K83" s="892"/>
    </row>
    <row r="84" spans="1:12" ht="25.5" customHeight="1" x14ac:dyDescent="0.3">
      <c r="A84" s="134" t="s">
        <v>214</v>
      </c>
      <c r="B84" s="892" t="s">
        <v>252</v>
      </c>
      <c r="C84" s="892"/>
      <c r="D84" s="892"/>
      <c r="E84" s="892"/>
      <c r="F84" s="892"/>
      <c r="G84" s="892"/>
      <c r="H84" s="892"/>
      <c r="I84" s="892"/>
      <c r="J84" s="892"/>
      <c r="K84" s="892"/>
    </row>
    <row r="85" spans="1:12" x14ac:dyDescent="0.3">
      <c r="A85" s="134" t="s">
        <v>216</v>
      </c>
      <c r="B85" s="892" t="s">
        <v>429</v>
      </c>
      <c r="C85" s="892"/>
      <c r="D85" s="892"/>
      <c r="E85" s="892"/>
      <c r="F85" s="892"/>
      <c r="G85" s="892"/>
      <c r="H85" s="892"/>
      <c r="I85" s="892"/>
      <c r="J85" s="892"/>
      <c r="K85" s="892"/>
    </row>
    <row r="86" spans="1:12" ht="23.4" customHeight="1" x14ac:dyDescent="0.3">
      <c r="A86" s="134" t="s">
        <v>218</v>
      </c>
      <c r="B86" s="892" t="s">
        <v>220</v>
      </c>
      <c r="C86" s="892"/>
      <c r="D86" s="892"/>
      <c r="E86" s="892"/>
      <c r="F86" s="892"/>
      <c r="G86" s="892"/>
      <c r="H86" s="892"/>
      <c r="I86" s="892"/>
      <c r="J86" s="892"/>
      <c r="K86" s="892"/>
    </row>
    <row r="87" spans="1:12" ht="15" customHeight="1" x14ac:dyDescent="0.3">
      <c r="A87" s="134" t="s">
        <v>219</v>
      </c>
      <c r="B87" s="892" t="s">
        <v>249</v>
      </c>
      <c r="C87" s="892"/>
      <c r="D87" s="892"/>
      <c r="E87" s="892"/>
      <c r="F87" s="892"/>
      <c r="G87" s="892"/>
      <c r="H87" s="892"/>
      <c r="I87" s="892"/>
      <c r="J87" s="892"/>
      <c r="K87" s="892"/>
    </row>
    <row r="88" spans="1:12" x14ac:dyDescent="0.3">
      <c r="A88" s="187"/>
      <c r="B88" s="960" t="s">
        <v>418</v>
      </c>
      <c r="C88" s="960"/>
      <c r="D88" s="960"/>
      <c r="E88" s="960"/>
      <c r="F88" s="960"/>
      <c r="G88" s="960"/>
      <c r="H88" s="960"/>
      <c r="I88" s="960"/>
      <c r="J88" s="960"/>
      <c r="K88" s="960"/>
      <c r="L88" s="960"/>
    </row>
    <row r="89" spans="1:12" ht="88.05" customHeight="1" x14ac:dyDescent="0.3">
      <c r="A89" s="959" t="s">
        <v>137</v>
      </c>
      <c r="B89" s="959"/>
      <c r="C89" s="959"/>
      <c r="D89" s="959"/>
      <c r="E89" s="959"/>
      <c r="F89" s="959"/>
      <c r="G89" s="959"/>
      <c r="H89" s="959"/>
      <c r="I89" s="959"/>
      <c r="J89" s="959"/>
      <c r="K89" s="959"/>
    </row>
  </sheetData>
  <sheetProtection algorithmName="SHA-512" hashValue="g/+y8nqZ9FGXv9+d9C/fcvwAQSKOhlQczWxaB5F7aV83bjnydrauXSaUslt8gi0pH0rjJTITG3GbuZ+Sg1Pq3g==" saltValue="iXVF33U9vJghzRhnodLUKQ==" spinCount="100000" sheet="1" objects="1" scenarios="1"/>
  <mergeCells count="24">
    <mergeCell ref="A54:A56"/>
    <mergeCell ref="B54:B56"/>
    <mergeCell ref="C54:C55"/>
    <mergeCell ref="K52:M53"/>
    <mergeCell ref="A89:K89"/>
    <mergeCell ref="B84:K84"/>
    <mergeCell ref="B85:K85"/>
    <mergeCell ref="B87:K87"/>
    <mergeCell ref="B78:K78"/>
    <mergeCell ref="B79:K79"/>
    <mergeCell ref="B80:K80"/>
    <mergeCell ref="B82:K82"/>
    <mergeCell ref="B86:K86"/>
    <mergeCell ref="B83:K83"/>
    <mergeCell ref="B88:L88"/>
    <mergeCell ref="K3:O4"/>
    <mergeCell ref="A29:A31"/>
    <mergeCell ref="B29:B31"/>
    <mergeCell ref="C29:C30"/>
    <mergeCell ref="A5:A7"/>
    <mergeCell ref="B5:B7"/>
    <mergeCell ref="C5:C6"/>
    <mergeCell ref="C27:H28"/>
    <mergeCell ref="J27:K28"/>
  </mergeCells>
  <hyperlinks>
    <hyperlink ref="B81" location="Nota" display="Ver Nota Informativa" xr:uid="{00000000-0004-0000-0E00-000000000000}"/>
    <hyperlink ref="B76" location="'LA GUAJIRA'!A66" display="Ver Nota Informativa" xr:uid="{00000000-0004-0000-0E00-000001000000}"/>
  </hyperlinks>
  <pageMargins left="0.7" right="0.7" top="0.75" bottom="0.75" header="0.3" footer="0.3"/>
  <pageSetup orientation="portrait" r:id="rId1"/>
  <ignoredErrors>
    <ignoredError sqref="J66:K66 J17:K17 J15:K15 E15 E17 M59:M70 J68:K72 J67 H15 H17 H66:H72 C17"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theme="4" tint="0.59999389629810485"/>
  </sheetPr>
  <dimension ref="A1:V40"/>
  <sheetViews>
    <sheetView showGridLines="0" zoomScale="80" zoomScaleNormal="80" workbookViewId="0">
      <selection activeCell="K10" sqref="K10"/>
    </sheetView>
  </sheetViews>
  <sheetFormatPr baseColWidth="10" defaultRowHeight="14.4" x14ac:dyDescent="0.3"/>
  <cols>
    <col min="1" max="1" width="5" customWidth="1"/>
    <col min="2" max="2" width="47.33203125" customWidth="1"/>
    <col min="3" max="3" width="12.21875" customWidth="1"/>
    <col min="4" max="4" width="13.77734375" customWidth="1"/>
    <col min="5" max="5" width="13.77734375" style="540" hidden="1" customWidth="1"/>
    <col min="6" max="6" width="13.77734375" style="540" customWidth="1"/>
    <col min="7" max="7" width="13.77734375" style="540" hidden="1" customWidth="1"/>
    <col min="8" max="8" width="13.77734375" customWidth="1"/>
    <col min="9" max="9" width="10.88671875" hidden="1" customWidth="1"/>
    <col min="10" max="10" width="13.88671875" style="540" customWidth="1"/>
    <col min="11" max="11" width="13.88671875" customWidth="1"/>
    <col min="12" max="12" width="13.88671875" style="540" customWidth="1"/>
    <col min="13" max="13" width="13.88671875" style="540" hidden="1" customWidth="1"/>
    <col min="14" max="14" width="13.77734375" hidden="1" customWidth="1"/>
    <col min="15" max="15" width="14.44140625" customWidth="1"/>
    <col min="16" max="16" width="14" customWidth="1"/>
  </cols>
  <sheetData>
    <row r="1" spans="1:15" x14ac:dyDescent="0.3">
      <c r="A1" s="88"/>
      <c r="B1" s="88" t="str">
        <f>+AMAZONAS!C1</f>
        <v>Vigencia: 01 de Octubre de 2022; 00:00 horas</v>
      </c>
      <c r="D1" s="393"/>
      <c r="E1" s="393"/>
      <c r="F1" s="393"/>
      <c r="G1" s="393"/>
    </row>
    <row r="2" spans="1:15" ht="15" thickBot="1" x14ac:dyDescent="0.35">
      <c r="A2" s="115" t="s">
        <v>162</v>
      </c>
      <c r="B2" s="115"/>
    </row>
    <row r="3" spans="1:15" ht="16.05" customHeight="1" thickTop="1" x14ac:dyDescent="0.3">
      <c r="A3" s="143"/>
      <c r="B3" s="144" t="s">
        <v>267</v>
      </c>
      <c r="C3" s="917" t="s">
        <v>163</v>
      </c>
      <c r="D3" s="918"/>
      <c r="E3" s="918"/>
      <c r="F3" s="918"/>
      <c r="G3" s="918"/>
      <c r="H3" s="918"/>
      <c r="I3" s="918"/>
      <c r="J3" s="919"/>
      <c r="K3" s="923" t="s">
        <v>232</v>
      </c>
      <c r="L3" s="924"/>
      <c r="M3" s="924"/>
      <c r="N3" s="924"/>
      <c r="O3" s="924"/>
    </row>
    <row r="4" spans="1:15" ht="30.45" customHeight="1" x14ac:dyDescent="0.3">
      <c r="A4" s="90"/>
      <c r="B4" s="603" t="s">
        <v>476</v>
      </c>
      <c r="C4" s="961"/>
      <c r="D4" s="962"/>
      <c r="E4" s="962"/>
      <c r="F4" s="962"/>
      <c r="G4" s="962"/>
      <c r="H4" s="962"/>
      <c r="I4" s="962"/>
      <c r="J4" s="963"/>
      <c r="K4" s="925"/>
      <c r="L4" s="926"/>
      <c r="M4" s="926"/>
      <c r="N4" s="926"/>
      <c r="O4" s="926"/>
    </row>
    <row r="5" spans="1:15" ht="33.6" customHeight="1" x14ac:dyDescent="0.3">
      <c r="A5" s="896" t="s">
        <v>164</v>
      </c>
      <c r="B5" s="898" t="s">
        <v>165</v>
      </c>
      <c r="C5" s="902" t="s">
        <v>223</v>
      </c>
      <c r="D5" s="120" t="s">
        <v>96</v>
      </c>
      <c r="E5" s="749" t="s">
        <v>513</v>
      </c>
      <c r="F5" s="690" t="s">
        <v>490</v>
      </c>
      <c r="G5" s="616" t="s">
        <v>486</v>
      </c>
      <c r="H5" s="724" t="s">
        <v>370</v>
      </c>
      <c r="I5" s="611" t="s">
        <v>448</v>
      </c>
      <c r="J5" s="720" t="s">
        <v>375</v>
      </c>
      <c r="K5" s="120" t="s">
        <v>96</v>
      </c>
      <c r="L5" s="690" t="s">
        <v>490</v>
      </c>
      <c r="M5" s="616" t="s">
        <v>486</v>
      </c>
      <c r="N5" s="221" t="str">
        <f>+I5</f>
        <v>Biodiesel B5</v>
      </c>
      <c r="O5" s="719" t="str">
        <f>+J5</f>
        <v>Biodiesel B10</v>
      </c>
    </row>
    <row r="6" spans="1:15" x14ac:dyDescent="0.3">
      <c r="A6" s="896"/>
      <c r="B6" s="898"/>
      <c r="C6" s="903"/>
      <c r="D6" s="460">
        <v>0.08</v>
      </c>
      <c r="E6" s="617">
        <v>0.02</v>
      </c>
      <c r="F6" s="617">
        <v>0.04</v>
      </c>
      <c r="G6" s="617">
        <v>0.05</v>
      </c>
      <c r="H6" s="138">
        <v>0.02</v>
      </c>
      <c r="I6" s="121">
        <v>0.05</v>
      </c>
      <c r="J6" s="624">
        <v>0.1</v>
      </c>
      <c r="K6" s="460">
        <v>0.08</v>
      </c>
      <c r="L6" s="617">
        <v>0.04</v>
      </c>
      <c r="M6" s="617">
        <v>0.05</v>
      </c>
      <c r="N6" s="121">
        <f>+I6</f>
        <v>0.05</v>
      </c>
      <c r="O6" s="121">
        <f>+J6</f>
        <v>0.1</v>
      </c>
    </row>
    <row r="7" spans="1:15" x14ac:dyDescent="0.3">
      <c r="A7" s="897"/>
      <c r="B7" s="899"/>
      <c r="C7" s="91" t="s">
        <v>166</v>
      </c>
      <c r="D7" s="120" t="s">
        <v>166</v>
      </c>
      <c r="E7" s="749" t="s">
        <v>166</v>
      </c>
      <c r="F7" s="690" t="s">
        <v>166</v>
      </c>
      <c r="G7" s="616" t="s">
        <v>166</v>
      </c>
      <c r="H7" s="120" t="s">
        <v>166</v>
      </c>
      <c r="I7" s="120" t="s">
        <v>166</v>
      </c>
      <c r="J7" s="621"/>
      <c r="K7" s="91" t="s">
        <v>166</v>
      </c>
      <c r="L7" s="689" t="s">
        <v>166</v>
      </c>
      <c r="M7" s="616" t="s">
        <v>166</v>
      </c>
      <c r="N7" s="221" t="s">
        <v>166</v>
      </c>
      <c r="O7" s="719" t="s">
        <v>166</v>
      </c>
    </row>
    <row r="8" spans="1:15" ht="16.8" customHeight="1" x14ac:dyDescent="0.3">
      <c r="A8" s="93" t="s">
        <v>167</v>
      </c>
      <c r="B8" s="99" t="s">
        <v>168</v>
      </c>
      <c r="C8" s="160">
        <f>+'Calculo IP ZDF'!B37</f>
        <v>4827.2912500000002</v>
      </c>
      <c r="D8" s="166">
        <f>+'Calculo IP ZDF'!B37</f>
        <v>4827.2912500000002</v>
      </c>
      <c r="E8" s="145">
        <f>+'Calculo IP ZDF'!G37</f>
        <v>4991.7096250000004</v>
      </c>
      <c r="F8" s="145">
        <f>+'Calculo IP ZDF'!H37</f>
        <v>5156.1279999999997</v>
      </c>
      <c r="G8" s="614">
        <f>+'Calculo IP ZDF'!I37</f>
        <v>5238.3371875000003</v>
      </c>
      <c r="H8" s="168">
        <f>+'Calculo IP ZDF'!F37</f>
        <v>4171.9261999999999</v>
      </c>
      <c r="I8" s="614">
        <f>+'Calculo IP ZDF'!R37</f>
        <v>4664.0644974999996</v>
      </c>
      <c r="J8" s="168">
        <f>+'Calculo IP ZDF'!M37</f>
        <v>5484.287945</v>
      </c>
      <c r="K8" s="145">
        <f>+'GAS CTE'!C6</f>
        <v>5262.5</v>
      </c>
      <c r="L8" s="145">
        <f>+'GAS CTE'!E9</f>
        <v>5573.9283999999998</v>
      </c>
      <c r="M8" s="614">
        <f>+'GAS CTE'!F9</f>
        <v>5651.7855</v>
      </c>
      <c r="N8" s="612">
        <f>+BIODIESEL!G9</f>
        <v>5413.0529999999999</v>
      </c>
      <c r="O8" s="167">
        <f>+BIODIESEL!H9</f>
        <v>6193.8560000000007</v>
      </c>
    </row>
    <row r="9" spans="1:15" ht="16.8" customHeight="1" x14ac:dyDescent="0.3">
      <c r="A9" s="93" t="s">
        <v>169</v>
      </c>
      <c r="B9" s="99" t="s">
        <v>170</v>
      </c>
      <c r="C9" s="146" t="str">
        <f t="shared" ref="C9:C12" si="0">+D9</f>
        <v>------------------</v>
      </c>
      <c r="D9" s="147" t="s">
        <v>171</v>
      </c>
      <c r="E9" s="532" t="s">
        <v>171</v>
      </c>
      <c r="F9" s="532" t="s">
        <v>171</v>
      </c>
      <c r="G9" s="619" t="s">
        <v>171</v>
      </c>
      <c r="H9" s="147" t="s">
        <v>171</v>
      </c>
      <c r="I9" s="619" t="s">
        <v>171</v>
      </c>
      <c r="J9" s="147" t="s">
        <v>171</v>
      </c>
      <c r="K9" s="145">
        <f>+'GAS CTE'!C10</f>
        <v>586.25</v>
      </c>
      <c r="L9" s="145">
        <f>+'GAS CTE'!E10</f>
        <v>562.79999999999995</v>
      </c>
      <c r="M9" s="614">
        <f>+'GAS CTE'!F10</f>
        <v>556.9375</v>
      </c>
      <c r="N9" s="618">
        <f>+BIODIESEL!G10</f>
        <v>533.06399999999996</v>
      </c>
      <c r="O9" s="740">
        <f>+BIODIESEL!H10</f>
        <v>505.00800000000004</v>
      </c>
    </row>
    <row r="10" spans="1:15" ht="16.8" customHeight="1" x14ac:dyDescent="0.3">
      <c r="A10" s="93"/>
      <c r="B10" s="99" t="s">
        <v>129</v>
      </c>
      <c r="C10" s="146" t="str">
        <f>+D10</f>
        <v>------------------</v>
      </c>
      <c r="D10" s="147" t="s">
        <v>171</v>
      </c>
      <c r="E10" s="532" t="s">
        <v>171</v>
      </c>
      <c r="F10" s="532" t="s">
        <v>171</v>
      </c>
      <c r="G10" s="619" t="s">
        <v>171</v>
      </c>
      <c r="H10" s="147" t="s">
        <v>171</v>
      </c>
      <c r="I10" s="619" t="s">
        <v>171</v>
      </c>
      <c r="J10" s="147" t="s">
        <v>171</v>
      </c>
      <c r="K10" s="161" t="s">
        <v>130</v>
      </c>
      <c r="L10" s="161" t="s">
        <v>130</v>
      </c>
      <c r="M10" s="667" t="s">
        <v>130</v>
      </c>
      <c r="N10" s="618" t="str">
        <f>+BIODIESEL!H11</f>
        <v>(3)</v>
      </c>
      <c r="O10" s="740" t="str">
        <f>+BIODIESEL!I11</f>
        <v>(3)</v>
      </c>
    </row>
    <row r="11" spans="1:15" ht="16.8" customHeight="1" x14ac:dyDescent="0.3">
      <c r="A11" s="93"/>
      <c r="B11" s="99" t="s">
        <v>131</v>
      </c>
      <c r="C11" s="146">
        <f>+'GAS CTE'!C12</f>
        <v>169</v>
      </c>
      <c r="D11" s="147">
        <f>+'GAS CTE'!C12</f>
        <v>169</v>
      </c>
      <c r="E11" s="532">
        <f>+'GAS CTE'!D12</f>
        <v>165.62</v>
      </c>
      <c r="F11" s="532">
        <f>+'GAS CTE'!E12</f>
        <v>162.23999999999998</v>
      </c>
      <c r="G11" s="619">
        <f>+'GAS CTE'!F12</f>
        <v>160.54999999999998</v>
      </c>
      <c r="H11" s="147">
        <f>+BIODIESEL!E12</f>
        <v>187.18</v>
      </c>
      <c r="I11" s="619">
        <f>+BIODIESEL!G12</f>
        <v>181.45</v>
      </c>
      <c r="J11" s="147">
        <f>+BIODIESEL!H12</f>
        <v>171.9</v>
      </c>
      <c r="K11" s="145">
        <f>+'GAS CTE'!C12</f>
        <v>169</v>
      </c>
      <c r="L11" s="145">
        <f>+'GAS CTE'!E12</f>
        <v>162.23999999999998</v>
      </c>
      <c r="M11" s="614">
        <f>+'GAS CTE'!F12</f>
        <v>160.54999999999998</v>
      </c>
      <c r="N11" s="612">
        <f>+BIODIESEL!G12</f>
        <v>181.45</v>
      </c>
      <c r="O11" s="167">
        <f>+BIODIESEL!H12</f>
        <v>171.9</v>
      </c>
    </row>
    <row r="12" spans="1:15" ht="16.8" customHeight="1" x14ac:dyDescent="0.3">
      <c r="A12" s="93" t="s">
        <v>172</v>
      </c>
      <c r="B12" s="99" t="s">
        <v>268</v>
      </c>
      <c r="C12" s="146" t="str">
        <f t="shared" si="0"/>
        <v>(2)</v>
      </c>
      <c r="D12" s="97" t="s">
        <v>200</v>
      </c>
      <c r="E12" s="156" t="s">
        <v>200</v>
      </c>
      <c r="F12" s="156" t="s">
        <v>200</v>
      </c>
      <c r="G12" s="620" t="s">
        <v>200</v>
      </c>
      <c r="H12" s="97" t="s">
        <v>200</v>
      </c>
      <c r="I12" s="620" t="s">
        <v>200</v>
      </c>
      <c r="J12" s="97" t="s">
        <v>200</v>
      </c>
      <c r="K12" s="145" t="str">
        <f>+I12</f>
        <v>(2)</v>
      </c>
      <c r="L12" s="145" t="s">
        <v>200</v>
      </c>
      <c r="M12" s="614" t="s">
        <v>200</v>
      </c>
      <c r="N12" s="612" t="s">
        <v>200</v>
      </c>
      <c r="O12" s="167" t="s">
        <v>200</v>
      </c>
    </row>
    <row r="13" spans="1:15" ht="16.8" customHeight="1" x14ac:dyDescent="0.3">
      <c r="A13" s="93" t="s">
        <v>174</v>
      </c>
      <c r="B13" s="99" t="s">
        <v>175</v>
      </c>
      <c r="C13" s="146">
        <f>+RUBROS!$AC$21</f>
        <v>23.500029293035123</v>
      </c>
      <c r="D13" s="97">
        <f t="shared" ref="D13:D15" si="1">+C13</f>
        <v>23.500029293035123</v>
      </c>
      <c r="E13" s="97">
        <f t="shared" ref="E13:F15" si="2">+C13</f>
        <v>23.500029293035123</v>
      </c>
      <c r="F13" s="156">
        <f t="shared" si="2"/>
        <v>23.500029293035123</v>
      </c>
      <c r="G13" s="620">
        <f>+D13</f>
        <v>23.500029293035123</v>
      </c>
      <c r="H13" s="97">
        <f>+D13</f>
        <v>23.500029293035123</v>
      </c>
      <c r="I13" s="620">
        <f>+RUBROS!$AC$21</f>
        <v>23.500029293035123</v>
      </c>
      <c r="J13" s="97">
        <f>+I13</f>
        <v>23.500029293035123</v>
      </c>
      <c r="K13" s="145">
        <f>+C13</f>
        <v>23.500029293035123</v>
      </c>
      <c r="L13" s="145">
        <f t="shared" ref="L13:M15" si="3">+F13</f>
        <v>23.500029293035123</v>
      </c>
      <c r="M13" s="614">
        <f t="shared" si="3"/>
        <v>23.500029293035123</v>
      </c>
      <c r="N13" s="612">
        <f>+K13</f>
        <v>23.500029293035123</v>
      </c>
      <c r="O13" s="167">
        <f>+L13</f>
        <v>23.500029293035123</v>
      </c>
    </row>
    <row r="14" spans="1:15" ht="16.8" customHeight="1" x14ac:dyDescent="0.3">
      <c r="A14" s="93" t="s">
        <v>176</v>
      </c>
      <c r="B14" s="99" t="s">
        <v>177</v>
      </c>
      <c r="C14" s="146">
        <f>+RUBROS!AC57</f>
        <v>112.57839385457117</v>
      </c>
      <c r="D14" s="97">
        <f t="shared" si="1"/>
        <v>112.57839385457117</v>
      </c>
      <c r="E14" s="97">
        <f t="shared" si="2"/>
        <v>112.57839385457117</v>
      </c>
      <c r="F14" s="156">
        <f t="shared" si="2"/>
        <v>112.57839385457117</v>
      </c>
      <c r="G14" s="620">
        <f>+D14</f>
        <v>112.57839385457117</v>
      </c>
      <c r="H14" s="97">
        <f>+C14</f>
        <v>112.57839385457117</v>
      </c>
      <c r="I14" s="620">
        <f>+C14</f>
        <v>112.57839385457117</v>
      </c>
      <c r="J14" s="97">
        <f>+I14</f>
        <v>112.57839385457117</v>
      </c>
      <c r="K14" s="145">
        <f>+C14</f>
        <v>112.57839385457117</v>
      </c>
      <c r="L14" s="145">
        <f t="shared" si="3"/>
        <v>112.57839385457117</v>
      </c>
      <c r="M14" s="614">
        <f t="shared" si="3"/>
        <v>112.57839385457117</v>
      </c>
      <c r="N14" s="612">
        <f>+K14</f>
        <v>112.57839385457117</v>
      </c>
      <c r="O14" s="167">
        <f>+L14</f>
        <v>112.57839385457117</v>
      </c>
    </row>
    <row r="15" spans="1:15" ht="16.8" customHeight="1" x14ac:dyDescent="0.3">
      <c r="A15" s="93" t="s">
        <v>178</v>
      </c>
      <c r="B15" s="165" t="s">
        <v>179</v>
      </c>
      <c r="C15" s="146">
        <f>+RUBROS!AU32</f>
        <v>13.326421256197724</v>
      </c>
      <c r="D15" s="97">
        <f t="shared" si="1"/>
        <v>13.326421256197724</v>
      </c>
      <c r="E15" s="97">
        <f t="shared" si="2"/>
        <v>13.326421256197724</v>
      </c>
      <c r="F15" s="156">
        <f t="shared" si="2"/>
        <v>13.326421256197724</v>
      </c>
      <c r="G15" s="614">
        <f>+D15</f>
        <v>13.326421256197724</v>
      </c>
      <c r="H15" s="148">
        <f>+C15</f>
        <v>13.326421256197724</v>
      </c>
      <c r="I15" s="614">
        <f>+C15</f>
        <v>13.326421256197724</v>
      </c>
      <c r="J15" s="148">
        <f>+I15</f>
        <v>13.326421256197724</v>
      </c>
      <c r="K15" s="145">
        <f>+C15</f>
        <v>13.326421256197724</v>
      </c>
      <c r="L15" s="145">
        <f t="shared" si="3"/>
        <v>13.326421256197724</v>
      </c>
      <c r="M15" s="614">
        <f t="shared" si="3"/>
        <v>13.326421256197724</v>
      </c>
      <c r="N15" s="612">
        <f>+C15</f>
        <v>13.326421256197724</v>
      </c>
      <c r="O15" s="167">
        <f>+D15</f>
        <v>13.326421256197724</v>
      </c>
    </row>
    <row r="16" spans="1:15" hidden="1" x14ac:dyDescent="0.3">
      <c r="A16" s="93"/>
      <c r="B16" s="99" t="s">
        <v>180</v>
      </c>
      <c r="C16" s="146"/>
      <c r="D16" s="149"/>
      <c r="E16" s="150"/>
      <c r="F16" s="150"/>
      <c r="G16" s="150"/>
      <c r="H16" s="150"/>
      <c r="I16" s="96"/>
      <c r="J16" s="148"/>
      <c r="K16" s="145"/>
      <c r="L16" s="520"/>
      <c r="M16" s="520"/>
      <c r="N16" s="172"/>
      <c r="O16" s="172"/>
    </row>
    <row r="17" spans="1:22" x14ac:dyDescent="0.3">
      <c r="A17" s="100" t="s">
        <v>181</v>
      </c>
      <c r="B17" s="129" t="s">
        <v>182</v>
      </c>
      <c r="C17" s="151">
        <f>SUM(C8:C16)</f>
        <v>5145.6960944038046</v>
      </c>
      <c r="D17" s="152">
        <f t="shared" ref="D17:N17" si="4">SUM(D8:D16)</f>
        <v>5145.6960944038046</v>
      </c>
      <c r="E17" s="152">
        <f t="shared" si="4"/>
        <v>5306.7344694038047</v>
      </c>
      <c r="F17" s="152">
        <f t="shared" si="4"/>
        <v>5467.7728444038039</v>
      </c>
      <c r="G17" s="152">
        <f t="shared" si="4"/>
        <v>5548.2920319038049</v>
      </c>
      <c r="H17" s="152">
        <f t="shared" si="4"/>
        <v>4508.5110444038046</v>
      </c>
      <c r="I17" s="152">
        <f t="shared" si="4"/>
        <v>4994.9193419038038</v>
      </c>
      <c r="J17" s="152">
        <f t="shared" si="4"/>
        <v>5805.5927894038041</v>
      </c>
      <c r="K17" s="152">
        <f t="shared" si="4"/>
        <v>6167.1548444038044</v>
      </c>
      <c r="L17" s="154">
        <f t="shared" si="4"/>
        <v>6448.3732444038042</v>
      </c>
      <c r="M17" s="152">
        <f t="shared" si="4"/>
        <v>6518.6778444038046</v>
      </c>
      <c r="N17" s="173">
        <f t="shared" si="4"/>
        <v>6276.9718444038044</v>
      </c>
      <c r="O17" s="173">
        <f t="shared" ref="O17" si="5">SUM(O8:O16)</f>
        <v>7020.1688444038045</v>
      </c>
    </row>
    <row r="18" spans="1:22" x14ac:dyDescent="0.3">
      <c r="A18" s="93" t="s">
        <v>183</v>
      </c>
      <c r="B18" s="99" t="s">
        <v>184</v>
      </c>
      <c r="C18" s="146" t="s">
        <v>214</v>
      </c>
      <c r="D18" s="155" t="str">
        <f>+C18</f>
        <v>***</v>
      </c>
      <c r="E18" s="155" t="str">
        <f>+D18</f>
        <v>***</v>
      </c>
      <c r="F18" s="155" t="str">
        <f>+D18</f>
        <v>***</v>
      </c>
      <c r="G18" s="155" t="str">
        <f>+D18</f>
        <v>***</v>
      </c>
      <c r="H18" s="155" t="str">
        <f>+C18</f>
        <v>***</v>
      </c>
      <c r="I18" s="155" t="str">
        <f>+C18</f>
        <v>***</v>
      </c>
      <c r="J18" s="155" t="str">
        <f>+D18</f>
        <v>***</v>
      </c>
      <c r="K18" s="155" t="str">
        <f>+N18</f>
        <v>***</v>
      </c>
      <c r="L18" s="148" t="str">
        <f>+O18</f>
        <v>***</v>
      </c>
      <c r="M18" s="155" t="str">
        <f>+K18</f>
        <v>***</v>
      </c>
      <c r="N18" s="174" t="s">
        <v>214</v>
      </c>
      <c r="O18" s="174" t="s">
        <v>214</v>
      </c>
    </row>
    <row r="19" spans="1:22" x14ac:dyDescent="0.3">
      <c r="A19" s="93" t="s">
        <v>185</v>
      </c>
      <c r="B19" s="99" t="s">
        <v>186</v>
      </c>
      <c r="C19" s="146" t="str">
        <f>+D19</f>
        <v>**</v>
      </c>
      <c r="D19" s="156" t="s">
        <v>212</v>
      </c>
      <c r="E19" s="156" t="s">
        <v>212</v>
      </c>
      <c r="F19" s="156" t="s">
        <v>212</v>
      </c>
      <c r="G19" s="156" t="s">
        <v>212</v>
      </c>
      <c r="H19" s="156" t="s">
        <v>212</v>
      </c>
      <c r="I19" s="156" t="s">
        <v>212</v>
      </c>
      <c r="J19" s="156" t="s">
        <v>212</v>
      </c>
      <c r="K19" s="156" t="str">
        <f>+N19</f>
        <v>**</v>
      </c>
      <c r="L19" s="148" t="str">
        <f>+O19</f>
        <v>**</v>
      </c>
      <c r="M19" s="156" t="s">
        <v>212</v>
      </c>
      <c r="N19" s="167" t="s">
        <v>212</v>
      </c>
      <c r="O19" s="167" t="s">
        <v>212</v>
      </c>
    </row>
    <row r="20" spans="1:22" x14ac:dyDescent="0.3">
      <c r="A20" s="93" t="s">
        <v>187</v>
      </c>
      <c r="B20" s="99" t="s">
        <v>188</v>
      </c>
      <c r="C20" s="146" t="str">
        <f>+D20</f>
        <v>****</v>
      </c>
      <c r="D20" s="97" t="s">
        <v>216</v>
      </c>
      <c r="E20" s="97" t="s">
        <v>216</v>
      </c>
      <c r="F20" s="97" t="s">
        <v>216</v>
      </c>
      <c r="G20" s="97" t="s">
        <v>216</v>
      </c>
      <c r="H20" s="97" t="str">
        <f>+D20</f>
        <v>****</v>
      </c>
      <c r="I20" s="97" t="str">
        <f>+H20</f>
        <v>****</v>
      </c>
      <c r="J20" s="97" t="str">
        <f>+I20</f>
        <v>****</v>
      </c>
      <c r="K20" s="97" t="str">
        <f>+I20</f>
        <v>****</v>
      </c>
      <c r="L20" s="148" t="str">
        <f>+K20</f>
        <v>****</v>
      </c>
      <c r="M20" s="97" t="s">
        <v>216</v>
      </c>
      <c r="N20" s="170" t="str">
        <f>+I20</f>
        <v>****</v>
      </c>
      <c r="O20" s="170" t="str">
        <f>+J20</f>
        <v>****</v>
      </c>
    </row>
    <row r="21" spans="1:22" x14ac:dyDescent="0.3">
      <c r="A21" s="100" t="s">
        <v>189</v>
      </c>
      <c r="B21" s="129" t="s">
        <v>190</v>
      </c>
      <c r="C21" s="151">
        <f t="shared" ref="C21:N21" si="6">+C17</f>
        <v>5145.6960944038046</v>
      </c>
      <c r="D21" s="151">
        <f t="shared" si="6"/>
        <v>5145.6960944038046</v>
      </c>
      <c r="E21" s="151">
        <f t="shared" ref="E21" si="7">+E17</f>
        <v>5306.7344694038047</v>
      </c>
      <c r="F21" s="151">
        <f t="shared" ref="F21" si="8">+F17</f>
        <v>5467.7728444038039</v>
      </c>
      <c r="G21" s="151">
        <f t="shared" si="6"/>
        <v>5548.2920319038049</v>
      </c>
      <c r="H21" s="151">
        <f t="shared" si="6"/>
        <v>4508.5110444038046</v>
      </c>
      <c r="I21" s="151">
        <f t="shared" si="6"/>
        <v>4994.9193419038038</v>
      </c>
      <c r="J21" s="151">
        <f t="shared" ref="J21" si="9">+J17</f>
        <v>5805.5927894038041</v>
      </c>
      <c r="K21" s="151">
        <f t="shared" si="6"/>
        <v>6167.1548444038044</v>
      </c>
      <c r="L21" s="151">
        <f t="shared" ref="L21" si="10">+L17</f>
        <v>6448.3732444038042</v>
      </c>
      <c r="M21" s="151">
        <f t="shared" ref="M21" si="11">+M17</f>
        <v>6518.6778444038046</v>
      </c>
      <c r="N21" s="169">
        <f t="shared" si="6"/>
        <v>6276.9718444038044</v>
      </c>
      <c r="O21" s="169">
        <f t="shared" ref="O21" si="12">+O17</f>
        <v>7020.1688444038045</v>
      </c>
    </row>
    <row r="22" spans="1:22" x14ac:dyDescent="0.3">
      <c r="A22" s="93" t="s">
        <v>191</v>
      </c>
      <c r="B22" s="99" t="s">
        <v>150</v>
      </c>
      <c r="C22" s="146" t="s">
        <v>214</v>
      </c>
      <c r="D22" s="97" t="str">
        <f>+C22</f>
        <v>***</v>
      </c>
      <c r="E22" s="97" t="str">
        <f>+D22</f>
        <v>***</v>
      </c>
      <c r="F22" s="97" t="str">
        <f>+D22</f>
        <v>***</v>
      </c>
      <c r="G22" s="97" t="str">
        <f>+D22</f>
        <v>***</v>
      </c>
      <c r="H22" s="97" t="str">
        <f>+D22</f>
        <v>***</v>
      </c>
      <c r="I22" s="97" t="str">
        <f>+H22</f>
        <v>***</v>
      </c>
      <c r="J22" s="97" t="str">
        <f>+I22</f>
        <v>***</v>
      </c>
      <c r="K22" s="97" t="str">
        <f>+N22</f>
        <v>***</v>
      </c>
      <c r="L22" s="148" t="str">
        <f>+O22</f>
        <v>***</v>
      </c>
      <c r="M22" s="97" t="str">
        <f>+K22</f>
        <v>***</v>
      </c>
      <c r="N22" s="170" t="s">
        <v>214</v>
      </c>
      <c r="O22" s="170" t="s">
        <v>214</v>
      </c>
    </row>
    <row r="23" spans="1:22" x14ac:dyDescent="0.3">
      <c r="A23" s="93" t="s">
        <v>192</v>
      </c>
      <c r="B23" s="94" t="s">
        <v>193</v>
      </c>
      <c r="C23" s="146" t="str">
        <f>+D23</f>
        <v>*****</v>
      </c>
      <c r="D23" s="97" t="s">
        <v>218</v>
      </c>
      <c r="E23" s="97" t="s">
        <v>218</v>
      </c>
      <c r="F23" s="97" t="s">
        <v>218</v>
      </c>
      <c r="G23" s="97" t="s">
        <v>218</v>
      </c>
      <c r="H23" s="97" t="s">
        <v>236</v>
      </c>
      <c r="I23" s="97" t="s">
        <v>194</v>
      </c>
      <c r="J23" s="97" t="s">
        <v>194</v>
      </c>
      <c r="K23" s="97" t="str">
        <f>+D23</f>
        <v>*****</v>
      </c>
      <c r="L23" s="148" t="str">
        <f>+F23</f>
        <v>*****</v>
      </c>
      <c r="M23" s="97" t="s">
        <v>218</v>
      </c>
      <c r="N23" s="170" t="s">
        <v>237</v>
      </c>
      <c r="O23" s="170" t="s">
        <v>237</v>
      </c>
      <c r="Q23" s="19"/>
    </row>
    <row r="24" spans="1:22" x14ac:dyDescent="0.3">
      <c r="A24" s="93" t="s">
        <v>195</v>
      </c>
      <c r="B24" s="99" t="s">
        <v>196</v>
      </c>
      <c r="C24" s="146" t="str">
        <f>+D24</f>
        <v>******</v>
      </c>
      <c r="D24" s="156" t="s">
        <v>219</v>
      </c>
      <c r="E24" s="156" t="s">
        <v>219</v>
      </c>
      <c r="F24" s="156" t="s">
        <v>219</v>
      </c>
      <c r="G24" s="156" t="s">
        <v>219</v>
      </c>
      <c r="H24" s="156" t="str">
        <f>+D24</f>
        <v>******</v>
      </c>
      <c r="I24" s="156" t="str">
        <f>+H24</f>
        <v>******</v>
      </c>
      <c r="J24" s="156" t="str">
        <f>+I24</f>
        <v>******</v>
      </c>
      <c r="K24" s="156" t="str">
        <f>+I24</f>
        <v>******</v>
      </c>
      <c r="L24" s="148" t="str">
        <f>+K24</f>
        <v>******</v>
      </c>
      <c r="M24" s="156" t="s">
        <v>219</v>
      </c>
      <c r="N24" s="167" t="str">
        <f>+K24</f>
        <v>******</v>
      </c>
      <c r="O24" s="167" t="str">
        <f>+L24</f>
        <v>******</v>
      </c>
    </row>
    <row r="25" spans="1:22" ht="15" thickBot="1" x14ac:dyDescent="0.35">
      <c r="A25" s="104" t="s">
        <v>197</v>
      </c>
      <c r="B25" s="105" t="s">
        <v>198</v>
      </c>
      <c r="C25" s="157"/>
      <c r="D25" s="108"/>
      <c r="E25" s="158"/>
      <c r="F25" s="158"/>
      <c r="G25" s="158"/>
      <c r="H25" s="158"/>
      <c r="I25" s="107"/>
      <c r="J25" s="107"/>
      <c r="K25" s="158"/>
      <c r="L25" s="158"/>
      <c r="M25" s="158"/>
      <c r="N25" s="175"/>
      <c r="O25" s="175"/>
    </row>
    <row r="26" spans="1:22" ht="15" thickTop="1" x14ac:dyDescent="0.3"/>
    <row r="27" spans="1:22" x14ac:dyDescent="0.3">
      <c r="A27" s="112"/>
      <c r="B27" s="210" t="s">
        <v>210</v>
      </c>
      <c r="C27" s="162"/>
      <c r="D27" s="162"/>
      <c r="E27" s="162"/>
      <c r="F27" s="162"/>
      <c r="G27" s="162"/>
      <c r="H27" s="162"/>
      <c r="I27" s="162"/>
      <c r="J27" s="162"/>
      <c r="K27" s="142"/>
      <c r="L27" s="142"/>
      <c r="M27" s="142"/>
      <c r="N27" s="142"/>
      <c r="O27" s="142"/>
      <c r="P27" s="142"/>
      <c r="Q27" s="142"/>
      <c r="R27" s="142"/>
      <c r="S27" s="142"/>
      <c r="T27" s="142"/>
      <c r="U27" s="142"/>
      <c r="V27" s="142"/>
    </row>
    <row r="28" spans="1:22" x14ac:dyDescent="0.3">
      <c r="A28" s="112"/>
      <c r="B28" s="133"/>
      <c r="C28" s="162"/>
      <c r="D28" s="162"/>
      <c r="E28" s="162"/>
      <c r="F28" s="162"/>
      <c r="G28" s="162"/>
      <c r="H28" s="162"/>
      <c r="I28" s="162"/>
      <c r="J28" s="162"/>
      <c r="K28" s="142"/>
      <c r="L28" s="142"/>
      <c r="M28" s="142"/>
      <c r="N28" s="142"/>
      <c r="O28" s="142"/>
      <c r="P28" s="142"/>
      <c r="Q28" s="142"/>
      <c r="R28" s="142"/>
      <c r="S28" s="142"/>
      <c r="T28" s="142"/>
      <c r="U28" s="142"/>
      <c r="V28" s="142"/>
    </row>
    <row r="29" spans="1:22" ht="28.2" customHeight="1" x14ac:dyDescent="0.3">
      <c r="A29" s="112" t="s">
        <v>173</v>
      </c>
      <c r="B29" s="915" t="str">
        <f>+NARIÑO!B29</f>
        <v>De acuerdo con lo establecido en la Resoluccion 91349 de 2014 del MME para combustible de origen nacional o importado a ser distribuido en zonas de frontera, aplica la tarifa de marcación o remarcación vigente a la fecha según corresponda</v>
      </c>
      <c r="C29" s="915"/>
      <c r="D29" s="915"/>
      <c r="E29" s="915"/>
      <c r="F29" s="915"/>
      <c r="G29" s="915"/>
      <c r="H29" s="915"/>
      <c r="I29" s="915"/>
      <c r="J29" s="915"/>
      <c r="K29" s="915"/>
      <c r="L29" s="915"/>
      <c r="M29" s="915"/>
      <c r="N29" s="915"/>
      <c r="O29" s="915"/>
      <c r="P29" s="915"/>
      <c r="Q29" s="163"/>
      <c r="R29" s="163"/>
      <c r="S29" s="163"/>
      <c r="T29" s="163"/>
      <c r="U29" s="163"/>
      <c r="V29" s="163"/>
    </row>
    <row r="30" spans="1:22" ht="26.4" customHeight="1" x14ac:dyDescent="0.3">
      <c r="A30" s="112" t="s">
        <v>200</v>
      </c>
      <c r="B30" s="893" t="s">
        <v>251</v>
      </c>
      <c r="C30" s="893"/>
      <c r="D30" s="893"/>
      <c r="E30" s="893"/>
      <c r="F30" s="893"/>
      <c r="G30" s="893"/>
      <c r="H30" s="893"/>
      <c r="I30" s="893"/>
      <c r="J30" s="893"/>
      <c r="K30" s="893"/>
      <c r="L30" s="893"/>
      <c r="M30" s="893"/>
      <c r="N30" s="893"/>
      <c r="O30" s="893"/>
      <c r="P30" s="893"/>
      <c r="Q30" s="142"/>
      <c r="R30" s="142"/>
      <c r="S30" s="142"/>
      <c r="T30" s="142"/>
      <c r="U30" s="142"/>
      <c r="V30" s="142"/>
    </row>
    <row r="31" spans="1:22" ht="60" customHeight="1" x14ac:dyDescent="0.3">
      <c r="A31" s="112" t="s">
        <v>130</v>
      </c>
      <c r="B31" s="915" t="s">
        <v>307</v>
      </c>
      <c r="C31" s="915"/>
      <c r="D31" s="915"/>
      <c r="E31" s="915"/>
      <c r="F31" s="915"/>
      <c r="G31" s="915"/>
      <c r="H31" s="915"/>
      <c r="I31" s="915"/>
      <c r="J31" s="915"/>
      <c r="K31" s="915"/>
      <c r="L31" s="915"/>
      <c r="M31" s="915"/>
      <c r="N31" s="915"/>
      <c r="O31" s="915"/>
      <c r="P31" s="915"/>
      <c r="Q31" s="142"/>
      <c r="R31" s="142"/>
      <c r="S31" s="142"/>
      <c r="T31" s="142"/>
      <c r="U31" s="142"/>
      <c r="V31" s="142"/>
    </row>
    <row r="32" spans="1:22" ht="51" customHeight="1" x14ac:dyDescent="0.3">
      <c r="A32" s="112"/>
      <c r="B32" s="915" t="s">
        <v>467</v>
      </c>
      <c r="C32" s="915"/>
      <c r="D32" s="915"/>
      <c r="E32" s="915"/>
      <c r="F32" s="915"/>
      <c r="G32" s="915"/>
      <c r="H32" s="915"/>
      <c r="I32" s="915"/>
      <c r="J32" s="915"/>
      <c r="K32" s="915"/>
      <c r="L32" s="915"/>
      <c r="M32" s="915"/>
      <c r="N32" s="915"/>
      <c r="O32" s="915"/>
      <c r="P32" s="915"/>
      <c r="Q32" s="142"/>
      <c r="R32" s="142"/>
      <c r="S32" s="142"/>
      <c r="T32" s="142"/>
      <c r="U32" s="142"/>
      <c r="V32" s="142"/>
    </row>
    <row r="33" spans="1:22" ht="15" customHeight="1" x14ac:dyDescent="0.3">
      <c r="A33" s="134" t="s">
        <v>102</v>
      </c>
      <c r="B33" s="892" t="s">
        <v>211</v>
      </c>
      <c r="C33" s="892"/>
      <c r="D33" s="892"/>
      <c r="E33" s="892"/>
      <c r="F33" s="892"/>
      <c r="G33" s="892"/>
      <c r="H33" s="892"/>
      <c r="I33" s="892"/>
      <c r="J33" s="892"/>
      <c r="K33" s="892"/>
      <c r="L33" s="892"/>
      <c r="M33" s="892"/>
      <c r="N33" s="892"/>
      <c r="O33" s="892"/>
      <c r="P33" s="892"/>
      <c r="Q33" s="142"/>
      <c r="R33" s="142"/>
      <c r="S33" s="142"/>
      <c r="T33" s="142"/>
      <c r="U33" s="142"/>
      <c r="V33" s="142"/>
    </row>
    <row r="34" spans="1:22" ht="15" customHeight="1" x14ac:dyDescent="0.3">
      <c r="A34" s="134" t="s">
        <v>212</v>
      </c>
      <c r="B34" s="915" t="s">
        <v>240</v>
      </c>
      <c r="C34" s="915"/>
      <c r="D34" s="915"/>
      <c r="E34" s="915"/>
      <c r="F34" s="915"/>
      <c r="G34" s="915"/>
      <c r="H34" s="915"/>
      <c r="I34" s="915"/>
      <c r="J34" s="915"/>
      <c r="K34" s="915"/>
      <c r="L34" s="915"/>
      <c r="M34" s="915"/>
      <c r="N34" s="915"/>
      <c r="O34" s="915"/>
      <c r="P34" s="915"/>
      <c r="Q34" s="142"/>
      <c r="R34" s="142"/>
      <c r="S34" s="142"/>
      <c r="T34" s="142"/>
      <c r="U34" s="142"/>
      <c r="V34" s="142"/>
    </row>
    <row r="35" spans="1:22" ht="15" customHeight="1" x14ac:dyDescent="0.3">
      <c r="A35" s="112" t="s">
        <v>214</v>
      </c>
      <c r="B35" s="915" t="s">
        <v>215</v>
      </c>
      <c r="C35" s="915"/>
      <c r="D35" s="915"/>
      <c r="E35" s="915"/>
      <c r="F35" s="915"/>
      <c r="G35" s="915"/>
      <c r="H35" s="915"/>
      <c r="I35" s="915"/>
      <c r="J35" s="915"/>
      <c r="K35" s="915"/>
      <c r="L35" s="915"/>
      <c r="M35" s="915"/>
      <c r="N35" s="915"/>
      <c r="O35" s="112"/>
      <c r="P35" s="892"/>
      <c r="Q35" s="892"/>
      <c r="R35" s="892"/>
      <c r="S35" s="892"/>
      <c r="T35" s="892"/>
      <c r="U35" s="892"/>
      <c r="V35" s="892"/>
    </row>
    <row r="36" spans="1:22" ht="36.75" customHeight="1" x14ac:dyDescent="0.3">
      <c r="A36" s="112" t="s">
        <v>216</v>
      </c>
      <c r="B36" s="892" t="s">
        <v>429</v>
      </c>
      <c r="C36" s="892"/>
      <c r="D36" s="892"/>
      <c r="E36" s="892"/>
      <c r="F36" s="892"/>
      <c r="G36" s="892"/>
      <c r="H36" s="892"/>
      <c r="I36" s="892"/>
      <c r="J36" s="892"/>
      <c r="K36" s="892"/>
      <c r="L36" s="892"/>
      <c r="M36" s="892"/>
      <c r="N36" s="892"/>
      <c r="O36" s="112"/>
      <c r="P36" s="219"/>
      <c r="Q36" s="219"/>
      <c r="R36" s="219"/>
      <c r="S36" s="219"/>
      <c r="T36" s="219"/>
      <c r="U36" s="219"/>
      <c r="V36" s="219"/>
    </row>
    <row r="37" spans="1:22" ht="23.4" customHeight="1" x14ac:dyDescent="0.3">
      <c r="A37" s="134" t="s">
        <v>218</v>
      </c>
      <c r="B37" s="915" t="s">
        <v>220</v>
      </c>
      <c r="C37" s="915"/>
      <c r="D37" s="915"/>
      <c r="E37" s="915"/>
      <c r="F37" s="915"/>
      <c r="G37" s="915"/>
      <c r="H37" s="915"/>
      <c r="I37" s="915"/>
      <c r="J37" s="915"/>
      <c r="K37" s="915"/>
      <c r="L37" s="915"/>
      <c r="M37" s="915"/>
      <c r="N37" s="915"/>
      <c r="O37" s="915"/>
      <c r="P37" s="915"/>
      <c r="Q37" s="142"/>
      <c r="R37" s="142"/>
      <c r="S37" s="142"/>
      <c r="T37" s="142"/>
      <c r="U37" s="142"/>
      <c r="V37" s="142"/>
    </row>
    <row r="38" spans="1:22" ht="27.6" x14ac:dyDescent="0.3">
      <c r="A38" s="134" t="s">
        <v>219</v>
      </c>
      <c r="B38" s="915" t="s">
        <v>269</v>
      </c>
      <c r="C38" s="915"/>
      <c r="D38" s="915"/>
      <c r="E38" s="915"/>
      <c r="F38" s="915"/>
      <c r="G38" s="915"/>
      <c r="H38" s="915"/>
      <c r="I38" s="915"/>
      <c r="J38" s="915"/>
      <c r="K38" s="915"/>
      <c r="L38" s="915"/>
      <c r="M38" s="915"/>
      <c r="N38" s="915"/>
      <c r="O38" s="915"/>
      <c r="P38" s="915"/>
      <c r="Q38" s="142"/>
      <c r="R38" s="142"/>
      <c r="S38" s="142"/>
      <c r="T38" s="142"/>
      <c r="U38" s="142"/>
      <c r="V38" s="142"/>
    </row>
    <row r="39" spans="1:22" x14ac:dyDescent="0.3">
      <c r="B39" s="960" t="s">
        <v>418</v>
      </c>
      <c r="C39" s="960"/>
      <c r="D39" s="960"/>
      <c r="E39" s="960"/>
      <c r="F39" s="960"/>
      <c r="G39" s="960"/>
      <c r="H39" s="960"/>
      <c r="I39" s="960"/>
      <c r="J39" s="960"/>
      <c r="K39" s="960"/>
      <c r="L39" s="960"/>
      <c r="M39" s="960"/>
      <c r="N39" s="960"/>
      <c r="O39" s="960"/>
    </row>
    <row r="40" spans="1:22" ht="88.05" customHeight="1" x14ac:dyDescent="0.3">
      <c r="B40" s="895" t="s">
        <v>137</v>
      </c>
      <c r="C40" s="895"/>
      <c r="D40" s="895"/>
      <c r="E40" s="895"/>
      <c r="F40" s="895"/>
      <c r="G40" s="895"/>
      <c r="H40" s="895"/>
      <c r="I40" s="895"/>
      <c r="J40" s="895"/>
      <c r="K40" s="895"/>
      <c r="L40" s="895"/>
      <c r="M40" s="895"/>
      <c r="N40" s="895"/>
      <c r="O40" s="895"/>
      <c r="P40" s="895"/>
      <c r="Q40" s="895"/>
    </row>
  </sheetData>
  <sheetProtection algorithmName="SHA-512" hashValue="CAWhzKvI35ZAObMJwyywPFwo3DCwVa3dZ24Y3YMk2cEfjtlCW/f6AWChuw1F96IL4eTaPDe53jT3GKy8RntBuA==" saltValue="hhThQqQaHDWpY1v+lYxB9Q==" spinCount="100000" sheet="1" objects="1" scenarios="1"/>
  <mergeCells count="18">
    <mergeCell ref="B29:P29"/>
    <mergeCell ref="A5:A7"/>
    <mergeCell ref="B5:B7"/>
    <mergeCell ref="C5:C6"/>
    <mergeCell ref="C3:J4"/>
    <mergeCell ref="K3:O4"/>
    <mergeCell ref="B36:N36"/>
    <mergeCell ref="B37:P37"/>
    <mergeCell ref="B38:P38"/>
    <mergeCell ref="B40:Q40"/>
    <mergeCell ref="B30:P30"/>
    <mergeCell ref="B31:P31"/>
    <mergeCell ref="B33:P33"/>
    <mergeCell ref="B34:P34"/>
    <mergeCell ref="B35:N35"/>
    <mergeCell ref="P35:V35"/>
    <mergeCell ref="B39:O39"/>
    <mergeCell ref="B32:P32"/>
  </mergeCells>
  <hyperlinks>
    <hyperlink ref="B27" location="'NORTE SANTANDER'!A40" display="Ver Nota Informativa" xr:uid="{00000000-0004-0000-1200-000000000000}"/>
  </hyperlinks>
  <pageMargins left="0.7" right="0.7" top="0.75" bottom="0.75" header="0.3" footer="0.3"/>
  <pageSetup orientation="portrait" r:id="rId1"/>
  <ignoredErrors>
    <ignoredError sqref="C11 N17 H21:I21 H13 H11 N13:N15 D13:D15 D21 D17 K13:K15 H17:I17 H14:I15" formula="1"/>
    <ignoredError sqref="N12 C12:D12 K12 H12:I12" numberStoredAsText="1" formula="1"/>
    <ignoredError sqref="L10:M1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41"/>
  <sheetViews>
    <sheetView showGridLines="0" topLeftCell="A2" zoomScale="80" zoomScaleNormal="80" workbookViewId="0">
      <selection activeCell="S18" sqref="S18"/>
    </sheetView>
  </sheetViews>
  <sheetFormatPr baseColWidth="10" defaultRowHeight="14.4" x14ac:dyDescent="0.3"/>
  <cols>
    <col min="1" max="1" width="6.6640625" customWidth="1"/>
    <col min="2" max="2" width="45.88671875" customWidth="1"/>
    <col min="3" max="3" width="15.21875" customWidth="1"/>
    <col min="4" max="4" width="13.6640625" style="540" hidden="1" customWidth="1"/>
    <col min="5" max="5" width="13.6640625" style="540" customWidth="1"/>
    <col min="6" max="6" width="13.6640625" hidden="1" customWidth="1"/>
    <col min="7" max="7" width="13.6640625" style="540" hidden="1" customWidth="1"/>
    <col min="8" max="8" width="14.109375" customWidth="1"/>
    <col min="9" max="9" width="14.109375" style="540" customWidth="1"/>
    <col min="10" max="10" width="12.77734375" hidden="1" customWidth="1"/>
    <col min="11" max="11" width="14" style="540" customWidth="1"/>
    <col min="12" max="12" width="14" hidden="1" customWidth="1"/>
    <col min="13" max="13" width="14" style="540" hidden="1" customWidth="1"/>
    <col min="14" max="14" width="14.77734375" style="540" customWidth="1"/>
    <col min="15" max="15" width="17.77734375" hidden="1" customWidth="1"/>
    <col min="17" max="17" width="0" hidden="1" customWidth="1"/>
  </cols>
  <sheetData>
    <row r="1" spans="1:17" x14ac:dyDescent="0.3">
      <c r="A1" s="88"/>
      <c r="B1" s="88" t="str">
        <f>+AMAZONAS!C1</f>
        <v>Vigencia: 01 de Octubre de 2022; 00:00 horas</v>
      </c>
    </row>
    <row r="2" spans="1:17" ht="15" thickBot="1" x14ac:dyDescent="0.35">
      <c r="A2" s="115" t="s">
        <v>162</v>
      </c>
      <c r="B2" s="115"/>
      <c r="F2" s="466"/>
      <c r="G2" s="466"/>
      <c r="H2" s="466"/>
    </row>
    <row r="3" spans="1:17" ht="16.05" customHeight="1" thickTop="1" x14ac:dyDescent="0.3">
      <c r="A3" s="143"/>
      <c r="B3" s="144" t="s">
        <v>296</v>
      </c>
      <c r="C3" s="917" t="s">
        <v>163</v>
      </c>
      <c r="D3" s="918"/>
      <c r="E3" s="918"/>
      <c r="F3" s="918"/>
      <c r="G3" s="918"/>
      <c r="H3" s="918"/>
      <c r="I3" s="918"/>
      <c r="J3" s="919"/>
      <c r="K3" s="964" t="s">
        <v>232</v>
      </c>
      <c r="L3" s="950"/>
      <c r="M3" s="950"/>
      <c r="N3" s="950"/>
      <c r="O3" s="951"/>
    </row>
    <row r="4" spans="1:17" ht="24.45" customHeight="1" x14ac:dyDescent="0.3">
      <c r="A4" s="90"/>
      <c r="B4" s="603" t="s">
        <v>476</v>
      </c>
      <c r="C4" s="920"/>
      <c r="D4" s="921"/>
      <c r="E4" s="921"/>
      <c r="F4" s="921"/>
      <c r="G4" s="921"/>
      <c r="H4" s="921"/>
      <c r="I4" s="921"/>
      <c r="J4" s="922"/>
      <c r="K4" s="925"/>
      <c r="L4" s="926"/>
      <c r="M4" s="926"/>
      <c r="N4" s="926"/>
      <c r="O4" s="965"/>
    </row>
    <row r="5" spans="1:17" ht="38.25" customHeight="1" x14ac:dyDescent="0.3">
      <c r="A5" s="896" t="s">
        <v>164</v>
      </c>
      <c r="B5" s="898" t="s">
        <v>165</v>
      </c>
      <c r="C5" s="902" t="s">
        <v>223</v>
      </c>
      <c r="D5" s="749" t="s">
        <v>96</v>
      </c>
      <c r="E5" s="690" t="s">
        <v>96</v>
      </c>
      <c r="F5" s="347" t="s">
        <v>96</v>
      </c>
      <c r="G5" s="549" t="s">
        <v>96</v>
      </c>
      <c r="H5" s="347" t="s">
        <v>370</v>
      </c>
      <c r="I5" s="587" t="s">
        <v>375</v>
      </c>
      <c r="J5" s="347" t="str">
        <f>+'NORTE SANTANDER'!I5</f>
        <v>Biodiesel B5</v>
      </c>
      <c r="K5" s="690" t="s">
        <v>96</v>
      </c>
      <c r="L5" s="347" t="s">
        <v>96</v>
      </c>
      <c r="M5" s="549" t="s">
        <v>96</v>
      </c>
      <c r="N5" s="584" t="str">
        <f>+I5</f>
        <v>Biodiesel B10</v>
      </c>
      <c r="O5" s="345" t="str">
        <f>+J5</f>
        <v>Biodiesel B5</v>
      </c>
    </row>
    <row r="6" spans="1:17" x14ac:dyDescent="0.3">
      <c r="A6" s="896"/>
      <c r="B6" s="898"/>
      <c r="C6" s="903"/>
      <c r="D6" s="480" t="s">
        <v>516</v>
      </c>
      <c r="E6" s="480" t="s">
        <v>491</v>
      </c>
      <c r="F6" s="480" t="s">
        <v>459</v>
      </c>
      <c r="G6" s="480" t="s">
        <v>464</v>
      </c>
      <c r="H6" s="138">
        <v>0.02</v>
      </c>
      <c r="I6" s="121">
        <v>0.1</v>
      </c>
      <c r="J6" s="121">
        <f>+'NORTE SANTANDER'!I6</f>
        <v>0.05</v>
      </c>
      <c r="K6" s="459" t="str">
        <f>+E6</f>
        <v>Oxigena 4%</v>
      </c>
      <c r="L6" s="459" t="str">
        <f>+F6</f>
        <v>Oxigena 5%</v>
      </c>
      <c r="M6" s="459" t="str">
        <f>+G6</f>
        <v>Oxigena 6%</v>
      </c>
      <c r="N6" s="121">
        <f>+I6</f>
        <v>0.1</v>
      </c>
      <c r="O6" s="121">
        <f>+J6</f>
        <v>0.05</v>
      </c>
    </row>
    <row r="7" spans="1:17" x14ac:dyDescent="0.3">
      <c r="A7" s="897"/>
      <c r="B7" s="899"/>
      <c r="C7" s="346" t="s">
        <v>166</v>
      </c>
      <c r="D7" s="749" t="s">
        <v>166</v>
      </c>
      <c r="E7" s="690" t="s">
        <v>166</v>
      </c>
      <c r="F7" s="347" t="s">
        <v>166</v>
      </c>
      <c r="G7" s="549" t="s">
        <v>166</v>
      </c>
      <c r="H7" s="347" t="s">
        <v>166</v>
      </c>
      <c r="I7" s="587" t="s">
        <v>166</v>
      </c>
      <c r="J7" s="347" t="s">
        <v>166</v>
      </c>
      <c r="K7" s="689" t="s">
        <v>166</v>
      </c>
      <c r="L7" s="346" t="s">
        <v>166</v>
      </c>
      <c r="M7" s="548" t="s">
        <v>166</v>
      </c>
      <c r="N7" s="584" t="s">
        <v>166</v>
      </c>
      <c r="O7" s="345" t="s">
        <v>166</v>
      </c>
    </row>
    <row r="8" spans="1:17" ht="14.4" customHeight="1" x14ac:dyDescent="0.3">
      <c r="A8" s="93" t="s">
        <v>167</v>
      </c>
      <c r="B8" s="99" t="s">
        <v>168</v>
      </c>
      <c r="C8" s="160">
        <f>+'Calculo IP ZDF'!B38</f>
        <v>5262.5</v>
      </c>
      <c r="D8" s="160">
        <f>+'Calculo IP ZDF'!G38</f>
        <v>5418.2142000000003</v>
      </c>
      <c r="E8" s="166">
        <f>+'Calculo IP ZDF'!H38</f>
        <v>5573.9283999999998</v>
      </c>
      <c r="F8" s="166">
        <f>+'Calculo IP ZDF'!I38</f>
        <v>5651.7855</v>
      </c>
      <c r="G8" s="554">
        <f>+'Calculo IP ZDF'!J38</f>
        <v>5729.6426000000001</v>
      </c>
      <c r="H8" s="168">
        <f>+'Calculo IP ZDF'!F38</f>
        <v>4742.5562</v>
      </c>
      <c r="I8" s="167">
        <f>+'Calculo IP ZDF'!M38</f>
        <v>6008.334387500001</v>
      </c>
      <c r="J8" s="167">
        <f>+'Calculo IP ZDF'!L38</f>
        <v>6166.5563387500006</v>
      </c>
      <c r="K8" s="145">
        <f>+'GAS CTE'!E9</f>
        <v>5573.9283999999998</v>
      </c>
      <c r="L8" s="145">
        <f>+'GAS CTE'!F9</f>
        <v>5651.7855</v>
      </c>
      <c r="M8" s="553">
        <f>+'GAS CTE'!G9</f>
        <v>5729.6426000000001</v>
      </c>
      <c r="N8" s="170">
        <f>+BIODIESEL!H9</f>
        <v>6193.8560000000007</v>
      </c>
      <c r="O8" s="170">
        <f>+BIODIESEL!I9</f>
        <v>6350.0166000000008</v>
      </c>
    </row>
    <row r="9" spans="1:17" ht="14.4" customHeight="1" x14ac:dyDescent="0.3">
      <c r="A9" s="93" t="s">
        <v>169</v>
      </c>
      <c r="B9" s="99" t="s">
        <v>170</v>
      </c>
      <c r="C9" s="146" t="str">
        <f t="shared" ref="C9:C13" si="0">+F9</f>
        <v>------------------</v>
      </c>
      <c r="D9" s="146" t="s">
        <v>171</v>
      </c>
      <c r="E9" s="146" t="s">
        <v>171</v>
      </c>
      <c r="F9" s="123" t="s">
        <v>171</v>
      </c>
      <c r="G9" s="552" t="s">
        <v>171</v>
      </c>
      <c r="H9" s="147" t="s">
        <v>171</v>
      </c>
      <c r="I9" s="96" t="s">
        <v>171</v>
      </c>
      <c r="J9" s="96" t="s">
        <v>171</v>
      </c>
      <c r="K9" s="145">
        <f>+'GAS CTE'!E10</f>
        <v>562.79999999999995</v>
      </c>
      <c r="L9" s="145">
        <f>+'GAS CTE'!F10</f>
        <v>556.9375</v>
      </c>
      <c r="M9" s="553">
        <f>+'GAS CTE'!G10</f>
        <v>551.07499999999993</v>
      </c>
      <c r="N9" s="171">
        <f>+BIODIESEL!H10</f>
        <v>505.00800000000004</v>
      </c>
      <c r="O9" s="171">
        <f>+BIODIESEL!I10</f>
        <v>499.39679999999998</v>
      </c>
    </row>
    <row r="10" spans="1:17" ht="14.4" customHeight="1" x14ac:dyDescent="0.3">
      <c r="A10" s="93"/>
      <c r="B10" s="99" t="s">
        <v>129</v>
      </c>
      <c r="C10" s="146" t="str">
        <f>+F10</f>
        <v>------------------</v>
      </c>
      <c r="D10" s="146" t="s">
        <v>171</v>
      </c>
      <c r="E10" s="146" t="s">
        <v>171</v>
      </c>
      <c r="F10" s="123" t="s">
        <v>171</v>
      </c>
      <c r="G10" s="552" t="s">
        <v>171</v>
      </c>
      <c r="H10" s="147" t="s">
        <v>171</v>
      </c>
      <c r="I10" s="96" t="s">
        <v>171</v>
      </c>
      <c r="J10" s="96" t="s">
        <v>171</v>
      </c>
      <c r="K10" s="148" t="s">
        <v>130</v>
      </c>
      <c r="L10" s="161" t="e">
        <f>+#REF!</f>
        <v>#REF!</v>
      </c>
      <c r="M10" s="556" t="e">
        <f>+L10</f>
        <v>#REF!</v>
      </c>
      <c r="N10" s="171" t="s">
        <v>130</v>
      </c>
      <c r="O10" s="171" t="str">
        <f>+BIODIESEL!H11</f>
        <v>(3)</v>
      </c>
    </row>
    <row r="11" spans="1:17" ht="14.4" customHeight="1" x14ac:dyDescent="0.3">
      <c r="A11" s="93"/>
      <c r="B11" s="99" t="s">
        <v>131</v>
      </c>
      <c r="C11" s="146" t="str">
        <f>+GUAINIA!C11</f>
        <v>(4)</v>
      </c>
      <c r="D11" s="146" t="s">
        <v>201</v>
      </c>
      <c r="E11" s="146" t="s">
        <v>201</v>
      </c>
      <c r="F11" s="123" t="str">
        <f>+C11</f>
        <v>(4)</v>
      </c>
      <c r="G11" s="552" t="str">
        <f>+F11</f>
        <v>(4)</v>
      </c>
      <c r="H11" s="147" t="str">
        <f>+C11</f>
        <v>(4)</v>
      </c>
      <c r="I11" s="96" t="s">
        <v>201</v>
      </c>
      <c r="J11" s="96" t="str">
        <f>+C11</f>
        <v>(4)</v>
      </c>
      <c r="K11" s="148" t="s">
        <v>201</v>
      </c>
      <c r="L11" s="145" t="str">
        <f>+F11</f>
        <v>(4)</v>
      </c>
      <c r="M11" s="553" t="str">
        <f>+G11</f>
        <v>(4)</v>
      </c>
      <c r="N11" s="167" t="s">
        <v>201</v>
      </c>
      <c r="O11" s="167" t="str">
        <f>+J11</f>
        <v>(4)</v>
      </c>
    </row>
    <row r="12" spans="1:17" ht="14.4" customHeight="1" x14ac:dyDescent="0.3">
      <c r="A12" s="93" t="s">
        <v>172</v>
      </c>
      <c r="B12" s="99" t="s">
        <v>250</v>
      </c>
      <c r="C12" s="146" t="str">
        <f t="shared" si="0"/>
        <v>(2)</v>
      </c>
      <c r="D12" s="146" t="s">
        <v>200</v>
      </c>
      <c r="E12" s="146" t="s">
        <v>200</v>
      </c>
      <c r="F12" s="122" t="s">
        <v>200</v>
      </c>
      <c r="G12" s="551" t="s">
        <v>200</v>
      </c>
      <c r="H12" s="97" t="s">
        <v>200</v>
      </c>
      <c r="I12" s="96" t="s">
        <v>200</v>
      </c>
      <c r="J12" s="96" t="s">
        <v>200</v>
      </c>
      <c r="K12" s="148" t="s">
        <v>200</v>
      </c>
      <c r="L12" s="145" t="str">
        <f>+J12</f>
        <v>(2)</v>
      </c>
      <c r="M12" s="553" t="str">
        <f>+L12</f>
        <v>(2)</v>
      </c>
      <c r="N12" s="170" t="s">
        <v>200</v>
      </c>
      <c r="O12" s="170" t="s">
        <v>200</v>
      </c>
    </row>
    <row r="13" spans="1:17" ht="14.4" customHeight="1" x14ac:dyDescent="0.3">
      <c r="A13" s="93" t="s">
        <v>234</v>
      </c>
      <c r="B13" s="99" t="s">
        <v>391</v>
      </c>
      <c r="C13" s="146" t="str">
        <f t="shared" si="0"/>
        <v>N.A.</v>
      </c>
      <c r="D13" s="146" t="s">
        <v>236</v>
      </c>
      <c r="E13" s="146" t="s">
        <v>236</v>
      </c>
      <c r="F13" s="122" t="s">
        <v>236</v>
      </c>
      <c r="G13" s="551" t="s">
        <v>236</v>
      </c>
      <c r="H13" s="147" t="s">
        <v>201</v>
      </c>
      <c r="I13" s="98" t="s">
        <v>201</v>
      </c>
      <c r="J13" s="98" t="str">
        <f>+H13</f>
        <v>(4)</v>
      </c>
      <c r="K13" s="145" t="s">
        <v>236</v>
      </c>
      <c r="L13" s="145" t="s">
        <v>236</v>
      </c>
      <c r="M13" s="553" t="s">
        <v>236</v>
      </c>
      <c r="N13" s="167" t="s">
        <v>201</v>
      </c>
      <c r="O13" s="167" t="str">
        <f>+J13</f>
        <v>(4)</v>
      </c>
    </row>
    <row r="14" spans="1:17" ht="14.4" customHeight="1" x14ac:dyDescent="0.3">
      <c r="A14" s="93" t="s">
        <v>174</v>
      </c>
      <c r="B14" s="99" t="s">
        <v>175</v>
      </c>
      <c r="C14" s="146">
        <f>+RUBROS!AC19</f>
        <v>23.500029293035123</v>
      </c>
      <c r="D14" s="146">
        <f>+C14</f>
        <v>23.500029293035123</v>
      </c>
      <c r="E14" s="146">
        <f>+C14</f>
        <v>23.500029293035123</v>
      </c>
      <c r="F14" s="122">
        <f>+C14</f>
        <v>23.500029293035123</v>
      </c>
      <c r="G14" s="555">
        <f>+F14</f>
        <v>23.500029293035123</v>
      </c>
      <c r="H14" s="97">
        <f>+C14</f>
        <v>23.500029293035123</v>
      </c>
      <c r="I14" s="96">
        <f>+C14</f>
        <v>23.500029293035123</v>
      </c>
      <c r="J14" s="96">
        <f>+C14</f>
        <v>23.500029293035123</v>
      </c>
      <c r="K14" s="148">
        <f>+E14</f>
        <v>23.500029293035123</v>
      </c>
      <c r="L14" s="145">
        <f>+C14</f>
        <v>23.500029293035123</v>
      </c>
      <c r="M14" s="553">
        <f>+RUBROS!AC19</f>
        <v>23.500029293035123</v>
      </c>
      <c r="N14" s="170">
        <f>+RUBROS!AC19</f>
        <v>23.500029293035123</v>
      </c>
      <c r="O14" s="170">
        <f>+L14</f>
        <v>23.500029293035123</v>
      </c>
      <c r="Q14" s="361" t="s">
        <v>387</v>
      </c>
    </row>
    <row r="15" spans="1:17" ht="14.4" customHeight="1" x14ac:dyDescent="0.3">
      <c r="A15" s="93" t="s">
        <v>178</v>
      </c>
      <c r="B15" s="165" t="s">
        <v>179</v>
      </c>
      <c r="C15" s="146">
        <f>+RUBROS!AU41</f>
        <v>13.326421256197724</v>
      </c>
      <c r="D15" s="146">
        <f>+C15</f>
        <v>13.326421256197724</v>
      </c>
      <c r="E15" s="146">
        <f>+C15</f>
        <v>13.326421256197724</v>
      </c>
      <c r="F15" s="122">
        <f>+C15</f>
        <v>13.326421256197724</v>
      </c>
      <c r="G15" s="148">
        <f>+F15</f>
        <v>13.326421256197724</v>
      </c>
      <c r="H15" s="148">
        <f>+C15</f>
        <v>13.326421256197724</v>
      </c>
      <c r="I15" s="96">
        <f>+C15</f>
        <v>13.326421256197724</v>
      </c>
      <c r="J15" s="96">
        <f>+C15</f>
        <v>13.326421256197724</v>
      </c>
      <c r="K15" s="148">
        <f>+E15</f>
        <v>13.326421256197724</v>
      </c>
      <c r="L15" s="145">
        <f>+C15</f>
        <v>13.326421256197724</v>
      </c>
      <c r="M15" s="145">
        <f>+F15</f>
        <v>13.326421256197724</v>
      </c>
      <c r="N15" s="170">
        <f>+C15</f>
        <v>13.326421256197724</v>
      </c>
      <c r="O15" s="170">
        <f>+C15</f>
        <v>13.326421256197724</v>
      </c>
      <c r="Q15" s="361" t="s">
        <v>387</v>
      </c>
    </row>
    <row r="16" spans="1:17" hidden="1" x14ac:dyDescent="0.3">
      <c r="A16" s="93"/>
      <c r="B16" s="99" t="s">
        <v>180</v>
      </c>
      <c r="C16" s="146"/>
      <c r="D16" s="517"/>
      <c r="E16" s="517"/>
      <c r="F16" s="273"/>
      <c r="G16" s="150"/>
      <c r="H16" s="150"/>
      <c r="I16" s="96"/>
      <c r="J16" s="96"/>
      <c r="K16" s="148"/>
      <c r="L16" s="145"/>
      <c r="M16" s="145"/>
      <c r="N16" s="172"/>
      <c r="O16" s="172"/>
    </row>
    <row r="17" spans="1:23" x14ac:dyDescent="0.3">
      <c r="A17" s="100" t="s">
        <v>181</v>
      </c>
      <c r="B17" s="129" t="s">
        <v>182</v>
      </c>
      <c r="C17" s="151">
        <f>SUM(C8:C16)</f>
        <v>5299.3264505492334</v>
      </c>
      <c r="D17" s="151">
        <f>SUM(D8:D16)</f>
        <v>5455.0406505492338</v>
      </c>
      <c r="E17" s="151">
        <f>SUM(E8:E16)</f>
        <v>5610.7548505492332</v>
      </c>
      <c r="F17" s="274">
        <f t="shared" ref="F17:O17" si="1">SUM(F8:F16)</f>
        <v>5688.6119505492334</v>
      </c>
      <c r="G17" s="274">
        <f t="shared" si="1"/>
        <v>5766.4690505492335</v>
      </c>
      <c r="H17" s="152">
        <f t="shared" si="1"/>
        <v>4779.3826505492334</v>
      </c>
      <c r="I17" s="153">
        <f t="shared" si="1"/>
        <v>6045.1608380492344</v>
      </c>
      <c r="J17" s="153">
        <f t="shared" si="1"/>
        <v>6203.382789299234</v>
      </c>
      <c r="K17" s="154">
        <f t="shared" si="1"/>
        <v>6173.5548505492334</v>
      </c>
      <c r="L17" s="154" t="e">
        <f t="shared" si="1"/>
        <v>#REF!</v>
      </c>
      <c r="M17" s="154" t="e">
        <f t="shared" ref="M17" si="2">SUM(M8:M16)</f>
        <v>#REF!</v>
      </c>
      <c r="N17" s="173">
        <f t="shared" si="1"/>
        <v>6735.6904505492339</v>
      </c>
      <c r="O17" s="173">
        <f t="shared" si="1"/>
        <v>6886.2398505492347</v>
      </c>
    </row>
    <row r="18" spans="1:23" x14ac:dyDescent="0.3">
      <c r="A18" s="93" t="s">
        <v>183</v>
      </c>
      <c r="B18" s="99" t="s">
        <v>184</v>
      </c>
      <c r="C18" s="194" t="s">
        <v>214</v>
      </c>
      <c r="D18" s="762" t="s">
        <v>214</v>
      </c>
      <c r="E18" s="762" t="s">
        <v>214</v>
      </c>
      <c r="F18" s="762" t="str">
        <f>+C18</f>
        <v>***</v>
      </c>
      <c r="G18" s="762" t="str">
        <f>+F18</f>
        <v>***</v>
      </c>
      <c r="H18" s="763" t="str">
        <f>+C18</f>
        <v>***</v>
      </c>
      <c r="I18" s="764" t="s">
        <v>214</v>
      </c>
      <c r="J18" s="96" t="str">
        <f>+C18</f>
        <v>***</v>
      </c>
      <c r="K18" s="148" t="s">
        <v>214</v>
      </c>
      <c r="L18" s="148" t="str">
        <f>+O18</f>
        <v>***</v>
      </c>
      <c r="M18" s="148">
        <f>+P18</f>
        <v>0</v>
      </c>
      <c r="N18" s="174" t="s">
        <v>214</v>
      </c>
      <c r="O18" s="174" t="s">
        <v>214</v>
      </c>
    </row>
    <row r="19" spans="1:23" x14ac:dyDescent="0.3">
      <c r="A19" s="93" t="s">
        <v>185</v>
      </c>
      <c r="B19" s="99" t="s">
        <v>186</v>
      </c>
      <c r="C19" s="194" t="str">
        <f>+F19</f>
        <v>**</v>
      </c>
      <c r="D19" s="761" t="s">
        <v>212</v>
      </c>
      <c r="E19" s="761" t="s">
        <v>212</v>
      </c>
      <c r="F19" s="761" t="s">
        <v>212</v>
      </c>
      <c r="G19" s="761" t="s">
        <v>212</v>
      </c>
      <c r="H19" s="765" t="s">
        <v>212</v>
      </c>
      <c r="I19" s="764" t="s">
        <v>212</v>
      </c>
      <c r="J19" s="96" t="s">
        <v>212</v>
      </c>
      <c r="K19" s="148" t="s">
        <v>212</v>
      </c>
      <c r="L19" s="148" t="str">
        <f>+O19</f>
        <v>**</v>
      </c>
      <c r="M19" s="148">
        <f>+P19</f>
        <v>0</v>
      </c>
      <c r="N19" s="167" t="s">
        <v>212</v>
      </c>
      <c r="O19" s="167" t="s">
        <v>212</v>
      </c>
    </row>
    <row r="20" spans="1:23" x14ac:dyDescent="0.3">
      <c r="A20" s="93" t="s">
        <v>187</v>
      </c>
      <c r="B20" s="99" t="s">
        <v>188</v>
      </c>
      <c r="C20" s="194" t="str">
        <f>+F20</f>
        <v>****</v>
      </c>
      <c r="D20" s="760" t="s">
        <v>216</v>
      </c>
      <c r="E20" s="760" t="s">
        <v>216</v>
      </c>
      <c r="F20" s="760" t="s">
        <v>216</v>
      </c>
      <c r="G20" s="760" t="s">
        <v>216</v>
      </c>
      <c r="H20" s="766" t="str">
        <f>+F20</f>
        <v>****</v>
      </c>
      <c r="I20" s="764" t="s">
        <v>216</v>
      </c>
      <c r="J20" s="96" t="str">
        <f>+H20</f>
        <v>****</v>
      </c>
      <c r="K20" s="148" t="s">
        <v>216</v>
      </c>
      <c r="L20" s="148" t="str">
        <f>+J20</f>
        <v>****</v>
      </c>
      <c r="M20" s="148" t="str">
        <f>+L20</f>
        <v>****</v>
      </c>
      <c r="N20" s="170" t="str">
        <f>+I20</f>
        <v>****</v>
      </c>
      <c r="O20" s="170" t="str">
        <f>+J20</f>
        <v>****</v>
      </c>
    </row>
    <row r="21" spans="1:23" x14ac:dyDescent="0.3">
      <c r="A21" s="100" t="s">
        <v>189</v>
      </c>
      <c r="B21" s="129" t="s">
        <v>190</v>
      </c>
      <c r="C21" s="767">
        <f t="shared" ref="C21:O21" si="3">+C17</f>
        <v>5299.3264505492334</v>
      </c>
      <c r="D21" s="768">
        <f t="shared" ref="D21" si="4">+D17</f>
        <v>5455.0406505492338</v>
      </c>
      <c r="E21" s="768">
        <f t="shared" si="3"/>
        <v>5610.7548505492332</v>
      </c>
      <c r="F21" s="768">
        <f t="shared" si="3"/>
        <v>5688.6119505492334</v>
      </c>
      <c r="G21" s="768">
        <f t="shared" ref="G21" si="5">+G17</f>
        <v>5766.4690505492335</v>
      </c>
      <c r="H21" s="767">
        <f t="shared" si="3"/>
        <v>4779.3826505492334</v>
      </c>
      <c r="I21" s="769">
        <f t="shared" si="3"/>
        <v>6045.1608380492344</v>
      </c>
      <c r="J21" s="169">
        <f t="shared" si="3"/>
        <v>6203.382789299234</v>
      </c>
      <c r="K21" s="151">
        <f t="shared" si="3"/>
        <v>6173.5548505492334</v>
      </c>
      <c r="L21" s="151" t="e">
        <f t="shared" si="3"/>
        <v>#REF!</v>
      </c>
      <c r="M21" s="151" t="e">
        <f t="shared" ref="M21" si="6">+M17</f>
        <v>#REF!</v>
      </c>
      <c r="N21" s="169">
        <f t="shared" si="3"/>
        <v>6735.6904505492339</v>
      </c>
      <c r="O21" s="169">
        <f t="shared" si="3"/>
        <v>6886.2398505492347</v>
      </c>
    </row>
    <row r="22" spans="1:23" x14ac:dyDescent="0.3">
      <c r="A22" s="93" t="s">
        <v>191</v>
      </c>
      <c r="B22" s="99" t="s">
        <v>150</v>
      </c>
      <c r="C22" s="194" t="s">
        <v>214</v>
      </c>
      <c r="D22" s="194" t="s">
        <v>214</v>
      </c>
      <c r="E22" s="194" t="s">
        <v>214</v>
      </c>
      <c r="F22" s="760" t="str">
        <f>+C22</f>
        <v>***</v>
      </c>
      <c r="G22" s="760" t="str">
        <f>+F22</f>
        <v>***</v>
      </c>
      <c r="H22" s="766" t="str">
        <f>+F22</f>
        <v>***</v>
      </c>
      <c r="I22" s="764" t="s">
        <v>214</v>
      </c>
      <c r="J22" s="96" t="str">
        <f>+H22</f>
        <v>***</v>
      </c>
      <c r="K22" s="148" t="s">
        <v>214</v>
      </c>
      <c r="L22" s="148" t="str">
        <f>+O22</f>
        <v>***</v>
      </c>
      <c r="M22" s="148">
        <f>+P22</f>
        <v>0</v>
      </c>
      <c r="N22" s="170" t="s">
        <v>214</v>
      </c>
      <c r="O22" s="170" t="s">
        <v>214</v>
      </c>
    </row>
    <row r="23" spans="1:23" x14ac:dyDescent="0.3">
      <c r="A23" s="93" t="s">
        <v>192</v>
      </c>
      <c r="B23" s="94" t="s">
        <v>193</v>
      </c>
      <c r="C23" s="194" t="str">
        <f>+F23</f>
        <v>*****</v>
      </c>
      <c r="D23" s="194" t="s">
        <v>218</v>
      </c>
      <c r="E23" s="194" t="s">
        <v>218</v>
      </c>
      <c r="F23" s="760" t="s">
        <v>218</v>
      </c>
      <c r="G23" s="760" t="s">
        <v>218</v>
      </c>
      <c r="H23" s="766" t="s">
        <v>236</v>
      </c>
      <c r="I23" s="764" t="s">
        <v>194</v>
      </c>
      <c r="J23" s="96" t="s">
        <v>194</v>
      </c>
      <c r="K23" s="148" t="s">
        <v>218</v>
      </c>
      <c r="L23" s="148" t="str">
        <f>+F23</f>
        <v>*****</v>
      </c>
      <c r="M23" s="148" t="str">
        <f>+G23</f>
        <v>*****</v>
      </c>
      <c r="N23" s="170" t="s">
        <v>237</v>
      </c>
      <c r="O23" s="170" t="s">
        <v>237</v>
      </c>
    </row>
    <row r="24" spans="1:23" x14ac:dyDescent="0.3">
      <c r="A24" s="93" t="s">
        <v>195</v>
      </c>
      <c r="B24" s="99" t="s">
        <v>196</v>
      </c>
      <c r="C24" s="194" t="str">
        <f>+F24</f>
        <v>******</v>
      </c>
      <c r="D24" s="194" t="s">
        <v>219</v>
      </c>
      <c r="E24" s="194" t="s">
        <v>219</v>
      </c>
      <c r="F24" s="761" t="s">
        <v>219</v>
      </c>
      <c r="G24" s="761" t="s">
        <v>219</v>
      </c>
      <c r="H24" s="765" t="str">
        <f>+F24</f>
        <v>******</v>
      </c>
      <c r="I24" s="770" t="s">
        <v>219</v>
      </c>
      <c r="J24" s="98" t="str">
        <f>+H24</f>
        <v>******</v>
      </c>
      <c r="K24" s="145" t="s">
        <v>219</v>
      </c>
      <c r="L24" s="148" t="str">
        <f>+J24</f>
        <v>******</v>
      </c>
      <c r="M24" s="148" t="str">
        <f>+L24</f>
        <v>******</v>
      </c>
      <c r="N24" s="167" t="str">
        <f>+J24</f>
        <v>******</v>
      </c>
      <c r="O24" s="167" t="str">
        <f>+L24</f>
        <v>******</v>
      </c>
    </row>
    <row r="25" spans="1:23" ht="15" thickBot="1" x14ac:dyDescent="0.35">
      <c r="A25" s="104" t="s">
        <v>197</v>
      </c>
      <c r="B25" s="105" t="s">
        <v>198</v>
      </c>
      <c r="C25" s="157"/>
      <c r="D25" s="157"/>
      <c r="E25" s="157"/>
      <c r="F25" s="108"/>
      <c r="G25" s="158"/>
      <c r="H25" s="158"/>
      <c r="I25" s="158"/>
      <c r="J25" s="107"/>
      <c r="K25" s="158"/>
      <c r="L25" s="158"/>
      <c r="M25" s="158"/>
      <c r="N25" s="158"/>
      <c r="O25" s="175"/>
    </row>
    <row r="26" spans="1:23" ht="15" thickTop="1" x14ac:dyDescent="0.3"/>
    <row r="27" spans="1:23" x14ac:dyDescent="0.3">
      <c r="A27" s="112"/>
      <c r="B27" s="210" t="s">
        <v>210</v>
      </c>
      <c r="C27" s="162"/>
      <c r="D27" s="162"/>
      <c r="E27" s="162"/>
      <c r="F27" s="162"/>
      <c r="G27" s="162"/>
      <c r="H27" s="162"/>
      <c r="I27" s="162"/>
      <c r="J27" s="162"/>
      <c r="K27" s="162"/>
      <c r="L27" s="142"/>
      <c r="M27" s="142"/>
      <c r="N27" s="142"/>
      <c r="O27" s="142"/>
      <c r="P27" s="142"/>
      <c r="Q27" s="142"/>
      <c r="R27" s="142"/>
      <c r="S27" s="142"/>
      <c r="T27" s="142"/>
      <c r="U27" s="142"/>
      <c r="V27" s="142"/>
      <c r="W27" s="142"/>
    </row>
    <row r="28" spans="1:23" x14ac:dyDescent="0.3">
      <c r="A28" s="112"/>
      <c r="B28" s="133"/>
      <c r="C28" s="162"/>
      <c r="D28" s="162"/>
      <c r="E28" s="162"/>
      <c r="F28" s="162"/>
      <c r="G28" s="162"/>
      <c r="H28" s="162"/>
      <c r="I28" s="162"/>
      <c r="J28" s="162"/>
      <c r="K28" s="162"/>
      <c r="L28" s="142"/>
      <c r="M28" s="142"/>
      <c r="N28" s="142"/>
      <c r="O28" s="142"/>
      <c r="P28" s="142"/>
      <c r="Q28" s="142"/>
      <c r="R28" s="142"/>
      <c r="S28" s="142"/>
      <c r="T28" s="142"/>
      <c r="U28" s="142"/>
      <c r="V28" s="142"/>
      <c r="W28" s="142"/>
    </row>
    <row r="29" spans="1:23" ht="31.05" customHeight="1" x14ac:dyDescent="0.3">
      <c r="A29" s="112" t="s">
        <v>173</v>
      </c>
      <c r="B29" s="915" t="str">
        <f>+'NORTE SANTANDER'!B29:P29</f>
        <v>De acuerdo con lo establecido en la Resoluccion 91349 de 2014 del MME para combustible de origen nacional o importado a ser distribuido en zonas de frontera, aplica la tarifa de marcación o remarcación vigente a la fecha según corresponda</v>
      </c>
      <c r="C29" s="915"/>
      <c r="D29" s="915"/>
      <c r="E29" s="915"/>
      <c r="F29" s="915"/>
      <c r="G29" s="915"/>
      <c r="H29" s="915"/>
      <c r="I29" s="915"/>
      <c r="J29" s="915"/>
      <c r="K29" s="915"/>
      <c r="L29" s="915"/>
      <c r="M29" s="915"/>
      <c r="N29" s="915"/>
      <c r="O29" s="915"/>
      <c r="P29" s="915"/>
      <c r="Q29" s="915"/>
      <c r="R29" s="163"/>
      <c r="S29" s="163"/>
      <c r="T29" s="163"/>
      <c r="U29" s="163"/>
      <c r="V29" s="163"/>
      <c r="W29" s="163"/>
    </row>
    <row r="30" spans="1:23" ht="27.15" customHeight="1" x14ac:dyDescent="0.3">
      <c r="A30" s="112" t="s">
        <v>200</v>
      </c>
      <c r="B30" s="893" t="s">
        <v>251</v>
      </c>
      <c r="C30" s="893"/>
      <c r="D30" s="893"/>
      <c r="E30" s="893"/>
      <c r="F30" s="893"/>
      <c r="G30" s="893"/>
      <c r="H30" s="893"/>
      <c r="I30" s="893"/>
      <c r="J30" s="893"/>
      <c r="K30" s="893"/>
      <c r="L30" s="893"/>
      <c r="M30" s="893"/>
      <c r="N30" s="893"/>
      <c r="O30" s="893"/>
      <c r="P30" s="893"/>
      <c r="Q30" s="893"/>
      <c r="R30" s="142"/>
      <c r="S30" s="142"/>
      <c r="T30" s="142"/>
      <c r="U30" s="142"/>
      <c r="V30" s="142"/>
      <c r="W30" s="142"/>
    </row>
    <row r="31" spans="1:23" ht="65.25" customHeight="1" x14ac:dyDescent="0.3">
      <c r="A31" s="112" t="s">
        <v>130</v>
      </c>
      <c r="B31" s="915" t="s">
        <v>307</v>
      </c>
      <c r="C31" s="915"/>
      <c r="D31" s="915"/>
      <c r="E31" s="915"/>
      <c r="F31" s="915"/>
      <c r="G31" s="915"/>
      <c r="H31" s="915"/>
      <c r="I31" s="915"/>
      <c r="J31" s="915"/>
      <c r="K31" s="915"/>
      <c r="L31" s="915"/>
      <c r="M31" s="915"/>
      <c r="N31" s="915"/>
      <c r="O31" s="915"/>
      <c r="P31" s="915"/>
      <c r="Q31" s="915"/>
      <c r="R31" s="142"/>
      <c r="S31" s="142"/>
      <c r="T31" s="142"/>
      <c r="U31" s="142"/>
      <c r="V31" s="142"/>
      <c r="W31" s="142"/>
    </row>
    <row r="32" spans="1:23" ht="65.25" customHeight="1" x14ac:dyDescent="0.3">
      <c r="A32" s="112" t="s">
        <v>201</v>
      </c>
      <c r="B32" s="914" t="s">
        <v>376</v>
      </c>
      <c r="C32" s="914"/>
      <c r="D32" s="914"/>
      <c r="E32" s="914"/>
      <c r="F32" s="914"/>
      <c r="G32" s="914"/>
      <c r="H32" s="914"/>
      <c r="I32" s="914"/>
      <c r="J32" s="914"/>
      <c r="K32" s="914"/>
      <c r="L32" s="914"/>
      <c r="M32" s="914"/>
      <c r="N32" s="914"/>
      <c r="O32" s="914"/>
      <c r="P32" s="914"/>
      <c r="Q32" s="914"/>
      <c r="R32" s="142"/>
      <c r="S32" s="142"/>
      <c r="T32" s="142"/>
      <c r="U32" s="142"/>
      <c r="V32" s="142"/>
      <c r="W32" s="142"/>
    </row>
    <row r="33" spans="1:23" ht="17.55" customHeight="1" x14ac:dyDescent="0.3">
      <c r="A33" s="112"/>
      <c r="B33" s="914"/>
      <c r="C33" s="914"/>
      <c r="D33" s="914"/>
      <c r="E33" s="914"/>
      <c r="F33" s="914"/>
      <c r="G33" s="914"/>
      <c r="H33" s="914"/>
      <c r="I33" s="914"/>
      <c r="J33" s="914"/>
      <c r="K33" s="914"/>
      <c r="L33" s="914"/>
      <c r="M33" s="914"/>
      <c r="N33" s="914"/>
      <c r="O33" s="914"/>
      <c r="P33" s="914"/>
      <c r="Q33" s="142"/>
      <c r="R33" s="142"/>
      <c r="S33" s="142"/>
      <c r="T33" s="142"/>
      <c r="U33" s="142"/>
      <c r="V33" s="142"/>
      <c r="W33" s="142"/>
    </row>
    <row r="34" spans="1:23" ht="15" customHeight="1" x14ac:dyDescent="0.3">
      <c r="A34" s="134" t="s">
        <v>102</v>
      </c>
      <c r="B34" s="892" t="s">
        <v>211</v>
      </c>
      <c r="C34" s="892"/>
      <c r="D34" s="892"/>
      <c r="E34" s="892"/>
      <c r="F34" s="892"/>
      <c r="G34" s="892"/>
      <c r="H34" s="892"/>
      <c r="I34" s="892"/>
      <c r="J34" s="892"/>
      <c r="K34" s="892"/>
      <c r="L34" s="892"/>
      <c r="M34" s="892"/>
      <c r="N34" s="892"/>
      <c r="O34" s="892"/>
      <c r="P34" s="892"/>
      <c r="Q34" s="892"/>
      <c r="R34" s="142"/>
      <c r="S34" s="142"/>
      <c r="T34" s="142"/>
      <c r="U34" s="142"/>
      <c r="V34" s="142"/>
      <c r="W34" s="142"/>
    </row>
    <row r="35" spans="1:23" ht="15" customHeight="1" x14ac:dyDescent="0.3">
      <c r="A35" s="134" t="s">
        <v>212</v>
      </c>
      <c r="B35" s="915" t="s">
        <v>297</v>
      </c>
      <c r="C35" s="915"/>
      <c r="D35" s="915"/>
      <c r="E35" s="915"/>
      <c r="F35" s="915"/>
      <c r="G35" s="915"/>
      <c r="H35" s="915"/>
      <c r="I35" s="915"/>
      <c r="J35" s="915"/>
      <c r="K35" s="915"/>
      <c r="L35" s="915"/>
      <c r="M35" s="915"/>
      <c r="N35" s="915"/>
      <c r="O35" s="915"/>
      <c r="P35" s="915"/>
      <c r="Q35" s="915"/>
      <c r="R35" s="142"/>
      <c r="S35" s="142"/>
      <c r="T35" s="142"/>
      <c r="U35" s="142"/>
      <c r="V35" s="142"/>
      <c r="W35" s="142"/>
    </row>
    <row r="36" spans="1:23" ht="15" customHeight="1" x14ac:dyDescent="0.3">
      <c r="A36" s="112" t="s">
        <v>214</v>
      </c>
      <c r="B36" s="915" t="s">
        <v>215</v>
      </c>
      <c r="C36" s="915"/>
      <c r="D36" s="915"/>
      <c r="E36" s="915"/>
      <c r="F36" s="915"/>
      <c r="G36" s="915"/>
      <c r="H36" s="915"/>
      <c r="I36" s="915"/>
      <c r="J36" s="915"/>
      <c r="K36" s="915"/>
      <c r="L36" s="915"/>
      <c r="M36" s="915"/>
      <c r="N36" s="915"/>
      <c r="O36" s="915"/>
      <c r="P36" s="112"/>
      <c r="Q36" s="892"/>
      <c r="R36" s="892"/>
      <c r="S36" s="892"/>
      <c r="T36" s="892"/>
      <c r="U36" s="892"/>
      <c r="V36" s="892"/>
      <c r="W36" s="892"/>
    </row>
    <row r="37" spans="1:23" ht="15" customHeight="1" x14ac:dyDescent="0.3">
      <c r="A37" s="112" t="s">
        <v>216</v>
      </c>
      <c r="B37" s="892" t="s">
        <v>429</v>
      </c>
      <c r="C37" s="892"/>
      <c r="D37" s="892"/>
      <c r="E37" s="892"/>
      <c r="F37" s="892"/>
      <c r="G37" s="892"/>
      <c r="H37" s="892"/>
      <c r="I37" s="892"/>
      <c r="J37" s="892"/>
      <c r="K37" s="892"/>
      <c r="L37" s="892"/>
      <c r="M37" s="892"/>
      <c r="N37" s="892"/>
      <c r="O37" s="892"/>
      <c r="P37" s="112"/>
      <c r="Q37" s="344"/>
      <c r="R37" s="344"/>
      <c r="S37" s="344"/>
      <c r="T37" s="344"/>
      <c r="U37" s="344"/>
      <c r="V37" s="344"/>
      <c r="W37" s="344"/>
    </row>
    <row r="38" spans="1:23" ht="24" customHeight="1" x14ac:dyDescent="0.3">
      <c r="A38" s="134" t="s">
        <v>218</v>
      </c>
      <c r="B38" s="915" t="s">
        <v>220</v>
      </c>
      <c r="C38" s="915"/>
      <c r="D38" s="915"/>
      <c r="E38" s="915"/>
      <c r="F38" s="915"/>
      <c r="G38" s="915"/>
      <c r="H38" s="915"/>
      <c r="I38" s="915"/>
      <c r="J38" s="915"/>
      <c r="K38" s="915"/>
      <c r="L38" s="915"/>
      <c r="M38" s="915"/>
      <c r="N38" s="915"/>
      <c r="O38" s="915"/>
      <c r="P38" s="915"/>
      <c r="Q38" s="915"/>
      <c r="R38" s="142"/>
      <c r="S38" s="142"/>
      <c r="T38" s="142"/>
      <c r="U38" s="142"/>
      <c r="V38" s="142"/>
      <c r="W38" s="142"/>
    </row>
    <row r="39" spans="1:23" x14ac:dyDescent="0.3">
      <c r="A39" s="134" t="s">
        <v>219</v>
      </c>
      <c r="B39" s="915" t="s">
        <v>256</v>
      </c>
      <c r="C39" s="915"/>
      <c r="D39" s="915"/>
      <c r="E39" s="915"/>
      <c r="F39" s="915"/>
      <c r="G39" s="915"/>
      <c r="H39" s="915"/>
      <c r="I39" s="915"/>
      <c r="J39" s="915"/>
      <c r="K39" s="915"/>
      <c r="L39" s="915"/>
      <c r="M39" s="915"/>
      <c r="N39" s="915"/>
      <c r="O39" s="915"/>
      <c r="P39" s="915"/>
      <c r="Q39" s="915"/>
      <c r="R39" s="142"/>
      <c r="S39" s="142"/>
      <c r="T39" s="142"/>
      <c r="U39" s="142"/>
      <c r="V39" s="142"/>
      <c r="W39" s="142"/>
    </row>
    <row r="41" spans="1:23" ht="88.05" customHeight="1" x14ac:dyDescent="0.3">
      <c r="A41" s="895" t="s">
        <v>137</v>
      </c>
      <c r="B41" s="895"/>
      <c r="C41" s="895"/>
      <c r="D41" s="895"/>
      <c r="E41" s="895"/>
      <c r="F41" s="895"/>
      <c r="G41" s="895"/>
      <c r="H41" s="895"/>
      <c r="I41" s="895"/>
      <c r="J41" s="895"/>
      <c r="K41" s="895"/>
      <c r="L41" s="895"/>
      <c r="M41" s="895"/>
      <c r="N41" s="895"/>
      <c r="O41" s="895"/>
      <c r="P41" s="895"/>
      <c r="Q41" s="895"/>
    </row>
  </sheetData>
  <sheetProtection algorithmName="SHA-512" hashValue="kygSltvBMK+4+SAqdL1Y14+M+aVAOS6KvxfQ6Rj47BTHBQBM6/le7pRJPQshLAWcON+ylJ7QSmPZ5g7VGySv9A==" saltValue="h86uitcL6wVjPLY9mPMXbw==" spinCount="100000" sheet="1" objects="1" scenarios="1"/>
  <mergeCells count="18">
    <mergeCell ref="B29:Q29"/>
    <mergeCell ref="C3:J4"/>
    <mergeCell ref="A5:A7"/>
    <mergeCell ref="B5:B7"/>
    <mergeCell ref="C5:C6"/>
    <mergeCell ref="K3:O4"/>
    <mergeCell ref="B37:O37"/>
    <mergeCell ref="B38:Q38"/>
    <mergeCell ref="B39:Q39"/>
    <mergeCell ref="A41:Q41"/>
    <mergeCell ref="B30:Q30"/>
    <mergeCell ref="B31:Q31"/>
    <mergeCell ref="B32:Q32"/>
    <mergeCell ref="B34:Q34"/>
    <mergeCell ref="B35:Q35"/>
    <mergeCell ref="B36:O36"/>
    <mergeCell ref="Q36:W36"/>
    <mergeCell ref="B33:P33"/>
  </mergeCells>
  <hyperlinks>
    <hyperlink ref="B27" location="PUTUMAYO!A40" display="Ver Nota Informativa" xr:uid="{00000000-0004-0000-13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tabColor rgb="FFFFFF00"/>
  </sheetPr>
  <dimension ref="A1:V39"/>
  <sheetViews>
    <sheetView showGridLines="0" zoomScale="80" zoomScaleNormal="80" workbookViewId="0">
      <selection activeCell="R18" sqref="R18"/>
    </sheetView>
  </sheetViews>
  <sheetFormatPr baseColWidth="10" defaultRowHeight="14.4" x14ac:dyDescent="0.3"/>
  <cols>
    <col min="1" max="1" width="6" customWidth="1"/>
    <col min="2" max="2" width="47.21875" customWidth="1"/>
    <col min="3" max="3" width="12.21875" customWidth="1"/>
    <col min="4" max="4" width="12.21875" style="540" hidden="1" customWidth="1"/>
    <col min="5" max="5" width="12.21875" style="540" customWidth="1"/>
    <col min="6" max="6" width="12.21875" hidden="1" customWidth="1"/>
    <col min="7" max="7" width="12.6640625" hidden="1" customWidth="1"/>
    <col min="8" max="8" width="12.6640625" style="540" customWidth="1"/>
    <col min="9" max="9" width="13.77734375" hidden="1" customWidth="1"/>
    <col min="10" max="10" width="11.6640625" customWidth="1"/>
    <col min="11" max="11" width="13.33203125" customWidth="1"/>
    <col min="12" max="12" width="12.21875" hidden="1" customWidth="1"/>
    <col min="13" max="13" width="12.21875" style="540" hidden="1" customWidth="1"/>
    <col min="14" max="14" width="13" hidden="1" customWidth="1"/>
    <col min="15" max="15" width="14.33203125" customWidth="1"/>
    <col min="16" max="16" width="9.6640625" customWidth="1"/>
  </cols>
  <sheetData>
    <row r="1" spans="1:15" x14ac:dyDescent="0.3">
      <c r="A1" s="88"/>
      <c r="B1" s="88" t="str">
        <f>+AMAZONAS!C1</f>
        <v>Vigencia: 01 de Octubre de 2022; 00:00 horas</v>
      </c>
    </row>
    <row r="2" spans="1:15" ht="15" thickBot="1" x14ac:dyDescent="0.35">
      <c r="A2" s="115" t="s">
        <v>162</v>
      </c>
      <c r="B2" s="115"/>
      <c r="G2" s="393"/>
      <c r="O2" s="413"/>
    </row>
    <row r="3" spans="1:15" ht="16.05" customHeight="1" thickTop="1" x14ac:dyDescent="0.3">
      <c r="A3" s="143"/>
      <c r="B3" s="144" t="s">
        <v>270</v>
      </c>
      <c r="C3" s="917" t="s">
        <v>163</v>
      </c>
      <c r="D3" s="918"/>
      <c r="E3" s="918"/>
      <c r="F3" s="918"/>
      <c r="G3" s="918"/>
      <c r="H3" s="918"/>
      <c r="I3" s="918"/>
      <c r="J3" s="919"/>
      <c r="K3" s="923" t="s">
        <v>232</v>
      </c>
      <c r="L3" s="924"/>
      <c r="M3" s="924"/>
      <c r="N3" s="924"/>
      <c r="O3" s="924"/>
    </row>
    <row r="4" spans="1:15" ht="27.3" customHeight="1" x14ac:dyDescent="0.3">
      <c r="A4" s="90"/>
      <c r="B4" s="603" t="s">
        <v>476</v>
      </c>
      <c r="C4" s="920"/>
      <c r="D4" s="921"/>
      <c r="E4" s="921"/>
      <c r="F4" s="921"/>
      <c r="G4" s="921"/>
      <c r="H4" s="921"/>
      <c r="I4" s="921"/>
      <c r="J4" s="922"/>
      <c r="K4" s="925"/>
      <c r="L4" s="926"/>
      <c r="M4" s="926"/>
      <c r="N4" s="926"/>
      <c r="O4" s="926"/>
    </row>
    <row r="5" spans="1:15" ht="31.2" customHeight="1" x14ac:dyDescent="0.3">
      <c r="A5" s="896" t="s">
        <v>164</v>
      </c>
      <c r="B5" s="898" t="s">
        <v>165</v>
      </c>
      <c r="C5" s="902" t="s">
        <v>223</v>
      </c>
      <c r="D5" s="749" t="s">
        <v>96</v>
      </c>
      <c r="E5" s="690" t="s">
        <v>96</v>
      </c>
      <c r="F5" s="516" t="s">
        <v>96</v>
      </c>
      <c r="G5" s="120" t="s">
        <v>485</v>
      </c>
      <c r="H5" s="724" t="s">
        <v>370</v>
      </c>
      <c r="I5" s="120" t="s">
        <v>448</v>
      </c>
      <c r="J5" s="120" t="s">
        <v>375</v>
      </c>
      <c r="K5" s="120" t="s">
        <v>96</v>
      </c>
      <c r="L5" s="516" t="s">
        <v>96</v>
      </c>
      <c r="M5" s="616" t="s">
        <v>485</v>
      </c>
      <c r="N5" s="221" t="str">
        <f>+I5</f>
        <v>Biodiesel B5</v>
      </c>
      <c r="O5" s="609" t="str">
        <f>+J5</f>
        <v>Biodiesel B10</v>
      </c>
    </row>
    <row r="6" spans="1:15" x14ac:dyDescent="0.3">
      <c r="A6" s="896"/>
      <c r="B6" s="898"/>
      <c r="C6" s="903"/>
      <c r="D6" s="480" t="s">
        <v>512</v>
      </c>
      <c r="E6" s="480" t="s">
        <v>488</v>
      </c>
      <c r="F6" s="480" t="s">
        <v>452</v>
      </c>
      <c r="G6" s="617">
        <v>0.1</v>
      </c>
      <c r="H6" s="322">
        <v>0.02</v>
      </c>
      <c r="I6" s="138">
        <v>0.05</v>
      </c>
      <c r="J6" s="322">
        <v>0.1</v>
      </c>
      <c r="K6" s="480" t="s">
        <v>488</v>
      </c>
      <c r="L6" s="480" t="s">
        <v>452</v>
      </c>
      <c r="M6" s="617">
        <v>0.1</v>
      </c>
      <c r="N6" s="121">
        <f>+I6</f>
        <v>0.05</v>
      </c>
      <c r="O6" s="121">
        <f>+J6</f>
        <v>0.1</v>
      </c>
    </row>
    <row r="7" spans="1:15" x14ac:dyDescent="0.3">
      <c r="A7" s="897"/>
      <c r="B7" s="899"/>
      <c r="C7" s="91" t="s">
        <v>166</v>
      </c>
      <c r="D7" s="749" t="s">
        <v>166</v>
      </c>
      <c r="E7" s="690" t="s">
        <v>166</v>
      </c>
      <c r="F7" s="516" t="s">
        <v>166</v>
      </c>
      <c r="G7" s="616" t="s">
        <v>166</v>
      </c>
      <c r="H7" s="724" t="s">
        <v>166</v>
      </c>
      <c r="I7" s="120" t="s">
        <v>166</v>
      </c>
      <c r="J7" s="611" t="s">
        <v>166</v>
      </c>
      <c r="K7" s="91" t="s">
        <v>166</v>
      </c>
      <c r="L7" s="515" t="s">
        <v>166</v>
      </c>
      <c r="M7" s="616" t="s">
        <v>166</v>
      </c>
      <c r="N7" s="221" t="s">
        <v>166</v>
      </c>
      <c r="O7" s="609" t="s">
        <v>166</v>
      </c>
    </row>
    <row r="8" spans="1:15" x14ac:dyDescent="0.3">
      <c r="A8" s="93" t="s">
        <v>167</v>
      </c>
      <c r="B8" s="99" t="s">
        <v>168</v>
      </c>
      <c r="C8" s="160">
        <f>+'Calculo IP ZDF'!B39</f>
        <v>5041.4749999999995</v>
      </c>
      <c r="D8" s="160">
        <f>+'Calculo IP ZDF'!G39</f>
        <v>5201.6097</v>
      </c>
      <c r="E8" s="160">
        <f>+'Calculo IP ZDF'!H39</f>
        <v>5361.7443999999987</v>
      </c>
      <c r="F8" s="160">
        <f>+'Calculo IP ZDF'!I39</f>
        <v>5441.8117499999989</v>
      </c>
      <c r="G8" s="678">
        <f>+'Calculo IP ZDF'!K39</f>
        <v>5842.1484999999993</v>
      </c>
      <c r="H8" s="160">
        <f>+'Calculo IP ZDF'!F39</f>
        <v>3592.6761999999999</v>
      </c>
      <c r="I8" s="168">
        <f>+'Calculo IP ZDF'!R39</f>
        <v>4102.5431525000004</v>
      </c>
      <c r="J8" s="167">
        <f>+'Calculo IP ZDF'!M39</f>
        <v>4952.3203550000007</v>
      </c>
      <c r="K8" s="145">
        <f>+'GAS CTE'!E9</f>
        <v>5573.9283999999998</v>
      </c>
      <c r="L8" s="145">
        <f>+'GAS CTE'!F9</f>
        <v>5651.7855</v>
      </c>
      <c r="M8" s="614">
        <f>+'GAS CTE'!I9</f>
        <v>6041.0709999999999</v>
      </c>
      <c r="N8" s="170">
        <f>+BIODIESEL!G9</f>
        <v>5413.0529999999999</v>
      </c>
      <c r="O8" s="167">
        <f>+BIODIESEL!H9</f>
        <v>6193.8560000000007</v>
      </c>
    </row>
    <row r="9" spans="1:15" x14ac:dyDescent="0.3">
      <c r="A9" s="93" t="s">
        <v>169</v>
      </c>
      <c r="B9" s="99" t="s">
        <v>170</v>
      </c>
      <c r="C9" s="146" t="str">
        <f t="shared" ref="C9" si="0">+G9</f>
        <v>------------------</v>
      </c>
      <c r="D9" s="147" t="s">
        <v>171</v>
      </c>
      <c r="E9" s="147" t="s">
        <v>171</v>
      </c>
      <c r="F9" s="147" t="s">
        <v>171</v>
      </c>
      <c r="G9" s="619" t="s">
        <v>171</v>
      </c>
      <c r="H9" s="147" t="s">
        <v>171</v>
      </c>
      <c r="I9" s="147" t="s">
        <v>171</v>
      </c>
      <c r="J9" s="532" t="s">
        <v>171</v>
      </c>
      <c r="K9" s="145">
        <f>+'GAS CTE'!E10</f>
        <v>562.79999999999995</v>
      </c>
      <c r="L9" s="145">
        <f>+'GAS CTE'!F10</f>
        <v>556.9375</v>
      </c>
      <c r="M9" s="614">
        <f>+'GAS CTE'!I10</f>
        <v>501.24375000000003</v>
      </c>
      <c r="N9" s="171">
        <f>+BIODIESEL!G10</f>
        <v>533.06399999999996</v>
      </c>
      <c r="O9" s="740">
        <f>+BIODIESEL!H10</f>
        <v>505.00800000000004</v>
      </c>
    </row>
    <row r="10" spans="1:15" x14ac:dyDescent="0.3">
      <c r="A10" s="93"/>
      <c r="B10" s="99" t="s">
        <v>129</v>
      </c>
      <c r="C10" s="146" t="str">
        <f>+G10</f>
        <v>------------------</v>
      </c>
      <c r="D10" s="147" t="s">
        <v>171</v>
      </c>
      <c r="E10" s="147" t="s">
        <v>171</v>
      </c>
      <c r="F10" s="147" t="s">
        <v>171</v>
      </c>
      <c r="G10" s="619" t="s">
        <v>171</v>
      </c>
      <c r="H10" s="147" t="s">
        <v>171</v>
      </c>
      <c r="I10" s="147" t="s">
        <v>171</v>
      </c>
      <c r="J10" s="532" t="s">
        <v>171</v>
      </c>
      <c r="K10" s="161" t="e">
        <f>+#REF!</f>
        <v>#REF!</v>
      </c>
      <c r="L10" s="161" t="s">
        <v>130</v>
      </c>
      <c r="M10" s="667" t="s">
        <v>130</v>
      </c>
      <c r="N10" s="171" t="str">
        <f>+BIODIESEL!H11</f>
        <v>(3)</v>
      </c>
      <c r="O10" s="740" t="str">
        <f>+BIODIESEL!I11</f>
        <v>(3)</v>
      </c>
    </row>
    <row r="11" spans="1:15" x14ac:dyDescent="0.3">
      <c r="A11" s="93"/>
      <c r="B11" s="99" t="s">
        <v>131</v>
      </c>
      <c r="C11" s="146" t="str">
        <f>+PUTUMAYO!C11</f>
        <v>(4)</v>
      </c>
      <c r="D11" s="146" t="s">
        <v>201</v>
      </c>
      <c r="E11" s="146" t="s">
        <v>201</v>
      </c>
      <c r="F11" s="146" t="str">
        <f>+C11</f>
        <v>(4)</v>
      </c>
      <c r="G11" s="626" t="s">
        <v>201</v>
      </c>
      <c r="H11" s="147" t="s">
        <v>201</v>
      </c>
      <c r="I11" s="147" t="str">
        <f>+C11</f>
        <v>(4)</v>
      </c>
      <c r="J11" s="532" t="str">
        <f>+F11</f>
        <v>(4)</v>
      </c>
      <c r="K11" s="145" t="str">
        <f>+C11</f>
        <v>(4)</v>
      </c>
      <c r="L11" s="145" t="s">
        <v>201</v>
      </c>
      <c r="M11" s="614" t="s">
        <v>201</v>
      </c>
      <c r="N11" s="167" t="str">
        <f>+C11</f>
        <v>(4)</v>
      </c>
      <c r="O11" s="167" t="str">
        <f>+F11</f>
        <v>(4)</v>
      </c>
    </row>
    <row r="12" spans="1:15" x14ac:dyDescent="0.3">
      <c r="A12" s="93" t="s">
        <v>172</v>
      </c>
      <c r="B12" s="99" t="s">
        <v>268</v>
      </c>
      <c r="C12" s="146" t="s">
        <v>200</v>
      </c>
      <c r="D12" s="146" t="s">
        <v>200</v>
      </c>
      <c r="E12" s="146" t="s">
        <v>200</v>
      </c>
      <c r="F12" s="146" t="s">
        <v>200</v>
      </c>
      <c r="G12" s="626" t="s">
        <v>200</v>
      </c>
      <c r="H12" s="97" t="s">
        <v>200</v>
      </c>
      <c r="I12" s="97" t="s">
        <v>200</v>
      </c>
      <c r="J12" s="156" t="s">
        <v>200</v>
      </c>
      <c r="K12" s="145" t="str">
        <f>+G12</f>
        <v>(2)</v>
      </c>
      <c r="L12" s="145" t="str">
        <f>+F12</f>
        <v>(2)</v>
      </c>
      <c r="M12" s="614" t="str">
        <f>+G12</f>
        <v>(2)</v>
      </c>
      <c r="N12" s="170" t="s">
        <v>200</v>
      </c>
      <c r="O12" s="167" t="s">
        <v>200</v>
      </c>
    </row>
    <row r="13" spans="1:15" x14ac:dyDescent="0.3">
      <c r="A13" s="93" t="s">
        <v>174</v>
      </c>
      <c r="B13" s="99" t="s">
        <v>175</v>
      </c>
      <c r="C13" s="146">
        <f>+RUBROS!AC19</f>
        <v>23.500029293035123</v>
      </c>
      <c r="D13" s="146">
        <f>+C13</f>
        <v>23.500029293035123</v>
      </c>
      <c r="E13" s="146">
        <f>+C13</f>
        <v>23.500029293035123</v>
      </c>
      <c r="F13" s="146">
        <f>+C13</f>
        <v>23.500029293035123</v>
      </c>
      <c r="G13" s="146">
        <f>+C13</f>
        <v>23.500029293035123</v>
      </c>
      <c r="H13" s="97">
        <f>+C13</f>
        <v>23.500029293035123</v>
      </c>
      <c r="I13" s="97">
        <f>+C13</f>
        <v>23.500029293035123</v>
      </c>
      <c r="J13" s="98">
        <f>+C13</f>
        <v>23.500029293035123</v>
      </c>
      <c r="K13" s="145">
        <f>+C13</f>
        <v>23.500029293035123</v>
      </c>
      <c r="L13" s="145">
        <f>+C13</f>
        <v>23.500029293035123</v>
      </c>
      <c r="M13" s="145">
        <f>+G13</f>
        <v>23.500029293035123</v>
      </c>
      <c r="N13" s="170">
        <f>+K13</f>
        <v>23.500029293035123</v>
      </c>
      <c r="O13" s="167">
        <f>+L13</f>
        <v>23.500029293035123</v>
      </c>
    </row>
    <row r="14" spans="1:15" x14ac:dyDescent="0.3">
      <c r="A14" s="93" t="s">
        <v>178</v>
      </c>
      <c r="B14" s="165" t="s">
        <v>179</v>
      </c>
      <c r="C14" s="146">
        <f>+RUBROS!AU41</f>
        <v>13.326421256197724</v>
      </c>
      <c r="D14" s="146">
        <f>+C14</f>
        <v>13.326421256197724</v>
      </c>
      <c r="E14" s="146">
        <f>+C14</f>
        <v>13.326421256197724</v>
      </c>
      <c r="F14" s="146">
        <f>+C14</f>
        <v>13.326421256197724</v>
      </c>
      <c r="G14" s="146">
        <f>+C14</f>
        <v>13.326421256197724</v>
      </c>
      <c r="H14" s="148">
        <f>+C14</f>
        <v>13.326421256197724</v>
      </c>
      <c r="I14" s="148">
        <f>+C14</f>
        <v>13.326421256197724</v>
      </c>
      <c r="J14" s="98">
        <f>+C14</f>
        <v>13.326421256197724</v>
      </c>
      <c r="K14" s="145">
        <f>+C14</f>
        <v>13.326421256197724</v>
      </c>
      <c r="L14" s="145">
        <f>+C14</f>
        <v>13.326421256197724</v>
      </c>
      <c r="M14" s="145">
        <f>+G14</f>
        <v>13.326421256197724</v>
      </c>
      <c r="N14" s="170">
        <f>+C14</f>
        <v>13.326421256197724</v>
      </c>
      <c r="O14" s="167">
        <f>+F14</f>
        <v>13.326421256197724</v>
      </c>
    </row>
    <row r="15" spans="1:15" hidden="1" x14ac:dyDescent="0.3">
      <c r="A15" s="93"/>
      <c r="B15" s="99" t="s">
        <v>180</v>
      </c>
      <c r="C15" s="146"/>
      <c r="D15" s="517"/>
      <c r="E15" s="517"/>
      <c r="F15" s="517"/>
      <c r="G15" s="517"/>
      <c r="H15" s="517"/>
      <c r="I15" s="150"/>
      <c r="J15" s="613"/>
      <c r="K15" s="528"/>
      <c r="L15" s="520"/>
      <c r="M15" s="520"/>
      <c r="N15" s="172"/>
      <c r="O15" s="172"/>
    </row>
    <row r="16" spans="1:15" x14ac:dyDescent="0.3">
      <c r="A16" s="100" t="s">
        <v>181</v>
      </c>
      <c r="B16" s="129" t="s">
        <v>182</v>
      </c>
      <c r="C16" s="151">
        <f>SUM(C8:C15)</f>
        <v>5078.3014505492329</v>
      </c>
      <c r="D16" s="151">
        <f>SUM(D8:D15)</f>
        <v>5238.4361505492334</v>
      </c>
      <c r="E16" s="151">
        <f>SUM(E8:E15)</f>
        <v>5398.5708505492321</v>
      </c>
      <c r="F16" s="152">
        <f t="shared" ref="F16:N16" si="1">SUM(F8:F15)</f>
        <v>5478.6382005492324</v>
      </c>
      <c r="G16" s="152">
        <f t="shared" si="1"/>
        <v>5878.9749505492327</v>
      </c>
      <c r="H16" s="152">
        <f t="shared" si="1"/>
        <v>3629.5026505492324</v>
      </c>
      <c r="I16" s="152">
        <f t="shared" si="1"/>
        <v>4139.3696030492338</v>
      </c>
      <c r="J16" s="152">
        <f t="shared" si="1"/>
        <v>4989.1468055492342</v>
      </c>
      <c r="K16" s="528" t="e">
        <f t="shared" si="1"/>
        <v>#REF!</v>
      </c>
      <c r="L16" s="154">
        <f t="shared" si="1"/>
        <v>6245.5494505492334</v>
      </c>
      <c r="M16" s="154">
        <f t="shared" si="1"/>
        <v>6579.141200549233</v>
      </c>
      <c r="N16" s="173">
        <f t="shared" si="1"/>
        <v>5982.9434505492336</v>
      </c>
      <c r="O16" s="173">
        <f t="shared" ref="O16" si="2">SUM(O8:O15)</f>
        <v>6735.6904505492339</v>
      </c>
    </row>
    <row r="17" spans="1:22" x14ac:dyDescent="0.3">
      <c r="A17" s="93" t="s">
        <v>183</v>
      </c>
      <c r="B17" s="99" t="s">
        <v>184</v>
      </c>
      <c r="C17" s="146" t="s">
        <v>214</v>
      </c>
      <c r="D17" s="146" t="s">
        <v>214</v>
      </c>
      <c r="E17" s="146" t="s">
        <v>214</v>
      </c>
      <c r="F17" s="518" t="str">
        <f>+C17</f>
        <v>***</v>
      </c>
      <c r="G17" s="518" t="str">
        <f>+C17</f>
        <v>***</v>
      </c>
      <c r="H17" s="518" t="str">
        <f>+E17</f>
        <v>***</v>
      </c>
      <c r="I17" s="155" t="str">
        <f>+C17</f>
        <v>***</v>
      </c>
      <c r="J17" s="155" t="str">
        <f>+F17</f>
        <v>***</v>
      </c>
      <c r="K17" s="521" t="str">
        <f>+N17</f>
        <v>***</v>
      </c>
      <c r="L17" s="521" t="str">
        <f>+C17</f>
        <v>***</v>
      </c>
      <c r="M17" s="521" t="str">
        <f t="shared" ref="M17:M19" si="3">+F17</f>
        <v>***</v>
      </c>
      <c r="N17" s="174" t="s">
        <v>214</v>
      </c>
      <c r="O17" s="174" t="s">
        <v>214</v>
      </c>
    </row>
    <row r="18" spans="1:22" x14ac:dyDescent="0.3">
      <c r="A18" s="93" t="s">
        <v>185</v>
      </c>
      <c r="B18" s="99" t="s">
        <v>186</v>
      </c>
      <c r="C18" s="146" t="str">
        <f t="shared" ref="C18:E19" si="4">+G18</f>
        <v>**</v>
      </c>
      <c r="D18" s="146" t="str">
        <f t="shared" si="4"/>
        <v>**</v>
      </c>
      <c r="E18" s="146" t="str">
        <f t="shared" si="4"/>
        <v>**</v>
      </c>
      <c r="F18" s="146" t="str">
        <f>+C18</f>
        <v>**</v>
      </c>
      <c r="G18" s="146" t="s">
        <v>212</v>
      </c>
      <c r="H18" s="146" t="s">
        <v>212</v>
      </c>
      <c r="I18" s="156" t="s">
        <v>212</v>
      </c>
      <c r="J18" s="156" t="s">
        <v>212</v>
      </c>
      <c r="K18" s="148" t="str">
        <f>+N18</f>
        <v>**</v>
      </c>
      <c r="L18" s="148" t="str">
        <f>+C18</f>
        <v>**</v>
      </c>
      <c r="M18" s="148" t="str">
        <f t="shared" si="3"/>
        <v>**</v>
      </c>
      <c r="N18" s="167" t="s">
        <v>212</v>
      </c>
      <c r="O18" s="167" t="s">
        <v>212</v>
      </c>
      <c r="R18" s="19"/>
    </row>
    <row r="19" spans="1:22" x14ac:dyDescent="0.3">
      <c r="A19" s="93" t="s">
        <v>187</v>
      </c>
      <c r="B19" s="99" t="s">
        <v>188</v>
      </c>
      <c r="C19" s="146" t="str">
        <f t="shared" si="4"/>
        <v>****</v>
      </c>
      <c r="D19" s="146" t="str">
        <f t="shared" si="4"/>
        <v>****</v>
      </c>
      <c r="E19" s="146" t="str">
        <f t="shared" si="4"/>
        <v>****</v>
      </c>
      <c r="F19" s="146" t="str">
        <f>+C19</f>
        <v>****</v>
      </c>
      <c r="G19" s="146" t="s">
        <v>216</v>
      </c>
      <c r="H19" s="146" t="s">
        <v>216</v>
      </c>
      <c r="I19" s="97" t="str">
        <f>+G19</f>
        <v>****</v>
      </c>
      <c r="J19" s="97" t="str">
        <f>+I19</f>
        <v>****</v>
      </c>
      <c r="K19" s="148" t="str">
        <f>+C19</f>
        <v>****</v>
      </c>
      <c r="L19" s="148" t="str">
        <f>+C19</f>
        <v>****</v>
      </c>
      <c r="M19" s="148" t="str">
        <f t="shared" si="3"/>
        <v>****</v>
      </c>
      <c r="N19" s="170" t="s">
        <v>216</v>
      </c>
      <c r="O19" s="170" t="s">
        <v>216</v>
      </c>
    </row>
    <row r="20" spans="1:22" x14ac:dyDescent="0.3">
      <c r="A20" s="100" t="s">
        <v>189</v>
      </c>
      <c r="B20" s="129" t="s">
        <v>190</v>
      </c>
      <c r="C20" s="151">
        <f t="shared" ref="C20:N20" si="5">+C16</f>
        <v>5078.3014505492329</v>
      </c>
      <c r="D20" s="151">
        <f t="shared" ref="D20:E20" si="6">+D16</f>
        <v>5238.4361505492334</v>
      </c>
      <c r="E20" s="151">
        <f t="shared" si="6"/>
        <v>5398.5708505492321</v>
      </c>
      <c r="F20" s="151">
        <f t="shared" si="5"/>
        <v>5478.6382005492324</v>
      </c>
      <c r="G20" s="151">
        <f t="shared" si="5"/>
        <v>5878.9749505492327</v>
      </c>
      <c r="H20" s="151">
        <f t="shared" ref="H20" si="7">+H16</f>
        <v>3629.5026505492324</v>
      </c>
      <c r="I20" s="151">
        <f t="shared" si="5"/>
        <v>4139.3696030492338</v>
      </c>
      <c r="J20" s="151">
        <f t="shared" si="5"/>
        <v>4989.1468055492342</v>
      </c>
      <c r="K20" s="151" t="e">
        <f t="shared" si="5"/>
        <v>#REF!</v>
      </c>
      <c r="L20" s="151">
        <f t="shared" si="5"/>
        <v>6245.5494505492334</v>
      </c>
      <c r="M20" s="151">
        <f t="shared" ref="M20" si="8">+M16</f>
        <v>6579.141200549233</v>
      </c>
      <c r="N20" s="169">
        <f t="shared" si="5"/>
        <v>5982.9434505492336</v>
      </c>
      <c r="O20" s="169">
        <f t="shared" ref="O20" si="9">+O16</f>
        <v>6735.6904505492339</v>
      </c>
      <c r="S20" s="19"/>
    </row>
    <row r="21" spans="1:22" x14ac:dyDescent="0.3">
      <c r="A21" s="93" t="s">
        <v>191</v>
      </c>
      <c r="B21" s="99" t="s">
        <v>150</v>
      </c>
      <c r="C21" s="146" t="s">
        <v>214</v>
      </c>
      <c r="D21" s="146" t="s">
        <v>214</v>
      </c>
      <c r="E21" s="146" t="s">
        <v>214</v>
      </c>
      <c r="F21" s="146" t="str">
        <f>+C21</f>
        <v>***</v>
      </c>
      <c r="G21" s="146" t="str">
        <f>+C21</f>
        <v>***</v>
      </c>
      <c r="H21" s="146" t="str">
        <f>+E21</f>
        <v>***</v>
      </c>
      <c r="I21" s="97" t="str">
        <f>+G21</f>
        <v>***</v>
      </c>
      <c r="J21" s="97" t="str">
        <f>+I21</f>
        <v>***</v>
      </c>
      <c r="K21" s="148" t="str">
        <f>+C21</f>
        <v>***</v>
      </c>
      <c r="L21" s="148" t="str">
        <f>+C21</f>
        <v>***</v>
      </c>
      <c r="M21" s="148" t="str">
        <f t="shared" ref="M21:M23" si="10">+F21</f>
        <v>***</v>
      </c>
      <c r="N21" s="170" t="s">
        <v>214</v>
      </c>
      <c r="O21" s="170" t="s">
        <v>214</v>
      </c>
    </row>
    <row r="22" spans="1:22" x14ac:dyDescent="0.3">
      <c r="A22" s="93" t="s">
        <v>192</v>
      </c>
      <c r="B22" s="94" t="s">
        <v>193</v>
      </c>
      <c r="C22" s="146" t="str">
        <f t="shared" ref="C22:E23" si="11">+G22</f>
        <v>*****</v>
      </c>
      <c r="D22" s="146" t="str">
        <f t="shared" si="11"/>
        <v>*****</v>
      </c>
      <c r="E22" s="146" t="str">
        <f t="shared" si="11"/>
        <v>N.A.</v>
      </c>
      <c r="F22" s="146" t="str">
        <f>+C22</f>
        <v>*****</v>
      </c>
      <c r="G22" s="146" t="s">
        <v>218</v>
      </c>
      <c r="H22" s="146" t="s">
        <v>218</v>
      </c>
      <c r="I22" s="97" t="s">
        <v>236</v>
      </c>
      <c r="J22" s="97" t="s">
        <v>236</v>
      </c>
      <c r="K22" s="148" t="str">
        <f>+C22</f>
        <v>*****</v>
      </c>
      <c r="L22" s="148" t="str">
        <f>+C22</f>
        <v>*****</v>
      </c>
      <c r="M22" s="148" t="str">
        <f t="shared" si="10"/>
        <v>*****</v>
      </c>
      <c r="N22" s="170" t="s">
        <v>237</v>
      </c>
      <c r="O22" s="170" t="s">
        <v>237</v>
      </c>
    </row>
    <row r="23" spans="1:22" x14ac:dyDescent="0.3">
      <c r="A23" s="93" t="s">
        <v>195</v>
      </c>
      <c r="B23" s="99" t="s">
        <v>272</v>
      </c>
      <c r="C23" s="146" t="str">
        <f t="shared" si="11"/>
        <v>******</v>
      </c>
      <c r="D23" s="146" t="str">
        <f t="shared" si="11"/>
        <v>******</v>
      </c>
      <c r="E23" s="146" t="str">
        <f t="shared" si="11"/>
        <v>******</v>
      </c>
      <c r="F23" s="146" t="str">
        <f>+C23</f>
        <v>******</v>
      </c>
      <c r="G23" s="146" t="s">
        <v>219</v>
      </c>
      <c r="H23" s="146" t="s">
        <v>219</v>
      </c>
      <c r="I23" s="156" t="str">
        <f>+G23</f>
        <v>******</v>
      </c>
      <c r="J23" s="156" t="str">
        <f>+I23</f>
        <v>******</v>
      </c>
      <c r="K23" s="148" t="str">
        <f>+J23</f>
        <v>******</v>
      </c>
      <c r="L23" s="148" t="str">
        <f>+C23</f>
        <v>******</v>
      </c>
      <c r="M23" s="148" t="str">
        <f t="shared" si="10"/>
        <v>******</v>
      </c>
      <c r="N23" s="167" t="str">
        <f>+K23</f>
        <v>******</v>
      </c>
      <c r="O23" s="167" t="str">
        <f>+L23</f>
        <v>******</v>
      </c>
    </row>
    <row r="24" spans="1:22" ht="15" thickBot="1" x14ac:dyDescent="0.35">
      <c r="A24" s="104" t="s">
        <v>197</v>
      </c>
      <c r="B24" s="105" t="s">
        <v>198</v>
      </c>
      <c r="C24" s="157"/>
      <c r="D24" s="157"/>
      <c r="E24" s="157"/>
      <c r="F24" s="157"/>
      <c r="G24" s="157"/>
      <c r="H24" s="157"/>
      <c r="I24" s="158"/>
      <c r="J24" s="107"/>
      <c r="K24" s="158"/>
      <c r="L24" s="158"/>
      <c r="M24" s="158"/>
      <c r="N24" s="175"/>
      <c r="O24" s="175"/>
    </row>
    <row r="25" spans="1:22" ht="15" thickTop="1" x14ac:dyDescent="0.3"/>
    <row r="26" spans="1:22" x14ac:dyDescent="0.3">
      <c r="A26" s="112"/>
      <c r="B26" s="210" t="s">
        <v>210</v>
      </c>
      <c r="C26" s="162"/>
      <c r="D26" s="162"/>
      <c r="E26" s="162"/>
      <c r="F26" s="162"/>
      <c r="G26" s="162"/>
      <c r="H26" s="162"/>
      <c r="I26" s="162"/>
      <c r="J26" s="162"/>
      <c r="K26" s="142"/>
      <c r="L26" s="142"/>
      <c r="M26" s="142"/>
      <c r="N26" s="142"/>
      <c r="O26" s="142"/>
      <c r="P26" s="142"/>
      <c r="Q26" s="142"/>
      <c r="R26" s="142"/>
      <c r="T26" s="142"/>
      <c r="U26" s="142"/>
      <c r="V26" s="142"/>
    </row>
    <row r="27" spans="1:22" x14ac:dyDescent="0.3">
      <c r="A27" s="112"/>
      <c r="B27" s="133"/>
      <c r="C27" s="162"/>
      <c r="D27" s="162"/>
      <c r="E27" s="162"/>
      <c r="F27" s="162"/>
      <c r="G27" s="162"/>
      <c r="H27" s="162"/>
      <c r="I27" s="162"/>
      <c r="J27" s="162"/>
      <c r="K27" s="142"/>
      <c r="L27" s="142"/>
      <c r="M27" s="142"/>
      <c r="N27" s="142"/>
      <c r="O27" s="142"/>
      <c r="P27" s="142"/>
      <c r="Q27" s="142"/>
      <c r="R27" s="142"/>
      <c r="S27" s="142"/>
      <c r="T27" s="142"/>
      <c r="U27" s="142"/>
      <c r="V27" s="142"/>
    </row>
    <row r="28" spans="1:22" ht="55.5" customHeight="1" x14ac:dyDescent="0.3">
      <c r="A28" s="112" t="s">
        <v>173</v>
      </c>
      <c r="B28" s="915" t="str">
        <f>+AMAZONAS!B29</f>
        <v>De acuerdo con lo establecido en la Resoluccion 91349 de 2014 del MME para combustible de origen nacional o importado a ser distribuido en zonas de frontera, aplica la tarifa de marcación o remarcación vigente a la fecha según corresponda</v>
      </c>
      <c r="C28" s="915"/>
      <c r="D28" s="915"/>
      <c r="E28" s="915"/>
      <c r="F28" s="915"/>
      <c r="G28" s="915"/>
      <c r="H28" s="915"/>
      <c r="I28" s="915"/>
      <c r="J28" s="915"/>
      <c r="K28" s="915"/>
      <c r="L28" s="915"/>
      <c r="M28" s="915"/>
      <c r="N28" s="915"/>
      <c r="O28" s="915"/>
      <c r="P28" s="915"/>
      <c r="Q28" s="163"/>
      <c r="R28" s="163"/>
      <c r="S28" s="163"/>
      <c r="T28" s="163"/>
      <c r="U28" s="163"/>
      <c r="V28" s="163"/>
    </row>
    <row r="29" spans="1:22" ht="26.4" customHeight="1" x14ac:dyDescent="0.3">
      <c r="A29" s="112" t="s">
        <v>200</v>
      </c>
      <c r="B29" s="893" t="s">
        <v>251</v>
      </c>
      <c r="C29" s="893"/>
      <c r="D29" s="893"/>
      <c r="E29" s="893"/>
      <c r="F29" s="893"/>
      <c r="G29" s="893"/>
      <c r="H29" s="893"/>
      <c r="I29" s="893"/>
      <c r="J29" s="893"/>
      <c r="K29" s="893"/>
      <c r="L29" s="893"/>
      <c r="M29" s="893"/>
      <c r="N29" s="893"/>
      <c r="O29" s="893"/>
      <c r="P29" s="893"/>
      <c r="Q29" s="142"/>
      <c r="R29" s="142"/>
      <c r="S29" s="142"/>
      <c r="T29" s="142"/>
      <c r="U29" s="142"/>
      <c r="V29" s="142"/>
    </row>
    <row r="30" spans="1:22" ht="54.75" customHeight="1" x14ac:dyDescent="0.3">
      <c r="A30" s="112" t="s">
        <v>130</v>
      </c>
      <c r="B30" s="915" t="s">
        <v>307</v>
      </c>
      <c r="C30" s="915"/>
      <c r="D30" s="915"/>
      <c r="E30" s="915"/>
      <c r="F30" s="915"/>
      <c r="G30" s="915"/>
      <c r="H30" s="915"/>
      <c r="I30" s="915"/>
      <c r="J30" s="915"/>
      <c r="K30" s="915"/>
      <c r="L30" s="915"/>
      <c r="M30" s="915"/>
      <c r="N30" s="915"/>
      <c r="O30" s="915"/>
      <c r="P30" s="915"/>
      <c r="Q30" s="142"/>
      <c r="R30" s="142"/>
      <c r="S30" s="142"/>
      <c r="T30" s="142"/>
      <c r="U30" s="142"/>
      <c r="V30" s="142"/>
    </row>
    <row r="31" spans="1:22" ht="54.75" customHeight="1" x14ac:dyDescent="0.3">
      <c r="A31" s="112" t="s">
        <v>201</v>
      </c>
      <c r="B31" s="914" t="s">
        <v>376</v>
      </c>
      <c r="C31" s="914"/>
      <c r="D31" s="914"/>
      <c r="E31" s="914"/>
      <c r="F31" s="914"/>
      <c r="G31" s="914"/>
      <c r="H31" s="914"/>
      <c r="I31" s="914"/>
      <c r="J31" s="914"/>
      <c r="K31" s="914"/>
      <c r="L31" s="914"/>
      <c r="M31" s="914"/>
      <c r="N31" s="914"/>
      <c r="O31" s="914"/>
      <c r="P31" s="914"/>
      <c r="Q31" s="142"/>
      <c r="R31" s="142"/>
      <c r="S31" s="142"/>
      <c r="T31" s="142"/>
      <c r="U31" s="142"/>
      <c r="V31" s="142"/>
    </row>
    <row r="32" spans="1:22" ht="15" customHeight="1" x14ac:dyDescent="0.3">
      <c r="A32" s="134" t="s">
        <v>102</v>
      </c>
      <c r="B32" s="892" t="s">
        <v>211</v>
      </c>
      <c r="C32" s="892"/>
      <c r="D32" s="892"/>
      <c r="E32" s="892"/>
      <c r="F32" s="892"/>
      <c r="G32" s="892"/>
      <c r="H32" s="892"/>
      <c r="I32" s="892"/>
      <c r="J32" s="892"/>
      <c r="K32" s="892"/>
      <c r="L32" s="892"/>
      <c r="M32" s="892"/>
      <c r="N32" s="892"/>
      <c r="O32" s="892"/>
      <c r="P32" s="892"/>
      <c r="Q32" s="142"/>
      <c r="R32" s="142"/>
      <c r="S32" s="142"/>
      <c r="T32" s="142"/>
      <c r="U32" s="142"/>
      <c r="V32" s="142"/>
    </row>
    <row r="33" spans="1:22" ht="15" customHeight="1" x14ac:dyDescent="0.3">
      <c r="A33" s="134" t="s">
        <v>212</v>
      </c>
      <c r="B33" s="915" t="s">
        <v>271</v>
      </c>
      <c r="C33" s="915"/>
      <c r="D33" s="915"/>
      <c r="E33" s="915"/>
      <c r="F33" s="915"/>
      <c r="G33" s="915"/>
      <c r="H33" s="915"/>
      <c r="I33" s="915"/>
      <c r="J33" s="915"/>
      <c r="K33" s="915"/>
      <c r="L33" s="915"/>
      <c r="M33" s="915"/>
      <c r="N33" s="915"/>
      <c r="O33" s="915"/>
      <c r="P33" s="915"/>
      <c r="Q33" s="142"/>
      <c r="R33" s="142"/>
      <c r="S33" s="142"/>
      <c r="T33" s="142"/>
      <c r="U33" s="142"/>
      <c r="V33" s="142"/>
    </row>
    <row r="34" spans="1:22" ht="15" customHeight="1" x14ac:dyDescent="0.3">
      <c r="A34" s="112" t="s">
        <v>214</v>
      </c>
      <c r="B34" s="915" t="s">
        <v>215</v>
      </c>
      <c r="C34" s="915"/>
      <c r="D34" s="915"/>
      <c r="E34" s="915"/>
      <c r="F34" s="915"/>
      <c r="G34" s="915"/>
      <c r="H34" s="915"/>
      <c r="I34" s="915"/>
      <c r="J34" s="915"/>
      <c r="K34" s="915"/>
      <c r="L34" s="915"/>
      <c r="M34" s="915"/>
      <c r="N34" s="915"/>
      <c r="O34" s="112"/>
      <c r="P34" s="892"/>
      <c r="Q34" s="892"/>
      <c r="R34" s="892"/>
      <c r="S34" s="892"/>
      <c r="T34" s="892"/>
      <c r="U34" s="892"/>
      <c r="V34" s="892"/>
    </row>
    <row r="35" spans="1:22" ht="15" customHeight="1" x14ac:dyDescent="0.3">
      <c r="A35" s="112" t="s">
        <v>216</v>
      </c>
      <c r="B35" s="892" t="s">
        <v>429</v>
      </c>
      <c r="C35" s="892"/>
      <c r="D35" s="892"/>
      <c r="E35" s="892"/>
      <c r="F35" s="892"/>
      <c r="G35" s="892"/>
      <c r="H35" s="892"/>
      <c r="I35" s="892"/>
      <c r="J35" s="892"/>
      <c r="K35" s="892"/>
      <c r="L35" s="892"/>
      <c r="M35" s="892"/>
      <c r="N35" s="892"/>
      <c r="O35" s="112"/>
      <c r="P35" s="219"/>
      <c r="Q35" s="219"/>
      <c r="R35" s="219"/>
      <c r="S35" s="219"/>
      <c r="T35" s="219"/>
      <c r="U35" s="219"/>
      <c r="V35" s="219"/>
    </row>
    <row r="36" spans="1:22" ht="26.4" customHeight="1" x14ac:dyDescent="0.3">
      <c r="A36" s="134" t="s">
        <v>218</v>
      </c>
      <c r="B36" s="915" t="s">
        <v>220</v>
      </c>
      <c r="C36" s="915"/>
      <c r="D36" s="915"/>
      <c r="E36" s="915"/>
      <c r="F36" s="915"/>
      <c r="G36" s="915"/>
      <c r="H36" s="915"/>
      <c r="I36" s="915"/>
      <c r="J36" s="915"/>
      <c r="K36" s="915"/>
      <c r="L36" s="915"/>
      <c r="M36" s="915"/>
      <c r="N36" s="915"/>
      <c r="O36" s="915"/>
      <c r="P36" s="915"/>
      <c r="Q36" s="142"/>
      <c r="R36" s="142"/>
      <c r="S36" s="142"/>
      <c r="T36" s="142"/>
      <c r="U36" s="142"/>
      <c r="V36" s="142"/>
    </row>
    <row r="37" spans="1:22" ht="27.6" x14ac:dyDescent="0.3">
      <c r="A37" s="134" t="s">
        <v>219</v>
      </c>
      <c r="B37" s="915" t="s">
        <v>273</v>
      </c>
      <c r="C37" s="915"/>
      <c r="D37" s="915"/>
      <c r="E37" s="915"/>
      <c r="F37" s="915"/>
      <c r="G37" s="915"/>
      <c r="H37" s="915"/>
      <c r="I37" s="915"/>
      <c r="J37" s="915"/>
      <c r="K37" s="915"/>
      <c r="L37" s="915"/>
      <c r="M37" s="915"/>
      <c r="N37" s="915"/>
      <c r="O37" s="915"/>
      <c r="P37" s="915"/>
      <c r="Q37" s="142"/>
      <c r="R37" s="142"/>
      <c r="S37" s="142"/>
      <c r="T37" s="142"/>
      <c r="U37" s="142"/>
      <c r="V37" s="142"/>
    </row>
    <row r="38" spans="1:22" x14ac:dyDescent="0.3">
      <c r="B38" s="960" t="s">
        <v>418</v>
      </c>
      <c r="C38" s="960"/>
      <c r="D38" s="960"/>
      <c r="E38" s="960"/>
      <c r="F38" s="960"/>
      <c r="G38" s="960"/>
      <c r="H38" s="960"/>
      <c r="I38" s="960"/>
      <c r="J38" s="960"/>
      <c r="K38" s="960"/>
      <c r="L38" s="960"/>
      <c r="M38" s="960"/>
      <c r="N38" s="960"/>
      <c r="O38" s="960"/>
    </row>
    <row r="39" spans="1:22" ht="88.05" customHeight="1" x14ac:dyDescent="0.3">
      <c r="B39" s="895" t="s">
        <v>137</v>
      </c>
      <c r="C39" s="895"/>
      <c r="D39" s="895"/>
      <c r="E39" s="895"/>
      <c r="F39" s="895"/>
      <c r="G39" s="895"/>
      <c r="H39" s="895"/>
      <c r="I39" s="895"/>
      <c r="J39" s="895"/>
      <c r="K39" s="895"/>
      <c r="L39" s="895"/>
      <c r="M39" s="895"/>
      <c r="N39" s="895"/>
      <c r="O39" s="895"/>
      <c r="P39" s="895"/>
      <c r="Q39" s="895"/>
    </row>
  </sheetData>
  <sheetProtection algorithmName="SHA-512" hashValue="kmQ0ejdPo5vy4uwTEIqPiL/fnM3l460vuuYyyGx3So+r9vePAFwaEcpf6a6aEUrBduMj1QiZYZGizK+1JVseKQ==" saltValue="QjR7qr/EU1iBJ6P6Uri3FQ==" spinCount="100000" sheet="1" objects="1" scenarios="1"/>
  <mergeCells count="18">
    <mergeCell ref="B28:P28"/>
    <mergeCell ref="C3:J4"/>
    <mergeCell ref="A5:A7"/>
    <mergeCell ref="B5:B7"/>
    <mergeCell ref="C5:C6"/>
    <mergeCell ref="K3:O4"/>
    <mergeCell ref="B35:N35"/>
    <mergeCell ref="B36:P36"/>
    <mergeCell ref="B37:P37"/>
    <mergeCell ref="B39:Q39"/>
    <mergeCell ref="B29:P29"/>
    <mergeCell ref="B30:P30"/>
    <mergeCell ref="B32:P32"/>
    <mergeCell ref="B33:P33"/>
    <mergeCell ref="B34:N34"/>
    <mergeCell ref="P34:V34"/>
    <mergeCell ref="B31:P31"/>
    <mergeCell ref="B38:O38"/>
  </mergeCells>
  <hyperlinks>
    <hyperlink ref="B26" location="VAUPES!A40" display="Ver Nota Informativa" xr:uid="{00000000-0004-0000-1400-000000000000}"/>
  </hyperlinks>
  <pageMargins left="0.7" right="0.7" top="0.75" bottom="0.75" header="0.3" footer="0.3"/>
  <pageSetup orientation="portrait" r:id="rId1"/>
  <ignoredErrors>
    <ignoredError sqref="I20 I16 K13" formula="1"/>
    <ignoredError sqref="I12 N1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W65"/>
  <sheetViews>
    <sheetView showGridLines="0" zoomScale="80" zoomScaleNormal="80" workbookViewId="0">
      <selection activeCell="S11" sqref="S11"/>
    </sheetView>
  </sheetViews>
  <sheetFormatPr baseColWidth="10" defaultRowHeight="14.4" x14ac:dyDescent="0.3"/>
  <cols>
    <col min="1" max="1" width="7.6640625" customWidth="1"/>
    <col min="2" max="2" width="47.21875" customWidth="1"/>
    <col min="3" max="3" width="12.21875" customWidth="1"/>
    <col min="4" max="4" width="13.77734375" style="540" hidden="1" customWidth="1"/>
    <col min="5" max="5" width="13.77734375" style="540" customWidth="1"/>
    <col min="6" max="7" width="13.77734375" hidden="1" customWidth="1"/>
    <col min="8" max="8" width="13.77734375" style="540" customWidth="1"/>
    <col min="9" max="9" width="13.21875" hidden="1" customWidth="1"/>
    <col min="10" max="10" width="14" customWidth="1"/>
    <col min="11" max="11" width="13.33203125" hidden="1" customWidth="1"/>
    <col min="12" max="12" width="14" style="540" customWidth="1"/>
    <col min="13" max="13" width="14" hidden="1" customWidth="1"/>
    <col min="14" max="14" width="14" style="540" hidden="1" customWidth="1"/>
    <col min="15" max="15" width="17.21875" hidden="1" customWidth="1"/>
    <col min="16" max="16" width="14" customWidth="1"/>
    <col min="17" max="17" width="15.21875" customWidth="1"/>
  </cols>
  <sheetData>
    <row r="1" spans="1:16" x14ac:dyDescent="0.3">
      <c r="A1" s="88"/>
      <c r="B1" s="88" t="str">
        <f>+AMAZONAS!C1</f>
        <v>Vigencia: 01 de Octubre de 2022; 00:00 horas</v>
      </c>
    </row>
    <row r="2" spans="1:16" ht="15" thickBot="1" x14ac:dyDescent="0.35">
      <c r="A2" s="115" t="s">
        <v>162</v>
      </c>
      <c r="B2" s="115"/>
      <c r="H2" s="466"/>
    </row>
    <row r="3" spans="1:16" ht="16.05" customHeight="1" thickTop="1" x14ac:dyDescent="0.3">
      <c r="A3" s="143"/>
      <c r="B3" s="144" t="s">
        <v>474</v>
      </c>
      <c r="C3" s="917" t="s">
        <v>163</v>
      </c>
      <c r="D3" s="918"/>
      <c r="E3" s="918"/>
      <c r="F3" s="918"/>
      <c r="G3" s="918"/>
      <c r="H3" s="918"/>
      <c r="I3" s="918"/>
      <c r="J3" s="919"/>
      <c r="K3" s="923" t="s">
        <v>232</v>
      </c>
      <c r="L3" s="924"/>
      <c r="M3" s="924"/>
      <c r="N3" s="924"/>
      <c r="O3" s="924"/>
      <c r="P3" s="924"/>
    </row>
    <row r="4" spans="1:16" ht="24.45" customHeight="1" x14ac:dyDescent="0.3">
      <c r="A4" s="90"/>
      <c r="B4" s="603" t="s">
        <v>476</v>
      </c>
      <c r="C4" s="920"/>
      <c r="D4" s="921"/>
      <c r="E4" s="921"/>
      <c r="F4" s="921"/>
      <c r="G4" s="921"/>
      <c r="H4" s="921"/>
      <c r="I4" s="921"/>
      <c r="J4" s="922"/>
      <c r="K4" s="925"/>
      <c r="L4" s="926"/>
      <c r="M4" s="926"/>
      <c r="N4" s="926"/>
      <c r="O4" s="926"/>
      <c r="P4" s="926"/>
    </row>
    <row r="5" spans="1:16" ht="22.8" customHeight="1" x14ac:dyDescent="0.3">
      <c r="A5" s="896" t="s">
        <v>164</v>
      </c>
      <c r="B5" s="898" t="s">
        <v>165</v>
      </c>
      <c r="C5" s="902" t="s">
        <v>223</v>
      </c>
      <c r="D5" s="749" t="s">
        <v>96</v>
      </c>
      <c r="E5" s="690" t="s">
        <v>96</v>
      </c>
      <c r="F5" s="516" t="s">
        <v>96</v>
      </c>
      <c r="G5" s="282" t="s">
        <v>485</v>
      </c>
      <c r="H5" s="724" t="s">
        <v>370</v>
      </c>
      <c r="I5" s="282" t="s">
        <v>448</v>
      </c>
      <c r="J5" s="282" t="s">
        <v>375</v>
      </c>
      <c r="K5" s="282" t="s">
        <v>96</v>
      </c>
      <c r="L5" s="690" t="s">
        <v>96</v>
      </c>
      <c r="M5" s="516" t="s">
        <v>96</v>
      </c>
      <c r="N5" s="616" t="s">
        <v>485</v>
      </c>
      <c r="O5" s="280" t="str">
        <f>+I5</f>
        <v>Biodiesel B5</v>
      </c>
      <c r="P5" s="611" t="s">
        <v>375</v>
      </c>
    </row>
    <row r="6" spans="1:16" ht="20.399999999999999" customHeight="1" x14ac:dyDescent="0.3">
      <c r="A6" s="896"/>
      <c r="B6" s="898"/>
      <c r="C6" s="903"/>
      <c r="D6" s="480" t="s">
        <v>512</v>
      </c>
      <c r="E6" s="480" t="s">
        <v>488</v>
      </c>
      <c r="F6" s="480" t="s">
        <v>452</v>
      </c>
      <c r="G6" s="617">
        <v>0.1</v>
      </c>
      <c r="H6" s="322">
        <v>0.02</v>
      </c>
      <c r="I6" s="138">
        <v>0.05</v>
      </c>
      <c r="J6" s="322">
        <v>0.1</v>
      </c>
      <c r="K6" s="460">
        <f>+G6</f>
        <v>0.1</v>
      </c>
      <c r="L6" s="480" t="s">
        <v>488</v>
      </c>
      <c r="M6" s="480" t="s">
        <v>452</v>
      </c>
      <c r="N6" s="617">
        <v>0.1</v>
      </c>
      <c r="O6" s="121">
        <f>+I6</f>
        <v>0.05</v>
      </c>
      <c r="P6" s="322">
        <v>0.1</v>
      </c>
    </row>
    <row r="7" spans="1:16" x14ac:dyDescent="0.3">
      <c r="A7" s="897"/>
      <c r="B7" s="899"/>
      <c r="C7" s="281" t="s">
        <v>166</v>
      </c>
      <c r="D7" s="749" t="s">
        <v>166</v>
      </c>
      <c r="E7" s="690" t="s">
        <v>166</v>
      </c>
      <c r="F7" s="516" t="s">
        <v>166</v>
      </c>
      <c r="G7" s="282" t="s">
        <v>166</v>
      </c>
      <c r="H7" s="724" t="s">
        <v>166</v>
      </c>
      <c r="I7" s="282" t="s">
        <v>166</v>
      </c>
      <c r="J7" s="282" t="s">
        <v>166</v>
      </c>
      <c r="K7" s="281" t="s">
        <v>166</v>
      </c>
      <c r="L7" s="689" t="s">
        <v>166</v>
      </c>
      <c r="M7" s="515" t="s">
        <v>166</v>
      </c>
      <c r="N7" s="616" t="s">
        <v>166</v>
      </c>
      <c r="O7" s="280" t="s">
        <v>166</v>
      </c>
      <c r="P7" s="611" t="s">
        <v>166</v>
      </c>
    </row>
    <row r="8" spans="1:16" x14ac:dyDescent="0.3">
      <c r="A8" s="93" t="s">
        <v>167</v>
      </c>
      <c r="B8" s="99" t="s">
        <v>168</v>
      </c>
      <c r="C8" s="160">
        <f>+'Calculo IP ZDF'!B40</f>
        <v>4941.4874999999993</v>
      </c>
      <c r="D8" s="160">
        <f>+'Calculo IP ZDF'!G40</f>
        <v>5103.6219499999997</v>
      </c>
      <c r="E8" s="160">
        <f>+'Calculo IP ZDF'!H40</f>
        <v>5265.7563999999993</v>
      </c>
      <c r="F8" s="160">
        <f>+'Calculo IP ZDF'!I40</f>
        <v>5346.8236249999991</v>
      </c>
      <c r="G8" s="678">
        <f>+'Calculo IP ZDF'!K40</f>
        <v>5752.1597499999998</v>
      </c>
      <c r="H8" s="160">
        <f>+'Calculo IP ZDF'!F40</f>
        <v>3426.5272879999998</v>
      </c>
      <c r="I8" s="168">
        <f>+'Calculo IP ZDF'!R40</f>
        <v>3941.4798199999996</v>
      </c>
      <c r="J8" s="167">
        <f>+'Calculo IP ZDF'!M40</f>
        <v>4799.7340399999994</v>
      </c>
      <c r="K8" s="533">
        <f>+'GAS CTE'!F9</f>
        <v>5651.7855</v>
      </c>
      <c r="L8" s="145">
        <f>+'GAS CTE'!E9</f>
        <v>5573.9283999999998</v>
      </c>
      <c r="M8" s="145">
        <f>+'GAS CTE'!F9</f>
        <v>5651.7855</v>
      </c>
      <c r="N8" s="145">
        <f>+'GAS CTE'!I9</f>
        <v>6041.0709999999999</v>
      </c>
      <c r="O8" s="167">
        <f>+BIODIESEL!G9</f>
        <v>5413.0529999999999</v>
      </c>
      <c r="P8" s="167">
        <f>+BIODIESEL!H9</f>
        <v>6193.8560000000007</v>
      </c>
    </row>
    <row r="9" spans="1:16" x14ac:dyDescent="0.3">
      <c r="A9" s="93" t="s">
        <v>169</v>
      </c>
      <c r="B9" s="99" t="s">
        <v>170</v>
      </c>
      <c r="C9" s="146" t="str">
        <f t="shared" ref="C9" si="0">+G9</f>
        <v>------------------</v>
      </c>
      <c r="D9" s="532" t="s">
        <v>171</v>
      </c>
      <c r="E9" s="532" t="s">
        <v>171</v>
      </c>
      <c r="F9" s="532" t="s">
        <v>171</v>
      </c>
      <c r="G9" s="619" t="s">
        <v>171</v>
      </c>
      <c r="H9" s="147" t="s">
        <v>171</v>
      </c>
      <c r="I9" s="147" t="s">
        <v>171</v>
      </c>
      <c r="J9" s="98" t="s">
        <v>171</v>
      </c>
      <c r="K9" s="533">
        <f>+'GAS CTE'!F10</f>
        <v>556.9375</v>
      </c>
      <c r="L9" s="145">
        <f>+'GAS CTE'!E10</f>
        <v>562.79999999999995</v>
      </c>
      <c r="M9" s="145">
        <f>+'GAS CTE'!F10</f>
        <v>556.9375</v>
      </c>
      <c r="N9" s="145">
        <f>+'GAS CTE'!I10</f>
        <v>501.24375000000003</v>
      </c>
      <c r="O9" s="740">
        <f>+BIODIESEL!G10</f>
        <v>533.06399999999996</v>
      </c>
      <c r="P9" s="740">
        <f>+BIODIESEL!H10</f>
        <v>505.00800000000004</v>
      </c>
    </row>
    <row r="10" spans="1:16" x14ac:dyDescent="0.3">
      <c r="A10" s="93"/>
      <c r="B10" s="99" t="s">
        <v>129</v>
      </c>
      <c r="C10" s="146" t="str">
        <f>+G10</f>
        <v>------------------</v>
      </c>
      <c r="D10" s="532" t="s">
        <v>171</v>
      </c>
      <c r="E10" s="532" t="s">
        <v>171</v>
      </c>
      <c r="F10" s="532" t="s">
        <v>171</v>
      </c>
      <c r="G10" s="619" t="s">
        <v>171</v>
      </c>
      <c r="H10" s="147" t="s">
        <v>171</v>
      </c>
      <c r="I10" s="147" t="s">
        <v>171</v>
      </c>
      <c r="J10" s="98" t="s">
        <v>171</v>
      </c>
      <c r="K10" s="534" t="e">
        <f>+#REF!</f>
        <v>#REF!</v>
      </c>
      <c r="L10" s="771" t="s">
        <v>130</v>
      </c>
      <c r="M10" s="771" t="s">
        <v>130</v>
      </c>
      <c r="N10" s="771" t="s">
        <v>130</v>
      </c>
      <c r="O10" s="774" t="str">
        <f>+BIODIESEL!H11</f>
        <v>(3)</v>
      </c>
      <c r="P10" s="774" t="str">
        <f>+BIODIESEL!I11</f>
        <v>(3)</v>
      </c>
    </row>
    <row r="11" spans="1:16" x14ac:dyDescent="0.3">
      <c r="A11" s="93"/>
      <c r="B11" s="99" t="s">
        <v>131</v>
      </c>
      <c r="C11" s="146" t="s">
        <v>201</v>
      </c>
      <c r="D11" s="146" t="s">
        <v>201</v>
      </c>
      <c r="E11" s="146" t="s">
        <v>201</v>
      </c>
      <c r="F11" s="146" t="s">
        <v>201</v>
      </c>
      <c r="G11" s="626" t="str">
        <f>+C11</f>
        <v>(4)</v>
      </c>
      <c r="H11" s="147" t="s">
        <v>201</v>
      </c>
      <c r="I11" s="147" t="str">
        <f>+C11</f>
        <v>(4)</v>
      </c>
      <c r="J11" s="98" t="str">
        <f>+C11</f>
        <v>(4)</v>
      </c>
      <c r="K11" s="533" t="str">
        <f>+C11</f>
        <v>(4)</v>
      </c>
      <c r="L11" s="772" t="s">
        <v>201</v>
      </c>
      <c r="M11" s="772" t="str">
        <f>+C11</f>
        <v>(4)</v>
      </c>
      <c r="N11" s="772" t="str">
        <f>+F11</f>
        <v>(4)</v>
      </c>
      <c r="O11" s="773" t="str">
        <f>+C11</f>
        <v>(4)</v>
      </c>
      <c r="P11" s="773" t="str">
        <f>+F11</f>
        <v>(4)</v>
      </c>
    </row>
    <row r="12" spans="1:16" x14ac:dyDescent="0.3">
      <c r="A12" s="93" t="s">
        <v>172</v>
      </c>
      <c r="B12" s="99" t="s">
        <v>268</v>
      </c>
      <c r="C12" s="146" t="s">
        <v>200</v>
      </c>
      <c r="D12" s="146" t="s">
        <v>200</v>
      </c>
      <c r="E12" s="146" t="s">
        <v>200</v>
      </c>
      <c r="F12" s="146" t="s">
        <v>200</v>
      </c>
      <c r="G12" s="626" t="s">
        <v>200</v>
      </c>
      <c r="H12" s="97" t="s">
        <v>200</v>
      </c>
      <c r="I12" s="97" t="s">
        <v>200</v>
      </c>
      <c r="J12" s="98" t="s">
        <v>200</v>
      </c>
      <c r="K12" s="533" t="str">
        <f>+J12</f>
        <v>(2)</v>
      </c>
      <c r="L12" s="772" t="s">
        <v>200</v>
      </c>
      <c r="M12" s="772" t="str">
        <f>+C12</f>
        <v>(2)</v>
      </c>
      <c r="N12" s="772" t="str">
        <f>+F12</f>
        <v>(2)</v>
      </c>
      <c r="O12" s="773" t="s">
        <v>200</v>
      </c>
      <c r="P12" s="773" t="s">
        <v>200</v>
      </c>
    </row>
    <row r="13" spans="1:16" x14ac:dyDescent="0.3">
      <c r="A13" s="93" t="s">
        <v>174</v>
      </c>
      <c r="B13" s="99" t="s">
        <v>175</v>
      </c>
      <c r="C13" s="146">
        <f>+RUBROS!AC20</f>
        <v>10.866833607342301</v>
      </c>
      <c r="D13" s="146">
        <f>+C13</f>
        <v>10.866833607342301</v>
      </c>
      <c r="E13" s="146">
        <f>+C13</f>
        <v>10.866833607342301</v>
      </c>
      <c r="F13" s="146">
        <f>+C13</f>
        <v>10.866833607342301</v>
      </c>
      <c r="G13" s="626">
        <f>+C13</f>
        <v>10.866833607342301</v>
      </c>
      <c r="H13" s="215">
        <f>+C13</f>
        <v>10.866833607342301</v>
      </c>
      <c r="I13" s="97">
        <f>+G13</f>
        <v>10.866833607342301</v>
      </c>
      <c r="J13" s="98">
        <f>+I13</f>
        <v>10.866833607342301</v>
      </c>
      <c r="K13" s="533">
        <f>+RUBROS!AA20</f>
        <v>22.249601678692599</v>
      </c>
      <c r="L13" s="145">
        <f>+RUBROS!$AD$20</f>
        <v>23.500029293035123</v>
      </c>
      <c r="M13" s="145">
        <f>+RUBROS!$AD$20</f>
        <v>23.500029293035123</v>
      </c>
      <c r="N13" s="145">
        <f>+RUBROS!$AD$20</f>
        <v>23.500029293035123</v>
      </c>
      <c r="O13" s="167">
        <f>+RUBROS!$AD$20</f>
        <v>23.500029293035123</v>
      </c>
      <c r="P13" s="167">
        <f>+RUBROS!$AD$20</f>
        <v>23.500029293035123</v>
      </c>
    </row>
    <row r="14" spans="1:16" x14ac:dyDescent="0.3">
      <c r="A14" s="93" t="s">
        <v>178</v>
      </c>
      <c r="B14" s="165" t="s">
        <v>179</v>
      </c>
      <c r="C14" s="146">
        <f>+RUBROS!AU31</f>
        <v>13.326421256197724</v>
      </c>
      <c r="D14" s="146">
        <f>+C14</f>
        <v>13.326421256197724</v>
      </c>
      <c r="E14" s="146">
        <f>+C14</f>
        <v>13.326421256197724</v>
      </c>
      <c r="F14" s="146">
        <f>+C14</f>
        <v>13.326421256197724</v>
      </c>
      <c r="G14" s="146">
        <f>+C14</f>
        <v>13.326421256197724</v>
      </c>
      <c r="H14" s="146">
        <f>+C14</f>
        <v>13.326421256197724</v>
      </c>
      <c r="I14" s="148">
        <f>+C14</f>
        <v>13.326421256197724</v>
      </c>
      <c r="J14" s="98">
        <f>+C14</f>
        <v>13.326421256197724</v>
      </c>
      <c r="K14" s="533">
        <f>+C14</f>
        <v>13.326421256197724</v>
      </c>
      <c r="L14" s="145">
        <f>+RUBROS!$AU$31</f>
        <v>13.326421256197724</v>
      </c>
      <c r="M14" s="145">
        <f>+RUBROS!$AU$31</f>
        <v>13.326421256197724</v>
      </c>
      <c r="N14" s="145">
        <f>+RUBROS!$AU$31</f>
        <v>13.326421256197724</v>
      </c>
      <c r="O14" s="145">
        <f>+RUBROS!$AU$31</f>
        <v>13.326421256197724</v>
      </c>
      <c r="P14" s="145">
        <f>+RUBROS!$AU$31</f>
        <v>13.326421256197724</v>
      </c>
    </row>
    <row r="15" spans="1:16" hidden="1" x14ac:dyDescent="0.3">
      <c r="A15" s="93"/>
      <c r="B15" s="99" t="s">
        <v>180</v>
      </c>
      <c r="C15" s="146"/>
      <c r="D15" s="517"/>
      <c r="E15" s="517"/>
      <c r="F15" s="517"/>
      <c r="G15" s="517"/>
      <c r="H15" s="517"/>
      <c r="I15" s="150"/>
      <c r="J15" s="96"/>
      <c r="K15" s="533"/>
      <c r="L15" s="691"/>
      <c r="M15" s="520"/>
      <c r="N15" s="520"/>
      <c r="O15" s="172"/>
      <c r="P15" s="172"/>
    </row>
    <row r="16" spans="1:16" x14ac:dyDescent="0.3">
      <c r="A16" s="100" t="s">
        <v>181</v>
      </c>
      <c r="B16" s="129" t="s">
        <v>182</v>
      </c>
      <c r="C16" s="530">
        <f>SUM(C8:C15)</f>
        <v>4965.6807548635397</v>
      </c>
      <c r="D16" s="530">
        <f>SUM(D8:D15)</f>
        <v>5127.8152048635402</v>
      </c>
      <c r="E16" s="530">
        <f>SUM(E8:E15)</f>
        <v>5289.9496548635398</v>
      </c>
      <c r="F16" s="530">
        <f>SUM(F8:F15)</f>
        <v>5371.0168798635395</v>
      </c>
      <c r="G16" s="530">
        <f t="shared" ref="G16:O16" si="1">SUM(G8:G15)</f>
        <v>5776.3530048635403</v>
      </c>
      <c r="H16" s="530">
        <f t="shared" si="1"/>
        <v>3450.7205428635398</v>
      </c>
      <c r="I16" s="529">
        <f t="shared" si="1"/>
        <v>3965.6730748635396</v>
      </c>
      <c r="J16" s="679">
        <f t="shared" si="1"/>
        <v>4823.9272948635398</v>
      </c>
      <c r="K16" s="528" t="e">
        <f t="shared" si="1"/>
        <v>#REF!</v>
      </c>
      <c r="L16" s="528">
        <f t="shared" si="1"/>
        <v>6173.5548505492334</v>
      </c>
      <c r="M16" s="528">
        <f t="shared" si="1"/>
        <v>6245.5494505492334</v>
      </c>
      <c r="N16" s="528">
        <f t="shared" ref="N16" si="2">SUM(N8:N15)</f>
        <v>6579.141200549233</v>
      </c>
      <c r="O16" s="680">
        <f t="shared" si="1"/>
        <v>5982.9434505492336</v>
      </c>
      <c r="P16" s="680">
        <f t="shared" ref="P16" si="3">SUM(P8:P15)</f>
        <v>6735.6904505492339</v>
      </c>
    </row>
    <row r="17" spans="1:18" x14ac:dyDescent="0.3">
      <c r="A17" s="93" t="s">
        <v>183</v>
      </c>
      <c r="B17" s="99" t="s">
        <v>184</v>
      </c>
      <c r="C17" s="146" t="s">
        <v>214</v>
      </c>
      <c r="D17" s="146" t="s">
        <v>214</v>
      </c>
      <c r="E17" s="146" t="s">
        <v>214</v>
      </c>
      <c r="F17" s="518" t="s">
        <v>214</v>
      </c>
      <c r="G17" s="518" t="str">
        <f>+C17</f>
        <v>***</v>
      </c>
      <c r="H17" s="518" t="str">
        <f>+E17</f>
        <v>***</v>
      </c>
      <c r="I17" s="155" t="str">
        <f>+C17</f>
        <v>***</v>
      </c>
      <c r="J17" s="96" t="str">
        <f>+C17</f>
        <v>***</v>
      </c>
      <c r="K17" s="533" t="str">
        <f>+O17</f>
        <v>***</v>
      </c>
      <c r="L17" s="521" t="s">
        <v>214</v>
      </c>
      <c r="M17" s="521" t="s">
        <v>214</v>
      </c>
      <c r="N17" s="521" t="s">
        <v>214</v>
      </c>
      <c r="O17" s="174" t="s">
        <v>214</v>
      </c>
      <c r="P17" s="174" t="s">
        <v>214</v>
      </c>
    </row>
    <row r="18" spans="1:18" x14ac:dyDescent="0.3">
      <c r="A18" s="93" t="s">
        <v>185</v>
      </c>
      <c r="B18" s="99" t="s">
        <v>186</v>
      </c>
      <c r="C18" s="146" t="str">
        <f t="shared" ref="C18:E19" si="4">+G18</f>
        <v>**</v>
      </c>
      <c r="D18" s="146" t="str">
        <f t="shared" si="4"/>
        <v>**</v>
      </c>
      <c r="E18" s="146" t="str">
        <f t="shared" si="4"/>
        <v>**</v>
      </c>
      <c r="F18" s="146" t="s">
        <v>212</v>
      </c>
      <c r="G18" s="146" t="s">
        <v>212</v>
      </c>
      <c r="H18" s="146" t="s">
        <v>212</v>
      </c>
      <c r="I18" s="156" t="s">
        <v>212</v>
      </c>
      <c r="J18" s="96" t="s">
        <v>212</v>
      </c>
      <c r="K18" s="533" t="str">
        <f>+O18</f>
        <v>**</v>
      </c>
      <c r="L18" s="148" t="s">
        <v>212</v>
      </c>
      <c r="M18" s="148" t="s">
        <v>212</v>
      </c>
      <c r="N18" s="148" t="s">
        <v>212</v>
      </c>
      <c r="O18" s="167" t="s">
        <v>212</v>
      </c>
      <c r="P18" s="167" t="s">
        <v>212</v>
      </c>
    </row>
    <row r="19" spans="1:18" x14ac:dyDescent="0.3">
      <c r="A19" s="93" t="s">
        <v>187</v>
      </c>
      <c r="B19" s="99" t="s">
        <v>188</v>
      </c>
      <c r="C19" s="146" t="str">
        <f t="shared" si="4"/>
        <v>****</v>
      </c>
      <c r="D19" s="146" t="str">
        <f t="shared" si="4"/>
        <v>****</v>
      </c>
      <c r="E19" s="146" t="str">
        <f t="shared" si="4"/>
        <v>****</v>
      </c>
      <c r="F19" s="146" t="s">
        <v>216</v>
      </c>
      <c r="G19" s="146" t="s">
        <v>216</v>
      </c>
      <c r="H19" s="146" t="s">
        <v>216</v>
      </c>
      <c r="I19" s="97" t="str">
        <f>+G19</f>
        <v>****</v>
      </c>
      <c r="J19" s="96" t="str">
        <f>+I19</f>
        <v>****</v>
      </c>
      <c r="K19" s="533" t="str">
        <f>+J19</f>
        <v>****</v>
      </c>
      <c r="L19" s="148" t="s">
        <v>216</v>
      </c>
      <c r="M19" s="148" t="s">
        <v>216</v>
      </c>
      <c r="N19" s="148" t="s">
        <v>216</v>
      </c>
      <c r="O19" s="170" t="str">
        <f>+J19</f>
        <v>****</v>
      </c>
      <c r="P19" s="170" t="str">
        <f>+K19</f>
        <v>****</v>
      </c>
    </row>
    <row r="20" spans="1:18" x14ac:dyDescent="0.3">
      <c r="A20" s="100" t="s">
        <v>189</v>
      </c>
      <c r="B20" s="129" t="s">
        <v>190</v>
      </c>
      <c r="C20" s="530">
        <f t="shared" ref="C20:O20" si="5">+C16</f>
        <v>4965.6807548635397</v>
      </c>
      <c r="D20" s="530">
        <f t="shared" ref="D20:E20" si="6">+D16</f>
        <v>5127.8152048635402</v>
      </c>
      <c r="E20" s="530">
        <f t="shared" si="6"/>
        <v>5289.9496548635398</v>
      </c>
      <c r="F20" s="530">
        <f t="shared" si="5"/>
        <v>5371.0168798635395</v>
      </c>
      <c r="G20" s="530">
        <f t="shared" si="5"/>
        <v>5776.3530048635403</v>
      </c>
      <c r="H20" s="530">
        <f t="shared" ref="H20" si="7">+H16</f>
        <v>3450.7205428635398</v>
      </c>
      <c r="I20" s="530">
        <f t="shared" si="5"/>
        <v>3965.6730748635396</v>
      </c>
      <c r="J20" s="681">
        <f t="shared" si="5"/>
        <v>4823.9272948635398</v>
      </c>
      <c r="K20" s="530" t="e">
        <f t="shared" si="5"/>
        <v>#REF!</v>
      </c>
      <c r="L20" s="530">
        <f t="shared" ref="L20" si="8">+L16</f>
        <v>6173.5548505492334</v>
      </c>
      <c r="M20" s="530">
        <f t="shared" si="5"/>
        <v>6245.5494505492334</v>
      </c>
      <c r="N20" s="530">
        <f t="shared" ref="N20" si="9">+N16</f>
        <v>6579.141200549233</v>
      </c>
      <c r="O20" s="681">
        <f t="shared" si="5"/>
        <v>5982.9434505492336</v>
      </c>
      <c r="P20" s="681">
        <f t="shared" ref="P20" si="10">+P16</f>
        <v>6735.6904505492339</v>
      </c>
      <c r="R20" s="19"/>
    </row>
    <row r="21" spans="1:18" x14ac:dyDescent="0.3">
      <c r="A21" s="93" t="s">
        <v>191</v>
      </c>
      <c r="B21" s="99" t="s">
        <v>150</v>
      </c>
      <c r="C21" s="146" t="s">
        <v>214</v>
      </c>
      <c r="D21" s="146" t="s">
        <v>214</v>
      </c>
      <c r="E21" s="146" t="s">
        <v>214</v>
      </c>
      <c r="F21" s="146" t="s">
        <v>214</v>
      </c>
      <c r="G21" s="146" t="str">
        <f>+C21</f>
        <v>***</v>
      </c>
      <c r="H21" s="146" t="str">
        <f>+E21</f>
        <v>***</v>
      </c>
      <c r="I21" s="97" t="str">
        <f>+G21</f>
        <v>***</v>
      </c>
      <c r="J21" s="96" t="str">
        <f>+I21</f>
        <v>***</v>
      </c>
      <c r="K21" s="533" t="str">
        <f>+G21</f>
        <v>***</v>
      </c>
      <c r="L21" s="148" t="str">
        <f t="shared" ref="L21:N23" si="11">+E21</f>
        <v>***</v>
      </c>
      <c r="M21" s="148" t="str">
        <f t="shared" si="11"/>
        <v>***</v>
      </c>
      <c r="N21" s="148" t="str">
        <f t="shared" si="11"/>
        <v>***</v>
      </c>
      <c r="O21" s="170" t="s">
        <v>214</v>
      </c>
      <c r="P21" s="170" t="s">
        <v>214</v>
      </c>
    </row>
    <row r="22" spans="1:18" x14ac:dyDescent="0.3">
      <c r="A22" s="93" t="s">
        <v>192</v>
      </c>
      <c r="B22" s="94" t="s">
        <v>193</v>
      </c>
      <c r="C22" s="146" t="str">
        <f t="shared" ref="C22:E23" si="12">+G22</f>
        <v>*****</v>
      </c>
      <c r="D22" s="146" t="str">
        <f t="shared" si="12"/>
        <v>*****</v>
      </c>
      <c r="E22" s="146" t="str">
        <f t="shared" si="12"/>
        <v>N.A.</v>
      </c>
      <c r="F22" s="146" t="s">
        <v>218</v>
      </c>
      <c r="G22" s="146" t="s">
        <v>218</v>
      </c>
      <c r="H22" s="146" t="s">
        <v>218</v>
      </c>
      <c r="I22" s="97" t="s">
        <v>236</v>
      </c>
      <c r="J22" s="96" t="s">
        <v>194</v>
      </c>
      <c r="K22" s="533" t="str">
        <f>+G22</f>
        <v>*****</v>
      </c>
      <c r="L22" s="148" t="str">
        <f t="shared" si="11"/>
        <v>N.A.</v>
      </c>
      <c r="M22" s="148" t="str">
        <f t="shared" si="11"/>
        <v>*****</v>
      </c>
      <c r="N22" s="148" t="str">
        <f t="shared" si="11"/>
        <v>*****</v>
      </c>
      <c r="O22" s="170" t="s">
        <v>237</v>
      </c>
      <c r="P22" s="170" t="s">
        <v>237</v>
      </c>
    </row>
    <row r="23" spans="1:18" x14ac:dyDescent="0.3">
      <c r="A23" s="93" t="s">
        <v>195</v>
      </c>
      <c r="B23" s="99" t="s">
        <v>272</v>
      </c>
      <c r="C23" s="146" t="str">
        <f t="shared" si="12"/>
        <v>******</v>
      </c>
      <c r="D23" s="146" t="str">
        <f t="shared" si="12"/>
        <v>******</v>
      </c>
      <c r="E23" s="146" t="str">
        <f t="shared" si="12"/>
        <v>******</v>
      </c>
      <c r="F23" s="146" t="s">
        <v>219</v>
      </c>
      <c r="G23" s="146" t="s">
        <v>219</v>
      </c>
      <c r="H23" s="146" t="s">
        <v>219</v>
      </c>
      <c r="I23" s="156" t="str">
        <f>+G23</f>
        <v>******</v>
      </c>
      <c r="J23" s="98" t="str">
        <f>+I23</f>
        <v>******</v>
      </c>
      <c r="K23" s="533" t="str">
        <f>+J23</f>
        <v>******</v>
      </c>
      <c r="L23" s="148" t="str">
        <f t="shared" si="11"/>
        <v>******</v>
      </c>
      <c r="M23" s="148" t="str">
        <f t="shared" si="11"/>
        <v>******</v>
      </c>
      <c r="N23" s="148" t="str">
        <f t="shared" si="11"/>
        <v>******</v>
      </c>
      <c r="O23" s="167" t="str">
        <f>+K23</f>
        <v>******</v>
      </c>
      <c r="P23" s="167" t="str">
        <f>+M23</f>
        <v>******</v>
      </c>
    </row>
    <row r="24" spans="1:18" ht="15" thickBot="1" x14ac:dyDescent="0.35">
      <c r="A24" s="104" t="s">
        <v>197</v>
      </c>
      <c r="B24" s="105" t="s">
        <v>198</v>
      </c>
      <c r="C24" s="157"/>
      <c r="D24" s="157"/>
      <c r="E24" s="157"/>
      <c r="F24" s="157"/>
      <c r="G24" s="531"/>
      <c r="H24" s="742"/>
      <c r="I24" s="158"/>
      <c r="J24" s="107"/>
      <c r="K24" s="158"/>
      <c r="L24" s="158"/>
      <c r="M24" s="158"/>
      <c r="N24" s="158"/>
      <c r="O24" s="175"/>
      <c r="P24" s="175"/>
    </row>
    <row r="25" spans="1:18" ht="15" thickTop="1" x14ac:dyDescent="0.3"/>
    <row r="26" spans="1:18" ht="15" thickBot="1" x14ac:dyDescent="0.35"/>
    <row r="27" spans="1:18" ht="18.600000000000001" customHeight="1" thickTop="1" x14ac:dyDescent="0.3">
      <c r="A27" s="143"/>
      <c r="B27" s="144" t="s">
        <v>457</v>
      </c>
      <c r="C27" s="917" t="s">
        <v>163</v>
      </c>
      <c r="D27" s="918"/>
      <c r="E27" s="918"/>
      <c r="F27" s="918"/>
      <c r="G27" s="918"/>
      <c r="H27" s="918"/>
      <c r="I27" s="918"/>
      <c r="J27" s="919"/>
      <c r="K27" s="923" t="s">
        <v>232</v>
      </c>
      <c r="L27" s="924"/>
      <c r="M27" s="924"/>
      <c r="N27" s="924"/>
      <c r="O27" s="924"/>
      <c r="P27" s="924"/>
    </row>
    <row r="28" spans="1:18" ht="27.6" x14ac:dyDescent="0.3">
      <c r="A28" s="90"/>
      <c r="B28" s="603" t="s">
        <v>476</v>
      </c>
      <c r="C28" s="920"/>
      <c r="D28" s="921"/>
      <c r="E28" s="921"/>
      <c r="F28" s="921"/>
      <c r="G28" s="921"/>
      <c r="H28" s="921"/>
      <c r="I28" s="921"/>
      <c r="J28" s="922"/>
      <c r="K28" s="925"/>
      <c r="L28" s="926"/>
      <c r="M28" s="926"/>
      <c r="N28" s="926"/>
      <c r="O28" s="926"/>
      <c r="P28" s="926"/>
    </row>
    <row r="29" spans="1:18" ht="21" customHeight="1" x14ac:dyDescent="0.3">
      <c r="A29" s="896" t="s">
        <v>164</v>
      </c>
      <c r="B29" s="898" t="s">
        <v>165</v>
      </c>
      <c r="C29" s="902" t="s">
        <v>223</v>
      </c>
      <c r="D29" s="749" t="s">
        <v>96</v>
      </c>
      <c r="E29" s="690" t="s">
        <v>96</v>
      </c>
      <c r="F29" s="516" t="s">
        <v>96</v>
      </c>
      <c r="G29" s="616" t="s">
        <v>485</v>
      </c>
      <c r="H29" s="724" t="s">
        <v>370</v>
      </c>
      <c r="I29" s="282" t="s">
        <v>453</v>
      </c>
      <c r="J29" s="611" t="s">
        <v>375</v>
      </c>
      <c r="K29" s="282" t="s">
        <v>96</v>
      </c>
      <c r="L29" s="690" t="s">
        <v>96</v>
      </c>
      <c r="M29" s="516" t="s">
        <v>96</v>
      </c>
      <c r="N29" s="616" t="s">
        <v>485</v>
      </c>
      <c r="O29" s="280" t="str">
        <f>+I29</f>
        <v xml:space="preserve">Biodiesel B5 con destino a mezcla </v>
      </c>
      <c r="P29" s="611" t="s">
        <v>375</v>
      </c>
    </row>
    <row r="30" spans="1:18" ht="15" customHeight="1" x14ac:dyDescent="0.3">
      <c r="A30" s="896"/>
      <c r="B30" s="898"/>
      <c r="C30" s="903"/>
      <c r="D30" s="480" t="s">
        <v>512</v>
      </c>
      <c r="E30" s="480" t="s">
        <v>488</v>
      </c>
      <c r="F30" s="480" t="s">
        <v>452</v>
      </c>
      <c r="G30" s="617">
        <v>0.1</v>
      </c>
      <c r="H30" s="322">
        <v>0.02</v>
      </c>
      <c r="I30" s="138">
        <v>0.05</v>
      </c>
      <c r="J30" s="322">
        <v>0.1</v>
      </c>
      <c r="K30" s="460">
        <f>+G30</f>
        <v>0.1</v>
      </c>
      <c r="L30" s="480" t="s">
        <v>488</v>
      </c>
      <c r="M30" s="480" t="s">
        <v>452</v>
      </c>
      <c r="N30" s="617">
        <v>0.1</v>
      </c>
      <c r="O30" s="121">
        <f>+I30</f>
        <v>0.05</v>
      </c>
      <c r="P30" s="322">
        <v>0.1</v>
      </c>
    </row>
    <row r="31" spans="1:18" x14ac:dyDescent="0.3">
      <c r="A31" s="897"/>
      <c r="B31" s="899"/>
      <c r="C31" s="281" t="s">
        <v>166</v>
      </c>
      <c r="D31" s="749" t="s">
        <v>166</v>
      </c>
      <c r="E31" s="690" t="s">
        <v>166</v>
      </c>
      <c r="F31" s="516" t="s">
        <v>166</v>
      </c>
      <c r="G31" s="616" t="s">
        <v>166</v>
      </c>
      <c r="H31" s="724" t="s">
        <v>166</v>
      </c>
      <c r="I31" s="282" t="s">
        <v>166</v>
      </c>
      <c r="J31" s="611" t="s">
        <v>166</v>
      </c>
      <c r="K31" s="281" t="s">
        <v>166</v>
      </c>
      <c r="L31" s="689" t="s">
        <v>166</v>
      </c>
      <c r="M31" s="516" t="s">
        <v>166</v>
      </c>
      <c r="N31" s="616" t="s">
        <v>166</v>
      </c>
      <c r="O31" s="280" t="s">
        <v>166</v>
      </c>
      <c r="P31" s="611" t="s">
        <v>166</v>
      </c>
    </row>
    <row r="32" spans="1:18" x14ac:dyDescent="0.3">
      <c r="A32" s="93" t="s">
        <v>167</v>
      </c>
      <c r="B32" s="99" t="s">
        <v>168</v>
      </c>
      <c r="C32" s="160">
        <f>+'Calculo IP ZDF'!B41</f>
        <v>5041.4749999999995</v>
      </c>
      <c r="D32" s="160">
        <f>+'Calculo IP ZDF'!G41</f>
        <v>5201.6097</v>
      </c>
      <c r="E32" s="160">
        <f>+'Calculo IP ZDF'!H41</f>
        <v>5361.7443999999987</v>
      </c>
      <c r="F32" s="160">
        <f>+'Calculo IP ZDF'!I41</f>
        <v>5441.8117499999989</v>
      </c>
      <c r="G32" s="678">
        <f>+'Calculo IP ZDF'!K41</f>
        <v>5842.1484999999993</v>
      </c>
      <c r="H32" s="160">
        <f>+'Calculo IP ZDF'!F41</f>
        <v>3592.6761999999999</v>
      </c>
      <c r="I32" s="168">
        <f>+'Calculo IP ZDF'!R41</f>
        <v>4102.5431525000004</v>
      </c>
      <c r="J32" s="167">
        <f>+'Calculo IP ZDF'!M41</f>
        <v>4952.3203550000007</v>
      </c>
      <c r="K32" s="145">
        <f>+'GAS CTE'!F9</f>
        <v>5651.7855</v>
      </c>
      <c r="L32" s="145">
        <f>+'GAS CTE'!E9</f>
        <v>5573.9283999999998</v>
      </c>
      <c r="M32" s="145">
        <f>+'GAS CTE'!F9</f>
        <v>5651.7855</v>
      </c>
      <c r="N32" s="167">
        <f>+N8</f>
        <v>6041.0709999999999</v>
      </c>
      <c r="O32" s="167">
        <f>+O8</f>
        <v>5413.0529999999999</v>
      </c>
      <c r="P32" s="167">
        <f>+P8</f>
        <v>6193.8560000000007</v>
      </c>
    </row>
    <row r="33" spans="1:16" x14ac:dyDescent="0.3">
      <c r="A33" s="93" t="s">
        <v>169</v>
      </c>
      <c r="B33" s="99" t="s">
        <v>170</v>
      </c>
      <c r="C33" s="160" t="str">
        <f t="shared" ref="C33:O39" si="13">+C9</f>
        <v>------------------</v>
      </c>
      <c r="D33" s="160" t="s">
        <v>171</v>
      </c>
      <c r="E33" s="160" t="s">
        <v>171</v>
      </c>
      <c r="F33" s="160" t="str">
        <f t="shared" ref="F33" si="14">+F9</f>
        <v>------------------</v>
      </c>
      <c r="G33" s="678" t="str">
        <f t="shared" si="13"/>
        <v>------------------</v>
      </c>
      <c r="H33" s="160" t="s">
        <v>171</v>
      </c>
      <c r="I33" s="168" t="s">
        <v>171</v>
      </c>
      <c r="J33" s="167" t="s">
        <v>171</v>
      </c>
      <c r="K33" s="145">
        <f>+'GAS CTE'!F10</f>
        <v>556.9375</v>
      </c>
      <c r="L33" s="145">
        <f>+'GAS CTE'!E10</f>
        <v>562.79999999999995</v>
      </c>
      <c r="M33" s="145">
        <f>+'GAS CTE'!F10</f>
        <v>556.9375</v>
      </c>
      <c r="N33" s="167">
        <f>+N9</f>
        <v>501.24375000000003</v>
      </c>
      <c r="O33" s="167">
        <f t="shared" si="13"/>
        <v>533.06399999999996</v>
      </c>
      <c r="P33" s="167">
        <f t="shared" ref="P33" si="15">+P9</f>
        <v>505.00800000000004</v>
      </c>
    </row>
    <row r="34" spans="1:16" x14ac:dyDescent="0.3">
      <c r="A34" s="93"/>
      <c r="B34" s="99" t="s">
        <v>129</v>
      </c>
      <c r="C34" s="160" t="str">
        <f t="shared" si="13"/>
        <v>------------------</v>
      </c>
      <c r="D34" s="160" t="s">
        <v>171</v>
      </c>
      <c r="E34" s="160" t="s">
        <v>171</v>
      </c>
      <c r="F34" s="160" t="str">
        <f t="shared" ref="F34" si="16">+F10</f>
        <v>------------------</v>
      </c>
      <c r="G34" s="678" t="str">
        <f t="shared" si="13"/>
        <v>------------------</v>
      </c>
      <c r="H34" s="160" t="s">
        <v>171</v>
      </c>
      <c r="I34" s="168" t="s">
        <v>171</v>
      </c>
      <c r="J34" s="167" t="s">
        <v>171</v>
      </c>
      <c r="K34" s="145" t="e">
        <f t="shared" si="13"/>
        <v>#REF!</v>
      </c>
      <c r="L34" s="771" t="str">
        <f t="shared" si="13"/>
        <v>(3)</v>
      </c>
      <c r="M34" s="771" t="str">
        <f t="shared" ref="M34:N34" si="17">+M10</f>
        <v>(3)</v>
      </c>
      <c r="N34" s="771" t="str">
        <f t="shared" si="17"/>
        <v>(3)</v>
      </c>
      <c r="O34" s="774" t="str">
        <f t="shared" si="13"/>
        <v>(3)</v>
      </c>
      <c r="P34" s="774" t="str">
        <f t="shared" ref="P34" si="18">+P10</f>
        <v>(3)</v>
      </c>
    </row>
    <row r="35" spans="1:16" x14ac:dyDescent="0.3">
      <c r="A35" s="93"/>
      <c r="B35" s="99" t="s">
        <v>131</v>
      </c>
      <c r="C35" s="579" t="str">
        <f t="shared" si="13"/>
        <v>(4)</v>
      </c>
      <c r="D35" s="579" t="s">
        <v>201</v>
      </c>
      <c r="E35" s="579" t="s">
        <v>201</v>
      </c>
      <c r="F35" s="579" t="str">
        <f t="shared" ref="F35" si="19">+F11</f>
        <v>(4)</v>
      </c>
      <c r="G35" s="682" t="str">
        <f t="shared" si="13"/>
        <v>(4)</v>
      </c>
      <c r="H35" s="579" t="s">
        <v>201</v>
      </c>
      <c r="I35" s="168" t="str">
        <f t="shared" si="13"/>
        <v>(4)</v>
      </c>
      <c r="J35" s="167" t="str">
        <f t="shared" si="13"/>
        <v>(4)</v>
      </c>
      <c r="K35" s="145" t="str">
        <f t="shared" si="13"/>
        <v>(4)</v>
      </c>
      <c r="L35" s="772" t="str">
        <f t="shared" si="13"/>
        <v>(4)</v>
      </c>
      <c r="M35" s="772" t="str">
        <f t="shared" ref="M35:N35" si="20">+M11</f>
        <v>(4)</v>
      </c>
      <c r="N35" s="772" t="str">
        <f t="shared" si="20"/>
        <v>(4)</v>
      </c>
      <c r="O35" s="773" t="str">
        <f t="shared" si="13"/>
        <v>(4)</v>
      </c>
      <c r="P35" s="773" t="str">
        <f t="shared" ref="P35" si="21">+P11</f>
        <v>(4)</v>
      </c>
    </row>
    <row r="36" spans="1:16" x14ac:dyDescent="0.3">
      <c r="A36" s="93" t="s">
        <v>172</v>
      </c>
      <c r="B36" s="99" t="s">
        <v>268</v>
      </c>
      <c r="C36" s="579" t="str">
        <f t="shared" si="13"/>
        <v>(2)</v>
      </c>
      <c r="D36" s="579" t="s">
        <v>200</v>
      </c>
      <c r="E36" s="579" t="s">
        <v>200</v>
      </c>
      <c r="F36" s="579" t="str">
        <f t="shared" ref="F36" si="22">+F12</f>
        <v>(2)</v>
      </c>
      <c r="G36" s="682" t="str">
        <f t="shared" si="13"/>
        <v>(2)</v>
      </c>
      <c r="H36" s="579" t="s">
        <v>200</v>
      </c>
      <c r="I36" s="168" t="str">
        <f t="shared" si="13"/>
        <v>(2)</v>
      </c>
      <c r="J36" s="167" t="str">
        <f t="shared" si="13"/>
        <v>(2)</v>
      </c>
      <c r="K36" s="145" t="str">
        <f t="shared" si="13"/>
        <v>(2)</v>
      </c>
      <c r="L36" s="772" t="str">
        <f t="shared" si="13"/>
        <v>(2)</v>
      </c>
      <c r="M36" s="772" t="str">
        <f t="shared" ref="M36:N36" si="23">+M12</f>
        <v>(2)</v>
      </c>
      <c r="N36" s="772" t="str">
        <f t="shared" si="23"/>
        <v>(2)</v>
      </c>
      <c r="O36" s="773" t="str">
        <f t="shared" si="13"/>
        <v>(2)</v>
      </c>
      <c r="P36" s="773" t="str">
        <f t="shared" ref="P36" si="24">+P12</f>
        <v>(2)</v>
      </c>
    </row>
    <row r="37" spans="1:16" x14ac:dyDescent="0.3">
      <c r="A37" s="93" t="s">
        <v>174</v>
      </c>
      <c r="B37" s="99" t="s">
        <v>175</v>
      </c>
      <c r="C37" s="160">
        <f t="shared" si="13"/>
        <v>10.866833607342301</v>
      </c>
      <c r="D37" s="160">
        <f t="shared" si="13"/>
        <v>10.866833607342301</v>
      </c>
      <c r="E37" s="160">
        <f t="shared" ref="E37:F37" si="25">+E13</f>
        <v>10.866833607342301</v>
      </c>
      <c r="F37" s="160">
        <f t="shared" si="25"/>
        <v>10.866833607342301</v>
      </c>
      <c r="G37" s="678">
        <f t="shared" si="13"/>
        <v>10.866833607342301</v>
      </c>
      <c r="H37" s="160">
        <f>+C37</f>
        <v>10.866833607342301</v>
      </c>
      <c r="I37" s="168">
        <f t="shared" si="13"/>
        <v>10.866833607342301</v>
      </c>
      <c r="J37" s="167">
        <f t="shared" si="13"/>
        <v>10.866833607342301</v>
      </c>
      <c r="K37" s="145">
        <f t="shared" si="13"/>
        <v>22.249601678692599</v>
      </c>
      <c r="L37" s="145">
        <f t="shared" si="13"/>
        <v>23.500029293035123</v>
      </c>
      <c r="M37" s="145">
        <f t="shared" ref="M37:N37" si="26">+M13</f>
        <v>23.500029293035123</v>
      </c>
      <c r="N37" s="145">
        <f t="shared" si="26"/>
        <v>23.500029293035123</v>
      </c>
      <c r="O37" s="167">
        <f t="shared" si="13"/>
        <v>23.500029293035123</v>
      </c>
      <c r="P37" s="167">
        <f t="shared" ref="P37" si="27">+P13</f>
        <v>23.500029293035123</v>
      </c>
    </row>
    <row r="38" spans="1:16" x14ac:dyDescent="0.3">
      <c r="A38" s="93" t="s">
        <v>178</v>
      </c>
      <c r="B38" s="165" t="s">
        <v>179</v>
      </c>
      <c r="C38" s="160">
        <f t="shared" si="13"/>
        <v>13.326421256197724</v>
      </c>
      <c r="D38" s="160">
        <f t="shared" si="13"/>
        <v>13.326421256197724</v>
      </c>
      <c r="E38" s="160">
        <f t="shared" ref="E38:F38" si="28">+E14</f>
        <v>13.326421256197724</v>
      </c>
      <c r="F38" s="160">
        <f t="shared" si="28"/>
        <v>13.326421256197724</v>
      </c>
      <c r="G38" s="678">
        <f t="shared" si="13"/>
        <v>13.326421256197724</v>
      </c>
      <c r="H38" s="160">
        <f>+C38</f>
        <v>13.326421256197724</v>
      </c>
      <c r="I38" s="168">
        <f t="shared" si="13"/>
        <v>13.326421256197724</v>
      </c>
      <c r="J38" s="167">
        <f t="shared" si="13"/>
        <v>13.326421256197724</v>
      </c>
      <c r="K38" s="145">
        <f t="shared" si="13"/>
        <v>13.326421256197724</v>
      </c>
      <c r="L38" s="145">
        <f t="shared" si="13"/>
        <v>13.326421256197724</v>
      </c>
      <c r="M38" s="145">
        <f t="shared" ref="M38:N38" si="29">+M14</f>
        <v>13.326421256197724</v>
      </c>
      <c r="N38" s="145">
        <f t="shared" si="29"/>
        <v>13.326421256197724</v>
      </c>
      <c r="O38" s="145">
        <f t="shared" si="13"/>
        <v>13.326421256197724</v>
      </c>
      <c r="P38" s="145">
        <f t="shared" ref="P38" si="30">+P14</f>
        <v>13.326421256197724</v>
      </c>
    </row>
    <row r="39" spans="1:16" hidden="1" x14ac:dyDescent="0.3">
      <c r="A39" s="93"/>
      <c r="B39" s="99" t="s">
        <v>180</v>
      </c>
      <c r="C39" s="160">
        <f t="shared" si="13"/>
        <v>0</v>
      </c>
      <c r="D39" s="160"/>
      <c r="E39" s="160"/>
      <c r="F39" s="160">
        <f t="shared" ref="F39" si="31">+F15</f>
        <v>0</v>
      </c>
      <c r="G39" s="160">
        <f t="shared" si="13"/>
        <v>0</v>
      </c>
      <c r="H39" s="160"/>
      <c r="I39" s="168">
        <f t="shared" si="13"/>
        <v>0</v>
      </c>
      <c r="J39" s="167">
        <f t="shared" si="13"/>
        <v>0</v>
      </c>
      <c r="K39" s="533">
        <f t="shared" si="13"/>
        <v>0</v>
      </c>
      <c r="L39" s="533"/>
      <c r="M39" s="145"/>
      <c r="N39" s="145"/>
      <c r="O39" s="170">
        <f t="shared" si="13"/>
        <v>0</v>
      </c>
      <c r="P39" s="170">
        <f t="shared" ref="P39" si="32">+P15</f>
        <v>0</v>
      </c>
    </row>
    <row r="40" spans="1:16" x14ac:dyDescent="0.3">
      <c r="A40" s="100" t="s">
        <v>181</v>
      </c>
      <c r="B40" s="129" t="s">
        <v>182</v>
      </c>
      <c r="C40" s="530">
        <f>SUM(C32:C39)</f>
        <v>5065.6682548635399</v>
      </c>
      <c r="D40" s="530">
        <f>SUM(D32:D39)</f>
        <v>5225.8029548635404</v>
      </c>
      <c r="E40" s="530">
        <f>SUM(E32:E39)</f>
        <v>5385.9376548635391</v>
      </c>
      <c r="F40" s="529">
        <f t="shared" ref="F40:O40" si="33">SUM(F32:F39)</f>
        <v>5466.0050048635394</v>
      </c>
      <c r="G40" s="529">
        <f t="shared" si="33"/>
        <v>5866.3417548635398</v>
      </c>
      <c r="H40" s="529">
        <f t="shared" ref="H40" si="34">SUM(H32:H39)</f>
        <v>3616.8694548635399</v>
      </c>
      <c r="I40" s="529">
        <f t="shared" si="33"/>
        <v>4126.7364073635408</v>
      </c>
      <c r="J40" s="679">
        <f t="shared" si="33"/>
        <v>4976.5136098635412</v>
      </c>
      <c r="K40" s="528" t="e">
        <f t="shared" si="33"/>
        <v>#REF!</v>
      </c>
      <c r="L40" s="528">
        <f t="shared" si="33"/>
        <v>6173.5548505492334</v>
      </c>
      <c r="M40" s="528">
        <f t="shared" si="33"/>
        <v>6245.5494505492334</v>
      </c>
      <c r="N40" s="528">
        <f t="shared" ref="N40" si="35">SUM(N32:N39)</f>
        <v>6579.141200549233</v>
      </c>
      <c r="O40" s="680">
        <f t="shared" si="33"/>
        <v>5982.9434505492336</v>
      </c>
      <c r="P40" s="680">
        <f t="shared" ref="P40" si="36">SUM(P32:P39)</f>
        <v>6735.6904505492339</v>
      </c>
    </row>
    <row r="41" spans="1:16" x14ac:dyDescent="0.3">
      <c r="A41" s="93" t="s">
        <v>183</v>
      </c>
      <c r="B41" s="99" t="s">
        <v>184</v>
      </c>
      <c r="C41" s="146" t="s">
        <v>214</v>
      </c>
      <c r="D41" s="146" t="s">
        <v>214</v>
      </c>
      <c r="E41" s="146" t="s">
        <v>214</v>
      </c>
      <c r="F41" s="518" t="s">
        <v>214</v>
      </c>
      <c r="G41" s="518" t="str">
        <f>+C41</f>
        <v>***</v>
      </c>
      <c r="H41" s="518" t="str">
        <f>+E41</f>
        <v>***</v>
      </c>
      <c r="I41" s="155" t="str">
        <f>+C41</f>
        <v>***</v>
      </c>
      <c r="J41" s="96" t="str">
        <f>+C41</f>
        <v>***</v>
      </c>
      <c r="K41" s="533" t="str">
        <f>+O41</f>
        <v>***</v>
      </c>
      <c r="L41" s="521" t="s">
        <v>214</v>
      </c>
      <c r="M41" s="521" t="s">
        <v>214</v>
      </c>
      <c r="N41" s="521" t="s">
        <v>214</v>
      </c>
      <c r="O41" s="174" t="s">
        <v>214</v>
      </c>
      <c r="P41" s="174" t="s">
        <v>214</v>
      </c>
    </row>
    <row r="42" spans="1:16" x14ac:dyDescent="0.3">
      <c r="A42" s="93" t="s">
        <v>185</v>
      </c>
      <c r="B42" s="99" t="s">
        <v>186</v>
      </c>
      <c r="C42" s="146" t="str">
        <f t="shared" ref="C42:E43" si="37">+G42</f>
        <v>**</v>
      </c>
      <c r="D42" s="146" t="str">
        <f t="shared" si="37"/>
        <v>**</v>
      </c>
      <c r="E42" s="146" t="str">
        <f t="shared" si="37"/>
        <v>**</v>
      </c>
      <c r="F42" s="146" t="s">
        <v>212</v>
      </c>
      <c r="G42" s="146" t="s">
        <v>212</v>
      </c>
      <c r="H42" s="146" t="s">
        <v>212</v>
      </c>
      <c r="I42" s="156" t="s">
        <v>212</v>
      </c>
      <c r="J42" s="96" t="s">
        <v>212</v>
      </c>
      <c r="K42" s="533" t="str">
        <f>+O42</f>
        <v>**</v>
      </c>
      <c r="L42" s="148" t="s">
        <v>212</v>
      </c>
      <c r="M42" s="148" t="s">
        <v>212</v>
      </c>
      <c r="N42" s="148" t="s">
        <v>212</v>
      </c>
      <c r="O42" s="167" t="s">
        <v>212</v>
      </c>
      <c r="P42" s="167" t="s">
        <v>212</v>
      </c>
    </row>
    <row r="43" spans="1:16" x14ac:dyDescent="0.3">
      <c r="A43" s="93" t="s">
        <v>187</v>
      </c>
      <c r="B43" s="99" t="s">
        <v>188</v>
      </c>
      <c r="C43" s="146" t="str">
        <f t="shared" si="37"/>
        <v>****</v>
      </c>
      <c r="D43" s="146" t="str">
        <f t="shared" si="37"/>
        <v>****</v>
      </c>
      <c r="E43" s="146" t="str">
        <f t="shared" si="37"/>
        <v>****</v>
      </c>
      <c r="F43" s="146" t="s">
        <v>216</v>
      </c>
      <c r="G43" s="146" t="s">
        <v>216</v>
      </c>
      <c r="H43" s="146" t="s">
        <v>216</v>
      </c>
      <c r="I43" s="97" t="str">
        <f>+G43</f>
        <v>****</v>
      </c>
      <c r="J43" s="96" t="str">
        <f>+I43</f>
        <v>****</v>
      </c>
      <c r="K43" s="533" t="str">
        <f>+J43</f>
        <v>****</v>
      </c>
      <c r="L43" s="148" t="s">
        <v>216</v>
      </c>
      <c r="M43" s="148" t="s">
        <v>216</v>
      </c>
      <c r="N43" s="148" t="s">
        <v>216</v>
      </c>
      <c r="O43" s="170" t="str">
        <f>+J43</f>
        <v>****</v>
      </c>
      <c r="P43" s="170" t="str">
        <f>+K43</f>
        <v>****</v>
      </c>
    </row>
    <row r="44" spans="1:16" x14ac:dyDescent="0.3">
      <c r="A44" s="100" t="s">
        <v>189</v>
      </c>
      <c r="B44" s="129" t="s">
        <v>190</v>
      </c>
      <c r="C44" s="530">
        <f t="shared" ref="C44:O44" si="38">+C40</f>
        <v>5065.6682548635399</v>
      </c>
      <c r="D44" s="530">
        <f t="shared" ref="D44:E44" si="39">+D40</f>
        <v>5225.8029548635404</v>
      </c>
      <c r="E44" s="530">
        <f t="shared" si="39"/>
        <v>5385.9376548635391</v>
      </c>
      <c r="F44" s="530">
        <f t="shared" si="38"/>
        <v>5466.0050048635394</v>
      </c>
      <c r="G44" s="530">
        <f t="shared" si="38"/>
        <v>5866.3417548635398</v>
      </c>
      <c r="H44" s="530">
        <f t="shared" ref="H44" si="40">+H40</f>
        <v>3616.8694548635399</v>
      </c>
      <c r="I44" s="530">
        <f t="shared" si="38"/>
        <v>4126.7364073635408</v>
      </c>
      <c r="J44" s="681">
        <f t="shared" si="38"/>
        <v>4976.5136098635412</v>
      </c>
      <c r="K44" s="530" t="e">
        <f t="shared" si="38"/>
        <v>#REF!</v>
      </c>
      <c r="L44" s="530">
        <f t="shared" ref="L44" si="41">+L40</f>
        <v>6173.5548505492334</v>
      </c>
      <c r="M44" s="530">
        <f t="shared" si="38"/>
        <v>6245.5494505492334</v>
      </c>
      <c r="N44" s="530">
        <f t="shared" ref="N44" si="42">+N40</f>
        <v>6579.141200549233</v>
      </c>
      <c r="O44" s="681">
        <f t="shared" si="38"/>
        <v>5982.9434505492336</v>
      </c>
      <c r="P44" s="681">
        <f t="shared" ref="P44" si="43">+P40</f>
        <v>6735.6904505492339</v>
      </c>
    </row>
    <row r="45" spans="1:16" x14ac:dyDescent="0.3">
      <c r="A45" s="93" t="s">
        <v>191</v>
      </c>
      <c r="B45" s="99" t="s">
        <v>150</v>
      </c>
      <c r="C45" s="146" t="s">
        <v>214</v>
      </c>
      <c r="D45" s="146" t="s">
        <v>214</v>
      </c>
      <c r="E45" s="146" t="s">
        <v>214</v>
      </c>
      <c r="F45" s="146" t="s">
        <v>214</v>
      </c>
      <c r="G45" s="146" t="str">
        <f>+C45</f>
        <v>***</v>
      </c>
      <c r="H45" s="146" t="str">
        <f>+E45</f>
        <v>***</v>
      </c>
      <c r="I45" s="97" t="str">
        <f>+G45</f>
        <v>***</v>
      </c>
      <c r="J45" s="96" t="str">
        <f>+I45</f>
        <v>***</v>
      </c>
      <c r="K45" s="533" t="str">
        <f>+G45</f>
        <v>***</v>
      </c>
      <c r="L45" s="148" t="str">
        <f t="shared" ref="L45:N47" si="44">+E45</f>
        <v>***</v>
      </c>
      <c r="M45" s="148" t="str">
        <f t="shared" si="44"/>
        <v>***</v>
      </c>
      <c r="N45" s="148" t="str">
        <f t="shared" si="44"/>
        <v>***</v>
      </c>
      <c r="O45" s="170" t="s">
        <v>214</v>
      </c>
      <c r="P45" s="170" t="s">
        <v>214</v>
      </c>
    </row>
    <row r="46" spans="1:16" x14ac:dyDescent="0.3">
      <c r="A46" s="93" t="s">
        <v>192</v>
      </c>
      <c r="B46" s="94" t="s">
        <v>193</v>
      </c>
      <c r="C46" s="146" t="str">
        <f t="shared" ref="C46:E47" si="45">+G46</f>
        <v>*****</v>
      </c>
      <c r="D46" s="146" t="str">
        <f t="shared" si="45"/>
        <v>*****</v>
      </c>
      <c r="E46" s="146" t="str">
        <f t="shared" si="45"/>
        <v>N.A.</v>
      </c>
      <c r="F46" s="146" t="s">
        <v>218</v>
      </c>
      <c r="G46" s="146" t="s">
        <v>218</v>
      </c>
      <c r="H46" s="146" t="s">
        <v>218</v>
      </c>
      <c r="I46" s="97" t="s">
        <v>236</v>
      </c>
      <c r="J46" s="96" t="s">
        <v>194</v>
      </c>
      <c r="K46" s="533" t="str">
        <f>+G46</f>
        <v>*****</v>
      </c>
      <c r="L46" s="148" t="str">
        <f t="shared" si="44"/>
        <v>N.A.</v>
      </c>
      <c r="M46" s="148" t="str">
        <f t="shared" si="44"/>
        <v>*****</v>
      </c>
      <c r="N46" s="148" t="str">
        <f t="shared" si="44"/>
        <v>*****</v>
      </c>
      <c r="O46" s="170" t="s">
        <v>237</v>
      </c>
      <c r="P46" s="170" t="s">
        <v>237</v>
      </c>
    </row>
    <row r="47" spans="1:16" x14ac:dyDescent="0.3">
      <c r="A47" s="93" t="s">
        <v>195</v>
      </c>
      <c r="B47" s="99" t="s">
        <v>272</v>
      </c>
      <c r="C47" s="146" t="str">
        <f t="shared" si="45"/>
        <v>******</v>
      </c>
      <c r="D47" s="146" t="str">
        <f t="shared" si="45"/>
        <v>******</v>
      </c>
      <c r="E47" s="146" t="str">
        <f t="shared" si="45"/>
        <v>******</v>
      </c>
      <c r="F47" s="146" t="s">
        <v>219</v>
      </c>
      <c r="G47" s="146" t="s">
        <v>219</v>
      </c>
      <c r="H47" s="146" t="s">
        <v>219</v>
      </c>
      <c r="I47" s="156" t="str">
        <f>+G47</f>
        <v>******</v>
      </c>
      <c r="J47" s="98" t="str">
        <f>+I47</f>
        <v>******</v>
      </c>
      <c r="K47" s="533" t="str">
        <f>+G47</f>
        <v>******</v>
      </c>
      <c r="L47" s="148" t="str">
        <f t="shared" si="44"/>
        <v>******</v>
      </c>
      <c r="M47" s="148" t="str">
        <f t="shared" si="44"/>
        <v>******</v>
      </c>
      <c r="N47" s="148" t="str">
        <f t="shared" si="44"/>
        <v>******</v>
      </c>
      <c r="O47" s="167" t="str">
        <f>+K47</f>
        <v>******</v>
      </c>
      <c r="P47" s="167" t="str">
        <f>+M47</f>
        <v>******</v>
      </c>
    </row>
    <row r="48" spans="1:16" ht="15" thickBot="1" x14ac:dyDescent="0.35">
      <c r="A48" s="104" t="s">
        <v>197</v>
      </c>
      <c r="B48" s="105" t="s">
        <v>198</v>
      </c>
      <c r="C48" s="157"/>
      <c r="D48" s="157"/>
      <c r="E48" s="157"/>
      <c r="F48" s="157"/>
      <c r="G48" s="108"/>
      <c r="H48" s="158"/>
      <c r="I48" s="158"/>
      <c r="J48" s="107"/>
      <c r="K48" s="158"/>
      <c r="L48" s="158"/>
      <c r="M48" s="158"/>
      <c r="N48" s="158"/>
      <c r="O48" s="175"/>
      <c r="P48" s="175"/>
    </row>
    <row r="49" spans="1:23" ht="15" thickTop="1" x14ac:dyDescent="0.3"/>
    <row r="51" spans="1:23" x14ac:dyDescent="0.3">
      <c r="A51" s="112"/>
      <c r="B51" s="210" t="s">
        <v>210</v>
      </c>
      <c r="C51" s="162"/>
      <c r="D51" s="162"/>
      <c r="E51" s="162"/>
      <c r="F51" s="162"/>
      <c r="G51" s="162"/>
      <c r="H51" s="162"/>
      <c r="I51" s="162"/>
      <c r="J51" s="162"/>
      <c r="K51" s="142"/>
      <c r="L51" s="142"/>
      <c r="M51" s="142"/>
      <c r="N51" s="142"/>
      <c r="O51" s="142"/>
      <c r="P51" s="142"/>
      <c r="Q51" s="142"/>
      <c r="R51" s="142"/>
      <c r="S51" s="142"/>
      <c r="T51" s="142"/>
      <c r="U51" s="142"/>
      <c r="V51" s="142"/>
      <c r="W51" s="142"/>
    </row>
    <row r="52" spans="1:23" x14ac:dyDescent="0.3">
      <c r="A52" s="112"/>
      <c r="B52" s="133"/>
      <c r="C52" s="162"/>
      <c r="D52" s="162"/>
      <c r="E52" s="162"/>
      <c r="F52" s="162"/>
      <c r="G52" s="162"/>
      <c r="H52" s="162"/>
      <c r="I52" s="162"/>
      <c r="J52" s="162"/>
      <c r="K52" s="142"/>
      <c r="L52" s="142"/>
      <c r="M52" s="142"/>
      <c r="N52" s="142"/>
      <c r="O52" s="142"/>
      <c r="P52" s="142"/>
      <c r="Q52" s="142"/>
      <c r="R52" s="142"/>
      <c r="S52" s="142"/>
      <c r="T52" s="142"/>
      <c r="U52" s="142"/>
      <c r="V52" s="142"/>
      <c r="W52" s="142"/>
    </row>
    <row r="53" spans="1:23" ht="15" customHeight="1" x14ac:dyDescent="0.3">
      <c r="A53" s="112" t="s">
        <v>173</v>
      </c>
      <c r="B53" s="915" t="str">
        <f>+VAUPES!B28</f>
        <v>De acuerdo con lo establecido en la Resoluccion 91349 de 2014 del MME para combustible de origen nacional o importado a ser distribuido en zonas de frontera, aplica la tarifa de marcación o remarcación vigente a la fecha según corresponda</v>
      </c>
      <c r="C53" s="915"/>
      <c r="D53" s="915"/>
      <c r="E53" s="915"/>
      <c r="F53" s="915"/>
      <c r="G53" s="915"/>
      <c r="H53" s="915"/>
      <c r="I53" s="915"/>
      <c r="J53" s="915"/>
      <c r="K53" s="915"/>
      <c r="L53" s="915"/>
      <c r="M53" s="915"/>
      <c r="N53" s="915"/>
      <c r="O53" s="915"/>
      <c r="P53" s="915"/>
      <c r="Q53" s="915"/>
      <c r="R53" s="163"/>
      <c r="S53" s="163"/>
      <c r="T53" s="163"/>
      <c r="U53" s="163"/>
      <c r="V53" s="163"/>
      <c r="W53" s="163"/>
    </row>
    <row r="54" spans="1:23" ht="26.4" customHeight="1" x14ac:dyDescent="0.3">
      <c r="A54" s="112" t="s">
        <v>200</v>
      </c>
      <c r="B54" s="893" t="s">
        <v>251</v>
      </c>
      <c r="C54" s="893"/>
      <c r="D54" s="893"/>
      <c r="E54" s="893"/>
      <c r="F54" s="893"/>
      <c r="G54" s="893"/>
      <c r="H54" s="893"/>
      <c r="I54" s="893"/>
      <c r="J54" s="893"/>
      <c r="K54" s="893"/>
      <c r="L54" s="893"/>
      <c r="M54" s="893"/>
      <c r="N54" s="893"/>
      <c r="O54" s="893"/>
      <c r="P54" s="893"/>
      <c r="Q54" s="893"/>
      <c r="R54" s="142"/>
      <c r="S54" s="142"/>
      <c r="T54" s="142"/>
      <c r="U54" s="142"/>
      <c r="V54" s="142"/>
      <c r="W54" s="142"/>
    </row>
    <row r="55" spans="1:23" ht="54.75" customHeight="1" x14ac:dyDescent="0.3">
      <c r="A55" s="112" t="s">
        <v>130</v>
      </c>
      <c r="B55" s="915" t="s">
        <v>307</v>
      </c>
      <c r="C55" s="915"/>
      <c r="D55" s="915"/>
      <c r="E55" s="915"/>
      <c r="F55" s="915"/>
      <c r="G55" s="915"/>
      <c r="H55" s="915"/>
      <c r="I55" s="915"/>
      <c r="J55" s="915"/>
      <c r="K55" s="915"/>
      <c r="L55" s="915"/>
      <c r="M55" s="915"/>
      <c r="N55" s="915"/>
      <c r="O55" s="915"/>
      <c r="P55" s="915"/>
      <c r="Q55" s="915"/>
      <c r="R55" s="142"/>
      <c r="S55" s="142"/>
      <c r="T55" s="142"/>
      <c r="U55" s="142"/>
      <c r="V55" s="142"/>
      <c r="W55" s="142"/>
    </row>
    <row r="56" spans="1:23" ht="43.8" customHeight="1" x14ac:dyDescent="0.3">
      <c r="A56" s="112" t="s">
        <v>201</v>
      </c>
      <c r="B56" s="914" t="s">
        <v>376</v>
      </c>
      <c r="C56" s="914"/>
      <c r="D56" s="914"/>
      <c r="E56" s="914"/>
      <c r="F56" s="914"/>
      <c r="G56" s="914"/>
      <c r="H56" s="914"/>
      <c r="I56" s="914"/>
      <c r="J56" s="914"/>
      <c r="K56" s="914"/>
      <c r="L56" s="914"/>
      <c r="M56" s="914"/>
      <c r="N56" s="914"/>
      <c r="O56" s="914"/>
      <c r="P56" s="914"/>
      <c r="Q56" s="914"/>
      <c r="R56" s="142"/>
      <c r="S56" s="142"/>
      <c r="T56" s="142"/>
      <c r="U56" s="142"/>
      <c r="V56" s="142"/>
      <c r="W56" s="142"/>
    </row>
    <row r="57" spans="1:23" ht="12" customHeight="1" x14ac:dyDescent="0.3">
      <c r="A57" s="112"/>
      <c r="B57" s="966"/>
      <c r="C57" s="966"/>
      <c r="D57" s="966"/>
      <c r="E57" s="966"/>
      <c r="F57" s="966"/>
      <c r="G57" s="966"/>
      <c r="H57" s="966"/>
      <c r="I57" s="966"/>
      <c r="J57" s="966"/>
      <c r="K57" s="966"/>
      <c r="L57" s="966"/>
      <c r="M57" s="966"/>
      <c r="N57" s="966"/>
      <c r="O57" s="966"/>
      <c r="P57" s="966"/>
      <c r="Q57" s="966"/>
      <c r="R57" s="142"/>
      <c r="S57" s="142"/>
      <c r="T57" s="142"/>
      <c r="U57" s="142"/>
      <c r="V57" s="142"/>
      <c r="W57" s="142"/>
    </row>
    <row r="58" spans="1:23" ht="15" customHeight="1" x14ac:dyDescent="0.3">
      <c r="A58" s="134" t="s">
        <v>102</v>
      </c>
      <c r="B58" s="892" t="s">
        <v>211</v>
      </c>
      <c r="C58" s="892"/>
      <c r="D58" s="892"/>
      <c r="E58" s="892"/>
      <c r="F58" s="892"/>
      <c r="G58" s="892"/>
      <c r="H58" s="892"/>
      <c r="I58" s="892"/>
      <c r="J58" s="892"/>
      <c r="K58" s="892"/>
      <c r="L58" s="892"/>
      <c r="M58" s="892"/>
      <c r="N58" s="892"/>
      <c r="O58" s="892"/>
      <c r="P58" s="892"/>
      <c r="Q58" s="892"/>
      <c r="R58" s="142"/>
      <c r="S58" s="142"/>
      <c r="T58" s="142"/>
      <c r="U58" s="142"/>
      <c r="V58" s="142"/>
      <c r="W58" s="142"/>
    </row>
    <row r="59" spans="1:23" ht="15" customHeight="1" x14ac:dyDescent="0.3">
      <c r="A59" s="134" t="s">
        <v>212</v>
      </c>
      <c r="B59" s="915" t="s">
        <v>271</v>
      </c>
      <c r="C59" s="915"/>
      <c r="D59" s="915"/>
      <c r="E59" s="915"/>
      <c r="F59" s="915"/>
      <c r="G59" s="915"/>
      <c r="H59" s="915"/>
      <c r="I59" s="915"/>
      <c r="J59" s="915"/>
      <c r="K59" s="915"/>
      <c r="L59" s="915"/>
      <c r="M59" s="915"/>
      <c r="N59" s="915"/>
      <c r="O59" s="915"/>
      <c r="P59" s="915"/>
      <c r="Q59" s="915"/>
      <c r="R59" s="142"/>
      <c r="S59" s="142"/>
      <c r="T59" s="142"/>
      <c r="U59" s="142"/>
      <c r="V59" s="142"/>
      <c r="W59" s="142"/>
    </row>
    <row r="60" spans="1:23" ht="15" customHeight="1" x14ac:dyDescent="0.3">
      <c r="A60" s="112" t="s">
        <v>214</v>
      </c>
      <c r="B60" s="915" t="s">
        <v>215</v>
      </c>
      <c r="C60" s="915"/>
      <c r="D60" s="915"/>
      <c r="E60" s="915"/>
      <c r="F60" s="915"/>
      <c r="G60" s="915"/>
      <c r="H60" s="915"/>
      <c r="I60" s="915"/>
      <c r="J60" s="915"/>
      <c r="K60" s="915"/>
      <c r="L60" s="915"/>
      <c r="M60" s="915"/>
      <c r="N60" s="915"/>
      <c r="O60" s="915"/>
      <c r="P60" s="112"/>
      <c r="Q60" s="892"/>
      <c r="R60" s="892"/>
      <c r="S60" s="892"/>
      <c r="T60" s="892"/>
      <c r="U60" s="892"/>
      <c r="V60" s="892"/>
      <c r="W60" s="892"/>
    </row>
    <row r="61" spans="1:23" ht="15" customHeight="1" x14ac:dyDescent="0.3">
      <c r="A61" s="112" t="s">
        <v>216</v>
      </c>
      <c r="B61" s="892" t="s">
        <v>429</v>
      </c>
      <c r="C61" s="892"/>
      <c r="D61" s="892"/>
      <c r="E61" s="892"/>
      <c r="F61" s="892"/>
      <c r="G61" s="892"/>
      <c r="H61" s="892"/>
      <c r="I61" s="892"/>
      <c r="J61" s="892"/>
      <c r="K61" s="892"/>
      <c r="L61" s="892"/>
      <c r="M61" s="892"/>
      <c r="N61" s="892"/>
      <c r="O61" s="892"/>
      <c r="P61" s="112"/>
      <c r="Q61" s="279"/>
      <c r="R61" s="279"/>
      <c r="S61" s="279"/>
      <c r="T61" s="279"/>
      <c r="U61" s="279"/>
      <c r="V61" s="279"/>
      <c r="W61" s="279"/>
    </row>
    <row r="62" spans="1:23" x14ac:dyDescent="0.3">
      <c r="A62" s="134" t="s">
        <v>218</v>
      </c>
      <c r="B62" s="915" t="s">
        <v>220</v>
      </c>
      <c r="C62" s="915"/>
      <c r="D62" s="915"/>
      <c r="E62" s="915"/>
      <c r="F62" s="915"/>
      <c r="G62" s="915"/>
      <c r="H62" s="915"/>
      <c r="I62" s="915"/>
      <c r="J62" s="915"/>
      <c r="K62" s="915"/>
      <c r="L62" s="915"/>
      <c r="M62" s="915"/>
      <c r="N62" s="915"/>
      <c r="O62" s="915"/>
      <c r="P62" s="915"/>
      <c r="Q62" s="915"/>
      <c r="R62" s="142"/>
      <c r="S62" s="142"/>
      <c r="T62" s="142"/>
      <c r="U62" s="142"/>
      <c r="V62" s="142"/>
      <c r="W62" s="142"/>
    </row>
    <row r="63" spans="1:23" x14ac:dyDescent="0.3">
      <c r="A63" s="134" t="s">
        <v>219</v>
      </c>
      <c r="B63" s="915" t="s">
        <v>273</v>
      </c>
      <c r="C63" s="915"/>
      <c r="D63" s="915"/>
      <c r="E63" s="915"/>
      <c r="F63" s="915"/>
      <c r="G63" s="915"/>
      <c r="H63" s="915"/>
      <c r="I63" s="915"/>
      <c r="J63" s="915"/>
      <c r="K63" s="915"/>
      <c r="L63" s="915"/>
      <c r="M63" s="915"/>
      <c r="N63" s="915"/>
      <c r="O63" s="915"/>
      <c r="P63" s="915"/>
      <c r="Q63" s="915"/>
      <c r="R63" s="142"/>
      <c r="S63" s="142"/>
      <c r="T63" s="142"/>
      <c r="U63" s="142"/>
      <c r="V63" s="142"/>
      <c r="W63" s="142"/>
    </row>
    <row r="65" spans="2:18" ht="88.05" customHeight="1" x14ac:dyDescent="0.3">
      <c r="B65" s="895" t="s">
        <v>137</v>
      </c>
      <c r="C65" s="895"/>
      <c r="D65" s="895"/>
      <c r="E65" s="895"/>
      <c r="F65" s="895"/>
      <c r="G65" s="895"/>
      <c r="H65" s="895"/>
      <c r="I65" s="895"/>
      <c r="J65" s="895"/>
      <c r="K65" s="895"/>
      <c r="L65" s="895"/>
      <c r="M65" s="895"/>
      <c r="N65" s="895"/>
      <c r="O65" s="895"/>
      <c r="P65" s="895"/>
      <c r="Q65" s="895"/>
      <c r="R65" s="895"/>
    </row>
  </sheetData>
  <sheetProtection algorithmName="SHA-512" hashValue="6nyvP28zUZQT0o/m656yPJUtMWozf6+5kTfFREVKOHtwXnIwdIwky0ss1Hz29Gr3DJu/st8SQreel3ByHgrG4w==" saltValue="7E6w6A3EI9eVovrygmhmcg==" spinCount="100000" sheet="1" objects="1" scenarios="1"/>
  <mergeCells count="23">
    <mergeCell ref="B53:Q53"/>
    <mergeCell ref="C3:J4"/>
    <mergeCell ref="A5:A7"/>
    <mergeCell ref="B5:B7"/>
    <mergeCell ref="C5:C6"/>
    <mergeCell ref="C27:J28"/>
    <mergeCell ref="A29:A31"/>
    <mergeCell ref="B29:B31"/>
    <mergeCell ref="C29:C30"/>
    <mergeCell ref="K3:P4"/>
    <mergeCell ref="K27:P28"/>
    <mergeCell ref="B61:O61"/>
    <mergeCell ref="B62:Q62"/>
    <mergeCell ref="B63:Q63"/>
    <mergeCell ref="B65:R65"/>
    <mergeCell ref="B54:Q54"/>
    <mergeCell ref="B55:Q55"/>
    <mergeCell ref="B58:Q58"/>
    <mergeCell ref="B59:Q59"/>
    <mergeCell ref="B60:O60"/>
    <mergeCell ref="Q60:W60"/>
    <mergeCell ref="B56:Q56"/>
    <mergeCell ref="B57:Q57"/>
  </mergeCells>
  <hyperlinks>
    <hyperlink ref="B51" location="VAUPES!A40" display="Ver Nota Informativa" xr:uid="{00000000-0004-0000-1500-000000000000}"/>
  </hyperlinks>
  <pageMargins left="0.7" right="0.7" top="0.75" bottom="0.75" header="0.3" footer="0.3"/>
  <pageSetup orientation="portrait" r:id="rId1"/>
  <ignoredErrors>
    <ignoredError sqref="L8:L9" formula="1"/>
    <ignoredError sqref="L10:L12" numberStoredAsText="1" formula="1"/>
    <ignoredError sqref="C35:E36"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dimension ref="A1:K31"/>
  <sheetViews>
    <sheetView showGridLines="0" zoomScale="85" zoomScaleNormal="85" workbookViewId="0">
      <selection activeCell="F14" sqref="F14"/>
    </sheetView>
  </sheetViews>
  <sheetFormatPr baseColWidth="10" defaultRowHeight="14.4" x14ac:dyDescent="0.3"/>
  <cols>
    <col min="1" max="1" width="65.77734375" customWidth="1"/>
    <col min="2" max="2" width="32.21875" customWidth="1"/>
    <col min="3" max="3" width="31" customWidth="1"/>
    <col min="4" max="4" width="25.6640625" hidden="1" customWidth="1"/>
    <col min="7" max="8" width="0" hidden="1" customWidth="1"/>
  </cols>
  <sheetData>
    <row r="1" spans="1:7" x14ac:dyDescent="0.3">
      <c r="A1" s="967" t="s">
        <v>274</v>
      </c>
      <c r="B1" s="967"/>
      <c r="C1" s="967"/>
      <c r="D1" s="967"/>
      <c r="E1" s="250">
        <v>2826.91</v>
      </c>
    </row>
    <row r="2" spans="1:7" x14ac:dyDescent="0.3">
      <c r="A2" s="967" t="s">
        <v>275</v>
      </c>
      <c r="B2" s="967"/>
      <c r="C2" s="967"/>
      <c r="D2" s="967"/>
      <c r="E2" s="249"/>
    </row>
    <row r="3" spans="1:7" x14ac:dyDescent="0.3">
      <c r="A3" s="967" t="s">
        <v>276</v>
      </c>
      <c r="B3" s="967"/>
      <c r="C3" s="967"/>
      <c r="D3" s="967"/>
      <c r="E3" s="249"/>
    </row>
    <row r="4" spans="1:7" x14ac:dyDescent="0.3">
      <c r="A4" s="248"/>
      <c r="B4" s="248"/>
      <c r="C4" s="249"/>
      <c r="D4" s="249"/>
      <c r="E4" s="249"/>
    </row>
    <row r="5" spans="1:7" ht="15" thickBot="1" x14ac:dyDescent="0.35">
      <c r="A5" s="251" t="str">
        <f>+AMAZONAS!C1</f>
        <v>Vigencia: 01 de Octubre de 2022; 00:00 horas</v>
      </c>
      <c r="B5" s="248"/>
      <c r="D5" s="536" t="s">
        <v>460</v>
      </c>
      <c r="E5" s="249"/>
    </row>
    <row r="6" spans="1:7" ht="16.05" customHeight="1" thickTop="1" x14ac:dyDescent="0.3">
      <c r="A6" s="968" t="s">
        <v>277</v>
      </c>
      <c r="B6" s="970" t="s">
        <v>438</v>
      </c>
      <c r="C6" s="970" t="s">
        <v>439</v>
      </c>
      <c r="D6" s="972" t="s">
        <v>461</v>
      </c>
      <c r="E6" s="249"/>
    </row>
    <row r="7" spans="1:7" ht="31.8" customHeight="1" x14ac:dyDescent="0.3">
      <c r="A7" s="969"/>
      <c r="B7" s="971"/>
      <c r="C7" s="971"/>
      <c r="D7" s="898"/>
      <c r="E7" s="249"/>
    </row>
    <row r="8" spans="1:7" x14ac:dyDescent="0.3">
      <c r="A8" s="260" t="s">
        <v>278</v>
      </c>
      <c r="B8" s="261">
        <f>+BIODIESEL!C6</f>
        <v>4632.25</v>
      </c>
      <c r="C8" s="262">
        <f>+BIODIESEL!E9</f>
        <v>4944.5761999999995</v>
      </c>
      <c r="D8" s="263">
        <f>+BIODIESEL!F9</f>
        <v>5100.7318000000005</v>
      </c>
      <c r="E8" s="249"/>
      <c r="F8" s="393"/>
      <c r="G8" s="351"/>
    </row>
    <row r="9" spans="1:7" x14ac:dyDescent="0.3">
      <c r="A9" s="260" t="s">
        <v>279</v>
      </c>
      <c r="B9" s="262" t="s">
        <v>130</v>
      </c>
      <c r="C9" s="262" t="s">
        <v>130</v>
      </c>
      <c r="D9" s="263" t="s">
        <v>130</v>
      </c>
      <c r="E9" s="249"/>
      <c r="F9" s="393"/>
    </row>
    <row r="10" spans="1:7" x14ac:dyDescent="0.3">
      <c r="A10" s="260" t="s">
        <v>471</v>
      </c>
      <c r="B10" s="262">
        <f>+BIODIESEL!C12</f>
        <v>191</v>
      </c>
      <c r="C10" s="262">
        <f>+BIODIESEL!E12</f>
        <v>187.18</v>
      </c>
      <c r="D10" s="263">
        <f>+BIODIESEL!F12</f>
        <v>185.26999999999998</v>
      </c>
      <c r="E10" s="249"/>
      <c r="F10" s="393"/>
    </row>
    <row r="11" spans="1:7" x14ac:dyDescent="0.3">
      <c r="A11" s="260" t="s">
        <v>280</v>
      </c>
      <c r="B11" s="264">
        <f>+BIODIESEL!D13</f>
        <v>8.6314000000000011</v>
      </c>
      <c r="C11" s="264">
        <f>+BIODIESEL!E13</f>
        <v>8.6314000000000011</v>
      </c>
      <c r="D11" s="265">
        <f>+C11</f>
        <v>8.6314000000000011</v>
      </c>
      <c r="E11" s="249"/>
    </row>
    <row r="12" spans="1:7" x14ac:dyDescent="0.3">
      <c r="A12" s="266" t="s">
        <v>281</v>
      </c>
      <c r="B12" s="267" t="s">
        <v>127</v>
      </c>
      <c r="C12" s="267" t="s">
        <v>127</v>
      </c>
      <c r="D12" s="268" t="s">
        <v>127</v>
      </c>
      <c r="E12" s="249"/>
    </row>
    <row r="13" spans="1:7" hidden="1" x14ac:dyDescent="0.3">
      <c r="A13" s="269" t="s">
        <v>282</v>
      </c>
      <c r="B13" s="264"/>
      <c r="C13" s="264"/>
      <c r="D13" s="265"/>
      <c r="E13" s="249"/>
    </row>
    <row r="14" spans="1:7" x14ac:dyDescent="0.3">
      <c r="A14" s="266" t="s">
        <v>283</v>
      </c>
      <c r="B14" s="267" t="s">
        <v>173</v>
      </c>
      <c r="C14" s="267" t="s">
        <v>173</v>
      </c>
      <c r="D14" s="268" t="s">
        <v>173</v>
      </c>
      <c r="E14" s="249"/>
    </row>
    <row r="15" spans="1:7" x14ac:dyDescent="0.3">
      <c r="A15" s="266" t="s">
        <v>284</v>
      </c>
      <c r="B15" s="264" t="s">
        <v>135</v>
      </c>
      <c r="C15" s="264" t="s">
        <v>135</v>
      </c>
      <c r="D15" s="265" t="s">
        <v>135</v>
      </c>
      <c r="E15" s="249"/>
    </row>
    <row r="16" spans="1:7" x14ac:dyDescent="0.3">
      <c r="A16" s="266" t="s">
        <v>285</v>
      </c>
      <c r="B16" s="264" t="s">
        <v>132</v>
      </c>
      <c r="C16" s="264" t="s">
        <v>132</v>
      </c>
      <c r="D16" s="265" t="s">
        <v>132</v>
      </c>
      <c r="E16" s="249"/>
    </row>
    <row r="17" spans="1:11" ht="15" thickBot="1" x14ac:dyDescent="0.35">
      <c r="A17" s="270" t="s">
        <v>286</v>
      </c>
      <c r="B17" s="271" t="s">
        <v>200</v>
      </c>
      <c r="C17" s="271" t="s">
        <v>200</v>
      </c>
      <c r="D17" s="272" t="s">
        <v>200</v>
      </c>
      <c r="E17" s="249"/>
    </row>
    <row r="18" spans="1:11" ht="15" thickTop="1" x14ac:dyDescent="0.3">
      <c r="A18" s="259" t="s">
        <v>287</v>
      </c>
      <c r="B18" s="252"/>
      <c r="C18" s="249"/>
      <c r="D18" s="249"/>
      <c r="E18" s="249"/>
    </row>
    <row r="19" spans="1:11" x14ac:dyDescent="0.3">
      <c r="A19" s="253" t="s">
        <v>148</v>
      </c>
      <c r="B19" s="254"/>
      <c r="C19" s="249"/>
      <c r="D19" s="249"/>
      <c r="E19" s="249"/>
    </row>
    <row r="20" spans="1:11" x14ac:dyDescent="0.3">
      <c r="A20" s="210" t="s">
        <v>210</v>
      </c>
      <c r="B20" s="254"/>
      <c r="C20" s="249"/>
      <c r="D20" s="249"/>
      <c r="E20" s="249"/>
    </row>
    <row r="21" spans="1:11" x14ac:dyDescent="0.3">
      <c r="A21" s="255" t="s">
        <v>288</v>
      </c>
      <c r="B21" s="256"/>
      <c r="C21" s="249"/>
      <c r="D21" s="249"/>
      <c r="E21" s="249"/>
    </row>
    <row r="22" spans="1:11" x14ac:dyDescent="0.3">
      <c r="A22" s="255" t="s">
        <v>289</v>
      </c>
      <c r="B22" s="257"/>
      <c r="C22" s="249"/>
      <c r="D22" s="356"/>
      <c r="E22" s="249"/>
    </row>
    <row r="23" spans="1:11" x14ac:dyDescent="0.3">
      <c r="A23" s="255" t="s">
        <v>290</v>
      </c>
      <c r="B23" s="258"/>
      <c r="C23" s="249"/>
      <c r="D23" s="249"/>
      <c r="E23" s="249"/>
    </row>
    <row r="24" spans="1:11" ht="12.15" customHeight="1" x14ac:dyDescent="0.3">
      <c r="A24" s="255"/>
      <c r="B24" s="258"/>
      <c r="C24" s="249"/>
      <c r="D24" s="249"/>
      <c r="E24" s="249"/>
    </row>
    <row r="25" spans="1:11" x14ac:dyDescent="0.3">
      <c r="A25" s="253" t="s">
        <v>291</v>
      </c>
      <c r="B25" s="253"/>
      <c r="C25" s="249"/>
      <c r="D25" s="249"/>
      <c r="E25" s="249"/>
    </row>
    <row r="26" spans="1:11" x14ac:dyDescent="0.3">
      <c r="A26" s="253" t="s">
        <v>292</v>
      </c>
      <c r="B26" s="253"/>
      <c r="C26" s="249"/>
      <c r="D26" s="249"/>
      <c r="E26" s="249"/>
    </row>
    <row r="27" spans="1:11" x14ac:dyDescent="0.3">
      <c r="A27" s="973" t="s">
        <v>306</v>
      </c>
      <c r="B27" s="973"/>
      <c r="C27" s="973"/>
      <c r="D27" s="973"/>
      <c r="E27" s="973"/>
    </row>
    <row r="28" spans="1:11" ht="41.4" customHeight="1" x14ac:dyDescent="0.3">
      <c r="A28" s="973"/>
      <c r="B28" s="973"/>
      <c r="C28" s="973"/>
      <c r="D28" s="973"/>
      <c r="E28" s="973"/>
    </row>
    <row r="29" spans="1:11" x14ac:dyDescent="0.3">
      <c r="A29" s="960" t="s">
        <v>419</v>
      </c>
      <c r="B29" s="960"/>
      <c r="C29" s="960"/>
      <c r="D29" s="960"/>
      <c r="E29" s="960"/>
      <c r="F29" s="960"/>
      <c r="G29" s="960"/>
      <c r="H29" s="960"/>
    </row>
    <row r="30" spans="1:11" ht="16.95" customHeight="1" x14ac:dyDescent="0.3">
      <c r="A30" s="966"/>
      <c r="B30" s="966"/>
      <c r="C30" s="966"/>
      <c r="D30" s="966"/>
      <c r="E30" s="966"/>
      <c r="F30" s="578"/>
      <c r="G30" s="578"/>
      <c r="H30" s="578"/>
      <c r="I30" s="578"/>
      <c r="J30" s="578"/>
      <c r="K30" s="578"/>
    </row>
    <row r="31" spans="1:11" ht="90" customHeight="1" x14ac:dyDescent="0.3">
      <c r="A31" s="869" t="s">
        <v>137</v>
      </c>
      <c r="B31" s="869"/>
      <c r="C31" s="869"/>
      <c r="D31" s="869"/>
      <c r="E31" s="869"/>
    </row>
  </sheetData>
  <sheetProtection algorithmName="SHA-512" hashValue="gF3DYYs9T58U+NPNBr4FhtnjpCPV0BJI0drYuOlrq31HXT43APwmvEysakzhLB2F8g2xkfeMySDeQ6Pyvdoz1A==" saltValue="2zNGXA+26h4OHaT0SE3veg==" spinCount="100000" sheet="1" objects="1" scenarios="1"/>
  <mergeCells count="11">
    <mergeCell ref="A1:D1"/>
    <mergeCell ref="A2:D2"/>
    <mergeCell ref="A3:D3"/>
    <mergeCell ref="A31:E31"/>
    <mergeCell ref="A6:A7"/>
    <mergeCell ref="C6:C7"/>
    <mergeCell ref="D6:D7"/>
    <mergeCell ref="A27:E28"/>
    <mergeCell ref="B6:B7"/>
    <mergeCell ref="A29:H29"/>
    <mergeCell ref="A30:E30"/>
  </mergeCells>
  <hyperlinks>
    <hyperlink ref="A20" location="ELECTROCOMBUSTIBLE!A31" display="Ver Nota Informativa" xr:uid="{00000000-0004-0000-16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Q25"/>
  <sheetViews>
    <sheetView showGridLines="0" zoomScale="70" zoomScaleNormal="70" workbookViewId="0">
      <selection activeCell="I165" sqref="I165:L169"/>
    </sheetView>
  </sheetViews>
  <sheetFormatPr baseColWidth="10" defaultRowHeight="14.4" x14ac:dyDescent="0.3"/>
  <cols>
    <col min="3" max="3" width="31.109375" customWidth="1"/>
    <col min="4" max="4" width="19" customWidth="1"/>
    <col min="5" max="5" width="25" customWidth="1"/>
  </cols>
  <sheetData>
    <row r="3" spans="2:17" ht="47.25" customHeight="1" x14ac:dyDescent="0.3"/>
    <row r="5" spans="2:17" ht="28.8" x14ac:dyDescent="0.3">
      <c r="C5" s="399" t="s">
        <v>399</v>
      </c>
      <c r="D5" s="409" t="s">
        <v>400</v>
      </c>
      <c r="E5" s="400" t="s">
        <v>401</v>
      </c>
    </row>
    <row r="6" spans="2:17" x14ac:dyDescent="0.3">
      <c r="B6" s="854" t="s">
        <v>402</v>
      </c>
      <c r="C6" s="401" t="s">
        <v>403</v>
      </c>
      <c r="D6" s="402">
        <v>8.3800000000000008</v>
      </c>
      <c r="E6" s="402" t="s">
        <v>404</v>
      </c>
    </row>
    <row r="7" spans="2:17" ht="15" thickBot="1" x14ac:dyDescent="0.35">
      <c r="B7" s="856"/>
      <c r="C7" s="408" t="s">
        <v>411</v>
      </c>
      <c r="D7" s="402"/>
      <c r="E7" s="402" t="s">
        <v>414</v>
      </c>
      <c r="O7" s="393"/>
    </row>
    <row r="8" spans="2:17" x14ac:dyDescent="0.3">
      <c r="B8" s="854" t="s">
        <v>405</v>
      </c>
      <c r="C8" s="401" t="s">
        <v>409</v>
      </c>
      <c r="D8" s="402">
        <v>8.3800000000000008</v>
      </c>
      <c r="E8" s="402" t="s">
        <v>404</v>
      </c>
      <c r="H8" s="596"/>
      <c r="I8" s="597">
        <v>0.03</v>
      </c>
      <c r="J8" s="599">
        <v>2016</v>
      </c>
      <c r="K8" s="599">
        <v>2017</v>
      </c>
      <c r="L8" s="599">
        <v>2018</v>
      </c>
      <c r="M8" s="599">
        <v>2019</v>
      </c>
      <c r="N8" s="599">
        <v>2020</v>
      </c>
      <c r="O8" s="599">
        <v>2021</v>
      </c>
      <c r="P8" s="599">
        <v>2022</v>
      </c>
    </row>
    <row r="9" spans="2:17" x14ac:dyDescent="0.3">
      <c r="B9" s="855"/>
      <c r="C9" s="408" t="s">
        <v>412</v>
      </c>
      <c r="D9" s="402"/>
      <c r="E9" s="402" t="str">
        <f>+E7</f>
        <v>4,55.</v>
      </c>
      <c r="H9" s="596">
        <v>6.82</v>
      </c>
      <c r="I9" s="598">
        <f t="shared" ref="I9:P11" si="0">+H9*(1+$I$8)</f>
        <v>7.0246000000000004</v>
      </c>
      <c r="J9" s="600">
        <f t="shared" si="0"/>
        <v>7.2353380000000005</v>
      </c>
      <c r="K9" s="600">
        <f t="shared" si="0"/>
        <v>7.4523981400000006</v>
      </c>
      <c r="L9" s="600">
        <f>+K9*(1+$I$8)-0.01</f>
        <v>7.6659700842000014</v>
      </c>
      <c r="M9" s="602">
        <f>+L9*(1+$I$8)</f>
        <v>7.8959491867260017</v>
      </c>
      <c r="N9" s="600">
        <f t="shared" si="0"/>
        <v>8.1328276623277826</v>
      </c>
      <c r="O9" s="600">
        <f>+N9*(1+$I$8)</f>
        <v>8.376812492197617</v>
      </c>
      <c r="P9" s="600">
        <f t="shared" si="0"/>
        <v>8.6281168669635466</v>
      </c>
    </row>
    <row r="10" spans="2:17" x14ac:dyDescent="0.3">
      <c r="B10" s="854" t="s">
        <v>406</v>
      </c>
      <c r="C10" s="401" t="s">
        <v>263</v>
      </c>
      <c r="D10" s="402">
        <v>8.3800000000000008</v>
      </c>
      <c r="E10" s="402" t="s">
        <v>404</v>
      </c>
      <c r="H10" s="596">
        <v>3.7</v>
      </c>
      <c r="I10" s="598">
        <f t="shared" si="0"/>
        <v>3.8110000000000004</v>
      </c>
      <c r="J10" s="600">
        <f t="shared" si="0"/>
        <v>3.9253300000000007</v>
      </c>
      <c r="K10" s="600">
        <f t="shared" si="0"/>
        <v>4.0430899000000009</v>
      </c>
      <c r="L10" s="600">
        <f t="shared" si="0"/>
        <v>4.1643825970000012</v>
      </c>
      <c r="M10" s="600">
        <f t="shared" si="0"/>
        <v>4.2893140749100018</v>
      </c>
      <c r="N10" s="600">
        <f t="shared" si="0"/>
        <v>4.4179934971573021</v>
      </c>
      <c r="O10" s="600">
        <f t="shared" si="0"/>
        <v>4.5505333020720213</v>
      </c>
      <c r="P10" s="600">
        <f t="shared" si="0"/>
        <v>4.6870493011341825</v>
      </c>
      <c r="Q10" s="393"/>
    </row>
    <row r="11" spans="2:17" ht="15" thickBot="1" x14ac:dyDescent="0.35">
      <c r="B11" s="855"/>
      <c r="C11" s="408" t="s">
        <v>413</v>
      </c>
      <c r="D11" s="402"/>
      <c r="E11" s="402" t="str">
        <f>+E9</f>
        <v>4,55.</v>
      </c>
      <c r="H11" s="596">
        <v>10.52</v>
      </c>
      <c r="I11" s="598">
        <f t="shared" si="0"/>
        <v>10.835599999999999</v>
      </c>
      <c r="J11" s="601">
        <f t="shared" si="0"/>
        <v>11.160667999999999</v>
      </c>
      <c r="K11" s="601">
        <f t="shared" si="0"/>
        <v>11.49548804</v>
      </c>
      <c r="L11" s="601">
        <f t="shared" si="0"/>
        <v>11.840352681200001</v>
      </c>
      <c r="M11" s="601">
        <f t="shared" si="0"/>
        <v>12.195563261636002</v>
      </c>
      <c r="N11" s="601">
        <f t="shared" si="0"/>
        <v>12.561430159485083</v>
      </c>
      <c r="O11" s="601">
        <f t="shared" si="0"/>
        <v>12.938273064269636</v>
      </c>
      <c r="P11" s="601">
        <f t="shared" si="0"/>
        <v>13.326421256197724</v>
      </c>
    </row>
    <row r="12" spans="2:17" x14ac:dyDescent="0.3">
      <c r="B12" s="856" t="s">
        <v>407</v>
      </c>
      <c r="C12" s="401" t="s">
        <v>410</v>
      </c>
      <c r="D12" s="402">
        <v>8.3800000000000008</v>
      </c>
      <c r="E12" s="402" t="s">
        <v>404</v>
      </c>
      <c r="H12" s="407"/>
      <c r="I12" s="407"/>
      <c r="J12" s="407"/>
      <c r="K12" s="407"/>
      <c r="L12" s="407"/>
      <c r="M12" s="407"/>
      <c r="N12" s="407"/>
      <c r="O12" s="407">
        <f>12.94-8.38</f>
        <v>4.5599999999999987</v>
      </c>
      <c r="P12" s="407"/>
    </row>
    <row r="13" spans="2:17" x14ac:dyDescent="0.3">
      <c r="B13" s="855"/>
      <c r="C13" s="401" t="s">
        <v>410</v>
      </c>
      <c r="D13" s="402"/>
      <c r="E13" s="402" t="str">
        <f>+E11</f>
        <v>4,55.</v>
      </c>
    </row>
    <row r="15" spans="2:17" x14ac:dyDescent="0.3">
      <c r="C15" s="365" t="s">
        <v>408</v>
      </c>
    </row>
    <row r="17" spans="2:7" ht="28.8" x14ac:dyDescent="0.3">
      <c r="B17" s="540"/>
      <c r="C17" s="399" t="s">
        <v>399</v>
      </c>
      <c r="D17" s="409" t="s">
        <v>400</v>
      </c>
      <c r="E17" s="400" t="s">
        <v>401</v>
      </c>
    </row>
    <row r="18" spans="2:7" x14ac:dyDescent="0.3">
      <c r="B18" s="854" t="s">
        <v>402</v>
      </c>
      <c r="C18" s="401" t="s">
        <v>403</v>
      </c>
      <c r="D18" s="402">
        <v>8.6300000000000008</v>
      </c>
      <c r="E18" s="402" t="s">
        <v>475</v>
      </c>
      <c r="G18">
        <f>6.82+3.7</f>
        <v>10.52</v>
      </c>
    </row>
    <row r="19" spans="2:7" x14ac:dyDescent="0.3">
      <c r="B19" s="856"/>
      <c r="C19" s="408" t="s">
        <v>411</v>
      </c>
      <c r="D19" s="402"/>
      <c r="E19" s="402">
        <v>4.6900000000000004</v>
      </c>
    </row>
    <row r="20" spans="2:7" x14ac:dyDescent="0.3">
      <c r="B20" s="854" t="s">
        <v>405</v>
      </c>
      <c r="C20" s="401" t="s">
        <v>409</v>
      </c>
      <c r="D20" s="402">
        <v>8.6300000000000008</v>
      </c>
      <c r="E20" s="402" t="s">
        <v>475</v>
      </c>
    </row>
    <row r="21" spans="2:7" x14ac:dyDescent="0.3">
      <c r="B21" s="855"/>
      <c r="C21" s="408" t="s">
        <v>412</v>
      </c>
      <c r="D21" s="402"/>
      <c r="E21" s="402">
        <f>+E19</f>
        <v>4.6900000000000004</v>
      </c>
    </row>
    <row r="22" spans="2:7" x14ac:dyDescent="0.3">
      <c r="B22" s="854" t="s">
        <v>406</v>
      </c>
      <c r="C22" s="401" t="s">
        <v>263</v>
      </c>
      <c r="D22" s="402">
        <v>8.6300000000000008</v>
      </c>
      <c r="E22" s="402" t="s">
        <v>475</v>
      </c>
    </row>
    <row r="23" spans="2:7" x14ac:dyDescent="0.3">
      <c r="B23" s="855"/>
      <c r="C23" s="408" t="s">
        <v>413</v>
      </c>
      <c r="D23" s="402"/>
      <c r="E23" s="402">
        <f>+E21</f>
        <v>4.6900000000000004</v>
      </c>
    </row>
    <row r="24" spans="2:7" x14ac:dyDescent="0.3">
      <c r="B24" s="856" t="s">
        <v>407</v>
      </c>
      <c r="C24" s="401" t="s">
        <v>410</v>
      </c>
      <c r="D24" s="402">
        <v>8.6300000000000008</v>
      </c>
      <c r="E24" s="402" t="s">
        <v>475</v>
      </c>
    </row>
    <row r="25" spans="2:7" x14ac:dyDescent="0.3">
      <c r="B25" s="855"/>
      <c r="C25" s="401" t="s">
        <v>410</v>
      </c>
      <c r="D25" s="402"/>
      <c r="E25" s="402">
        <f>+E23</f>
        <v>4.6900000000000004</v>
      </c>
    </row>
  </sheetData>
  <mergeCells count="8">
    <mergeCell ref="B20:B21"/>
    <mergeCell ref="B22:B23"/>
    <mergeCell ref="B24:B25"/>
    <mergeCell ref="B6:B7"/>
    <mergeCell ref="B8:B9"/>
    <mergeCell ref="B10:B11"/>
    <mergeCell ref="B12:B13"/>
    <mergeCell ref="B18:B19"/>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filterMode="1"/>
  <dimension ref="A1:Z46"/>
  <sheetViews>
    <sheetView zoomScale="70" zoomScaleNormal="70" workbookViewId="0">
      <selection activeCell="P26" sqref="P26"/>
    </sheetView>
  </sheetViews>
  <sheetFormatPr baseColWidth="10" defaultColWidth="11.21875" defaultRowHeight="14.4" x14ac:dyDescent="0.3"/>
  <cols>
    <col min="1" max="1" width="8.88671875" style="294" customWidth="1"/>
    <col min="2" max="2" width="9.77734375" style="294" customWidth="1"/>
    <col min="3" max="3" width="8.21875" style="294" customWidth="1"/>
    <col min="4" max="4" width="4.77734375" style="294" customWidth="1"/>
    <col min="5" max="5" width="8.21875" style="294" customWidth="1"/>
    <col min="6" max="6" width="10.21875" style="294" customWidth="1"/>
    <col min="7" max="12" width="4.77734375" style="294" customWidth="1"/>
    <col min="13" max="13" width="10.21875" style="294" bestFit="1" customWidth="1"/>
    <col min="14" max="14" width="9" style="294" customWidth="1"/>
    <col min="15" max="15" width="15.77734375" style="294" customWidth="1"/>
    <col min="16" max="16" width="15.21875" style="296" customWidth="1"/>
    <col min="17" max="17" width="9.88671875" style="294" customWidth="1"/>
    <col min="18" max="18" width="13.21875" style="294" bestFit="1" customWidth="1"/>
    <col min="19" max="19" width="17.109375" style="294" bestFit="1" customWidth="1"/>
    <col min="20" max="20" width="7.109375" style="294" customWidth="1"/>
    <col min="21" max="22" width="10.77734375" style="297" bestFit="1" customWidth="1"/>
    <col min="23" max="16384" width="11.21875" style="294"/>
  </cols>
  <sheetData>
    <row r="1" spans="1:26" x14ac:dyDescent="0.3">
      <c r="A1" s="294" t="s">
        <v>321</v>
      </c>
      <c r="B1" s="294" t="s">
        <v>322</v>
      </c>
      <c r="C1" s="294" t="s">
        <v>323</v>
      </c>
      <c r="D1" s="294" t="s">
        <v>324</v>
      </c>
      <c r="E1" s="294" t="s">
        <v>325</v>
      </c>
      <c r="F1" s="294" t="s">
        <v>326</v>
      </c>
      <c r="G1" s="294" t="s">
        <v>327</v>
      </c>
      <c r="H1" s="294" t="s">
        <v>328</v>
      </c>
      <c r="I1" s="294" t="s">
        <v>329</v>
      </c>
      <c r="J1" s="294" t="s">
        <v>330</v>
      </c>
      <c r="K1" s="294" t="s">
        <v>331</v>
      </c>
      <c r="L1" s="294" t="s">
        <v>332</v>
      </c>
      <c r="M1" s="294" t="s">
        <v>333</v>
      </c>
      <c r="N1" s="294" t="s">
        <v>334</v>
      </c>
      <c r="O1" s="295" t="s">
        <v>335</v>
      </c>
      <c r="P1" s="296" t="s">
        <v>336</v>
      </c>
      <c r="Q1" s="294" t="s">
        <v>337</v>
      </c>
      <c r="R1" s="294" t="s">
        <v>338</v>
      </c>
      <c r="S1" s="294" t="s">
        <v>339</v>
      </c>
      <c r="T1" s="294" t="s">
        <v>340</v>
      </c>
      <c r="U1" s="297" t="s">
        <v>341</v>
      </c>
      <c r="V1" s="297" t="s">
        <v>342</v>
      </c>
    </row>
    <row r="2" spans="1:26" x14ac:dyDescent="0.3">
      <c r="A2" s="315" t="s">
        <v>343</v>
      </c>
      <c r="B2" s="315">
        <v>543</v>
      </c>
      <c r="C2" s="315" t="s">
        <v>344</v>
      </c>
      <c r="D2" s="315"/>
      <c r="E2" s="315"/>
      <c r="F2" s="315" t="s">
        <v>148</v>
      </c>
      <c r="G2" s="315"/>
      <c r="H2" s="315"/>
      <c r="I2" s="315"/>
      <c r="J2" s="315"/>
      <c r="K2" s="315"/>
      <c r="L2" s="315"/>
      <c r="M2" s="340" t="str">
        <f>+'Calculo IP ZDF'!N28</f>
        <v>Z61</v>
      </c>
      <c r="N2" s="315"/>
      <c r="O2" s="299">
        <f>+'Calculo IP ZDF'!B49</f>
        <v>30000002129</v>
      </c>
      <c r="P2" s="493">
        <f>ROUND('Calculo IP ZDF'!D28,2)</f>
        <v>4336.2299999999996</v>
      </c>
      <c r="Q2" s="315" t="s">
        <v>345</v>
      </c>
      <c r="R2" s="315">
        <v>1</v>
      </c>
      <c r="S2" s="315" t="s">
        <v>346</v>
      </c>
      <c r="T2" s="315" t="s">
        <v>347</v>
      </c>
      <c r="U2" s="298" t="str">
        <f>+'Calculo IP ZDF'!B46</f>
        <v>02.07.2022</v>
      </c>
      <c r="V2" s="298" t="str">
        <f>+'Calculo IP ZDF'!C46</f>
        <v>22.09.2022</v>
      </c>
      <c r="X2" s="294">
        <v>4242.59</v>
      </c>
      <c r="Y2" s="294">
        <f>+P2-X2</f>
        <v>93.639999999999418</v>
      </c>
      <c r="Z2" s="355" t="s">
        <v>382</v>
      </c>
    </row>
    <row r="3" spans="1:26" x14ac:dyDescent="0.3">
      <c r="A3" s="294" t="s">
        <v>343</v>
      </c>
      <c r="B3" s="294">
        <v>543</v>
      </c>
      <c r="C3" s="294" t="s">
        <v>344</v>
      </c>
      <c r="F3" s="294" t="s">
        <v>148</v>
      </c>
      <c r="M3" s="300" t="str">
        <f>+'Calculo IP ZDF'!N29</f>
        <v>Z68</v>
      </c>
      <c r="O3" s="299">
        <f>+O2</f>
        <v>30000002129</v>
      </c>
      <c r="P3" s="295">
        <f>ROUND('Calculo IP ZDF'!D29,2)</f>
        <v>3020.65</v>
      </c>
      <c r="Q3" s="294" t="s">
        <v>345</v>
      </c>
      <c r="R3" s="294">
        <v>1</v>
      </c>
      <c r="S3" s="294" t="s">
        <v>346</v>
      </c>
      <c r="T3" s="294" t="s">
        <v>347</v>
      </c>
      <c r="U3" s="298" t="str">
        <f>+U2</f>
        <v>02.07.2022</v>
      </c>
      <c r="V3" s="298" t="str">
        <f>+V2</f>
        <v>22.09.2022</v>
      </c>
      <c r="X3" s="294">
        <v>4026.31</v>
      </c>
      <c r="Y3" s="294">
        <f t="shared" ref="Y3:Y46" si="0">+P3-X3</f>
        <v>-1005.6599999999999</v>
      </c>
      <c r="Z3" s="355" t="s">
        <v>382</v>
      </c>
    </row>
    <row r="4" spans="1:26" x14ac:dyDescent="0.3">
      <c r="A4" s="294" t="s">
        <v>343</v>
      </c>
      <c r="B4" s="294">
        <v>543</v>
      </c>
      <c r="C4" s="294" t="s">
        <v>344</v>
      </c>
      <c r="M4" s="300" t="str">
        <f>+'Calculo IP ZDF'!N30</f>
        <v>Z67</v>
      </c>
      <c r="O4" s="299">
        <f t="shared" ref="O4:O27" si="1">+O3</f>
        <v>30000002129</v>
      </c>
      <c r="P4" s="295">
        <f>ROUND('Calculo IP ZDF'!D30,2)</f>
        <v>4421.58</v>
      </c>
      <c r="Q4" s="294" t="s">
        <v>345</v>
      </c>
      <c r="R4" s="294">
        <v>1</v>
      </c>
      <c r="S4" s="294" t="s">
        <v>346</v>
      </c>
      <c r="T4" s="294" t="s">
        <v>347</v>
      </c>
      <c r="U4" s="298" t="str">
        <f t="shared" ref="U4:V20" si="2">+U3</f>
        <v>02.07.2022</v>
      </c>
      <c r="V4" s="298" t="str">
        <f t="shared" si="2"/>
        <v>22.09.2022</v>
      </c>
      <c r="X4" s="294">
        <v>4147.91</v>
      </c>
      <c r="Y4" s="294">
        <f t="shared" si="0"/>
        <v>273.67000000000007</v>
      </c>
      <c r="Z4" s="355" t="s">
        <v>382</v>
      </c>
    </row>
    <row r="5" spans="1:26" x14ac:dyDescent="0.3">
      <c r="A5" s="334" t="s">
        <v>343</v>
      </c>
      <c r="B5" s="334">
        <v>543</v>
      </c>
      <c r="C5" s="334" t="s">
        <v>344</v>
      </c>
      <c r="D5" s="334"/>
      <c r="E5" s="334"/>
      <c r="F5" s="334"/>
      <c r="G5" s="334"/>
      <c r="H5" s="334"/>
      <c r="I5" s="334"/>
      <c r="J5" s="334"/>
      <c r="K5" s="334"/>
      <c r="L5" s="334"/>
      <c r="M5" s="333" t="str">
        <f>+'Calculo IP ZDF'!N31</f>
        <v xml:space="preserve">Z64  </v>
      </c>
      <c r="N5" s="334"/>
      <c r="O5" s="335">
        <f t="shared" si="1"/>
        <v>30000002129</v>
      </c>
      <c r="P5" s="336">
        <f>ROUND('Calculo IP ZDF'!D31,2)</f>
        <v>4539.6099999999997</v>
      </c>
      <c r="Q5" s="334" t="s">
        <v>345</v>
      </c>
      <c r="R5" s="334">
        <v>1</v>
      </c>
      <c r="S5" s="334" t="s">
        <v>346</v>
      </c>
      <c r="T5" s="334" t="s">
        <v>347</v>
      </c>
      <c r="U5" s="337" t="str">
        <f t="shared" si="2"/>
        <v>02.07.2022</v>
      </c>
      <c r="V5" s="337" t="str">
        <f t="shared" si="2"/>
        <v>22.09.2022</v>
      </c>
      <c r="X5" s="294">
        <v>4618.07</v>
      </c>
      <c r="Y5" s="294">
        <f t="shared" si="0"/>
        <v>-78.460000000000036</v>
      </c>
      <c r="Z5" s="355" t="s">
        <v>382</v>
      </c>
    </row>
    <row r="6" spans="1:26" x14ac:dyDescent="0.3">
      <c r="A6" s="294" t="s">
        <v>343</v>
      </c>
      <c r="B6" s="294">
        <v>543</v>
      </c>
      <c r="C6" s="294" t="s">
        <v>344</v>
      </c>
      <c r="M6" s="300" t="s">
        <v>378</v>
      </c>
      <c r="O6" s="299">
        <f t="shared" si="1"/>
        <v>30000002129</v>
      </c>
      <c r="P6" s="295">
        <f>ROUND('Calculo IP ZDF'!D32,2)</f>
        <v>3776.95</v>
      </c>
      <c r="Q6" s="294" t="s">
        <v>345</v>
      </c>
      <c r="R6" s="294">
        <v>1</v>
      </c>
      <c r="S6" s="294" t="s">
        <v>346</v>
      </c>
      <c r="T6" s="294" t="s">
        <v>347</v>
      </c>
      <c r="U6" s="298" t="str">
        <f t="shared" si="2"/>
        <v>02.07.2022</v>
      </c>
      <c r="V6" s="298" t="str">
        <f t="shared" si="2"/>
        <v>22.09.2022</v>
      </c>
      <c r="X6" s="294">
        <v>4029.1</v>
      </c>
      <c r="Y6" s="294">
        <f t="shared" si="0"/>
        <v>-252.15000000000009</v>
      </c>
      <c r="Z6" s="355" t="s">
        <v>382</v>
      </c>
    </row>
    <row r="7" spans="1:26" x14ac:dyDescent="0.3">
      <c r="A7" s="294" t="s">
        <v>343</v>
      </c>
      <c r="B7" s="294">
        <v>543</v>
      </c>
      <c r="C7" s="294" t="s">
        <v>344</v>
      </c>
      <c r="M7" s="300" t="str">
        <f>+'Calculo IP ZDF'!N33</f>
        <v>Z65</v>
      </c>
      <c r="O7" s="299">
        <f t="shared" si="1"/>
        <v>30000002129</v>
      </c>
      <c r="P7" s="295">
        <f>ROUND('Calculo IP ZDF'!D33,2)</f>
        <v>4336.2299999999996</v>
      </c>
      <c r="Q7" s="294" t="s">
        <v>345</v>
      </c>
      <c r="R7" s="294">
        <v>1</v>
      </c>
      <c r="S7" s="294" t="s">
        <v>346</v>
      </c>
      <c r="T7" s="294" t="s">
        <v>347</v>
      </c>
      <c r="U7" s="298" t="str">
        <f t="shared" si="2"/>
        <v>02.07.2022</v>
      </c>
      <c r="V7" s="298" t="str">
        <f t="shared" si="2"/>
        <v>22.09.2022</v>
      </c>
      <c r="X7" s="294">
        <v>4618.07</v>
      </c>
      <c r="Y7" s="294">
        <f t="shared" si="0"/>
        <v>-281.84000000000015</v>
      </c>
      <c r="Z7" s="355" t="s">
        <v>382</v>
      </c>
    </row>
    <row r="8" spans="1:26" x14ac:dyDescent="0.3">
      <c r="A8" s="294" t="s">
        <v>343</v>
      </c>
      <c r="B8" s="294">
        <v>543</v>
      </c>
      <c r="C8" s="294" t="s">
        <v>344</v>
      </c>
      <c r="M8" s="300" t="str">
        <f>+'Calculo IP ZDF'!N34</f>
        <v>Z69</v>
      </c>
      <c r="O8" s="299">
        <f t="shared" si="1"/>
        <v>30000002129</v>
      </c>
      <c r="P8" s="295">
        <f>ROUND('Calculo IP ZDF'!D34,2)</f>
        <v>3336.61</v>
      </c>
      <c r="Q8" s="294" t="s">
        <v>345</v>
      </c>
      <c r="R8" s="294">
        <v>1</v>
      </c>
      <c r="S8" s="294" t="s">
        <v>346</v>
      </c>
      <c r="T8" s="294" t="s">
        <v>347</v>
      </c>
      <c r="U8" s="298" t="str">
        <f t="shared" si="2"/>
        <v>02.07.2022</v>
      </c>
      <c r="V8" s="298" t="str">
        <f t="shared" si="2"/>
        <v>22.09.2022</v>
      </c>
      <c r="X8" s="294">
        <v>4413.8599999999997</v>
      </c>
      <c r="Y8" s="294">
        <f t="shared" si="0"/>
        <v>-1077.2499999999995</v>
      </c>
      <c r="Z8" s="355" t="s">
        <v>382</v>
      </c>
    </row>
    <row r="9" spans="1:26" x14ac:dyDescent="0.3">
      <c r="A9" s="294" t="s">
        <v>343</v>
      </c>
      <c r="B9" s="294">
        <v>543</v>
      </c>
      <c r="C9" s="294" t="s">
        <v>344</v>
      </c>
      <c r="M9" s="300" t="str">
        <f>+'Calculo IP ZDF'!N36</f>
        <v>Z62</v>
      </c>
      <c r="O9" s="299">
        <f>+O8</f>
        <v>30000002129</v>
      </c>
      <c r="P9" s="295">
        <f>ROUND('Calculo IP ZDF'!D36,2)</f>
        <v>4327.6099999999997</v>
      </c>
      <c r="Q9" s="294" t="s">
        <v>345</v>
      </c>
      <c r="R9" s="294">
        <v>1</v>
      </c>
      <c r="S9" s="294" t="s">
        <v>346</v>
      </c>
      <c r="T9" s="294" t="s">
        <v>347</v>
      </c>
      <c r="U9" s="298" t="str">
        <f>+U8</f>
        <v>02.07.2022</v>
      </c>
      <c r="V9" s="298" t="str">
        <f>+V8</f>
        <v>22.09.2022</v>
      </c>
      <c r="X9" s="294">
        <v>4406.43</v>
      </c>
      <c r="Y9" s="294">
        <f t="shared" si="0"/>
        <v>-78.820000000000618</v>
      </c>
      <c r="Z9" s="355" t="s">
        <v>382</v>
      </c>
    </row>
    <row r="10" spans="1:26" s="307" customFormat="1" hidden="1" x14ac:dyDescent="0.3">
      <c r="A10" s="307" t="s">
        <v>343</v>
      </c>
      <c r="B10" s="307">
        <v>543</v>
      </c>
      <c r="C10" s="307" t="s">
        <v>344</v>
      </c>
      <c r="M10" s="308" t="str">
        <f>+M9</f>
        <v>Z62</v>
      </c>
      <c r="O10" s="309">
        <f>+'Calculo IP ZDF'!B51</f>
        <v>30000009250</v>
      </c>
      <c r="P10" s="310">
        <f>+P9</f>
        <v>4327.6099999999997</v>
      </c>
      <c r="Q10" s="307" t="s">
        <v>345</v>
      </c>
      <c r="R10" s="307">
        <v>1</v>
      </c>
      <c r="S10" s="307" t="s">
        <v>346</v>
      </c>
      <c r="T10" s="307" t="s">
        <v>347</v>
      </c>
      <c r="U10" s="311" t="str">
        <f>+U9</f>
        <v>02.07.2022</v>
      </c>
      <c r="V10" s="311" t="str">
        <f>+V9</f>
        <v>22.09.2022</v>
      </c>
      <c r="X10" s="307">
        <v>4406.43</v>
      </c>
      <c r="Y10" s="294">
        <f t="shared" si="0"/>
        <v>-78.820000000000618</v>
      </c>
      <c r="Z10" s="307" t="s">
        <v>382</v>
      </c>
    </row>
    <row r="11" spans="1:26" x14ac:dyDescent="0.3">
      <c r="A11" s="294" t="s">
        <v>343</v>
      </c>
      <c r="B11" s="294">
        <v>543</v>
      </c>
      <c r="C11" s="294" t="s">
        <v>344</v>
      </c>
      <c r="M11" s="300" t="str">
        <f>+'Calculo IP ZDF'!N37</f>
        <v>Z60</v>
      </c>
      <c r="O11" s="299">
        <f>+O2</f>
        <v>30000002129</v>
      </c>
      <c r="P11" s="295">
        <f>ROUND('Calculo IP ZDF'!D37,2)</f>
        <v>3766.96</v>
      </c>
      <c r="Q11" s="294" t="s">
        <v>345</v>
      </c>
      <c r="R11" s="294">
        <v>1</v>
      </c>
      <c r="S11" s="294" t="s">
        <v>346</v>
      </c>
      <c r="T11" s="294" t="s">
        <v>347</v>
      </c>
      <c r="U11" s="298" t="str">
        <f>+U9</f>
        <v>02.07.2022</v>
      </c>
      <c r="V11" s="298" t="str">
        <f>+V9</f>
        <v>22.09.2022</v>
      </c>
      <c r="X11" s="294">
        <v>4334.03</v>
      </c>
      <c r="Y11" s="294">
        <f t="shared" si="0"/>
        <v>-567.06999999999971</v>
      </c>
      <c r="Z11" s="355" t="s">
        <v>382</v>
      </c>
    </row>
    <row r="12" spans="1:26" x14ac:dyDescent="0.3">
      <c r="A12" s="315" t="s">
        <v>343</v>
      </c>
      <c r="B12" s="315">
        <v>543</v>
      </c>
      <c r="C12" s="315" t="s">
        <v>344</v>
      </c>
      <c r="D12" s="315"/>
      <c r="E12" s="315"/>
      <c r="F12" s="315"/>
      <c r="G12" s="315"/>
      <c r="H12" s="315"/>
      <c r="I12" s="315"/>
      <c r="J12" s="315"/>
      <c r="K12" s="315"/>
      <c r="L12" s="315"/>
      <c r="M12" s="340" t="str">
        <f>+'Calculo IP ZDF'!N38</f>
        <v>Z63</v>
      </c>
      <c r="N12" s="315"/>
      <c r="O12" s="299">
        <f t="shared" si="1"/>
        <v>30000002129</v>
      </c>
      <c r="P12" s="341">
        <f>ROUND('Calculo IP ZDF'!D38,2)</f>
        <v>4337.59</v>
      </c>
      <c r="Q12" s="315" t="s">
        <v>345</v>
      </c>
      <c r="R12" s="315">
        <v>1</v>
      </c>
      <c r="S12" s="315" t="s">
        <v>346</v>
      </c>
      <c r="T12" s="315" t="s">
        <v>347</v>
      </c>
      <c r="U12" s="298" t="str">
        <f>+U11</f>
        <v>02.07.2022</v>
      </c>
      <c r="V12" s="298" t="str">
        <f>+'Calculo IP ZDF'!C46</f>
        <v>22.09.2022</v>
      </c>
      <c r="X12" s="294">
        <v>4399.01</v>
      </c>
      <c r="Y12" s="294">
        <f t="shared" si="0"/>
        <v>-61.420000000000073</v>
      </c>
      <c r="Z12" s="355" t="s">
        <v>382</v>
      </c>
    </row>
    <row r="13" spans="1:26" x14ac:dyDescent="0.3">
      <c r="A13" s="294" t="s">
        <v>343</v>
      </c>
      <c r="B13" s="294">
        <v>543</v>
      </c>
      <c r="C13" s="294" t="s">
        <v>344</v>
      </c>
      <c r="M13" s="300" t="str">
        <f>+'Calculo IP ZDF'!N39</f>
        <v>Z70</v>
      </c>
      <c r="O13" s="299">
        <f t="shared" si="1"/>
        <v>30000002129</v>
      </c>
      <c r="P13" s="295">
        <f>ROUND('Calculo IP ZDF'!D39,2)</f>
        <v>3187.71</v>
      </c>
      <c r="Q13" s="294" t="s">
        <v>345</v>
      </c>
      <c r="R13" s="294">
        <v>1</v>
      </c>
      <c r="S13" s="294" t="s">
        <v>346</v>
      </c>
      <c r="T13" s="294" t="s">
        <v>347</v>
      </c>
      <c r="U13" s="298" t="str">
        <f t="shared" si="2"/>
        <v>02.07.2022</v>
      </c>
      <c r="V13" s="298" t="str">
        <f t="shared" si="2"/>
        <v>22.09.2022</v>
      </c>
      <c r="X13" s="294">
        <v>4618.07</v>
      </c>
      <c r="Y13" s="294">
        <f t="shared" si="0"/>
        <v>-1430.3599999999997</v>
      </c>
      <c r="Z13" s="355" t="s">
        <v>382</v>
      </c>
    </row>
    <row r="14" spans="1:26" x14ac:dyDescent="0.3">
      <c r="A14" s="294" t="s">
        <v>343</v>
      </c>
      <c r="B14" s="294">
        <v>543</v>
      </c>
      <c r="C14" s="294" t="s">
        <v>344</v>
      </c>
      <c r="M14" s="300" t="str">
        <f>+'Calculo IP ZDF'!N40</f>
        <v>Z75</v>
      </c>
      <c r="O14" s="299">
        <f t="shared" si="1"/>
        <v>30000002129</v>
      </c>
      <c r="P14" s="295">
        <f>ROUND('Calculo IP ZDF'!D40,2)</f>
        <v>3021.56</v>
      </c>
      <c r="Q14" s="294" t="s">
        <v>345</v>
      </c>
      <c r="R14" s="294">
        <v>1</v>
      </c>
      <c r="S14" s="294" t="s">
        <v>346</v>
      </c>
      <c r="T14" s="294" t="s">
        <v>347</v>
      </c>
      <c r="U14" s="298" t="str">
        <f t="shared" si="2"/>
        <v>02.07.2022</v>
      </c>
      <c r="V14" s="298" t="str">
        <f t="shared" si="2"/>
        <v>22.09.2022</v>
      </c>
      <c r="X14" s="294">
        <v>4017.03</v>
      </c>
      <c r="Y14" s="294">
        <f t="shared" si="0"/>
        <v>-995.47000000000025</v>
      </c>
      <c r="Z14" s="355" t="s">
        <v>382</v>
      </c>
    </row>
    <row r="15" spans="1:26" x14ac:dyDescent="0.3">
      <c r="A15" s="315" t="s">
        <v>348</v>
      </c>
      <c r="B15" s="315">
        <v>543</v>
      </c>
      <c r="C15" s="315" t="s">
        <v>344</v>
      </c>
      <c r="D15" s="315"/>
      <c r="E15" s="315"/>
      <c r="F15" s="315"/>
      <c r="G15" s="315"/>
      <c r="H15" s="315"/>
      <c r="I15" s="315"/>
      <c r="J15" s="315"/>
      <c r="K15" s="315"/>
      <c r="L15" s="315"/>
      <c r="M15" s="340" t="str">
        <f>+'Calculo IP ZDF'!N28</f>
        <v>Z61</v>
      </c>
      <c r="N15" s="315"/>
      <c r="O15" s="299">
        <f t="shared" si="1"/>
        <v>30000002129</v>
      </c>
      <c r="P15" s="342">
        <f>ROUND('Calculo IP ZDF'!E28,2)</f>
        <v>404.97</v>
      </c>
      <c r="Q15" s="315" t="s">
        <v>345</v>
      </c>
      <c r="R15" s="315">
        <v>1</v>
      </c>
      <c r="S15" s="315" t="s">
        <v>346</v>
      </c>
      <c r="T15" s="315" t="s">
        <v>347</v>
      </c>
      <c r="U15" s="298" t="str">
        <f>+U14</f>
        <v>02.07.2022</v>
      </c>
      <c r="V15" s="298" t="str">
        <f>+V12</f>
        <v>22.09.2022</v>
      </c>
      <c r="X15" s="294">
        <v>230.3</v>
      </c>
      <c r="Y15" s="294">
        <f t="shared" si="0"/>
        <v>174.67000000000002</v>
      </c>
      <c r="Z15" s="355" t="s">
        <v>382</v>
      </c>
    </row>
    <row r="16" spans="1:26" x14ac:dyDescent="0.3">
      <c r="A16" s="294" t="s">
        <v>348</v>
      </c>
      <c r="B16" s="294">
        <v>543</v>
      </c>
      <c r="C16" s="294" t="s">
        <v>344</v>
      </c>
      <c r="M16" s="300" t="str">
        <f>+'Calculo IP ZDF'!N29</f>
        <v>Z68</v>
      </c>
      <c r="O16" s="299">
        <f t="shared" si="1"/>
        <v>30000002129</v>
      </c>
      <c r="P16" s="296">
        <f>ROUND('Calculo IP ZDF'!E29,2)</f>
        <v>404.97</v>
      </c>
      <c r="Q16" s="294" t="s">
        <v>345</v>
      </c>
      <c r="R16" s="294">
        <v>1</v>
      </c>
      <c r="S16" s="294" t="s">
        <v>346</v>
      </c>
      <c r="T16" s="294" t="s">
        <v>347</v>
      </c>
      <c r="U16" s="298" t="str">
        <f t="shared" si="2"/>
        <v>02.07.2022</v>
      </c>
      <c r="V16" s="298" t="str">
        <f t="shared" si="2"/>
        <v>22.09.2022</v>
      </c>
      <c r="X16" s="294">
        <v>230.3</v>
      </c>
      <c r="Y16" s="294">
        <f t="shared" si="0"/>
        <v>174.67000000000002</v>
      </c>
      <c r="Z16" s="355" t="s">
        <v>382</v>
      </c>
    </row>
    <row r="17" spans="1:26" x14ac:dyDescent="0.3">
      <c r="A17" s="294" t="s">
        <v>348</v>
      </c>
      <c r="B17" s="294">
        <v>543</v>
      </c>
      <c r="C17" s="294" t="s">
        <v>344</v>
      </c>
      <c r="M17" s="300" t="str">
        <f>+'Calculo IP ZDF'!N30</f>
        <v>Z67</v>
      </c>
      <c r="O17" s="299">
        <f t="shared" si="1"/>
        <v>30000002129</v>
      </c>
      <c r="P17" s="296">
        <f>ROUND('Calculo IP ZDF'!E30,2)</f>
        <v>404.97</v>
      </c>
      <c r="Q17" s="294" t="s">
        <v>345</v>
      </c>
      <c r="R17" s="294">
        <v>1</v>
      </c>
      <c r="S17" s="294" t="s">
        <v>346</v>
      </c>
      <c r="T17" s="294" t="s">
        <v>347</v>
      </c>
      <c r="U17" s="298" t="str">
        <f t="shared" si="2"/>
        <v>02.07.2022</v>
      </c>
      <c r="V17" s="298" t="str">
        <f t="shared" si="2"/>
        <v>22.09.2022</v>
      </c>
      <c r="X17" s="294">
        <v>230.3</v>
      </c>
      <c r="Y17" s="294">
        <f t="shared" si="0"/>
        <v>174.67000000000002</v>
      </c>
      <c r="Z17" s="355" t="s">
        <v>382</v>
      </c>
    </row>
    <row r="18" spans="1:26" x14ac:dyDescent="0.3">
      <c r="A18" s="334" t="s">
        <v>348</v>
      </c>
      <c r="B18" s="334">
        <v>543</v>
      </c>
      <c r="C18" s="334" t="s">
        <v>344</v>
      </c>
      <c r="D18" s="334"/>
      <c r="E18" s="334"/>
      <c r="F18" s="334"/>
      <c r="G18" s="334"/>
      <c r="H18" s="334"/>
      <c r="I18" s="334"/>
      <c r="J18" s="334"/>
      <c r="K18" s="334"/>
      <c r="L18" s="334"/>
      <c r="M18" s="333" t="str">
        <f>+M5</f>
        <v xml:space="preserve">Z64  </v>
      </c>
      <c r="N18" s="334"/>
      <c r="O18" s="335">
        <f t="shared" si="1"/>
        <v>30000002129</v>
      </c>
      <c r="P18" s="316">
        <f>ROUND('Calculo IP ZDF'!E31,2)</f>
        <v>404.97</v>
      </c>
      <c r="Q18" s="334" t="s">
        <v>345</v>
      </c>
      <c r="R18" s="334">
        <v>1</v>
      </c>
      <c r="S18" s="334" t="s">
        <v>346</v>
      </c>
      <c r="T18" s="334" t="s">
        <v>347</v>
      </c>
      <c r="U18" s="337" t="str">
        <f t="shared" si="2"/>
        <v>02.07.2022</v>
      </c>
      <c r="V18" s="337" t="str">
        <f t="shared" si="2"/>
        <v>22.09.2022</v>
      </c>
      <c r="X18" s="294">
        <v>230.3</v>
      </c>
      <c r="Y18" s="294">
        <f t="shared" si="0"/>
        <v>174.67000000000002</v>
      </c>
      <c r="Z18" s="355" t="s">
        <v>382</v>
      </c>
    </row>
    <row r="19" spans="1:26" x14ac:dyDescent="0.3">
      <c r="A19" s="294" t="s">
        <v>348</v>
      </c>
      <c r="B19" s="294">
        <v>543</v>
      </c>
      <c r="C19" s="294" t="s">
        <v>344</v>
      </c>
      <c r="M19" s="300" t="str">
        <f>+M6</f>
        <v>Z74</v>
      </c>
      <c r="O19" s="299">
        <f t="shared" si="1"/>
        <v>30000002129</v>
      </c>
      <c r="P19" s="296">
        <f>ROUND('Calculo IP ZDF'!E32,2)</f>
        <v>404.97</v>
      </c>
      <c r="Q19" s="294" t="s">
        <v>345</v>
      </c>
      <c r="R19" s="294">
        <v>1</v>
      </c>
      <c r="S19" s="294" t="s">
        <v>346</v>
      </c>
      <c r="T19" s="294" t="s">
        <v>347</v>
      </c>
      <c r="U19" s="298" t="str">
        <f t="shared" si="2"/>
        <v>02.07.2022</v>
      </c>
      <c r="V19" s="298" t="str">
        <f t="shared" si="2"/>
        <v>22.09.2022</v>
      </c>
      <c r="X19" s="294">
        <v>230.3</v>
      </c>
      <c r="Y19" s="294">
        <f t="shared" si="0"/>
        <v>174.67000000000002</v>
      </c>
      <c r="Z19" s="355" t="s">
        <v>382</v>
      </c>
    </row>
    <row r="20" spans="1:26" x14ac:dyDescent="0.3">
      <c r="A20" s="294" t="s">
        <v>348</v>
      </c>
      <c r="B20" s="294">
        <v>543</v>
      </c>
      <c r="C20" s="294" t="s">
        <v>344</v>
      </c>
      <c r="M20" s="300" t="str">
        <f>+'Calculo IP ZDF'!N33</f>
        <v>Z65</v>
      </c>
      <c r="O20" s="299">
        <f t="shared" si="1"/>
        <v>30000002129</v>
      </c>
      <c r="P20" s="296">
        <f>ROUND('Calculo IP ZDF'!E33,2)</f>
        <v>404.97</v>
      </c>
      <c r="Q20" s="294" t="s">
        <v>345</v>
      </c>
      <c r="R20" s="294">
        <v>1</v>
      </c>
      <c r="S20" s="294" t="s">
        <v>346</v>
      </c>
      <c r="T20" s="294" t="s">
        <v>347</v>
      </c>
      <c r="U20" s="298" t="str">
        <f t="shared" si="2"/>
        <v>02.07.2022</v>
      </c>
      <c r="V20" s="298" t="str">
        <f t="shared" si="2"/>
        <v>22.09.2022</v>
      </c>
      <c r="X20" s="294">
        <v>230.3</v>
      </c>
      <c r="Y20" s="294">
        <f t="shared" si="0"/>
        <v>174.67000000000002</v>
      </c>
      <c r="Z20" s="355" t="s">
        <v>382</v>
      </c>
    </row>
    <row r="21" spans="1:26" x14ac:dyDescent="0.3">
      <c r="A21" s="294" t="s">
        <v>348</v>
      </c>
      <c r="B21" s="294">
        <v>543</v>
      </c>
      <c r="C21" s="294" t="s">
        <v>344</v>
      </c>
      <c r="M21" s="300" t="str">
        <f>+'Calculo IP ZDF'!N34</f>
        <v>Z69</v>
      </c>
      <c r="O21" s="299">
        <f t="shared" si="1"/>
        <v>30000002129</v>
      </c>
      <c r="P21" s="296">
        <f>ROUND('Calculo IP ZDF'!E34,2)</f>
        <v>404.97</v>
      </c>
      <c r="Q21" s="294" t="s">
        <v>345</v>
      </c>
      <c r="R21" s="294">
        <v>1</v>
      </c>
      <c r="S21" s="294" t="s">
        <v>346</v>
      </c>
      <c r="T21" s="294" t="s">
        <v>347</v>
      </c>
      <c r="U21" s="298" t="str">
        <f t="shared" ref="U21:V36" si="3">+U20</f>
        <v>02.07.2022</v>
      </c>
      <c r="V21" s="298" t="str">
        <f t="shared" si="3"/>
        <v>22.09.2022</v>
      </c>
      <c r="X21" s="294">
        <v>230.3</v>
      </c>
      <c r="Y21" s="294">
        <f t="shared" si="0"/>
        <v>174.67000000000002</v>
      </c>
      <c r="Z21" s="355" t="s">
        <v>382</v>
      </c>
    </row>
    <row r="22" spans="1:26" x14ac:dyDescent="0.3">
      <c r="A22" s="294" t="s">
        <v>348</v>
      </c>
      <c r="B22" s="294">
        <v>543</v>
      </c>
      <c r="C22" s="294" t="s">
        <v>344</v>
      </c>
      <c r="M22" s="300" t="str">
        <f>+'Calculo IP ZDF'!N36</f>
        <v>Z62</v>
      </c>
      <c r="O22" s="299">
        <f t="shared" si="1"/>
        <v>30000002129</v>
      </c>
      <c r="P22" s="296">
        <f>ROUND('Calculo IP ZDF'!E36,2)</f>
        <v>404.97</v>
      </c>
      <c r="Q22" s="294" t="s">
        <v>345</v>
      </c>
      <c r="R22" s="294">
        <v>1</v>
      </c>
      <c r="S22" s="294" t="s">
        <v>346</v>
      </c>
      <c r="T22" s="294" t="s">
        <v>347</v>
      </c>
      <c r="U22" s="298" t="str">
        <f>+U21</f>
        <v>02.07.2022</v>
      </c>
      <c r="V22" s="298" t="str">
        <f>+V21</f>
        <v>22.09.2022</v>
      </c>
      <c r="X22" s="294">
        <v>230.3</v>
      </c>
      <c r="Y22" s="294">
        <f t="shared" si="0"/>
        <v>174.67000000000002</v>
      </c>
      <c r="Z22" s="355" t="s">
        <v>382</v>
      </c>
    </row>
    <row r="23" spans="1:26" s="307" customFormat="1" hidden="1" x14ac:dyDescent="0.3">
      <c r="A23" s="307" t="s">
        <v>348</v>
      </c>
      <c r="B23" s="307">
        <v>543</v>
      </c>
      <c r="C23" s="307" t="s">
        <v>344</v>
      </c>
      <c r="M23" s="308" t="str">
        <f>+M22</f>
        <v>Z62</v>
      </c>
      <c r="O23" s="312">
        <f>+O10</f>
        <v>30000009250</v>
      </c>
      <c r="P23" s="313">
        <f>ROUND('Calculo IP ZDF'!E37,2)</f>
        <v>404.97</v>
      </c>
      <c r="Q23" s="307" t="s">
        <v>345</v>
      </c>
      <c r="R23" s="307">
        <v>1</v>
      </c>
      <c r="S23" s="307" t="s">
        <v>346</v>
      </c>
      <c r="T23" s="307" t="s">
        <v>347</v>
      </c>
      <c r="U23" s="311" t="str">
        <f>+U22</f>
        <v>02.07.2022</v>
      </c>
      <c r="V23" s="311" t="str">
        <f>+V22</f>
        <v>22.09.2022</v>
      </c>
      <c r="X23" s="307">
        <v>230.3</v>
      </c>
      <c r="Y23" s="294">
        <f t="shared" si="0"/>
        <v>174.67000000000002</v>
      </c>
      <c r="Z23" s="307" t="s">
        <v>382</v>
      </c>
    </row>
    <row r="24" spans="1:26" x14ac:dyDescent="0.3">
      <c r="A24" s="294" t="s">
        <v>348</v>
      </c>
      <c r="B24" s="294">
        <v>543</v>
      </c>
      <c r="C24" s="294" t="s">
        <v>344</v>
      </c>
      <c r="M24" s="300" t="str">
        <f>+'Calculo IP ZDF'!N37</f>
        <v>Z60</v>
      </c>
      <c r="O24" s="299">
        <f>+O22</f>
        <v>30000002129</v>
      </c>
      <c r="P24" s="296">
        <f>ROUND('Calculo IP ZDF'!E37,2)</f>
        <v>404.97</v>
      </c>
      <c r="Q24" s="294" t="s">
        <v>345</v>
      </c>
      <c r="R24" s="294">
        <v>1</v>
      </c>
      <c r="S24" s="294" t="s">
        <v>346</v>
      </c>
      <c r="T24" s="294" t="s">
        <v>347</v>
      </c>
      <c r="U24" s="298" t="str">
        <f>+U22</f>
        <v>02.07.2022</v>
      </c>
      <c r="V24" s="298" t="str">
        <f>+V22</f>
        <v>22.09.2022</v>
      </c>
      <c r="X24" s="294">
        <v>230.3</v>
      </c>
      <c r="Y24" s="294">
        <f t="shared" si="0"/>
        <v>174.67000000000002</v>
      </c>
      <c r="Z24" s="355" t="s">
        <v>382</v>
      </c>
    </row>
    <row r="25" spans="1:26" x14ac:dyDescent="0.3">
      <c r="A25" s="315" t="s">
        <v>348</v>
      </c>
      <c r="B25" s="315">
        <v>543</v>
      </c>
      <c r="C25" s="315" t="s">
        <v>344</v>
      </c>
      <c r="D25" s="315"/>
      <c r="E25" s="315"/>
      <c r="F25" s="315"/>
      <c r="G25" s="315"/>
      <c r="H25" s="315"/>
      <c r="I25" s="315"/>
      <c r="J25" s="315"/>
      <c r="K25" s="315"/>
      <c r="L25" s="315"/>
      <c r="M25" s="340" t="str">
        <f>+'Calculo IP ZDF'!N38</f>
        <v>Z63</v>
      </c>
      <c r="N25" s="315"/>
      <c r="O25" s="299">
        <f t="shared" si="1"/>
        <v>30000002129</v>
      </c>
      <c r="P25" s="342">
        <f>ROUND('Calculo IP ZDF'!E38,2)</f>
        <v>404.97</v>
      </c>
      <c r="Q25" s="315" t="s">
        <v>345</v>
      </c>
      <c r="R25" s="315">
        <v>1</v>
      </c>
      <c r="S25" s="315" t="s">
        <v>346</v>
      </c>
      <c r="T25" s="315" t="s">
        <v>347</v>
      </c>
      <c r="U25" s="298" t="str">
        <f>+U24</f>
        <v>02.07.2022</v>
      </c>
      <c r="V25" s="298" t="str">
        <f>+V15</f>
        <v>22.09.2022</v>
      </c>
      <c r="X25" s="294">
        <v>230.3</v>
      </c>
      <c r="Y25" s="294">
        <f t="shared" si="0"/>
        <v>174.67000000000002</v>
      </c>
      <c r="Z25" s="355" t="s">
        <v>382</v>
      </c>
    </row>
    <row r="26" spans="1:26" x14ac:dyDescent="0.3">
      <c r="A26" s="294" t="s">
        <v>348</v>
      </c>
      <c r="B26" s="294">
        <v>543</v>
      </c>
      <c r="C26" s="294" t="s">
        <v>344</v>
      </c>
      <c r="M26" s="300" t="str">
        <f>+'Calculo IP ZDF'!N39</f>
        <v>Z70</v>
      </c>
      <c r="O26" s="299">
        <f t="shared" si="1"/>
        <v>30000002129</v>
      </c>
      <c r="P26" s="296">
        <f>ROUND('Calculo IP ZDF'!E39,2)</f>
        <v>404.97</v>
      </c>
      <c r="Q26" s="294" t="s">
        <v>345</v>
      </c>
      <c r="R26" s="294">
        <v>1</v>
      </c>
      <c r="S26" s="294" t="s">
        <v>346</v>
      </c>
      <c r="T26" s="294" t="s">
        <v>347</v>
      </c>
      <c r="U26" s="298" t="str">
        <f t="shared" si="3"/>
        <v>02.07.2022</v>
      </c>
      <c r="V26" s="298" t="str">
        <f t="shared" si="3"/>
        <v>22.09.2022</v>
      </c>
      <c r="X26" s="294">
        <v>230.3</v>
      </c>
      <c r="Y26" s="294">
        <f t="shared" si="0"/>
        <v>174.67000000000002</v>
      </c>
      <c r="Z26" s="355" t="s">
        <v>382</v>
      </c>
    </row>
    <row r="27" spans="1:26" x14ac:dyDescent="0.3">
      <c r="A27" s="294" t="s">
        <v>348</v>
      </c>
      <c r="B27" s="294">
        <v>543</v>
      </c>
      <c r="C27" s="294" t="s">
        <v>344</v>
      </c>
      <c r="M27" s="300" t="str">
        <f>+'Calculo IP ZDF'!N40</f>
        <v>Z75</v>
      </c>
      <c r="O27" s="299">
        <f t="shared" si="1"/>
        <v>30000002129</v>
      </c>
      <c r="P27" s="296">
        <f>ROUND('Calculo IP ZDF'!E40,2)</f>
        <v>404.97</v>
      </c>
      <c r="Q27" s="294" t="s">
        <v>345</v>
      </c>
      <c r="R27" s="294">
        <v>1</v>
      </c>
      <c r="S27" s="294" t="s">
        <v>346</v>
      </c>
      <c r="T27" s="294" t="s">
        <v>347</v>
      </c>
      <c r="U27" s="298" t="str">
        <f t="shared" si="3"/>
        <v>02.07.2022</v>
      </c>
      <c r="V27" s="298" t="str">
        <f t="shared" si="3"/>
        <v>22.09.2022</v>
      </c>
      <c r="X27" s="294">
        <v>230.3</v>
      </c>
      <c r="Y27" s="294">
        <f t="shared" si="0"/>
        <v>174.67000000000002</v>
      </c>
      <c r="Z27" s="355" t="s">
        <v>382</v>
      </c>
    </row>
    <row r="28" spans="1:26" hidden="1" x14ac:dyDescent="0.3">
      <c r="A28" s="315" t="s">
        <v>349</v>
      </c>
      <c r="B28" s="315">
        <v>543</v>
      </c>
      <c r="C28" s="315" t="s">
        <v>344</v>
      </c>
      <c r="D28" s="315"/>
      <c r="E28" s="315"/>
      <c r="F28" s="315"/>
      <c r="G28" s="315"/>
      <c r="H28" s="315"/>
      <c r="I28" s="315"/>
      <c r="J28" s="315"/>
      <c r="K28" s="315"/>
      <c r="L28" s="315"/>
      <c r="M28" s="340" t="str">
        <f>+'Calculo IP ZDF'!N28</f>
        <v>Z61</v>
      </c>
      <c r="N28" s="315"/>
      <c r="O28" s="315">
        <f>+'Calculo IP ZDF'!B50</f>
        <v>30000000070</v>
      </c>
      <c r="P28" s="342">
        <f>ROUND('Calculo IP ZDF'!B28,2)</f>
        <v>5262.5</v>
      </c>
      <c r="Q28" s="315" t="s">
        <v>345</v>
      </c>
      <c r="R28" s="315">
        <v>1</v>
      </c>
      <c r="S28" s="315" t="s">
        <v>346</v>
      </c>
      <c r="T28" s="315" t="s">
        <v>347</v>
      </c>
      <c r="U28" s="298" t="str">
        <f>+U27</f>
        <v>02.07.2022</v>
      </c>
      <c r="V28" s="298" t="str">
        <f>+V25</f>
        <v>22.09.2022</v>
      </c>
      <c r="X28" s="294">
        <v>3980</v>
      </c>
      <c r="Y28" s="294">
        <f t="shared" si="0"/>
        <v>1282.5</v>
      </c>
      <c r="Z28" s="354" t="s">
        <v>384</v>
      </c>
    </row>
    <row r="29" spans="1:26" hidden="1" x14ac:dyDescent="0.3">
      <c r="A29" s="294" t="s">
        <v>349</v>
      </c>
      <c r="B29" s="294">
        <v>543</v>
      </c>
      <c r="C29" s="294" t="s">
        <v>344</v>
      </c>
      <c r="M29" s="300" t="str">
        <f>+'Calculo IP ZDF'!N29</f>
        <v>Z68</v>
      </c>
      <c r="O29" s="294">
        <f>+O28</f>
        <v>30000000070</v>
      </c>
      <c r="P29" s="296">
        <f>ROUND('Calculo IP ZDF'!B29,2)</f>
        <v>4941.49</v>
      </c>
      <c r="Q29" s="294" t="s">
        <v>345</v>
      </c>
      <c r="R29" s="294">
        <v>1</v>
      </c>
      <c r="S29" s="294" t="s">
        <v>346</v>
      </c>
      <c r="T29" s="294" t="s">
        <v>347</v>
      </c>
      <c r="U29" s="298" t="str">
        <f t="shared" si="3"/>
        <v>02.07.2022</v>
      </c>
      <c r="V29" s="298" t="str">
        <f t="shared" si="3"/>
        <v>22.09.2022</v>
      </c>
      <c r="X29" s="294">
        <v>3980</v>
      </c>
      <c r="Y29" s="294">
        <f t="shared" si="0"/>
        <v>961.48999999999978</v>
      </c>
      <c r="Z29" s="354" t="s">
        <v>384</v>
      </c>
    </row>
    <row r="30" spans="1:26" hidden="1" x14ac:dyDescent="0.3">
      <c r="A30" s="294" t="s">
        <v>349</v>
      </c>
      <c r="B30" s="294">
        <v>543</v>
      </c>
      <c r="C30" s="294" t="s">
        <v>344</v>
      </c>
      <c r="M30" s="300" t="str">
        <f>+'Calculo IP ZDF'!N30</f>
        <v>Z67</v>
      </c>
      <c r="O30" s="294">
        <f t="shared" ref="O30:O39" si="4">+O29</f>
        <v>30000000070</v>
      </c>
      <c r="P30" s="296">
        <f>ROUND('Calculo IP ZDF'!B30,2)</f>
        <v>5262.5</v>
      </c>
      <c r="Q30" s="294" t="s">
        <v>345</v>
      </c>
      <c r="R30" s="294">
        <v>1</v>
      </c>
      <c r="S30" s="294" t="s">
        <v>346</v>
      </c>
      <c r="T30" s="294" t="s">
        <v>347</v>
      </c>
      <c r="U30" s="298" t="str">
        <f t="shared" si="3"/>
        <v>02.07.2022</v>
      </c>
      <c r="V30" s="298" t="str">
        <f t="shared" si="3"/>
        <v>22.09.2022</v>
      </c>
      <c r="X30" s="294">
        <v>3980</v>
      </c>
      <c r="Y30" s="294">
        <f t="shared" si="0"/>
        <v>1282.5</v>
      </c>
      <c r="Z30" s="354" t="s">
        <v>384</v>
      </c>
    </row>
    <row r="31" spans="1:26" hidden="1" x14ac:dyDescent="0.3">
      <c r="A31" s="334" t="s">
        <v>349</v>
      </c>
      <c r="B31" s="334">
        <v>543</v>
      </c>
      <c r="C31" s="334" t="s">
        <v>344</v>
      </c>
      <c r="D31" s="334"/>
      <c r="E31" s="334"/>
      <c r="F31" s="334"/>
      <c r="G31" s="334"/>
      <c r="H31" s="334"/>
      <c r="I31" s="334"/>
      <c r="J31" s="334"/>
      <c r="K31" s="334"/>
      <c r="L31" s="334"/>
      <c r="M31" s="333" t="str">
        <f>+M18</f>
        <v xml:space="preserve">Z64  </v>
      </c>
      <c r="N31" s="334"/>
      <c r="O31" s="334">
        <f t="shared" si="4"/>
        <v>30000000070</v>
      </c>
      <c r="P31" s="316">
        <f>ROUND('Calculo IP ZDF'!B31,2)</f>
        <v>5262.5</v>
      </c>
      <c r="Q31" s="334" t="s">
        <v>345</v>
      </c>
      <c r="R31" s="334">
        <v>1</v>
      </c>
      <c r="S31" s="334" t="s">
        <v>346</v>
      </c>
      <c r="T31" s="334" t="s">
        <v>347</v>
      </c>
      <c r="U31" s="337" t="str">
        <f t="shared" si="3"/>
        <v>02.07.2022</v>
      </c>
      <c r="V31" s="337" t="str">
        <f t="shared" si="3"/>
        <v>22.09.2022</v>
      </c>
      <c r="X31" s="294">
        <v>3980</v>
      </c>
      <c r="Y31" s="294">
        <f t="shared" si="0"/>
        <v>1282.5</v>
      </c>
      <c r="Z31" s="354" t="s">
        <v>384</v>
      </c>
    </row>
    <row r="32" spans="1:26" hidden="1" x14ac:dyDescent="0.3">
      <c r="A32" s="294" t="s">
        <v>349</v>
      </c>
      <c r="B32" s="294">
        <v>543</v>
      </c>
      <c r="C32" s="294" t="s">
        <v>344</v>
      </c>
      <c r="M32" s="300" t="str">
        <f>+M19</f>
        <v>Z74</v>
      </c>
      <c r="O32" s="294">
        <f t="shared" si="4"/>
        <v>30000000070</v>
      </c>
      <c r="P32" s="717">
        <f>ROUND('Calculo IP ZDF'!B32,2)</f>
        <v>4830.9799999999996</v>
      </c>
      <c r="Q32" s="294" t="s">
        <v>345</v>
      </c>
      <c r="R32" s="294">
        <v>1</v>
      </c>
      <c r="S32" s="294" t="s">
        <v>346</v>
      </c>
      <c r="T32" s="294" t="s">
        <v>347</v>
      </c>
      <c r="U32" s="298" t="str">
        <f t="shared" si="3"/>
        <v>02.07.2022</v>
      </c>
      <c r="V32" s="298" t="str">
        <f t="shared" si="3"/>
        <v>22.09.2022</v>
      </c>
      <c r="X32" s="294">
        <v>3980</v>
      </c>
      <c r="Y32" s="294">
        <f t="shared" si="0"/>
        <v>850.97999999999956</v>
      </c>
      <c r="Z32" s="354" t="s">
        <v>384</v>
      </c>
    </row>
    <row r="33" spans="1:26" hidden="1" x14ac:dyDescent="0.3">
      <c r="A33" s="294" t="s">
        <v>349</v>
      </c>
      <c r="B33" s="294">
        <v>543</v>
      </c>
      <c r="C33" s="294" t="s">
        <v>344</v>
      </c>
      <c r="M33" s="300" t="str">
        <f>+'Calculo IP ZDF'!N33</f>
        <v>Z65</v>
      </c>
      <c r="O33" s="294">
        <f t="shared" si="4"/>
        <v>30000000070</v>
      </c>
      <c r="P33" s="296">
        <f>ROUND('Calculo IP ZDF'!B33,2)</f>
        <v>5262.5</v>
      </c>
      <c r="Q33" s="294" t="s">
        <v>345</v>
      </c>
      <c r="R33" s="294">
        <v>1</v>
      </c>
      <c r="S33" s="294" t="s">
        <v>346</v>
      </c>
      <c r="T33" s="294" t="s">
        <v>347</v>
      </c>
      <c r="U33" s="298" t="str">
        <f t="shared" si="3"/>
        <v>02.07.2022</v>
      </c>
      <c r="V33" s="298" t="str">
        <f t="shared" si="3"/>
        <v>22.09.2022</v>
      </c>
      <c r="X33" s="294">
        <v>3980</v>
      </c>
      <c r="Y33" s="294">
        <f t="shared" si="0"/>
        <v>1282.5</v>
      </c>
      <c r="Z33" s="354" t="s">
        <v>384</v>
      </c>
    </row>
    <row r="34" spans="1:26" hidden="1" x14ac:dyDescent="0.3">
      <c r="A34" s="294" t="s">
        <v>349</v>
      </c>
      <c r="B34" s="294">
        <v>543</v>
      </c>
      <c r="C34" s="294" t="s">
        <v>344</v>
      </c>
      <c r="M34" s="300" t="str">
        <f>+'Calculo IP ZDF'!N34</f>
        <v>Z69</v>
      </c>
      <c r="O34" s="294">
        <f t="shared" si="4"/>
        <v>30000000070</v>
      </c>
      <c r="P34" s="296">
        <f>ROUND('Calculo IP ZDF'!B34,2)</f>
        <v>5041.4799999999996</v>
      </c>
      <c r="Q34" s="294" t="s">
        <v>345</v>
      </c>
      <c r="R34" s="294">
        <v>1</v>
      </c>
      <c r="S34" s="294" t="s">
        <v>346</v>
      </c>
      <c r="T34" s="294" t="s">
        <v>347</v>
      </c>
      <c r="U34" s="298" t="str">
        <f t="shared" si="3"/>
        <v>02.07.2022</v>
      </c>
      <c r="V34" s="298" t="str">
        <f t="shared" si="3"/>
        <v>22.09.2022</v>
      </c>
      <c r="X34" s="294">
        <v>3980</v>
      </c>
      <c r="Y34" s="294">
        <f t="shared" si="0"/>
        <v>1061.4799999999996</v>
      </c>
      <c r="Z34" s="354" t="s">
        <v>384</v>
      </c>
    </row>
    <row r="35" spans="1:26" hidden="1" x14ac:dyDescent="0.3">
      <c r="A35" s="294" t="s">
        <v>349</v>
      </c>
      <c r="B35" s="294">
        <v>543</v>
      </c>
      <c r="C35" s="294" t="s">
        <v>344</v>
      </c>
      <c r="M35" s="300" t="str">
        <f>+'Calculo IP ZDF'!N36</f>
        <v>Z62</v>
      </c>
      <c r="O35" s="294">
        <f t="shared" si="4"/>
        <v>30000000070</v>
      </c>
      <c r="P35" s="296">
        <f>ROUND('Calculo IP ZDF'!B36,2)</f>
        <v>5262.5</v>
      </c>
      <c r="Q35" s="294" t="s">
        <v>345</v>
      </c>
      <c r="R35" s="294">
        <v>1</v>
      </c>
      <c r="S35" s="294" t="s">
        <v>346</v>
      </c>
      <c r="T35" s="294" t="s">
        <v>347</v>
      </c>
      <c r="U35" s="298" t="str">
        <f t="shared" si="3"/>
        <v>02.07.2022</v>
      </c>
      <c r="V35" s="298" t="str">
        <f t="shared" si="3"/>
        <v>22.09.2022</v>
      </c>
      <c r="X35" s="294">
        <v>3980</v>
      </c>
      <c r="Y35" s="294">
        <f t="shared" si="0"/>
        <v>1282.5</v>
      </c>
      <c r="Z35" s="354" t="s">
        <v>384</v>
      </c>
    </row>
    <row r="36" spans="1:26" hidden="1" x14ac:dyDescent="0.3">
      <c r="A36" s="294" t="s">
        <v>349</v>
      </c>
      <c r="B36" s="294">
        <v>543</v>
      </c>
      <c r="C36" s="294" t="s">
        <v>344</v>
      </c>
      <c r="M36" s="300" t="str">
        <f>+'Calculo IP ZDF'!N37</f>
        <v>Z60</v>
      </c>
      <c r="O36" s="294">
        <f t="shared" si="4"/>
        <v>30000000070</v>
      </c>
      <c r="P36" s="717">
        <f>ROUND('Calculo IP ZDF'!B37,2)</f>
        <v>4827.29</v>
      </c>
      <c r="Q36" s="294" t="s">
        <v>345</v>
      </c>
      <c r="R36" s="294">
        <v>1</v>
      </c>
      <c r="S36" s="294" t="s">
        <v>346</v>
      </c>
      <c r="T36" s="294" t="s">
        <v>347</v>
      </c>
      <c r="U36" s="298" t="str">
        <f t="shared" si="3"/>
        <v>02.07.2022</v>
      </c>
      <c r="V36" s="298" t="str">
        <f t="shared" si="3"/>
        <v>22.09.2022</v>
      </c>
      <c r="X36" s="294">
        <v>3980</v>
      </c>
      <c r="Y36" s="294">
        <f t="shared" si="0"/>
        <v>847.29</v>
      </c>
      <c r="Z36" s="354" t="s">
        <v>384</v>
      </c>
    </row>
    <row r="37" spans="1:26" hidden="1" x14ac:dyDescent="0.3">
      <c r="A37" s="315" t="s">
        <v>349</v>
      </c>
      <c r="B37" s="315">
        <v>543</v>
      </c>
      <c r="C37" s="315" t="s">
        <v>344</v>
      </c>
      <c r="D37" s="315"/>
      <c r="E37" s="315"/>
      <c r="F37" s="315"/>
      <c r="G37" s="315"/>
      <c r="H37" s="315"/>
      <c r="I37" s="315"/>
      <c r="J37" s="315"/>
      <c r="K37" s="315"/>
      <c r="L37" s="315"/>
      <c r="M37" s="340" t="str">
        <f>+'Calculo IP ZDF'!N38</f>
        <v>Z63</v>
      </c>
      <c r="N37" s="315"/>
      <c r="O37" s="315">
        <f t="shared" si="4"/>
        <v>30000000070</v>
      </c>
      <c r="P37" s="342">
        <f>ROUND('Calculo IP ZDF'!B38,2)</f>
        <v>5262.5</v>
      </c>
      <c r="Q37" s="315" t="s">
        <v>345</v>
      </c>
      <c r="R37" s="315">
        <v>1</v>
      </c>
      <c r="S37" s="315" t="s">
        <v>346</v>
      </c>
      <c r="T37" s="315" t="s">
        <v>347</v>
      </c>
      <c r="U37" s="298" t="str">
        <f>+U36</f>
        <v>02.07.2022</v>
      </c>
      <c r="V37" s="298" t="str">
        <f>+V28</f>
        <v>22.09.2022</v>
      </c>
      <c r="X37" s="294">
        <v>3980</v>
      </c>
      <c r="Y37" s="294">
        <f t="shared" si="0"/>
        <v>1282.5</v>
      </c>
      <c r="Z37" s="354" t="s">
        <v>384</v>
      </c>
    </row>
    <row r="38" spans="1:26" hidden="1" x14ac:dyDescent="0.3">
      <c r="A38" s="294" t="s">
        <v>349</v>
      </c>
      <c r="B38" s="294">
        <v>543</v>
      </c>
      <c r="C38" s="294" t="s">
        <v>344</v>
      </c>
      <c r="M38" s="300" t="str">
        <f>+'Calculo IP ZDF'!N39</f>
        <v>Z70</v>
      </c>
      <c r="O38" s="294">
        <f t="shared" si="4"/>
        <v>30000000070</v>
      </c>
      <c r="P38" s="296">
        <f>ROUND('Calculo IP ZDF'!B39,2)</f>
        <v>5041.4799999999996</v>
      </c>
      <c r="Q38" s="294" t="s">
        <v>345</v>
      </c>
      <c r="R38" s="294">
        <v>1</v>
      </c>
      <c r="S38" s="294" t="s">
        <v>346</v>
      </c>
      <c r="T38" s="294" t="s">
        <v>347</v>
      </c>
      <c r="U38" s="298" t="str">
        <f t="shared" ref="U38:V43" si="5">+U37</f>
        <v>02.07.2022</v>
      </c>
      <c r="V38" s="298" t="str">
        <f t="shared" si="5"/>
        <v>22.09.2022</v>
      </c>
      <c r="X38" s="294">
        <v>3980</v>
      </c>
      <c r="Y38" s="294">
        <f t="shared" si="0"/>
        <v>1061.4799999999996</v>
      </c>
      <c r="Z38" s="354" t="s">
        <v>384</v>
      </c>
    </row>
    <row r="39" spans="1:26" hidden="1" x14ac:dyDescent="0.3">
      <c r="A39" s="294" t="s">
        <v>349</v>
      </c>
      <c r="B39" s="294">
        <v>543</v>
      </c>
      <c r="C39" s="294" t="s">
        <v>344</v>
      </c>
      <c r="M39" s="300" t="str">
        <f>+'Calculo IP ZDF'!N40</f>
        <v>Z75</v>
      </c>
      <c r="O39" s="294">
        <f t="shared" si="4"/>
        <v>30000000070</v>
      </c>
      <c r="P39" s="296">
        <f>ROUND('Calculo IP ZDF'!B40,2)</f>
        <v>4941.49</v>
      </c>
      <c r="Q39" s="294" t="s">
        <v>345</v>
      </c>
      <c r="R39" s="294">
        <v>1</v>
      </c>
      <c r="S39" s="294" t="s">
        <v>346</v>
      </c>
      <c r="T39" s="294" t="s">
        <v>347</v>
      </c>
      <c r="U39" s="298" t="str">
        <f t="shared" si="5"/>
        <v>02.07.2022</v>
      </c>
      <c r="V39" s="298" t="str">
        <f t="shared" si="5"/>
        <v>22.09.2022</v>
      </c>
      <c r="X39" s="294">
        <v>3980</v>
      </c>
      <c r="Y39" s="294">
        <f t="shared" si="0"/>
        <v>961.48999999999978</v>
      </c>
      <c r="Z39" s="354" t="s">
        <v>384</v>
      </c>
    </row>
    <row r="40" spans="1:26" hidden="1" x14ac:dyDescent="0.3">
      <c r="A40" s="294" t="s">
        <v>349</v>
      </c>
      <c r="B40" s="315">
        <v>587</v>
      </c>
      <c r="C40" s="294" t="s">
        <v>344</v>
      </c>
      <c r="F40" s="294">
        <v>3003</v>
      </c>
      <c r="M40" s="300" t="s">
        <v>316</v>
      </c>
      <c r="O40" s="294">
        <v>30000009113</v>
      </c>
      <c r="P40" s="296">
        <f>ROUND(+'Calculo IP ZDF'!B36,2)</f>
        <v>5262.5</v>
      </c>
      <c r="Q40" s="294" t="s">
        <v>345</v>
      </c>
      <c r="R40" s="294">
        <v>1</v>
      </c>
      <c r="S40" s="294" t="s">
        <v>346</v>
      </c>
      <c r="T40" s="294" t="s">
        <v>347</v>
      </c>
      <c r="U40" s="298" t="str">
        <f t="shared" si="5"/>
        <v>02.07.2022</v>
      </c>
      <c r="V40" s="298" t="str">
        <f t="shared" si="5"/>
        <v>22.09.2022</v>
      </c>
      <c r="X40" s="294">
        <v>3980</v>
      </c>
      <c r="Y40" s="294">
        <f t="shared" si="0"/>
        <v>1282.5</v>
      </c>
      <c r="Z40" s="294" t="s">
        <v>383</v>
      </c>
    </row>
    <row r="41" spans="1:26" hidden="1" x14ac:dyDescent="0.3">
      <c r="A41" s="294" t="s">
        <v>369</v>
      </c>
      <c r="B41" s="315">
        <v>587</v>
      </c>
      <c r="C41" s="294" t="s">
        <v>344</v>
      </c>
      <c r="F41" s="294">
        <v>3003</v>
      </c>
      <c r="M41" s="300" t="s">
        <v>316</v>
      </c>
      <c r="O41" s="294">
        <v>30000009113</v>
      </c>
      <c r="P41" s="350">
        <v>8.6300000000000008</v>
      </c>
      <c r="Q41" s="294" t="s">
        <v>345</v>
      </c>
      <c r="R41" s="294">
        <v>1</v>
      </c>
      <c r="S41" s="294" t="s">
        <v>346</v>
      </c>
      <c r="T41" s="294" t="s">
        <v>347</v>
      </c>
      <c r="U41" s="298" t="str">
        <f t="shared" si="5"/>
        <v>02.07.2022</v>
      </c>
      <c r="V41" s="298" t="str">
        <f t="shared" si="5"/>
        <v>22.09.2022</v>
      </c>
      <c r="X41" s="294">
        <v>8.14</v>
      </c>
      <c r="Y41" s="294">
        <f t="shared" si="0"/>
        <v>0.49000000000000021</v>
      </c>
      <c r="Z41" s="294" t="s">
        <v>383</v>
      </c>
    </row>
    <row r="42" spans="1:26" hidden="1" x14ac:dyDescent="0.3">
      <c r="A42" s="294" t="s">
        <v>349</v>
      </c>
      <c r="B42" s="315">
        <v>587</v>
      </c>
      <c r="C42" s="294" t="s">
        <v>344</v>
      </c>
      <c r="F42" s="294">
        <v>3003</v>
      </c>
      <c r="M42" s="300" t="s">
        <v>316</v>
      </c>
      <c r="O42" s="294">
        <v>30000000003</v>
      </c>
      <c r="P42" s="296">
        <f>ROUND(+'Calculo IP ZDF'!C36,2)</f>
        <v>4415.92</v>
      </c>
      <c r="Q42" s="294" t="s">
        <v>345</v>
      </c>
      <c r="R42" s="294">
        <v>1</v>
      </c>
      <c r="S42" s="294" t="s">
        <v>346</v>
      </c>
      <c r="T42" s="294" t="s">
        <v>347</v>
      </c>
      <c r="U42" s="298" t="str">
        <f t="shared" si="5"/>
        <v>02.07.2022</v>
      </c>
      <c r="V42" s="298" t="str">
        <f t="shared" si="5"/>
        <v>22.09.2022</v>
      </c>
      <c r="X42" s="294">
        <v>4496.3599999999997</v>
      </c>
      <c r="Y42" s="294">
        <f t="shared" si="0"/>
        <v>-80.4399999999996</v>
      </c>
      <c r="Z42" s="294" t="s">
        <v>106</v>
      </c>
    </row>
    <row r="43" spans="1:26" hidden="1" x14ac:dyDescent="0.3">
      <c r="A43" s="294" t="s">
        <v>369</v>
      </c>
      <c r="B43" s="315">
        <v>587</v>
      </c>
      <c r="C43" s="294" t="s">
        <v>344</v>
      </c>
      <c r="F43" s="294">
        <v>3003</v>
      </c>
      <c r="M43" s="300" t="s">
        <v>316</v>
      </c>
      <c r="O43" s="294">
        <v>30000000003</v>
      </c>
      <c r="P43" s="316">
        <f>+P41</f>
        <v>8.6300000000000008</v>
      </c>
      <c r="Q43" s="294" t="s">
        <v>345</v>
      </c>
      <c r="R43" s="294">
        <v>1</v>
      </c>
      <c r="S43" s="294" t="s">
        <v>346</v>
      </c>
      <c r="T43" s="294" t="s">
        <v>347</v>
      </c>
      <c r="U43" s="298" t="str">
        <f t="shared" si="5"/>
        <v>02.07.2022</v>
      </c>
      <c r="V43" s="298" t="str">
        <f t="shared" si="5"/>
        <v>22.09.2022</v>
      </c>
      <c r="X43" s="294">
        <v>8.14</v>
      </c>
      <c r="Y43" s="294">
        <f t="shared" si="0"/>
        <v>0.49000000000000021</v>
      </c>
      <c r="Z43" s="294" t="s">
        <v>106</v>
      </c>
    </row>
    <row r="44" spans="1:26" x14ac:dyDescent="0.3">
      <c r="A44" s="294" t="s">
        <v>343</v>
      </c>
      <c r="B44" s="294">
        <v>543</v>
      </c>
      <c r="C44" s="294" t="s">
        <v>344</v>
      </c>
      <c r="M44" s="333" t="str">
        <f>+'Calculo IP ZDF'!N41</f>
        <v>Z66</v>
      </c>
      <c r="O44" s="294">
        <v>30000002129</v>
      </c>
      <c r="P44" s="296">
        <f>ROUND(+'Calculo IP ZDF'!D41,2)</f>
        <v>3187.71</v>
      </c>
      <c r="Q44" s="294" t="s">
        <v>345</v>
      </c>
      <c r="R44" s="294">
        <v>1</v>
      </c>
      <c r="S44" s="294" t="s">
        <v>346</v>
      </c>
      <c r="T44" s="294" t="s">
        <v>347</v>
      </c>
      <c r="U44" s="298" t="str">
        <f t="shared" ref="U44:V46" si="6">+U43</f>
        <v>02.07.2022</v>
      </c>
      <c r="V44" s="298" t="str">
        <f t="shared" si="6"/>
        <v>22.09.2022</v>
      </c>
      <c r="X44" s="294">
        <v>4618.07</v>
      </c>
      <c r="Y44" s="294">
        <f t="shared" si="0"/>
        <v>-1430.3599999999997</v>
      </c>
      <c r="Z44" s="355" t="s">
        <v>382</v>
      </c>
    </row>
    <row r="45" spans="1:26" x14ac:dyDescent="0.3">
      <c r="A45" s="294" t="s">
        <v>348</v>
      </c>
      <c r="B45" s="294">
        <v>543</v>
      </c>
      <c r="C45" s="294" t="s">
        <v>344</v>
      </c>
      <c r="M45" s="333" t="str">
        <f>+M44</f>
        <v>Z66</v>
      </c>
      <c r="O45" s="294">
        <v>30000002129</v>
      </c>
      <c r="P45" s="296">
        <f>ROUND(+'Calculo IP ZDF'!E41,2)</f>
        <v>404.97</v>
      </c>
      <c r="Q45" s="294" t="s">
        <v>345</v>
      </c>
      <c r="R45" s="294">
        <v>1</v>
      </c>
      <c r="S45" s="294" t="s">
        <v>346</v>
      </c>
      <c r="T45" s="294" t="s">
        <v>347</v>
      </c>
      <c r="U45" s="298" t="str">
        <f t="shared" si="6"/>
        <v>02.07.2022</v>
      </c>
      <c r="V45" s="298" t="str">
        <f t="shared" si="6"/>
        <v>22.09.2022</v>
      </c>
      <c r="X45" s="294">
        <v>230.3</v>
      </c>
      <c r="Y45" s="294">
        <f t="shared" si="0"/>
        <v>174.67000000000002</v>
      </c>
      <c r="Z45" s="355" t="s">
        <v>382</v>
      </c>
    </row>
    <row r="46" spans="1:26" hidden="1" x14ac:dyDescent="0.3">
      <c r="A46" s="294" t="s">
        <v>349</v>
      </c>
      <c r="B46" s="294">
        <v>543</v>
      </c>
      <c r="C46" s="294" t="s">
        <v>344</v>
      </c>
      <c r="M46" s="300" t="str">
        <f>+M45</f>
        <v>Z66</v>
      </c>
      <c r="O46" s="294">
        <f>+'Calculo IP ZDF'!B50</f>
        <v>30000000070</v>
      </c>
      <c r="P46" s="296">
        <f>ROUND(+'Calculo IP ZDF'!B41,2)</f>
        <v>5041.4799999999996</v>
      </c>
      <c r="Q46" s="294" t="s">
        <v>345</v>
      </c>
      <c r="R46" s="294">
        <v>1</v>
      </c>
      <c r="S46" s="294" t="s">
        <v>346</v>
      </c>
      <c r="T46" s="294" t="s">
        <v>347</v>
      </c>
      <c r="U46" s="298" t="str">
        <f t="shared" si="6"/>
        <v>02.07.2022</v>
      </c>
      <c r="V46" s="298" t="str">
        <f t="shared" si="6"/>
        <v>22.09.2022</v>
      </c>
      <c r="X46" s="294">
        <v>3980</v>
      </c>
      <c r="Y46" s="294">
        <f t="shared" si="0"/>
        <v>1061.4799999999996</v>
      </c>
      <c r="Z46" s="354" t="s">
        <v>384</v>
      </c>
    </row>
  </sheetData>
  <autoFilter ref="A1:V46" xr:uid="{00000000-0009-0000-0000-000017000000}">
    <filterColumn colId="14">
      <filters>
        <filter val="30000002129"/>
      </filters>
    </filterColumn>
  </autoFilter>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27"/>
  <sheetViews>
    <sheetView zoomScale="85" zoomScaleNormal="85" workbookViewId="0">
      <selection activeCell="P26" sqref="P26"/>
    </sheetView>
  </sheetViews>
  <sheetFormatPr baseColWidth="10" defaultColWidth="11.21875" defaultRowHeight="14.4" x14ac:dyDescent="0.3"/>
  <cols>
    <col min="1" max="1" width="7.21875" style="294" customWidth="1"/>
    <col min="2" max="2" width="9.21875" style="294" customWidth="1"/>
    <col min="3" max="3" width="7.77734375" style="294" customWidth="1"/>
    <col min="4" max="12" width="4.33203125" style="294" customWidth="1"/>
    <col min="13" max="13" width="6.88671875" style="294" customWidth="1"/>
    <col min="14" max="14" width="11.109375" style="294" customWidth="1"/>
    <col min="15" max="15" width="12.21875" style="294" bestFit="1" customWidth="1"/>
    <col min="16" max="16" width="11.77734375" style="296" bestFit="1" customWidth="1"/>
    <col min="17" max="17" width="7.77734375" style="294" customWidth="1"/>
    <col min="18" max="18" width="8.77734375" style="294" customWidth="1"/>
    <col min="19" max="19" width="9.88671875" style="294" customWidth="1"/>
    <col min="20" max="20" width="5.77734375" style="294" customWidth="1"/>
    <col min="21" max="22" width="10.77734375" style="297" bestFit="1" customWidth="1"/>
    <col min="23" max="16384" width="11.21875" style="294"/>
  </cols>
  <sheetData>
    <row r="1" spans="1:24" x14ac:dyDescent="0.3">
      <c r="A1" s="294" t="s">
        <v>321</v>
      </c>
      <c r="B1" s="294" t="s">
        <v>322</v>
      </c>
      <c r="C1" s="294" t="s">
        <v>323</v>
      </c>
      <c r="D1" s="294" t="s">
        <v>324</v>
      </c>
      <c r="E1" s="294" t="s">
        <v>325</v>
      </c>
      <c r="F1" s="294" t="s">
        <v>326</v>
      </c>
      <c r="G1" s="294" t="s">
        <v>327</v>
      </c>
      <c r="H1" s="294" t="s">
        <v>328</v>
      </c>
      <c r="I1" s="294" t="s">
        <v>329</v>
      </c>
      <c r="J1" s="294" t="s">
        <v>330</v>
      </c>
      <c r="K1" s="294" t="s">
        <v>331</v>
      </c>
      <c r="L1" s="294" t="s">
        <v>332</v>
      </c>
      <c r="M1" s="294" t="s">
        <v>333</v>
      </c>
      <c r="N1" s="294" t="s">
        <v>334</v>
      </c>
      <c r="O1" s="295" t="s">
        <v>335</v>
      </c>
      <c r="P1" s="296" t="s">
        <v>336</v>
      </c>
      <c r="Q1" s="294" t="s">
        <v>337</v>
      </c>
      <c r="R1" s="294" t="s">
        <v>338</v>
      </c>
      <c r="S1" s="294" t="s">
        <v>339</v>
      </c>
      <c r="T1" s="294" t="s">
        <v>340</v>
      </c>
      <c r="U1" s="297" t="s">
        <v>341</v>
      </c>
      <c r="V1" s="297" t="s">
        <v>342</v>
      </c>
    </row>
    <row r="2" spans="1:24" x14ac:dyDescent="0.3">
      <c r="A2" s="294" t="s">
        <v>349</v>
      </c>
      <c r="B2" s="294">
        <v>543</v>
      </c>
      <c r="C2" s="294" t="s">
        <v>362</v>
      </c>
      <c r="F2" s="294" t="s">
        <v>148</v>
      </c>
      <c r="M2" s="340" t="s">
        <v>365</v>
      </c>
      <c r="O2" s="320">
        <v>30000000003</v>
      </c>
      <c r="P2" s="295">
        <f>ROUND('Calculo IP ZDF'!C31,2)</f>
        <v>4632.25</v>
      </c>
      <c r="Q2" s="294" t="s">
        <v>345</v>
      </c>
      <c r="R2" s="294">
        <v>1</v>
      </c>
      <c r="S2" s="294" t="s">
        <v>363</v>
      </c>
      <c r="T2" s="294" t="s">
        <v>347</v>
      </c>
      <c r="U2" s="298" t="str">
        <f>+'Calculo IP ZDF'!B46</f>
        <v>02.07.2022</v>
      </c>
      <c r="V2" s="298" t="str">
        <f>+'Calculo IP ZDF'!C46</f>
        <v>22.09.2022</v>
      </c>
      <c r="X2" s="315" t="s">
        <v>108</v>
      </c>
    </row>
    <row r="3" spans="1:24" x14ac:dyDescent="0.3">
      <c r="A3" s="294" t="s">
        <v>349</v>
      </c>
      <c r="B3" s="294">
        <v>543</v>
      </c>
      <c r="C3" s="294" t="s">
        <v>362</v>
      </c>
      <c r="M3" s="434" t="s">
        <v>364</v>
      </c>
      <c r="O3" s="320">
        <v>30000000003</v>
      </c>
      <c r="P3" s="295">
        <f>ROUND('Calculo IP ZDF'!C32,2)</f>
        <v>3854.03</v>
      </c>
      <c r="Q3" s="294" t="s">
        <v>345</v>
      </c>
      <c r="R3" s="294">
        <v>1</v>
      </c>
      <c r="S3" s="294" t="s">
        <v>363</v>
      </c>
      <c r="T3" s="294" t="s">
        <v>347</v>
      </c>
      <c r="U3" s="435" t="str">
        <f>+U2</f>
        <v>02.07.2022</v>
      </c>
      <c r="V3" s="435" t="str">
        <f>+V2</f>
        <v>22.09.2022</v>
      </c>
      <c r="X3" s="433" t="s">
        <v>437</v>
      </c>
    </row>
    <row r="4" spans="1:24" x14ac:dyDescent="0.3">
      <c r="A4" s="294" t="s">
        <v>349</v>
      </c>
      <c r="B4" s="294">
        <v>543</v>
      </c>
      <c r="C4" s="294" t="s">
        <v>362</v>
      </c>
      <c r="M4" s="429" t="str">
        <f>+'Calculo IP ZDF'!N33</f>
        <v>Z65</v>
      </c>
      <c r="O4" s="320">
        <v>30000000003</v>
      </c>
      <c r="P4" s="295">
        <f>ROUND('Calculo IP ZDF'!C33,2)</f>
        <v>4424.7299999999996</v>
      </c>
      <c r="Q4" s="294" t="s">
        <v>345</v>
      </c>
      <c r="R4" s="294">
        <v>1</v>
      </c>
      <c r="S4" s="294" t="s">
        <v>363</v>
      </c>
      <c r="T4" s="294" t="s">
        <v>347</v>
      </c>
      <c r="U4" s="430" t="str">
        <f t="shared" ref="U4:U6" si="0">+U3</f>
        <v>02.07.2022</v>
      </c>
      <c r="V4" s="430" t="str">
        <f t="shared" ref="V4:V6" si="1">+V3</f>
        <v>22.09.2022</v>
      </c>
      <c r="X4" s="428" t="s">
        <v>435</v>
      </c>
    </row>
    <row r="5" spans="1:24" x14ac:dyDescent="0.3">
      <c r="A5" s="294" t="s">
        <v>349</v>
      </c>
      <c r="B5" s="294">
        <v>543</v>
      </c>
      <c r="C5" s="294" t="s">
        <v>362</v>
      </c>
      <c r="M5" s="431" t="str">
        <f>+'Calculo IP ZDF'!N35</f>
        <v>Z73</v>
      </c>
      <c r="O5" s="320">
        <v>30000000003</v>
      </c>
      <c r="P5" s="295">
        <f>ROUND('Calculo IP ZDF'!C35,2)</f>
        <v>3232.85</v>
      </c>
      <c r="Q5" s="294" t="s">
        <v>345</v>
      </c>
      <c r="R5" s="294">
        <v>1</v>
      </c>
      <c r="S5" s="294" t="s">
        <v>363</v>
      </c>
      <c r="T5" s="294" t="s">
        <v>347</v>
      </c>
      <c r="U5" s="298" t="str">
        <f t="shared" si="0"/>
        <v>02.07.2022</v>
      </c>
      <c r="V5" s="298" t="str">
        <f t="shared" si="1"/>
        <v>22.09.2022</v>
      </c>
      <c r="X5" s="432" t="s">
        <v>436</v>
      </c>
    </row>
    <row r="6" spans="1:24" x14ac:dyDescent="0.3">
      <c r="A6" s="294" t="s">
        <v>349</v>
      </c>
      <c r="B6" s="294">
        <v>543</v>
      </c>
      <c r="C6" s="294" t="s">
        <v>362</v>
      </c>
      <c r="M6" s="427" t="str">
        <f>+'Calculo IP ZDF'!N36</f>
        <v>Z62</v>
      </c>
      <c r="O6" s="320">
        <v>30000000003</v>
      </c>
      <c r="P6" s="295">
        <f>ROUND('Calculo IP ZDF'!C36,2)</f>
        <v>4415.92</v>
      </c>
      <c r="Q6" s="294" t="s">
        <v>345</v>
      </c>
      <c r="R6" s="294">
        <v>1</v>
      </c>
      <c r="S6" s="294" t="s">
        <v>363</v>
      </c>
      <c r="T6" s="294" t="s">
        <v>347</v>
      </c>
      <c r="U6" s="425" t="str">
        <f t="shared" si="0"/>
        <v>02.07.2022</v>
      </c>
      <c r="V6" s="425" t="str">
        <f t="shared" si="1"/>
        <v>22.09.2022</v>
      </c>
      <c r="W6" s="426"/>
      <c r="X6" s="426" t="s">
        <v>110</v>
      </c>
    </row>
    <row r="7" spans="1:24" x14ac:dyDescent="0.3">
      <c r="A7" s="294" t="s">
        <v>349</v>
      </c>
      <c r="B7" s="294">
        <v>543</v>
      </c>
      <c r="C7" s="294" t="s">
        <v>362</v>
      </c>
      <c r="M7" s="340" t="str">
        <f>+M2</f>
        <v xml:space="preserve">Z64  </v>
      </c>
      <c r="O7" s="299">
        <v>30000000070</v>
      </c>
      <c r="P7" s="595">
        <f>ROUND('Calculo IP ZDF'!B31,2)</f>
        <v>5262.5</v>
      </c>
      <c r="Q7" s="294" t="s">
        <v>345</v>
      </c>
      <c r="R7" s="294">
        <v>1</v>
      </c>
      <c r="S7" s="294" t="s">
        <v>363</v>
      </c>
      <c r="T7" s="294" t="s">
        <v>347</v>
      </c>
      <c r="U7" s="298" t="str">
        <f t="shared" ref="U7:U10" si="2">+U6</f>
        <v>02.07.2022</v>
      </c>
      <c r="V7" s="298" t="str">
        <f t="shared" ref="V7:V21" si="3">+V6</f>
        <v>22.09.2022</v>
      </c>
      <c r="X7" s="315" t="s">
        <v>108</v>
      </c>
    </row>
    <row r="8" spans="1:24" x14ac:dyDescent="0.3">
      <c r="A8" s="294" t="s">
        <v>349</v>
      </c>
      <c r="B8" s="294">
        <v>543</v>
      </c>
      <c r="C8" s="294" t="s">
        <v>362</v>
      </c>
      <c r="M8" s="434" t="str">
        <f t="shared" ref="M8:M11" si="4">+M3</f>
        <v>Z51</v>
      </c>
      <c r="O8" s="299">
        <v>30000000070</v>
      </c>
      <c r="P8" s="718">
        <f>ROUND('Calculo IP ZDF'!B32,2)</f>
        <v>4830.9799999999996</v>
      </c>
      <c r="Q8" s="294" t="s">
        <v>345</v>
      </c>
      <c r="R8" s="294">
        <v>1</v>
      </c>
      <c r="S8" s="294" t="s">
        <v>363</v>
      </c>
      <c r="T8" s="294" t="s">
        <v>347</v>
      </c>
      <c r="U8" s="435" t="str">
        <f t="shared" si="2"/>
        <v>02.07.2022</v>
      </c>
      <c r="V8" s="435" t="str">
        <f t="shared" si="3"/>
        <v>22.09.2022</v>
      </c>
      <c r="X8" s="433" t="s">
        <v>437</v>
      </c>
    </row>
    <row r="9" spans="1:24" x14ac:dyDescent="0.3">
      <c r="A9" s="294" t="s">
        <v>349</v>
      </c>
      <c r="B9" s="294">
        <v>543</v>
      </c>
      <c r="C9" s="294" t="s">
        <v>362</v>
      </c>
      <c r="M9" s="429" t="str">
        <f t="shared" si="4"/>
        <v>Z65</v>
      </c>
      <c r="O9" s="299">
        <v>30000000070</v>
      </c>
      <c r="P9" s="595">
        <f>ROUND('Calculo IP ZDF'!B33,2)</f>
        <v>5262.5</v>
      </c>
      <c r="Q9" s="294" t="s">
        <v>345</v>
      </c>
      <c r="R9" s="294">
        <v>1</v>
      </c>
      <c r="S9" s="294" t="s">
        <v>363</v>
      </c>
      <c r="T9" s="294" t="s">
        <v>347</v>
      </c>
      <c r="U9" s="430" t="str">
        <f t="shared" si="2"/>
        <v>02.07.2022</v>
      </c>
      <c r="V9" s="430" t="str">
        <f t="shared" si="3"/>
        <v>22.09.2022</v>
      </c>
      <c r="X9" s="428" t="s">
        <v>435</v>
      </c>
    </row>
    <row r="10" spans="1:24" x14ac:dyDescent="0.3">
      <c r="A10" s="294" t="s">
        <v>349</v>
      </c>
      <c r="B10" s="294">
        <v>543</v>
      </c>
      <c r="C10" s="294" t="s">
        <v>362</v>
      </c>
      <c r="M10" s="431" t="str">
        <f t="shared" si="4"/>
        <v>Z73</v>
      </c>
      <c r="O10" s="299">
        <v>30000000070</v>
      </c>
      <c r="P10" s="295">
        <f>ROUND('Calculo IP ZDF'!B35,2)</f>
        <v>4711.5200000000004</v>
      </c>
      <c r="Q10" s="294" t="s">
        <v>345</v>
      </c>
      <c r="R10" s="294">
        <v>1</v>
      </c>
      <c r="S10" s="294" t="s">
        <v>363</v>
      </c>
      <c r="T10" s="294" t="s">
        <v>347</v>
      </c>
      <c r="U10" s="298" t="str">
        <f t="shared" si="2"/>
        <v>02.07.2022</v>
      </c>
      <c r="V10" s="298" t="str">
        <f t="shared" si="3"/>
        <v>22.09.2022</v>
      </c>
      <c r="X10" s="432" t="s">
        <v>436</v>
      </c>
    </row>
    <row r="11" spans="1:24" x14ac:dyDescent="0.3">
      <c r="A11" s="294" t="s">
        <v>349</v>
      </c>
      <c r="B11" s="294">
        <v>543</v>
      </c>
      <c r="C11" s="294" t="s">
        <v>362</v>
      </c>
      <c r="M11" s="427" t="str">
        <f t="shared" si="4"/>
        <v>Z62</v>
      </c>
      <c r="O11" s="299">
        <v>30000000070</v>
      </c>
      <c r="P11" s="295">
        <f>ROUND('Calculo IP ZDF'!B36,2)</f>
        <v>5262.5</v>
      </c>
      <c r="Q11" s="294" t="s">
        <v>345</v>
      </c>
      <c r="R11" s="294">
        <v>1</v>
      </c>
      <c r="S11" s="294" t="s">
        <v>363</v>
      </c>
      <c r="T11" s="294" t="s">
        <v>347</v>
      </c>
      <c r="U11" s="425" t="str">
        <f>+U10</f>
        <v>02.07.2022</v>
      </c>
      <c r="V11" s="425" t="str">
        <f t="shared" si="3"/>
        <v>22.09.2022</v>
      </c>
      <c r="W11" s="426"/>
      <c r="X11" s="426" t="s">
        <v>110</v>
      </c>
    </row>
    <row r="12" spans="1:24" x14ac:dyDescent="0.3">
      <c r="A12" s="294" t="s">
        <v>343</v>
      </c>
      <c r="B12" s="294">
        <v>543</v>
      </c>
      <c r="C12" s="294" t="s">
        <v>362</v>
      </c>
      <c r="F12" s="294" t="s">
        <v>148</v>
      </c>
      <c r="M12" s="340" t="str">
        <f t="shared" ref="M12:M21" si="5">+M2</f>
        <v xml:space="preserve">Z64  </v>
      </c>
      <c r="O12" s="312">
        <v>30000002129</v>
      </c>
      <c r="P12" s="295">
        <f>ROUND('Calculo IP ZDF'!D31,2)</f>
        <v>4539.6099999999997</v>
      </c>
      <c r="Q12" s="294" t="s">
        <v>345</v>
      </c>
      <c r="R12" s="294">
        <v>1</v>
      </c>
      <c r="S12" s="294" t="s">
        <v>363</v>
      </c>
      <c r="T12" s="294" t="s">
        <v>347</v>
      </c>
      <c r="U12" s="298" t="str">
        <f t="shared" ref="U12:U16" si="6">+U11</f>
        <v>02.07.2022</v>
      </c>
      <c r="V12" s="298" t="str">
        <f t="shared" si="3"/>
        <v>22.09.2022</v>
      </c>
      <c r="X12" s="315" t="s">
        <v>108</v>
      </c>
    </row>
    <row r="13" spans="1:24" x14ac:dyDescent="0.3">
      <c r="A13" s="294" t="s">
        <v>343</v>
      </c>
      <c r="B13" s="294">
        <v>543</v>
      </c>
      <c r="C13" s="294" t="s">
        <v>362</v>
      </c>
      <c r="M13" s="434" t="str">
        <f t="shared" si="5"/>
        <v>Z51</v>
      </c>
      <c r="O13" s="312">
        <v>30000002129</v>
      </c>
      <c r="P13" s="295">
        <f>ROUND('Calculo IP ZDF'!D32,2)</f>
        <v>3776.95</v>
      </c>
      <c r="Q13" s="294" t="s">
        <v>345</v>
      </c>
      <c r="R13" s="294">
        <v>1</v>
      </c>
      <c r="S13" s="294" t="s">
        <v>363</v>
      </c>
      <c r="T13" s="294" t="s">
        <v>347</v>
      </c>
      <c r="U13" s="435" t="str">
        <f t="shared" si="6"/>
        <v>02.07.2022</v>
      </c>
      <c r="V13" s="435" t="str">
        <f t="shared" si="3"/>
        <v>22.09.2022</v>
      </c>
      <c r="X13" s="433" t="s">
        <v>437</v>
      </c>
    </row>
    <row r="14" spans="1:24" x14ac:dyDescent="0.3">
      <c r="A14" s="294" t="s">
        <v>343</v>
      </c>
      <c r="B14" s="294">
        <v>543</v>
      </c>
      <c r="C14" s="294" t="s">
        <v>362</v>
      </c>
      <c r="M14" s="429" t="str">
        <f t="shared" si="5"/>
        <v>Z65</v>
      </c>
      <c r="O14" s="312">
        <v>30000002129</v>
      </c>
      <c r="P14" s="295">
        <f>ROUND('Calculo IP ZDF'!D33,2)</f>
        <v>4336.2299999999996</v>
      </c>
      <c r="Q14" s="294" t="s">
        <v>345</v>
      </c>
      <c r="R14" s="294">
        <v>1</v>
      </c>
      <c r="S14" s="294" t="s">
        <v>363</v>
      </c>
      <c r="T14" s="294" t="s">
        <v>347</v>
      </c>
      <c r="U14" s="430" t="str">
        <f t="shared" si="6"/>
        <v>02.07.2022</v>
      </c>
      <c r="V14" s="430" t="str">
        <f t="shared" si="3"/>
        <v>22.09.2022</v>
      </c>
      <c r="X14" s="428" t="s">
        <v>435</v>
      </c>
    </row>
    <row r="15" spans="1:24" x14ac:dyDescent="0.3">
      <c r="A15" s="294" t="s">
        <v>343</v>
      </c>
      <c r="B15" s="294">
        <v>543</v>
      </c>
      <c r="C15" s="294" t="s">
        <v>362</v>
      </c>
      <c r="M15" s="431" t="str">
        <f t="shared" si="5"/>
        <v>Z73</v>
      </c>
      <c r="O15" s="312">
        <v>30000002129</v>
      </c>
      <c r="P15" s="295">
        <f>ROUND('Calculo IP ZDF'!D35,2)</f>
        <v>3168.19</v>
      </c>
      <c r="Q15" s="294" t="s">
        <v>345</v>
      </c>
      <c r="R15" s="294">
        <v>1</v>
      </c>
      <c r="S15" s="294" t="s">
        <v>363</v>
      </c>
      <c r="T15" s="294" t="s">
        <v>347</v>
      </c>
      <c r="U15" s="298" t="str">
        <f t="shared" si="6"/>
        <v>02.07.2022</v>
      </c>
      <c r="V15" s="298" t="str">
        <f t="shared" si="3"/>
        <v>22.09.2022</v>
      </c>
      <c r="X15" s="432" t="s">
        <v>436</v>
      </c>
    </row>
    <row r="16" spans="1:24" x14ac:dyDescent="0.3">
      <c r="A16" s="294" t="s">
        <v>343</v>
      </c>
      <c r="B16" s="294">
        <v>543</v>
      </c>
      <c r="C16" s="294" t="s">
        <v>362</v>
      </c>
      <c r="M16" s="427" t="str">
        <f t="shared" si="5"/>
        <v>Z62</v>
      </c>
      <c r="O16" s="312">
        <v>30000002129</v>
      </c>
      <c r="P16" s="295">
        <f>ROUND('Calculo IP ZDF'!D36,2)</f>
        <v>4327.6099999999997</v>
      </c>
      <c r="Q16" s="294" t="s">
        <v>345</v>
      </c>
      <c r="R16" s="294">
        <v>1</v>
      </c>
      <c r="S16" s="294" t="s">
        <v>363</v>
      </c>
      <c r="T16" s="294" t="s">
        <v>347</v>
      </c>
      <c r="U16" s="425" t="str">
        <f t="shared" si="6"/>
        <v>02.07.2022</v>
      </c>
      <c r="V16" s="425" t="str">
        <f t="shared" si="3"/>
        <v>22.09.2022</v>
      </c>
      <c r="W16" s="426"/>
      <c r="X16" s="426" t="s">
        <v>110</v>
      </c>
    </row>
    <row r="17" spans="1:25" x14ac:dyDescent="0.3">
      <c r="A17" s="294" t="s">
        <v>348</v>
      </c>
      <c r="B17" s="294">
        <v>543</v>
      </c>
      <c r="C17" s="294" t="s">
        <v>362</v>
      </c>
      <c r="F17" s="294" t="s">
        <v>148</v>
      </c>
      <c r="M17" s="340" t="str">
        <f t="shared" si="5"/>
        <v xml:space="preserve">Z64  </v>
      </c>
      <c r="O17" s="312">
        <v>30000002129</v>
      </c>
      <c r="P17" s="295">
        <f>ROUND('Calculo IP ZDF'!E31,2)</f>
        <v>404.97</v>
      </c>
      <c r="Q17" s="294" t="s">
        <v>345</v>
      </c>
      <c r="R17" s="294">
        <v>1</v>
      </c>
      <c r="S17" s="294" t="s">
        <v>363</v>
      </c>
      <c r="T17" s="294" t="s">
        <v>347</v>
      </c>
      <c r="U17" s="298" t="str">
        <f t="shared" ref="U17:U21" si="7">+U16</f>
        <v>02.07.2022</v>
      </c>
      <c r="V17" s="298" t="str">
        <f t="shared" si="3"/>
        <v>22.09.2022</v>
      </c>
      <c r="X17" s="315" t="s">
        <v>108</v>
      </c>
    </row>
    <row r="18" spans="1:25" x14ac:dyDescent="0.3">
      <c r="A18" s="294" t="s">
        <v>348</v>
      </c>
      <c r="B18" s="294">
        <v>543</v>
      </c>
      <c r="C18" s="294" t="s">
        <v>362</v>
      </c>
      <c r="M18" s="434" t="str">
        <f t="shared" si="5"/>
        <v>Z51</v>
      </c>
      <c r="O18" s="312">
        <v>30000002129</v>
      </c>
      <c r="P18" s="295">
        <f>ROUND('Calculo IP ZDF'!E32,2)</f>
        <v>404.97</v>
      </c>
      <c r="Q18" s="294" t="s">
        <v>345</v>
      </c>
      <c r="R18" s="294">
        <v>1</v>
      </c>
      <c r="S18" s="294" t="s">
        <v>363</v>
      </c>
      <c r="T18" s="294" t="s">
        <v>347</v>
      </c>
      <c r="U18" s="435" t="str">
        <f t="shared" si="7"/>
        <v>02.07.2022</v>
      </c>
      <c r="V18" s="435" t="str">
        <f t="shared" si="3"/>
        <v>22.09.2022</v>
      </c>
      <c r="X18" s="433" t="s">
        <v>437</v>
      </c>
    </row>
    <row r="19" spans="1:25" x14ac:dyDescent="0.3">
      <c r="A19" s="294" t="s">
        <v>348</v>
      </c>
      <c r="B19" s="294">
        <v>543</v>
      </c>
      <c r="C19" s="294" t="s">
        <v>362</v>
      </c>
      <c r="M19" s="429" t="str">
        <f t="shared" si="5"/>
        <v>Z65</v>
      </c>
      <c r="O19" s="312">
        <v>30000002129</v>
      </c>
      <c r="P19" s="295">
        <f>ROUND('Calculo IP ZDF'!E33,2)</f>
        <v>404.97</v>
      </c>
      <c r="Q19" s="294" t="s">
        <v>345</v>
      </c>
      <c r="R19" s="294">
        <v>1</v>
      </c>
      <c r="S19" s="294" t="s">
        <v>363</v>
      </c>
      <c r="T19" s="294" t="s">
        <v>347</v>
      </c>
      <c r="U19" s="430" t="str">
        <f t="shared" si="7"/>
        <v>02.07.2022</v>
      </c>
      <c r="V19" s="430" t="str">
        <f t="shared" si="3"/>
        <v>22.09.2022</v>
      </c>
      <c r="X19" s="428" t="s">
        <v>435</v>
      </c>
    </row>
    <row r="20" spans="1:25" x14ac:dyDescent="0.3">
      <c r="A20" s="294" t="s">
        <v>348</v>
      </c>
      <c r="B20" s="294">
        <v>543</v>
      </c>
      <c r="C20" s="294" t="s">
        <v>362</v>
      </c>
      <c r="M20" s="431" t="str">
        <f t="shared" si="5"/>
        <v>Z73</v>
      </c>
      <c r="O20" s="312">
        <v>30000002129</v>
      </c>
      <c r="P20" s="295">
        <f>ROUND('Calculo IP ZDF'!E35,2)</f>
        <v>404.97</v>
      </c>
      <c r="Q20" s="294" t="s">
        <v>345</v>
      </c>
      <c r="R20" s="294">
        <v>1</v>
      </c>
      <c r="S20" s="294" t="s">
        <v>363</v>
      </c>
      <c r="T20" s="294" t="s">
        <v>347</v>
      </c>
      <c r="U20" s="298" t="str">
        <f t="shared" si="7"/>
        <v>02.07.2022</v>
      </c>
      <c r="V20" s="298" t="str">
        <f t="shared" si="3"/>
        <v>22.09.2022</v>
      </c>
      <c r="X20" s="432" t="s">
        <v>436</v>
      </c>
    </row>
    <row r="21" spans="1:25" x14ac:dyDescent="0.3">
      <c r="A21" s="294" t="s">
        <v>348</v>
      </c>
      <c r="B21" s="294">
        <v>543</v>
      </c>
      <c r="C21" s="294" t="s">
        <v>362</v>
      </c>
      <c r="M21" s="427" t="str">
        <f t="shared" si="5"/>
        <v>Z62</v>
      </c>
      <c r="O21" s="312">
        <v>30000002129</v>
      </c>
      <c r="P21" s="295">
        <f>ROUND('Calculo IP ZDF'!E36,2)</f>
        <v>404.97</v>
      </c>
      <c r="Q21" s="294" t="s">
        <v>345</v>
      </c>
      <c r="R21" s="294">
        <v>1</v>
      </c>
      <c r="S21" s="294" t="s">
        <v>363</v>
      </c>
      <c r="T21" s="294" t="s">
        <v>347</v>
      </c>
      <c r="U21" s="425" t="str">
        <f t="shared" si="7"/>
        <v>02.07.2022</v>
      </c>
      <c r="V21" s="425" t="str">
        <f t="shared" si="3"/>
        <v>22.09.2022</v>
      </c>
      <c r="W21" s="426"/>
      <c r="X21" s="426" t="s">
        <v>110</v>
      </c>
    </row>
    <row r="22" spans="1:25" x14ac:dyDescent="0.3">
      <c r="A22" s="461" t="s">
        <v>349</v>
      </c>
      <c r="B22" s="461">
        <v>549</v>
      </c>
      <c r="C22" s="461" t="s">
        <v>362</v>
      </c>
      <c r="D22" s="461"/>
      <c r="E22" s="461"/>
      <c r="F22" s="461"/>
      <c r="G22" s="461"/>
      <c r="H22" s="461"/>
      <c r="I22" s="461">
        <v>9000014799</v>
      </c>
      <c r="J22" s="461"/>
      <c r="K22" s="461"/>
      <c r="L22" s="461"/>
      <c r="M22" s="462" t="str">
        <f>+M21</f>
        <v>Z62</v>
      </c>
      <c r="N22" s="461"/>
      <c r="O22" s="461">
        <v>30000000003</v>
      </c>
      <c r="P22" s="463">
        <f>ROUND('Calculo IP ZDF'!C36,2)</f>
        <v>4415.92</v>
      </c>
      <c r="Q22" s="461" t="s">
        <v>345</v>
      </c>
      <c r="R22" s="461">
        <v>1</v>
      </c>
      <c r="S22" s="461" t="s">
        <v>363</v>
      </c>
      <c r="T22" s="461" t="s">
        <v>347</v>
      </c>
      <c r="U22" s="464" t="str">
        <f>+U21</f>
        <v>02.07.2022</v>
      </c>
      <c r="V22" s="464" t="str">
        <f>+V21</f>
        <v>22.09.2022</v>
      </c>
      <c r="W22" s="325" t="s">
        <v>374</v>
      </c>
      <c r="X22" s="326"/>
      <c r="Y22" s="326"/>
    </row>
    <row r="27" spans="1:25" x14ac:dyDescent="0.3">
      <c r="I27" s="315" t="s">
        <v>398</v>
      </c>
      <c r="J27" s="315"/>
      <c r="K27" s="315"/>
      <c r="L27" s="315"/>
    </row>
  </sheetData>
  <autoFilter ref="A1:Y22" xr:uid="{00000000-0009-0000-0000-000018000000}"/>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92D050"/>
  </sheetPr>
  <dimension ref="B2:L49"/>
  <sheetViews>
    <sheetView showGridLines="0" topLeftCell="C22" zoomScale="85" zoomScaleNormal="85" workbookViewId="0">
      <selection activeCell="AP29" sqref="AP29"/>
    </sheetView>
  </sheetViews>
  <sheetFormatPr baseColWidth="10" defaultColWidth="11.21875" defaultRowHeight="14.4" x14ac:dyDescent="0.3"/>
  <cols>
    <col min="1" max="1" width="0" style="2" hidden="1" customWidth="1"/>
    <col min="2" max="2" width="11.21875" style="2"/>
    <col min="3" max="3" width="3.88671875" style="2" customWidth="1"/>
    <col min="4" max="4" width="81.21875" style="2" customWidth="1"/>
    <col min="5" max="5" width="15.88671875" style="3" customWidth="1"/>
    <col min="6" max="6" width="21.21875" style="2" customWidth="1"/>
    <col min="7" max="10" width="11.21875" style="2"/>
    <col min="11" max="11" width="12.88671875" style="2" customWidth="1"/>
    <col min="12" max="16384" width="11.21875" style="2"/>
  </cols>
  <sheetData>
    <row r="2" spans="2:12" ht="36.6" x14ac:dyDescent="0.7">
      <c r="B2" s="1">
        <v>3</v>
      </c>
      <c r="D2" s="2" t="s">
        <v>13</v>
      </c>
    </row>
    <row r="4" spans="2:12" ht="21" x14ac:dyDescent="0.4">
      <c r="D4" s="4" t="s">
        <v>0</v>
      </c>
      <c r="E4" s="5" t="s">
        <v>1</v>
      </c>
      <c r="F4" s="6" t="s">
        <v>2</v>
      </c>
    </row>
    <row r="5" spans="2:12" ht="21" x14ac:dyDescent="0.4">
      <c r="D5" s="4"/>
      <c r="E5" s="5"/>
      <c r="F5" s="6" t="s">
        <v>14</v>
      </c>
    </row>
    <row r="6" spans="2:12" x14ac:dyDescent="0.3">
      <c r="D6" s="11" t="s">
        <v>15</v>
      </c>
      <c r="E6" s="7" t="s">
        <v>16</v>
      </c>
      <c r="F6" s="857" t="s">
        <v>17</v>
      </c>
      <c r="G6" s="857"/>
      <c r="H6" s="857"/>
      <c r="I6" s="857"/>
      <c r="J6" s="857"/>
      <c r="K6" s="8">
        <v>4169.6138703799988</v>
      </c>
      <c r="L6" s="13"/>
    </row>
    <row r="7" spans="2:12" x14ac:dyDescent="0.3">
      <c r="D7" s="11" t="s">
        <v>18</v>
      </c>
      <c r="E7" s="7" t="s">
        <v>19</v>
      </c>
      <c r="F7" s="857" t="s">
        <v>17</v>
      </c>
      <c r="G7" s="857"/>
      <c r="H7" s="857"/>
      <c r="I7" s="857"/>
      <c r="J7" s="857"/>
      <c r="K7" s="8">
        <v>4923.01</v>
      </c>
      <c r="L7" s="13"/>
    </row>
    <row r="10" spans="2:12" ht="21" x14ac:dyDescent="0.4">
      <c r="D10" s="4" t="s">
        <v>20</v>
      </c>
    </row>
    <row r="11" spans="2:12" x14ac:dyDescent="0.3">
      <c r="D11" s="9" t="s">
        <v>21</v>
      </c>
    </row>
    <row r="12" spans="2:12" x14ac:dyDescent="0.3">
      <c r="D12" s="9" t="s">
        <v>5</v>
      </c>
    </row>
    <row r="13" spans="2:12" x14ac:dyDescent="0.3">
      <c r="D13" s="2" t="s">
        <v>6</v>
      </c>
    </row>
    <row r="14" spans="2:12" x14ac:dyDescent="0.3">
      <c r="D14" s="2" t="s">
        <v>7</v>
      </c>
    </row>
    <row r="15" spans="2:12" x14ac:dyDescent="0.3">
      <c r="D15" s="2" t="s">
        <v>22</v>
      </c>
    </row>
    <row r="16" spans="2:12" x14ac:dyDescent="0.3">
      <c r="D16" s="2" t="s">
        <v>8</v>
      </c>
    </row>
    <row r="19" spans="4:12" ht="21" x14ac:dyDescent="0.4">
      <c r="D19" s="858" t="s">
        <v>9</v>
      </c>
      <c r="E19" s="859" t="s">
        <v>1</v>
      </c>
      <c r="F19" s="860" t="s">
        <v>2</v>
      </c>
      <c r="G19" s="861"/>
      <c r="H19" s="861"/>
      <c r="I19" s="861"/>
      <c r="J19" s="862"/>
    </row>
    <row r="20" spans="4:12" ht="21" x14ac:dyDescent="0.4">
      <c r="D20" s="858"/>
      <c r="E20" s="859"/>
      <c r="F20" s="863" t="s">
        <v>23</v>
      </c>
      <c r="G20" s="864"/>
      <c r="H20" s="864"/>
      <c r="I20" s="864"/>
      <c r="J20" s="865"/>
    </row>
    <row r="21" spans="4:12" x14ac:dyDescent="0.3">
      <c r="D21" s="12" t="s">
        <v>24</v>
      </c>
      <c r="E21" s="14" t="s">
        <v>10</v>
      </c>
      <c r="F21" s="857" t="s">
        <v>25</v>
      </c>
      <c r="G21" s="857"/>
      <c r="H21" s="857"/>
      <c r="I21" s="857"/>
      <c r="J21" s="857"/>
      <c r="K21" s="15">
        <v>4915.26</v>
      </c>
      <c r="L21" s="2" t="s">
        <v>298</v>
      </c>
    </row>
    <row r="22" spans="4:12" x14ac:dyDescent="0.3">
      <c r="D22" s="12" t="s">
        <v>26</v>
      </c>
      <c r="E22" s="14" t="s">
        <v>11</v>
      </c>
      <c r="F22" s="857" t="s">
        <v>27</v>
      </c>
      <c r="G22" s="857"/>
      <c r="H22" s="857"/>
      <c r="I22" s="857"/>
      <c r="J22" s="857"/>
      <c r="K22" s="15">
        <v>203.74</v>
      </c>
      <c r="L22" s="2" t="s">
        <v>298</v>
      </c>
    </row>
    <row r="23" spans="4:12" x14ac:dyDescent="0.3">
      <c r="D23" s="12" t="s">
        <v>28</v>
      </c>
      <c r="E23" s="14" t="s">
        <v>4</v>
      </c>
      <c r="F23" s="857" t="s">
        <v>29</v>
      </c>
      <c r="G23" s="857"/>
      <c r="H23" s="857"/>
      <c r="I23" s="857"/>
      <c r="J23" s="857"/>
      <c r="K23" s="15">
        <v>4923.01</v>
      </c>
      <c r="L23" s="2" t="s">
        <v>298</v>
      </c>
    </row>
    <row r="24" spans="4:12" x14ac:dyDescent="0.3">
      <c r="D24" s="12" t="s">
        <v>30</v>
      </c>
      <c r="E24" s="14" t="s">
        <v>3</v>
      </c>
      <c r="F24" s="857" t="s">
        <v>29</v>
      </c>
      <c r="G24" s="857"/>
      <c r="H24" s="857"/>
      <c r="I24" s="857"/>
      <c r="J24" s="857"/>
      <c r="K24" s="15">
        <v>5015.57</v>
      </c>
      <c r="L24" s="2" t="s">
        <v>300</v>
      </c>
    </row>
    <row r="25" spans="4:12" x14ac:dyDescent="0.3">
      <c r="D25" s="12" t="s">
        <v>31</v>
      </c>
      <c r="E25" s="14" t="s">
        <v>12</v>
      </c>
      <c r="F25" s="857" t="s">
        <v>32</v>
      </c>
      <c r="G25" s="857"/>
      <c r="H25" s="857"/>
      <c r="I25" s="857"/>
      <c r="J25" s="857"/>
      <c r="K25" s="15">
        <v>4254.7080309999992</v>
      </c>
      <c r="L25" s="285" t="s">
        <v>298</v>
      </c>
    </row>
    <row r="26" spans="4:12" x14ac:dyDescent="0.3">
      <c r="D26" s="12" t="s">
        <v>33</v>
      </c>
      <c r="E26" s="14" t="s">
        <v>34</v>
      </c>
      <c r="F26" s="857" t="s">
        <v>32</v>
      </c>
      <c r="G26" s="857"/>
      <c r="H26" s="857"/>
      <c r="I26" s="857"/>
      <c r="J26" s="857"/>
      <c r="K26" s="15">
        <v>4391.8172209999993</v>
      </c>
      <c r="L26" s="2" t="s">
        <v>298</v>
      </c>
    </row>
    <row r="27" spans="4:12" ht="15" customHeight="1" x14ac:dyDescent="0.3">
      <c r="D27" s="12" t="s">
        <v>35</v>
      </c>
      <c r="E27" s="14" t="s">
        <v>36</v>
      </c>
      <c r="F27" s="857" t="s">
        <v>32</v>
      </c>
      <c r="G27" s="857"/>
      <c r="H27" s="857"/>
      <c r="I27" s="857"/>
      <c r="J27" s="857"/>
      <c r="K27" s="15">
        <v>4384.4327060000005</v>
      </c>
      <c r="L27" s="2" t="s">
        <v>298</v>
      </c>
    </row>
    <row r="28" spans="4:12" ht="15" customHeight="1" x14ac:dyDescent="0.3">
      <c r="D28" s="12" t="s">
        <v>37</v>
      </c>
      <c r="E28" s="14" t="s">
        <v>38</v>
      </c>
      <c r="F28" s="857" t="s">
        <v>32</v>
      </c>
      <c r="G28" s="857"/>
      <c r="H28" s="857"/>
      <c r="I28" s="857"/>
      <c r="J28" s="857"/>
      <c r="K28" s="15">
        <v>4505.5387520000004</v>
      </c>
      <c r="L28" s="2" t="s">
        <v>298</v>
      </c>
    </row>
    <row r="29" spans="4:12" ht="15" customHeight="1" x14ac:dyDescent="0.3">
      <c r="D29" s="12" t="s">
        <v>39</v>
      </c>
      <c r="E29" s="14" t="s">
        <v>40</v>
      </c>
      <c r="F29" s="857" t="s">
        <v>32</v>
      </c>
      <c r="G29" s="857"/>
      <c r="H29" s="857"/>
      <c r="I29" s="857"/>
      <c r="J29" s="857"/>
      <c r="K29" s="15">
        <v>4234.7732020000003</v>
      </c>
      <c r="L29" s="2" t="s">
        <v>298</v>
      </c>
    </row>
    <row r="30" spans="4:12" x14ac:dyDescent="0.3">
      <c r="D30" s="12" t="s">
        <v>41</v>
      </c>
      <c r="E30" s="14" t="s">
        <v>42</v>
      </c>
      <c r="F30" s="857" t="s">
        <v>32</v>
      </c>
      <c r="G30" s="857"/>
      <c r="H30" s="857"/>
      <c r="I30" s="857"/>
      <c r="J30" s="857"/>
      <c r="K30" s="15">
        <v>4923.01</v>
      </c>
      <c r="L30" s="2" t="s">
        <v>298</v>
      </c>
    </row>
    <row r="31" spans="4:12" x14ac:dyDescent="0.3">
      <c r="D31" s="12" t="s">
        <v>43</v>
      </c>
      <c r="E31" s="14" t="s">
        <v>4</v>
      </c>
      <c r="F31" s="857" t="s">
        <v>29</v>
      </c>
      <c r="G31" s="857"/>
      <c r="H31" s="857"/>
      <c r="I31" s="857"/>
      <c r="J31" s="857"/>
      <c r="K31" s="15">
        <v>4923.01</v>
      </c>
      <c r="L31" s="2" t="s">
        <v>298</v>
      </c>
    </row>
    <row r="32" spans="4:12" x14ac:dyDescent="0.3">
      <c r="D32" s="12" t="s">
        <v>44</v>
      </c>
      <c r="E32" s="14" t="s">
        <v>40</v>
      </c>
      <c r="F32" s="857" t="s">
        <v>45</v>
      </c>
      <c r="G32" s="857"/>
      <c r="H32" s="857"/>
      <c r="I32" s="857"/>
      <c r="J32" s="857"/>
      <c r="K32" s="15">
        <v>4923.01</v>
      </c>
      <c r="L32" s="2" t="s">
        <v>298</v>
      </c>
    </row>
    <row r="33" spans="4:12" x14ac:dyDescent="0.3">
      <c r="D33" s="12" t="s">
        <v>46</v>
      </c>
      <c r="E33" s="14" t="s">
        <v>47</v>
      </c>
      <c r="F33" s="857" t="s">
        <v>32</v>
      </c>
      <c r="G33" s="857"/>
      <c r="H33" s="857"/>
      <c r="I33" s="857"/>
      <c r="J33" s="857"/>
      <c r="K33" s="15">
        <v>4056.8112165399998</v>
      </c>
      <c r="L33" s="2" t="s">
        <v>300</v>
      </c>
    </row>
    <row r="34" spans="4:12" x14ac:dyDescent="0.3">
      <c r="D34" s="12" t="s">
        <v>48</v>
      </c>
      <c r="E34" s="14">
        <v>0</v>
      </c>
      <c r="F34" s="857"/>
      <c r="G34" s="857"/>
      <c r="H34" s="857"/>
      <c r="I34" s="857"/>
      <c r="J34" s="857"/>
      <c r="K34" s="15"/>
      <c r="L34" s="2" t="s">
        <v>298</v>
      </c>
    </row>
    <row r="35" spans="4:12" x14ac:dyDescent="0.3">
      <c r="D35" s="12" t="s">
        <v>49</v>
      </c>
      <c r="E35" s="14" t="s">
        <v>50</v>
      </c>
      <c r="F35" s="857" t="s">
        <v>32</v>
      </c>
      <c r="G35" s="857"/>
      <c r="H35" s="857"/>
      <c r="I35" s="857"/>
      <c r="J35" s="857"/>
      <c r="K35" s="15">
        <v>3853.07121654</v>
      </c>
      <c r="L35" s="2" t="s">
        <v>298</v>
      </c>
    </row>
    <row r="36" spans="4:12" x14ac:dyDescent="0.3">
      <c r="D36" s="12" t="s">
        <v>51</v>
      </c>
      <c r="E36" s="14" t="s">
        <v>52</v>
      </c>
      <c r="F36" s="857" t="s">
        <v>32</v>
      </c>
      <c r="G36" s="857"/>
      <c r="H36" s="857"/>
      <c r="I36" s="857"/>
      <c r="J36" s="857"/>
      <c r="K36" s="15">
        <v>203.74</v>
      </c>
      <c r="L36" s="2" t="s">
        <v>298</v>
      </c>
    </row>
    <row r="37" spans="4:12" x14ac:dyDescent="0.3">
      <c r="D37" s="12" t="s">
        <v>53</v>
      </c>
      <c r="E37" s="14" t="s">
        <v>54</v>
      </c>
      <c r="F37" s="857" t="s">
        <v>55</v>
      </c>
      <c r="G37" s="857"/>
      <c r="H37" s="857"/>
      <c r="I37" s="857"/>
      <c r="J37" s="857"/>
      <c r="K37" s="15">
        <v>4345.8234222199999</v>
      </c>
      <c r="L37" s="16" t="s">
        <v>299</v>
      </c>
    </row>
    <row r="38" spans="4:12" x14ac:dyDescent="0.3">
      <c r="D38" s="12" t="s">
        <v>56</v>
      </c>
      <c r="E38" s="14" t="s">
        <v>57</v>
      </c>
      <c r="F38" s="857" t="s">
        <v>55</v>
      </c>
      <c r="G38" s="857"/>
      <c r="H38" s="857"/>
      <c r="I38" s="857"/>
      <c r="J38" s="857"/>
      <c r="K38" s="15">
        <v>4142.0884222200002</v>
      </c>
      <c r="L38" s="2" t="s">
        <v>298</v>
      </c>
    </row>
    <row r="39" spans="4:12" x14ac:dyDescent="0.3">
      <c r="D39" s="12" t="s">
        <v>58</v>
      </c>
      <c r="E39" s="14" t="s">
        <v>59</v>
      </c>
      <c r="F39" s="857" t="s">
        <v>55</v>
      </c>
      <c r="G39" s="857"/>
      <c r="H39" s="857"/>
      <c r="I39" s="857"/>
      <c r="J39" s="857"/>
      <c r="K39" s="15">
        <v>203.73500000000001</v>
      </c>
      <c r="L39" s="2" t="s">
        <v>298</v>
      </c>
    </row>
    <row r="40" spans="4:12" x14ac:dyDescent="0.3">
      <c r="D40" s="12" t="s">
        <v>60</v>
      </c>
      <c r="E40" s="14" t="s">
        <v>61</v>
      </c>
      <c r="F40" s="857" t="s">
        <v>62</v>
      </c>
      <c r="G40" s="857"/>
      <c r="H40" s="857"/>
      <c r="I40" s="857"/>
      <c r="J40" s="857"/>
      <c r="K40" s="15">
        <v>4180.670733259999</v>
      </c>
      <c r="L40" s="16" t="s">
        <v>299</v>
      </c>
    </row>
    <row r="41" spans="4:12" x14ac:dyDescent="0.3">
      <c r="D41" s="12" t="s">
        <v>63</v>
      </c>
      <c r="E41" s="14" t="s">
        <v>64</v>
      </c>
      <c r="F41" s="857" t="s">
        <v>62</v>
      </c>
      <c r="G41" s="857"/>
      <c r="H41" s="857"/>
      <c r="I41" s="857"/>
      <c r="J41" s="857"/>
      <c r="K41" s="15">
        <v>3976.9357332599993</v>
      </c>
      <c r="L41" s="17" t="s">
        <v>298</v>
      </c>
    </row>
    <row r="42" spans="4:12" x14ac:dyDescent="0.3">
      <c r="D42" s="12" t="s">
        <v>65</v>
      </c>
      <c r="E42" s="14" t="s">
        <v>66</v>
      </c>
      <c r="F42" s="857" t="s">
        <v>62</v>
      </c>
      <c r="G42" s="857"/>
      <c r="H42" s="857"/>
      <c r="I42" s="857"/>
      <c r="J42" s="857"/>
      <c r="K42" s="15">
        <v>203.73500000000001</v>
      </c>
      <c r="L42" s="2" t="s">
        <v>298</v>
      </c>
    </row>
    <row r="43" spans="4:12" x14ac:dyDescent="0.3">
      <c r="D43" s="12" t="s">
        <v>67</v>
      </c>
      <c r="E43" s="14" t="s">
        <v>68</v>
      </c>
      <c r="F43" s="857" t="s">
        <v>69</v>
      </c>
      <c r="G43" s="857"/>
      <c r="H43" s="857"/>
      <c r="I43" s="857"/>
      <c r="J43" s="857"/>
      <c r="K43" s="15">
        <v>4373.3488703799985</v>
      </c>
      <c r="L43" s="16" t="s">
        <v>298</v>
      </c>
    </row>
    <row r="44" spans="4:12" x14ac:dyDescent="0.3">
      <c r="D44" s="12" t="s">
        <v>70</v>
      </c>
      <c r="E44" s="14" t="s">
        <v>16</v>
      </c>
      <c r="F44" s="857" t="s">
        <v>69</v>
      </c>
      <c r="G44" s="857"/>
      <c r="H44" s="857"/>
      <c r="I44" s="857"/>
      <c r="J44" s="857"/>
      <c r="K44" s="15">
        <v>4169.6138703799988</v>
      </c>
      <c r="L44" s="2" t="s">
        <v>298</v>
      </c>
    </row>
    <row r="45" spans="4:12" x14ac:dyDescent="0.3">
      <c r="D45" s="12" t="s">
        <v>71</v>
      </c>
      <c r="E45" s="14" t="s">
        <v>72</v>
      </c>
      <c r="F45" s="857" t="s">
        <v>69</v>
      </c>
      <c r="G45" s="857"/>
      <c r="H45" s="857"/>
      <c r="I45" s="857"/>
      <c r="J45" s="857"/>
      <c r="K45" s="15">
        <v>203.73500000000001</v>
      </c>
      <c r="L45" s="2" t="s">
        <v>298</v>
      </c>
    </row>
    <row r="46" spans="4:12" x14ac:dyDescent="0.3">
      <c r="D46" s="12" t="s">
        <v>73</v>
      </c>
      <c r="E46" s="10">
        <v>0</v>
      </c>
      <c r="F46" s="857"/>
      <c r="G46" s="857"/>
      <c r="H46" s="857"/>
      <c r="I46" s="857"/>
      <c r="J46" s="857"/>
      <c r="K46" s="15"/>
      <c r="L46" s="2" t="s">
        <v>300</v>
      </c>
    </row>
    <row r="47" spans="4:12" x14ac:dyDescent="0.3">
      <c r="D47" s="284" t="s">
        <v>301</v>
      </c>
      <c r="E47" s="18"/>
      <c r="F47" s="2" t="s">
        <v>302</v>
      </c>
      <c r="K47" s="2">
        <f>+'Calculo IP ZDF'!C36</f>
        <v>4415.9239250000001</v>
      </c>
      <c r="L47" s="2" t="s">
        <v>298</v>
      </c>
    </row>
    <row r="48" spans="4:12" x14ac:dyDescent="0.3">
      <c r="D48" s="284" t="s">
        <v>303</v>
      </c>
      <c r="E48" s="18"/>
      <c r="F48" s="2" t="s">
        <v>304</v>
      </c>
      <c r="K48" s="2">
        <f>+'Calculo IP ZDF'!C32</f>
        <v>3854.0319999999997</v>
      </c>
      <c r="L48" s="285" t="s">
        <v>298</v>
      </c>
    </row>
    <row r="49" spans="4:12" x14ac:dyDescent="0.3">
      <c r="D49" s="283" t="s">
        <v>305</v>
      </c>
      <c r="K49" s="2">
        <f>+'Calculo IP ZDF'!C35</f>
        <v>3232.8472749999996</v>
      </c>
      <c r="L49" s="285" t="s">
        <v>298</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249977111117893"/>
  </sheetPr>
  <dimension ref="A1:X52"/>
  <sheetViews>
    <sheetView showGridLines="0" topLeftCell="A4" zoomScale="80" zoomScaleNormal="80" workbookViewId="0">
      <selection activeCell="I165" sqref="I165:L169"/>
    </sheetView>
  </sheetViews>
  <sheetFormatPr baseColWidth="10" defaultRowHeight="14.4" x14ac:dyDescent="0.3"/>
  <cols>
    <col min="1" max="1" width="28.21875" customWidth="1"/>
    <col min="2" max="2" width="11.77734375" customWidth="1"/>
    <col min="4" max="5" width="11.21875" customWidth="1"/>
    <col min="6" max="6" width="15.6640625" customWidth="1"/>
    <col min="7" max="9" width="14.88671875" customWidth="1"/>
    <col min="10" max="10" width="12.109375" customWidth="1"/>
    <col min="11" max="11" width="15.109375" style="540" customWidth="1"/>
    <col min="12" max="12" width="12.109375" customWidth="1"/>
    <col min="13" max="13" width="18.109375" customWidth="1"/>
    <col min="14" max="14" width="10.77734375" customWidth="1"/>
    <col min="15" max="15" width="13.77734375" customWidth="1"/>
    <col min="16" max="16" width="18.21875" customWidth="1"/>
  </cols>
  <sheetData>
    <row r="1" spans="1:18" x14ac:dyDescent="0.3">
      <c r="A1" s="288"/>
      <c r="D1" s="140"/>
      <c r="R1" t="s">
        <v>148</v>
      </c>
    </row>
    <row r="2" spans="1:18" x14ac:dyDescent="0.3">
      <c r="A2" s="867" t="s">
        <v>120</v>
      </c>
      <c r="B2" s="866" t="s">
        <v>119</v>
      </c>
      <c r="C2" s="866"/>
      <c r="G2" t="s">
        <v>148</v>
      </c>
    </row>
    <row r="3" spans="1:18" x14ac:dyDescent="0.3">
      <c r="A3" s="867"/>
      <c r="B3" s="289" t="s">
        <v>381</v>
      </c>
      <c r="C3" s="290" t="s">
        <v>106</v>
      </c>
    </row>
    <row r="4" spans="1:18" ht="17.399999999999999" customHeight="1" x14ac:dyDescent="0.3">
      <c r="A4" s="21" t="s">
        <v>107</v>
      </c>
      <c r="B4" s="816">
        <v>1</v>
      </c>
      <c r="C4" s="816">
        <v>0.95520000000000005</v>
      </c>
      <c r="D4" s="393"/>
      <c r="F4" s="361" t="s">
        <v>489</v>
      </c>
      <c r="G4" s="361"/>
      <c r="H4" s="361"/>
      <c r="I4" s="361"/>
      <c r="K4" s="361" t="s">
        <v>494</v>
      </c>
    </row>
    <row r="5" spans="1:18" ht="17.399999999999999" customHeight="1" x14ac:dyDescent="0.3">
      <c r="A5" s="21" t="s">
        <v>115</v>
      </c>
      <c r="B5" s="816">
        <v>0.93899999999999995</v>
      </c>
      <c r="C5" s="816">
        <v>0.66539999999999999</v>
      </c>
      <c r="E5" s="140"/>
      <c r="G5" t="s">
        <v>505</v>
      </c>
    </row>
    <row r="6" spans="1:18" ht="17.399999999999999" customHeight="1" x14ac:dyDescent="0.3">
      <c r="A6" s="21" t="s">
        <v>112</v>
      </c>
      <c r="B6" s="816">
        <v>1</v>
      </c>
      <c r="C6" s="816">
        <v>0.97399999999999998</v>
      </c>
      <c r="E6" s="140"/>
    </row>
    <row r="7" spans="1:18" ht="17.399999999999999" customHeight="1" x14ac:dyDescent="0.3">
      <c r="A7" s="21" t="s">
        <v>108</v>
      </c>
      <c r="B7" s="816">
        <v>1</v>
      </c>
      <c r="C7" s="816">
        <v>1</v>
      </c>
    </row>
    <row r="8" spans="1:18" ht="17.399999999999999" customHeight="1" x14ac:dyDescent="0.3">
      <c r="A8" s="21" t="s">
        <v>113</v>
      </c>
      <c r="B8" s="816">
        <v>0.91800000000000004</v>
      </c>
      <c r="C8" s="816">
        <v>0.83199999999999996</v>
      </c>
    </row>
    <row r="9" spans="1:18" ht="17.399999999999999" customHeight="1" x14ac:dyDescent="0.3">
      <c r="A9" s="21" t="s">
        <v>423</v>
      </c>
      <c r="B9" s="816">
        <v>1</v>
      </c>
      <c r="C9" s="816">
        <v>1</v>
      </c>
      <c r="D9" t="s">
        <v>422</v>
      </c>
    </row>
    <row r="10" spans="1:18" ht="17.399999999999999" customHeight="1" x14ac:dyDescent="0.3">
      <c r="A10" s="21" t="s">
        <v>424</v>
      </c>
      <c r="B10" s="816">
        <v>1</v>
      </c>
      <c r="C10" s="816">
        <v>1</v>
      </c>
      <c r="D10" t="s">
        <v>422</v>
      </c>
    </row>
    <row r="11" spans="1:18" ht="17.399999999999999" customHeight="1" x14ac:dyDescent="0.3">
      <c r="A11" s="21" t="s">
        <v>121</v>
      </c>
      <c r="B11" s="816">
        <v>1</v>
      </c>
      <c r="C11" s="816">
        <v>0.95520000000000005</v>
      </c>
    </row>
    <row r="12" spans="1:18" ht="17.399999999999999" customHeight="1" x14ac:dyDescent="0.3">
      <c r="A12" s="21" t="s">
        <v>116</v>
      </c>
      <c r="B12" s="816">
        <v>0.95799999999999996</v>
      </c>
      <c r="C12" s="816">
        <v>0.73499999999999999</v>
      </c>
    </row>
    <row r="13" spans="1:18" ht="17.399999999999999" customHeight="1" x14ac:dyDescent="0.3">
      <c r="A13" s="21" t="s">
        <v>111</v>
      </c>
      <c r="B13" s="816">
        <v>0.89529999999999998</v>
      </c>
      <c r="C13" s="816">
        <v>0.69789999999999996</v>
      </c>
    </row>
    <row r="14" spans="1:18" ht="17.399999999999999" customHeight="1" x14ac:dyDescent="0.3">
      <c r="A14" s="21" t="s">
        <v>421</v>
      </c>
      <c r="B14" s="816">
        <v>0.89529999999999998</v>
      </c>
      <c r="C14" s="816">
        <v>0.69789999999999996</v>
      </c>
      <c r="D14" t="s">
        <v>422</v>
      </c>
    </row>
    <row r="15" spans="1:18" ht="17.399999999999999" customHeight="1" x14ac:dyDescent="0.3">
      <c r="A15" s="21" t="s">
        <v>110</v>
      </c>
      <c r="B15" s="816">
        <v>1</v>
      </c>
      <c r="C15" s="816">
        <v>0.95330000000000004</v>
      </c>
      <c r="D15" s="351"/>
      <c r="I15" s="324"/>
    </row>
    <row r="16" spans="1:18" ht="17.399999999999999" customHeight="1" x14ac:dyDescent="0.3">
      <c r="A16" s="21" t="s">
        <v>109</v>
      </c>
      <c r="B16" s="816">
        <v>0.9173</v>
      </c>
      <c r="C16" s="816">
        <v>0.82979999999999998</v>
      </c>
    </row>
    <row r="17" spans="1:24" ht="17.399999999999999" customHeight="1" x14ac:dyDescent="0.3">
      <c r="A17" s="21" t="s">
        <v>295</v>
      </c>
      <c r="B17" s="816">
        <v>1</v>
      </c>
      <c r="C17" s="816">
        <v>0.95550000000000002</v>
      </c>
    </row>
    <row r="18" spans="1:24" ht="17.399999999999999" customHeight="1" x14ac:dyDescent="0.3">
      <c r="A18" s="21" t="s">
        <v>117</v>
      </c>
      <c r="B18" s="816">
        <v>0.95799999999999996</v>
      </c>
      <c r="C18" s="816">
        <v>0.70220000000000005</v>
      </c>
    </row>
    <row r="19" spans="1:24" ht="17.399999999999999" customHeight="1" x14ac:dyDescent="0.3">
      <c r="A19" s="21" t="s">
        <v>114</v>
      </c>
      <c r="B19" s="816">
        <v>0.93899999999999995</v>
      </c>
      <c r="C19" s="816">
        <v>0.66559999999999997</v>
      </c>
    </row>
    <row r="20" spans="1:24" ht="17.399999999999999" customHeight="1" x14ac:dyDescent="0.3">
      <c r="A20" s="21" t="s">
        <v>458</v>
      </c>
      <c r="B20" s="816">
        <v>0.95799999999999996</v>
      </c>
      <c r="C20" s="816">
        <v>0.70220000000000005</v>
      </c>
      <c r="H20" s="393"/>
    </row>
    <row r="22" spans="1:24" x14ac:dyDescent="0.3">
      <c r="G22" s="393"/>
      <c r="J22" s="540"/>
      <c r="K22"/>
      <c r="L22" s="540"/>
    </row>
    <row r="23" spans="1:24" x14ac:dyDescent="0.3">
      <c r="A23" s="291" t="s">
        <v>227</v>
      </c>
      <c r="B23" s="291" t="s">
        <v>118</v>
      </c>
      <c r="C23" s="291" t="s">
        <v>226</v>
      </c>
      <c r="D23" s="291" t="s">
        <v>228</v>
      </c>
      <c r="E23" s="291" t="s">
        <v>229</v>
      </c>
      <c r="F23" s="286"/>
      <c r="G23" s="140"/>
      <c r="J23" s="540"/>
      <c r="K23"/>
      <c r="L23" s="540"/>
    </row>
    <row r="24" spans="1:24" ht="21" customHeight="1" x14ac:dyDescent="0.4">
      <c r="A24" s="736" t="s">
        <v>308</v>
      </c>
      <c r="B24" s="735">
        <v>5262.5</v>
      </c>
      <c r="C24" s="735">
        <v>4632.25</v>
      </c>
      <c r="D24" s="735">
        <v>20248.310000000001</v>
      </c>
      <c r="E24" s="735">
        <v>13048.21</v>
      </c>
      <c r="F24" s="734" t="s">
        <v>480</v>
      </c>
      <c r="G24" s="393"/>
      <c r="H24" s="393"/>
      <c r="J24" s="540"/>
      <c r="K24"/>
      <c r="L24" s="540"/>
    </row>
    <row r="25" spans="1:24" x14ac:dyDescent="0.3">
      <c r="B25" s="140"/>
      <c r="C25" s="140"/>
      <c r="D25" s="140"/>
      <c r="E25" s="140"/>
      <c r="G25" s="540"/>
      <c r="I25" t="s">
        <v>507</v>
      </c>
      <c r="M25" s="540"/>
    </row>
    <row r="26" spans="1:24" x14ac:dyDescent="0.3">
      <c r="B26" s="140"/>
      <c r="C26" s="140"/>
      <c r="D26" s="140"/>
      <c r="E26" s="140"/>
      <c r="G26" s="540"/>
      <c r="H26" s="392"/>
      <c r="I26" s="535"/>
      <c r="M26" s="540"/>
      <c r="N26" t="s">
        <v>148</v>
      </c>
      <c r="U26" t="s">
        <v>360</v>
      </c>
      <c r="X26" t="s">
        <v>361</v>
      </c>
    </row>
    <row r="27" spans="1:24" s="287" customFormat="1" ht="66.150000000000006" customHeight="1" x14ac:dyDescent="0.3">
      <c r="A27" s="292" t="s">
        <v>225</v>
      </c>
      <c r="B27" s="293" t="s">
        <v>356</v>
      </c>
      <c r="C27" s="293" t="s">
        <v>357</v>
      </c>
      <c r="D27" s="304" t="s">
        <v>309</v>
      </c>
      <c r="E27" s="304" t="s">
        <v>310</v>
      </c>
      <c r="F27" s="305" t="s">
        <v>506</v>
      </c>
      <c r="G27" s="663" t="s">
        <v>511</v>
      </c>
      <c r="H27" s="663" t="s">
        <v>482</v>
      </c>
      <c r="I27" s="663" t="s">
        <v>483</v>
      </c>
      <c r="J27" s="550" t="s">
        <v>484</v>
      </c>
      <c r="K27" s="550" t="s">
        <v>481</v>
      </c>
      <c r="L27" s="292" t="s">
        <v>466</v>
      </c>
      <c r="M27" s="292" t="s">
        <v>473</v>
      </c>
      <c r="N27" s="477" t="s">
        <v>359</v>
      </c>
      <c r="O27" s="396" t="s">
        <v>393</v>
      </c>
      <c r="Q27" s="468" t="s">
        <v>445</v>
      </c>
      <c r="R27" s="305" t="s">
        <v>443</v>
      </c>
      <c r="S27"/>
    </row>
    <row r="28" spans="1:24" ht="20.399999999999999" customHeight="1" x14ac:dyDescent="0.3">
      <c r="A28" s="141" t="s">
        <v>107</v>
      </c>
      <c r="B28" s="737">
        <f>+B$24*B4</f>
        <v>5262.5</v>
      </c>
      <c r="C28" s="738">
        <f>+C$24*C4</f>
        <v>4424.7251999999999</v>
      </c>
      <c r="D28" s="141">
        <f>+ROUND(C28*0.98,2)</f>
        <v>4336.2299999999996</v>
      </c>
      <c r="E28" s="141">
        <f>+D$24*0.02</f>
        <v>404.96620000000001</v>
      </c>
      <c r="F28" s="661">
        <f>+ROUND(D28+E28,2)</f>
        <v>4741.2</v>
      </c>
      <c r="G28" s="661">
        <f>($B$28*98%)+('GAS CTE'!D$8)</f>
        <v>5418.2142000000003</v>
      </c>
      <c r="H28" s="661">
        <f>($B$28*96%)+('GAS CTE'!E$8)</f>
        <v>5573.9283999999998</v>
      </c>
      <c r="I28" s="661">
        <f>(B28*95%)+($E$24*5%)</f>
        <v>5651.7855</v>
      </c>
      <c r="J28" s="661">
        <f>ROUND(($B28*94%),2)+($E$24*6%)</f>
        <v>5729.6426000000001</v>
      </c>
      <c r="K28" s="661"/>
      <c r="L28" s="570">
        <f>(C28*89%)+(BIODIESEL!I$8)</f>
        <v>6165.319528</v>
      </c>
      <c r="M28" s="591">
        <f>(C28*90%)+(BIODIESEL!H$8)</f>
        <v>6007.0836799999997</v>
      </c>
      <c r="N28" s="469" t="s">
        <v>311</v>
      </c>
      <c r="O28" s="365" t="s">
        <v>394</v>
      </c>
      <c r="S28" s="478" t="s">
        <v>107</v>
      </c>
    </row>
    <row r="29" spans="1:24" ht="20.399999999999999" customHeight="1" thickBot="1" x14ac:dyDescent="0.35">
      <c r="A29" s="777" t="s">
        <v>115</v>
      </c>
      <c r="B29" s="778">
        <f t="shared" ref="B29:C32" si="0">+B$24*B5</f>
        <v>4941.4874999999993</v>
      </c>
      <c r="C29" s="779">
        <f>+C$24*C5</f>
        <v>3082.2991499999998</v>
      </c>
      <c r="D29" s="777">
        <f t="shared" ref="D29:D40" si="1">+C29*0.98</f>
        <v>3020.6531669999999</v>
      </c>
      <c r="E29" s="777">
        <f t="shared" ref="E29:E41" si="2">+D$24*0.02</f>
        <v>404.96620000000001</v>
      </c>
      <c r="F29" s="780">
        <f>+D29+E29</f>
        <v>3425.6193669999998</v>
      </c>
      <c r="G29" s="780">
        <f>($B$29*98%)+('GAS CTE'!D$8)</f>
        <v>5103.6219499999997</v>
      </c>
      <c r="H29" s="780">
        <f>($B$29*96%)+('GAS CTE'!E$8)</f>
        <v>5265.7563999999993</v>
      </c>
      <c r="I29" s="780">
        <f>(B29*95%)+($E$24*5%)</f>
        <v>5346.8236249999991</v>
      </c>
      <c r="J29" s="781"/>
      <c r="K29" s="782">
        <f>(B29*90%)+($E$24*10%)</f>
        <v>5752.1597499999998</v>
      </c>
      <c r="M29" s="783">
        <f>(C29*90%)+(BIODIESEL!H$8)</f>
        <v>4798.9002350000001</v>
      </c>
      <c r="N29" s="784" t="s">
        <v>312</v>
      </c>
      <c r="O29" s="394" t="s">
        <v>396</v>
      </c>
      <c r="Q29" s="140">
        <f>(B29*95%)+5%*$E$24</f>
        <v>5346.8236249999991</v>
      </c>
      <c r="R29" s="140">
        <f>(C29*95%)+(5%*$D$24)</f>
        <v>3940.5996924999999</v>
      </c>
      <c r="S29" s="478" t="s">
        <v>115</v>
      </c>
    </row>
    <row r="30" spans="1:24" ht="20.399999999999999" customHeight="1" thickBot="1" x14ac:dyDescent="0.35">
      <c r="A30" s="792" t="s">
        <v>112</v>
      </c>
      <c r="B30" s="793">
        <f t="shared" si="0"/>
        <v>5262.5</v>
      </c>
      <c r="C30" s="794">
        <f t="shared" si="0"/>
        <v>4511.8114999999998</v>
      </c>
      <c r="D30" s="795">
        <f t="shared" si="1"/>
        <v>4421.5752699999994</v>
      </c>
      <c r="E30" s="795">
        <f t="shared" si="2"/>
        <v>404.96620000000001</v>
      </c>
      <c r="F30" s="796">
        <f>+D30+E30</f>
        <v>4826.5414699999992</v>
      </c>
      <c r="G30" s="796">
        <f>($B$30*98%)+('GAS CTE'!D$8)</f>
        <v>5418.2142000000003</v>
      </c>
      <c r="H30" s="796">
        <f>($B$30*96%)+('GAS CTE'!E$8)</f>
        <v>5573.9283999999998</v>
      </c>
      <c r="I30" s="796">
        <f>(B30*95%)+($E$24*5%)</f>
        <v>5651.7855</v>
      </c>
      <c r="J30" s="796">
        <f>ROUND(($B30*94%),2)+($E$24*6%)</f>
        <v>5729.6426000000001</v>
      </c>
      <c r="K30" s="796"/>
      <c r="L30" s="797">
        <f>(C30*89%)+(BIODIESEL!I$8)</f>
        <v>6242.8263349999997</v>
      </c>
      <c r="M30" s="798">
        <f>(C30*90%)+(BIODIESEL!H$8)</f>
        <v>6085.4613499999996</v>
      </c>
      <c r="N30" s="799" t="s">
        <v>313</v>
      </c>
      <c r="O30" s="800">
        <f>(C30*88%)+BIODIESEL!J8</f>
        <v>6400.1913199999999</v>
      </c>
      <c r="P30" s="392" t="s">
        <v>442</v>
      </c>
      <c r="S30" s="478" t="s">
        <v>112</v>
      </c>
    </row>
    <row r="31" spans="1:24" ht="20.399999999999999" customHeight="1" x14ac:dyDescent="0.3">
      <c r="A31" s="785" t="s">
        <v>108</v>
      </c>
      <c r="B31" s="786">
        <f t="shared" si="0"/>
        <v>5262.5</v>
      </c>
      <c r="C31" s="787">
        <f t="shared" si="0"/>
        <v>4632.25</v>
      </c>
      <c r="D31" s="785">
        <f t="shared" ref="D31:D39" si="3">+ROUND(C31*0.98,2)</f>
        <v>4539.6099999999997</v>
      </c>
      <c r="E31" s="785">
        <f t="shared" si="2"/>
        <v>404.96620000000001</v>
      </c>
      <c r="F31" s="788">
        <f t="shared" ref="F31:F41" si="4">+D31+E31</f>
        <v>4944.5761999999995</v>
      </c>
      <c r="G31" s="788">
        <f>($B$31*98%)+('GAS CTE'!D$8)</f>
        <v>5418.2142000000003</v>
      </c>
      <c r="H31" s="788">
        <f>($B$31*96%)+('GAS CTE'!E$8)</f>
        <v>5573.9283999999998</v>
      </c>
      <c r="I31" s="788">
        <f>(B31*95%)+($E$24*5%)</f>
        <v>5651.7855</v>
      </c>
      <c r="J31" s="788">
        <f>ROUND(($B31*94%),2)+($E$24*6%)</f>
        <v>5729.6426000000001</v>
      </c>
      <c r="K31" s="788"/>
      <c r="L31" s="789">
        <f>(C31*89%)+(BIODIESEL!I$8)</f>
        <v>6350.0166000000008</v>
      </c>
      <c r="M31" s="790">
        <f>(C31*90%)+(BIODIESEL!H$8)</f>
        <v>6193.8560000000007</v>
      </c>
      <c r="N31" s="791" t="s">
        <v>365</v>
      </c>
      <c r="O31" s="395">
        <f>(C31*88%)+(BIODIESEL!J$8)</f>
        <v>6506.1772000000001</v>
      </c>
      <c r="P31" s="392" t="s">
        <v>395</v>
      </c>
      <c r="S31" s="478" t="s">
        <v>108</v>
      </c>
    </row>
    <row r="32" spans="1:24" ht="20.399999999999999" customHeight="1" x14ac:dyDescent="0.3">
      <c r="A32" s="141" t="s">
        <v>113</v>
      </c>
      <c r="B32" s="737">
        <f t="shared" si="0"/>
        <v>4830.9750000000004</v>
      </c>
      <c r="C32" s="738">
        <f t="shared" si="0"/>
        <v>3854.0319999999997</v>
      </c>
      <c r="D32" s="141">
        <f t="shared" si="3"/>
        <v>3776.95</v>
      </c>
      <c r="E32" s="141">
        <f t="shared" si="2"/>
        <v>404.96620000000001</v>
      </c>
      <c r="F32" s="661">
        <f t="shared" si="4"/>
        <v>4181.9161999999997</v>
      </c>
      <c r="G32" s="661">
        <f>($B$32*98%)+('GAS CTE'!D$8)</f>
        <v>4995.3197000000009</v>
      </c>
      <c r="H32" s="661">
        <f>($B$32*96%)+('GAS CTE'!E$8)</f>
        <v>5159.6643999999997</v>
      </c>
      <c r="I32" s="662" t="s">
        <v>430</v>
      </c>
      <c r="J32" s="662"/>
      <c r="K32" s="662"/>
      <c r="L32" s="571">
        <f>(C32*89%)+(BIODIESEL!I$8)</f>
        <v>5657.4025799999999</v>
      </c>
      <c r="M32" s="592">
        <f>(C32*90%)+(BIODIESEL!H$8)</f>
        <v>5493.4598000000005</v>
      </c>
      <c r="N32" s="716" t="s">
        <v>495</v>
      </c>
      <c r="O32" s="394" t="s">
        <v>396</v>
      </c>
      <c r="R32" s="140">
        <f>(C32*95%)+(5%*$D$24)</f>
        <v>4673.7458999999999</v>
      </c>
      <c r="S32" s="478" t="s">
        <v>113</v>
      </c>
    </row>
    <row r="33" spans="1:22" ht="20.399999999999999" customHeight="1" thickBot="1" x14ac:dyDescent="0.35">
      <c r="A33" s="777" t="s">
        <v>121</v>
      </c>
      <c r="B33" s="778">
        <f t="shared" ref="B33:C35" si="5">+B$24*B11</f>
        <v>5262.5</v>
      </c>
      <c r="C33" s="779">
        <f>+C$24*C11</f>
        <v>4424.7251999999999</v>
      </c>
      <c r="D33" s="777">
        <f t="shared" si="3"/>
        <v>4336.2299999999996</v>
      </c>
      <c r="E33" s="777">
        <f t="shared" si="2"/>
        <v>404.96620000000001</v>
      </c>
      <c r="F33" s="780">
        <f t="shared" si="4"/>
        <v>4741.1961999999994</v>
      </c>
      <c r="G33" s="780">
        <f>($B$33*98%)+('GAS CTE'!D$8)</f>
        <v>5418.2142000000003</v>
      </c>
      <c r="H33" s="780">
        <f>($B$33*96%)+('GAS CTE'!E$8)</f>
        <v>5573.9283999999998</v>
      </c>
      <c r="I33" s="780">
        <f t="shared" ref="I33:I41" si="6">(B33*95%)+($E$24*5%)</f>
        <v>5651.7855</v>
      </c>
      <c r="J33" s="780">
        <f>ROUND(($B33*94%),2)+($E$24*6%)</f>
        <v>5729.6426000000001</v>
      </c>
      <c r="K33" s="780"/>
      <c r="L33" s="801">
        <f>(C33*89%)+(BIODIESEL!I$8)</f>
        <v>6165.319528</v>
      </c>
      <c r="M33" s="802">
        <f>(C33*90%)+(BIODIESEL!H$8)</f>
        <v>6007.0836799999997</v>
      </c>
      <c r="N33" s="784" t="s">
        <v>314</v>
      </c>
      <c r="O33" s="365" t="s">
        <v>394</v>
      </c>
      <c r="S33" s="478" t="s">
        <v>121</v>
      </c>
      <c r="T33" s="353" t="s">
        <v>362</v>
      </c>
    </row>
    <row r="34" spans="1:22" ht="20.399999999999999" customHeight="1" thickBot="1" x14ac:dyDescent="0.35">
      <c r="A34" s="792" t="s">
        <v>116</v>
      </c>
      <c r="B34" s="793">
        <f t="shared" si="5"/>
        <v>5041.4749999999995</v>
      </c>
      <c r="C34" s="794">
        <f t="shared" si="5"/>
        <v>3404.7037500000001</v>
      </c>
      <c r="D34" s="795">
        <f t="shared" si="3"/>
        <v>3336.61</v>
      </c>
      <c r="E34" s="795">
        <f t="shared" si="2"/>
        <v>404.96620000000001</v>
      </c>
      <c r="F34" s="796">
        <f>+D34+E34</f>
        <v>3741.5762</v>
      </c>
      <c r="G34" s="796">
        <f>($B$34*98%)+('GAS CTE'!D$8)</f>
        <v>5201.6097</v>
      </c>
      <c r="H34" s="796">
        <f>($B$34*96%)+('GAS CTE'!E$8)</f>
        <v>5361.7443999999987</v>
      </c>
      <c r="I34" s="796">
        <f t="shared" si="6"/>
        <v>5441.8117499999989</v>
      </c>
      <c r="J34" s="807"/>
      <c r="K34" s="808">
        <f>(B34*90%)+($E$24*10%)</f>
        <v>5842.1484999999993</v>
      </c>
      <c r="L34" s="809"/>
      <c r="M34" s="810">
        <f>(C34*90%)+(BIODIESEL!H$8)</f>
        <v>5089.0643749999999</v>
      </c>
      <c r="N34" s="799" t="s">
        <v>315</v>
      </c>
      <c r="O34" s="811" t="s">
        <v>396</v>
      </c>
      <c r="Q34" s="140">
        <f>(B34*95%)+5%*$E$24</f>
        <v>5441.8117499999989</v>
      </c>
      <c r="R34" s="140">
        <f>(C34*95%)+(5%*$D$24)</f>
        <v>4246.8840625000003</v>
      </c>
      <c r="S34" s="478" t="s">
        <v>116</v>
      </c>
    </row>
    <row r="35" spans="1:22" ht="20.399999999999999" customHeight="1" x14ac:dyDescent="0.3">
      <c r="A35" s="785" t="s">
        <v>111</v>
      </c>
      <c r="B35" s="786">
        <f t="shared" si="5"/>
        <v>4711.5162499999997</v>
      </c>
      <c r="C35" s="787">
        <f t="shared" si="5"/>
        <v>3232.8472749999996</v>
      </c>
      <c r="D35" s="785">
        <f t="shared" si="3"/>
        <v>3168.19</v>
      </c>
      <c r="E35" s="785">
        <f t="shared" si="2"/>
        <v>404.96620000000001</v>
      </c>
      <c r="F35" s="788">
        <f t="shared" si="4"/>
        <v>3573.1561999999999</v>
      </c>
      <c r="G35" s="788">
        <f>($B$35*98%)+('GAS CTE'!D$8)</f>
        <v>4878.2501249999996</v>
      </c>
      <c r="H35" s="788">
        <f>($B$35*96%)+('GAS CTE'!E$8)</f>
        <v>5044.9839999999995</v>
      </c>
      <c r="I35" s="788">
        <f t="shared" si="6"/>
        <v>5128.3509374999994</v>
      </c>
      <c r="J35" s="803"/>
      <c r="K35" s="804">
        <f>(B35*90%)+($E$24*10%)</f>
        <v>5545.1856250000001</v>
      </c>
      <c r="M35" s="805">
        <f>(C35*90%)+(BIODIESEL!H$8)</f>
        <v>4934.3935474999998</v>
      </c>
      <c r="N35" s="806" t="s">
        <v>358</v>
      </c>
      <c r="O35" s="394" t="s">
        <v>396</v>
      </c>
      <c r="Q35" s="140">
        <f>(B35*95%)+5%*$E$24</f>
        <v>5128.3509374999994</v>
      </c>
      <c r="R35" s="140">
        <f>(C35*95%)+(5%*$D$24)</f>
        <v>4083.6204112499995</v>
      </c>
      <c r="S35" s="478" t="s">
        <v>111</v>
      </c>
      <c r="T35" s="353" t="s">
        <v>362</v>
      </c>
    </row>
    <row r="36" spans="1:22" ht="20.399999999999999" customHeight="1" x14ac:dyDescent="0.3">
      <c r="A36" s="141" t="s">
        <v>110</v>
      </c>
      <c r="B36" s="737">
        <f>+B$24*B15</f>
        <v>5262.5</v>
      </c>
      <c r="C36" s="738">
        <f>+C$24*C15</f>
        <v>4415.9239250000001</v>
      </c>
      <c r="D36" s="141">
        <f t="shared" si="3"/>
        <v>4327.6099999999997</v>
      </c>
      <c r="E36" s="141">
        <f t="shared" si="2"/>
        <v>404.96620000000001</v>
      </c>
      <c r="F36" s="661">
        <f t="shared" si="4"/>
        <v>4732.5761999999995</v>
      </c>
      <c r="G36" s="661">
        <f>($B$36*98%)+('GAS CTE'!D$8)</f>
        <v>5418.2142000000003</v>
      </c>
      <c r="H36" s="661">
        <f>($B$36*96%)+('GAS CTE'!E$8)</f>
        <v>5573.9283999999998</v>
      </c>
      <c r="I36" s="661">
        <f t="shared" si="6"/>
        <v>5651.7855</v>
      </c>
      <c r="J36" s="661">
        <f>ROUND(($B36*94%),2)+($E$24*6%)</f>
        <v>5729.6426000000001</v>
      </c>
      <c r="K36" s="661"/>
      <c r="L36" s="571">
        <f>(C36*89%)+(BIODIESEL!I$8)</f>
        <v>6157.4863932500002</v>
      </c>
      <c r="M36" s="592">
        <f>(C36*90%)+(BIODIESEL!H$8)</f>
        <v>5999.1625325000005</v>
      </c>
      <c r="N36" s="469" t="s">
        <v>316</v>
      </c>
      <c r="O36" s="365" t="s">
        <v>394</v>
      </c>
      <c r="Q36" s="140"/>
      <c r="R36" s="140"/>
      <c r="S36" s="478" t="s">
        <v>110</v>
      </c>
    </row>
    <row r="37" spans="1:22" ht="20.399999999999999" customHeight="1" thickBot="1" x14ac:dyDescent="0.35">
      <c r="A37" s="777" t="s">
        <v>109</v>
      </c>
      <c r="B37" s="778">
        <f t="shared" ref="B37:C41" si="7">+B$24*B16</f>
        <v>4827.2912500000002</v>
      </c>
      <c r="C37" s="779">
        <f t="shared" si="7"/>
        <v>3843.84105</v>
      </c>
      <c r="D37" s="777">
        <f t="shared" si="3"/>
        <v>3766.96</v>
      </c>
      <c r="E37" s="777">
        <f t="shared" si="2"/>
        <v>404.96620000000001</v>
      </c>
      <c r="F37" s="780">
        <f t="shared" si="4"/>
        <v>4171.9261999999999</v>
      </c>
      <c r="G37" s="812">
        <f>($B$37*98%)+('GAS CTE'!D$8)</f>
        <v>4991.7096250000004</v>
      </c>
      <c r="H37" s="812">
        <f>($B$37*96%)+('GAS CTE'!E$8)</f>
        <v>5156.1279999999997</v>
      </c>
      <c r="I37" s="812">
        <f t="shared" si="6"/>
        <v>5238.3371875000003</v>
      </c>
      <c r="J37" s="781"/>
      <c r="K37" s="781"/>
      <c r="M37" s="783">
        <f>(C37*90%)+(BIODIESEL!H$8)</f>
        <v>5484.287945</v>
      </c>
      <c r="N37" s="813" t="s">
        <v>317</v>
      </c>
      <c r="O37" s="394" t="s">
        <v>396</v>
      </c>
      <c r="R37" s="140">
        <f>(C37*95%)+(5%*$D$24)</f>
        <v>4664.0644974999996</v>
      </c>
      <c r="S37" s="478" t="s">
        <v>109</v>
      </c>
    </row>
    <row r="38" spans="1:22" ht="20.399999999999999" customHeight="1" thickBot="1" x14ac:dyDescent="0.35">
      <c r="A38" s="792" t="s">
        <v>295</v>
      </c>
      <c r="B38" s="793">
        <f t="shared" si="7"/>
        <v>5262.5</v>
      </c>
      <c r="C38" s="794">
        <f t="shared" si="7"/>
        <v>4426.1148750000002</v>
      </c>
      <c r="D38" s="795">
        <f t="shared" si="3"/>
        <v>4337.59</v>
      </c>
      <c r="E38" s="795">
        <f t="shared" si="2"/>
        <v>404.96620000000001</v>
      </c>
      <c r="F38" s="796">
        <f t="shared" si="4"/>
        <v>4742.5562</v>
      </c>
      <c r="G38" s="796">
        <f>($B$38*98%)+('GAS CTE'!D$8)</f>
        <v>5418.2142000000003</v>
      </c>
      <c r="H38" s="796">
        <f>($B$38*96%)+('GAS CTE'!E$8)</f>
        <v>5573.9283999999998</v>
      </c>
      <c r="I38" s="796">
        <f t="shared" si="6"/>
        <v>5651.7855</v>
      </c>
      <c r="J38" s="796">
        <f>ROUND(($B38*94%),2)+($E$24*6%)</f>
        <v>5729.6426000000001</v>
      </c>
      <c r="K38" s="796"/>
      <c r="L38" s="814">
        <f>(C38*89%)+(BIODIESEL!I$8)</f>
        <v>6166.5563387500006</v>
      </c>
      <c r="M38" s="798">
        <f>(C38*90%)+(BIODIESEL!H$8)</f>
        <v>6008.334387500001</v>
      </c>
      <c r="N38" s="799" t="s">
        <v>318</v>
      </c>
      <c r="O38" s="815" t="s">
        <v>394</v>
      </c>
      <c r="S38" s="478" t="s">
        <v>295</v>
      </c>
    </row>
    <row r="39" spans="1:22" ht="20.399999999999999" customHeight="1" x14ac:dyDescent="0.3">
      <c r="A39" s="785" t="s">
        <v>117</v>
      </c>
      <c r="B39" s="786">
        <f t="shared" si="7"/>
        <v>5041.4749999999995</v>
      </c>
      <c r="C39" s="787">
        <f t="shared" si="7"/>
        <v>3252.7659500000004</v>
      </c>
      <c r="D39" s="785">
        <f t="shared" si="3"/>
        <v>3187.71</v>
      </c>
      <c r="E39" s="785">
        <f t="shared" si="2"/>
        <v>404.96620000000001</v>
      </c>
      <c r="F39" s="788">
        <f t="shared" si="4"/>
        <v>3592.6761999999999</v>
      </c>
      <c r="G39" s="788">
        <f>($B$39*98%)+('GAS CTE'!D$8)</f>
        <v>5201.6097</v>
      </c>
      <c r="H39" s="788">
        <f>($B$39*96%)+('GAS CTE'!E$8)</f>
        <v>5361.7443999999987</v>
      </c>
      <c r="I39" s="788">
        <f t="shared" si="6"/>
        <v>5441.8117499999989</v>
      </c>
      <c r="J39" s="803"/>
      <c r="K39" s="804">
        <f>(B39*90%)+($E$24*10%)</f>
        <v>5842.1484999999993</v>
      </c>
      <c r="M39" s="805">
        <f>(C39*90%)+(BIODIESEL!H$8)</f>
        <v>4952.3203550000007</v>
      </c>
      <c r="N39" s="791" t="s">
        <v>320</v>
      </c>
      <c r="O39" s="394" t="s">
        <v>396</v>
      </c>
      <c r="Q39" s="140">
        <f>(B39*95%)+5%*$E$24</f>
        <v>5441.8117499999989</v>
      </c>
      <c r="R39" s="140">
        <f>(C39*95%)+(5%*$D$24)</f>
        <v>4102.5431525000004</v>
      </c>
      <c r="S39" s="478" t="s">
        <v>117</v>
      </c>
    </row>
    <row r="40" spans="1:22" ht="20.399999999999999" customHeight="1" x14ac:dyDescent="0.3">
      <c r="A40" s="141" t="s">
        <v>368</v>
      </c>
      <c r="B40" s="737">
        <f t="shared" si="7"/>
        <v>4941.4874999999993</v>
      </c>
      <c r="C40" s="738">
        <f t="shared" si="7"/>
        <v>3083.2255999999998</v>
      </c>
      <c r="D40" s="141">
        <f t="shared" si="1"/>
        <v>3021.5610879999999</v>
      </c>
      <c r="E40" s="141">
        <f t="shared" si="2"/>
        <v>404.96620000000001</v>
      </c>
      <c r="F40" s="661">
        <f t="shared" si="4"/>
        <v>3426.5272879999998</v>
      </c>
      <c r="G40" s="661">
        <f>($B$40*98%)+('GAS CTE'!D$8)</f>
        <v>5103.6219499999997</v>
      </c>
      <c r="H40" s="661">
        <f>($B$40*96%)+('GAS CTE'!E$8)</f>
        <v>5265.7563999999993</v>
      </c>
      <c r="I40" s="661">
        <f t="shared" si="6"/>
        <v>5346.8236249999991</v>
      </c>
      <c r="J40" s="661">
        <f>ROUND(($B40*94%),2)+($E$24*6%)</f>
        <v>5427.8926000000001</v>
      </c>
      <c r="K40" s="664">
        <f>(B40*90%)+($E$24*10%)</f>
        <v>5752.1597499999998</v>
      </c>
      <c r="M40" s="159">
        <f>(C40*90%)+(BIODIESEL!H$8)</f>
        <v>4799.7340399999994</v>
      </c>
      <c r="N40" s="469" t="s">
        <v>377</v>
      </c>
      <c r="O40" s="394" t="s">
        <v>396</v>
      </c>
      <c r="Q40" s="395">
        <f>(B40*95%)+5%*$E$24</f>
        <v>5346.8236249999991</v>
      </c>
      <c r="R40" s="140">
        <f>(C40*95%)+(5%*$D$24)</f>
        <v>3941.4798199999996</v>
      </c>
      <c r="S40" s="478" t="s">
        <v>446</v>
      </c>
      <c r="V40" t="s">
        <v>148</v>
      </c>
    </row>
    <row r="41" spans="1:22" ht="20.399999999999999" customHeight="1" x14ac:dyDescent="0.3">
      <c r="A41" s="141" t="s">
        <v>367</v>
      </c>
      <c r="B41" s="737">
        <f t="shared" si="7"/>
        <v>5041.4749999999995</v>
      </c>
      <c r="C41" s="738">
        <f t="shared" si="7"/>
        <v>3252.7659500000004</v>
      </c>
      <c r="D41" s="141">
        <f>+ROUND(C41*0.98,2)</f>
        <v>3187.71</v>
      </c>
      <c r="E41" s="141">
        <f t="shared" si="2"/>
        <v>404.96620000000001</v>
      </c>
      <c r="F41" s="661">
        <f t="shared" si="4"/>
        <v>3592.6761999999999</v>
      </c>
      <c r="G41" s="661">
        <f>($B$41*98%)+('GAS CTE'!D$8)</f>
        <v>5201.6097</v>
      </c>
      <c r="H41" s="661">
        <f>($B$41*96%)+('GAS CTE'!E$8)</f>
        <v>5361.7443999999987</v>
      </c>
      <c r="I41" s="661">
        <f t="shared" si="6"/>
        <v>5441.8117499999989</v>
      </c>
      <c r="J41" s="662"/>
      <c r="K41" s="664">
        <f>(B41*90%)+($E$24*10%)</f>
        <v>5842.1484999999993</v>
      </c>
      <c r="M41" s="159">
        <f>(C41*90%)+(BIODIESEL!H$8)</f>
        <v>4952.3203550000007</v>
      </c>
      <c r="N41" s="469" t="s">
        <v>319</v>
      </c>
      <c r="O41" s="394" t="s">
        <v>396</v>
      </c>
      <c r="Q41" s="395">
        <f>(B41*95%)+5%*$E$24</f>
        <v>5441.8117499999989</v>
      </c>
      <c r="R41" s="140">
        <f>(C41*95%)+(5%*$D$24)</f>
        <v>4102.5431525000004</v>
      </c>
      <c r="S41" s="478" t="s">
        <v>447</v>
      </c>
    </row>
    <row r="42" spans="1:22" ht="16.05" customHeight="1" x14ac:dyDescent="0.3">
      <c r="A42" s="420" t="s">
        <v>423</v>
      </c>
      <c r="B42" s="421">
        <f>+B$24*B9</f>
        <v>5262.5</v>
      </c>
      <c r="C42" s="421">
        <f>+C$24*C9</f>
        <v>4632.25</v>
      </c>
      <c r="D42" s="421">
        <f t="shared" ref="D42" si="8">+ROUND(C42*0.98,2)</f>
        <v>4539.6099999999997</v>
      </c>
      <c r="E42" s="421">
        <f t="shared" ref="E42" si="9">+D$24*0.02</f>
        <v>404.96620000000001</v>
      </c>
      <c r="F42" s="421">
        <f t="shared" ref="F42:F44" si="10">+D42+E42</f>
        <v>4944.5761999999995</v>
      </c>
      <c r="G42" s="421"/>
      <c r="H42" s="421">
        <f>(B42*96%)+('GAS CTE'!E$8)</f>
        <v>5573.9283999999998</v>
      </c>
      <c r="I42" s="421"/>
      <c r="J42" s="421"/>
      <c r="K42" s="421"/>
      <c r="L42" s="421">
        <f>(C42*90%)+(BIODIESEL!H$8)</f>
        <v>6193.8560000000007</v>
      </c>
      <c r="M42" s="590"/>
      <c r="N42" s="422"/>
      <c r="O42" s="423">
        <f>(C42*88%)+(BIODIESEL!J$8)</f>
        <v>6506.1772000000001</v>
      </c>
    </row>
    <row r="43" spans="1:22" ht="16.05" customHeight="1" x14ac:dyDescent="0.3">
      <c r="A43" s="420" t="s">
        <v>424</v>
      </c>
      <c r="B43" s="421">
        <f>+B$24*B10</f>
        <v>5262.5</v>
      </c>
      <c r="C43" s="421">
        <f>+C$24*C10</f>
        <v>4632.25</v>
      </c>
      <c r="D43" s="421">
        <f t="shared" ref="D43:D44" si="11">+ROUND(C43*0.98,2)</f>
        <v>4539.6099999999997</v>
      </c>
      <c r="E43" s="421">
        <f t="shared" ref="E43:E44" si="12">+D$24*0.02</f>
        <v>404.96620000000001</v>
      </c>
      <c r="F43" s="421">
        <f t="shared" si="10"/>
        <v>4944.5761999999995</v>
      </c>
      <c r="G43" s="421"/>
      <c r="H43" s="421">
        <f>(B43*96%)+('GAS CTE'!E$8)</f>
        <v>5573.9283999999998</v>
      </c>
      <c r="I43" s="421"/>
      <c r="J43" s="421"/>
      <c r="K43" s="421"/>
      <c r="L43" s="421">
        <f>(C43*90%)+(BIODIESEL!H$8)</f>
        <v>6193.8560000000007</v>
      </c>
      <c r="M43" s="590"/>
      <c r="N43" s="422"/>
      <c r="O43" s="423">
        <f>(C43*88%)+(BIODIESEL!J$8)</f>
        <v>6506.1772000000001</v>
      </c>
    </row>
    <row r="44" spans="1:22" ht="16.05" customHeight="1" x14ac:dyDescent="0.3">
      <c r="A44" s="420" t="s">
        <v>421</v>
      </c>
      <c r="B44" s="421">
        <f>+B$24*B14</f>
        <v>4711.5162499999997</v>
      </c>
      <c r="C44" s="421">
        <f>+C$24*C14</f>
        <v>3232.8472749999996</v>
      </c>
      <c r="D44" s="421">
        <f t="shared" si="11"/>
        <v>3168.19</v>
      </c>
      <c r="E44" s="421">
        <f t="shared" si="12"/>
        <v>404.96620000000001</v>
      </c>
      <c r="F44" s="421">
        <f t="shared" si="10"/>
        <v>3573.1561999999999</v>
      </c>
      <c r="G44" s="421"/>
      <c r="H44" s="421">
        <f>(B44*96%)+('GAS CTE'!E$8)</f>
        <v>5044.9839999999995</v>
      </c>
      <c r="I44" s="421"/>
      <c r="J44" s="421"/>
      <c r="K44" s="421"/>
      <c r="L44" s="421">
        <f>(C44*90%)+(BIODIESEL!H$8)</f>
        <v>4934.3935474999998</v>
      </c>
      <c r="M44" s="590"/>
      <c r="N44" s="422"/>
      <c r="O44" s="424"/>
    </row>
    <row r="45" spans="1:22" x14ac:dyDescent="0.3">
      <c r="G45" s="540"/>
      <c r="J45" s="540"/>
      <c r="M45" s="540"/>
    </row>
    <row r="46" spans="1:22" ht="15.6" x14ac:dyDescent="0.3">
      <c r="A46" s="303" t="s">
        <v>355</v>
      </c>
      <c r="B46" s="494" t="s">
        <v>492</v>
      </c>
      <c r="C46" s="494" t="s">
        <v>493</v>
      </c>
      <c r="D46" s="348" t="s">
        <v>380</v>
      </c>
      <c r="E46" s="465"/>
      <c r="F46" s="466"/>
      <c r="G46" s="466"/>
      <c r="H46" s="466"/>
      <c r="I46" s="466"/>
      <c r="J46" s="466"/>
      <c r="K46" s="466"/>
      <c r="L46" s="466"/>
      <c r="M46" s="466"/>
      <c r="N46" s="466"/>
    </row>
    <row r="47" spans="1:22" x14ac:dyDescent="0.3">
      <c r="E47" s="465"/>
      <c r="F47" s="466"/>
      <c r="G47" s="466"/>
      <c r="H47" s="466"/>
      <c r="I47" s="466"/>
      <c r="J47" s="466"/>
      <c r="K47" s="466"/>
      <c r="L47" s="466"/>
    </row>
    <row r="48" spans="1:22" x14ac:dyDescent="0.3">
      <c r="A48" s="314" t="s">
        <v>352</v>
      </c>
      <c r="B48" s="314" t="s">
        <v>350</v>
      </c>
      <c r="C48" s="314" t="s">
        <v>351</v>
      </c>
      <c r="D48" t="s">
        <v>148</v>
      </c>
      <c r="E48" s="467"/>
      <c r="F48" s="466"/>
      <c r="G48" s="466"/>
      <c r="H48" s="466"/>
      <c r="I48" s="466"/>
      <c r="J48" s="466"/>
      <c r="K48" s="466"/>
    </row>
    <row r="49" spans="1:11" x14ac:dyDescent="0.3">
      <c r="A49" s="301" t="s">
        <v>353</v>
      </c>
      <c r="B49" s="302">
        <v>30000002129</v>
      </c>
      <c r="C49" s="21"/>
      <c r="E49" s="465"/>
      <c r="F49" s="466"/>
      <c r="G49" s="466"/>
      <c r="H49" s="466"/>
      <c r="I49" s="466"/>
      <c r="J49" s="466"/>
      <c r="K49" s="466"/>
    </row>
    <row r="50" spans="1:11" x14ac:dyDescent="0.3">
      <c r="A50" s="301" t="s">
        <v>354</v>
      </c>
      <c r="B50" s="302">
        <v>30000000070</v>
      </c>
      <c r="C50" s="302">
        <v>30000000070</v>
      </c>
    </row>
    <row r="51" spans="1:11" x14ac:dyDescent="0.3">
      <c r="A51" s="301" t="s">
        <v>366</v>
      </c>
      <c r="B51" s="306">
        <v>30000009250</v>
      </c>
      <c r="C51" s="302"/>
      <c r="E51" t="s">
        <v>148</v>
      </c>
    </row>
    <row r="52" spans="1:11" x14ac:dyDescent="0.3">
      <c r="A52" s="301" t="s">
        <v>106</v>
      </c>
      <c r="B52" s="302" t="s">
        <v>148</v>
      </c>
      <c r="C52" s="302">
        <v>30000000003</v>
      </c>
    </row>
  </sheetData>
  <sortState xmlns:xlrd2="http://schemas.microsoft.com/office/spreadsheetml/2017/richdata2" ref="A4:C17">
    <sortCondition ref="A3:A17"/>
  </sortState>
  <mergeCells count="2">
    <mergeCell ref="B2:C2"/>
    <mergeCell ref="A2:A3"/>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0000"/>
  </sheetPr>
  <dimension ref="A1:O41"/>
  <sheetViews>
    <sheetView showGridLines="0" zoomScale="90" zoomScaleNormal="90" workbookViewId="0">
      <selection activeCell="I165" sqref="I165:L169"/>
    </sheetView>
  </sheetViews>
  <sheetFormatPr baseColWidth="10" defaultColWidth="54.21875" defaultRowHeight="14.4" x14ac:dyDescent="0.3"/>
  <cols>
    <col min="1" max="1" width="50.77734375" customWidth="1"/>
    <col min="2" max="2" width="14.77734375" customWidth="1"/>
    <col min="3" max="3" width="13.88671875" customWidth="1"/>
    <col min="4" max="4" width="13.88671875" style="540" customWidth="1"/>
    <col min="5" max="7" width="15.21875" customWidth="1"/>
    <col min="8" max="8" width="17.6640625" customWidth="1"/>
    <col min="9" max="9" width="17.6640625" style="540" customWidth="1"/>
    <col min="10" max="10" width="11.88671875" customWidth="1"/>
    <col min="11" max="11" width="10.21875" customWidth="1"/>
    <col min="12" max="12" width="10.33203125" customWidth="1"/>
    <col min="13" max="13" width="19.21875" customWidth="1"/>
    <col min="14" max="14" width="10.21875" customWidth="1"/>
  </cols>
  <sheetData>
    <row r="1" spans="1:15" ht="34.049999999999997" customHeight="1" x14ac:dyDescent="0.3">
      <c r="A1" s="873" t="s">
        <v>385</v>
      </c>
      <c r="B1" s="874"/>
      <c r="C1" s="874"/>
      <c r="D1" s="874"/>
      <c r="E1" s="874"/>
      <c r="F1" s="473"/>
      <c r="G1" s="491"/>
      <c r="H1" s="51"/>
      <c r="I1" s="51"/>
    </row>
    <row r="2" spans="1:15" ht="17.399999999999999" x14ac:dyDescent="0.3">
      <c r="A2" s="875" t="s">
        <v>122</v>
      </c>
      <c r="B2" s="876"/>
      <c r="C2" s="876"/>
      <c r="D2" s="876"/>
      <c r="E2" s="876"/>
      <c r="F2" s="46"/>
      <c r="G2" s="46"/>
      <c r="H2" s="733" t="s">
        <v>504</v>
      </c>
      <c r="I2" s="51"/>
    </row>
    <row r="3" spans="1:15" ht="41.4" x14ac:dyDescent="0.3">
      <c r="A3" s="877" t="s">
        <v>123</v>
      </c>
      <c r="B3" s="880" t="s">
        <v>138</v>
      </c>
      <c r="C3" s="880" t="s">
        <v>139</v>
      </c>
      <c r="D3" s="722" t="s">
        <v>140</v>
      </c>
      <c r="E3" s="52" t="s">
        <v>140</v>
      </c>
      <c r="F3" s="474" t="s">
        <v>140</v>
      </c>
      <c r="G3" s="492" t="s">
        <v>140</v>
      </c>
      <c r="H3" s="418" t="s">
        <v>140</v>
      </c>
      <c r="I3" s="606" t="s">
        <v>140</v>
      </c>
      <c r="K3" s="436"/>
    </row>
    <row r="4" spans="1:15" x14ac:dyDescent="0.3">
      <c r="A4" s="878"/>
      <c r="B4" s="881"/>
      <c r="C4" s="882"/>
      <c r="D4" s="654">
        <v>0.02</v>
      </c>
      <c r="E4" s="654">
        <v>0.04</v>
      </c>
      <c r="F4" s="655">
        <v>0.05</v>
      </c>
      <c r="G4" s="655">
        <v>0.06</v>
      </c>
      <c r="H4" s="655">
        <v>0.08</v>
      </c>
      <c r="I4" s="656">
        <v>0.1</v>
      </c>
    </row>
    <row r="5" spans="1:15" ht="15" thickBot="1" x14ac:dyDescent="0.35">
      <c r="A5" s="879"/>
      <c r="B5" s="53"/>
      <c r="C5" s="47"/>
      <c r="D5" s="647"/>
      <c r="E5" s="647"/>
      <c r="F5" s="647"/>
      <c r="G5" s="647"/>
      <c r="H5" s="647"/>
      <c r="I5" s="648"/>
    </row>
    <row r="6" spans="1:15" ht="27.75" customHeight="1" thickTop="1" x14ac:dyDescent="0.3">
      <c r="A6" s="643" t="s">
        <v>125</v>
      </c>
      <c r="B6" s="657">
        <f>+'Calculo IP ZDF'!E24</f>
        <v>13048.21</v>
      </c>
      <c r="C6" s="657">
        <f>+'Calculo IP ZDF'!B24</f>
        <v>5262.5</v>
      </c>
      <c r="D6" s="750"/>
      <c r="E6" s="481"/>
      <c r="F6" s="481"/>
      <c r="G6" s="566"/>
      <c r="H6" s="481"/>
      <c r="I6" s="649"/>
      <c r="K6" s="343" t="s">
        <v>428</v>
      </c>
      <c r="L6" s="351"/>
      <c r="M6" s="439" t="s">
        <v>449</v>
      </c>
      <c r="N6" s="447">
        <v>0.06</v>
      </c>
    </row>
    <row r="7" spans="1:15" ht="27.6" x14ac:dyDescent="0.3">
      <c r="A7" s="644" t="s">
        <v>141</v>
      </c>
      <c r="B7" s="55"/>
      <c r="C7" s="56"/>
      <c r="D7" s="640">
        <f>+C6*0.98</f>
        <v>5157.25</v>
      </c>
      <c r="E7" s="640">
        <f>+C6*0.96</f>
        <v>5052</v>
      </c>
      <c r="F7" s="640">
        <f>+C6*0.95</f>
        <v>4999.375</v>
      </c>
      <c r="G7" s="640">
        <f>+ROUND(C6*0.94,2)</f>
        <v>4946.75</v>
      </c>
      <c r="H7" s="640">
        <f>+$C$6*0.92</f>
        <v>4841.5</v>
      </c>
      <c r="I7" s="640">
        <f>+$C$6*0.9</f>
        <v>4736.25</v>
      </c>
      <c r="K7" s="437">
        <f>C6*0.96</f>
        <v>5052</v>
      </c>
      <c r="L7" s="395">
        <f>+E7-K7</f>
        <v>0</v>
      </c>
      <c r="M7" s="440">
        <f>+C6*(1-N6)</f>
        <v>4946.75</v>
      </c>
      <c r="N7" s="441">
        <f>+M7-H7</f>
        <v>105.25</v>
      </c>
      <c r="O7">
        <f>5023.9*0.94</f>
        <v>4722.4659999999994</v>
      </c>
    </row>
    <row r="8" spans="1:15" ht="22.05" customHeight="1" x14ac:dyDescent="0.3">
      <c r="A8" s="644" t="s">
        <v>142</v>
      </c>
      <c r="B8" s="55"/>
      <c r="C8" s="56"/>
      <c r="D8" s="640">
        <f>+B6*2%</f>
        <v>260.96420000000001</v>
      </c>
      <c r="E8" s="640">
        <f>+B6*4%</f>
        <v>521.92840000000001</v>
      </c>
      <c r="F8" s="640">
        <f>+B6*5%</f>
        <v>652.41049999999996</v>
      </c>
      <c r="G8" s="640">
        <f>+$B$6*6%</f>
        <v>782.8925999999999</v>
      </c>
      <c r="H8" s="640">
        <f>+$B$6*8%</f>
        <v>1043.8568</v>
      </c>
      <c r="I8" s="640">
        <f>+$B$6*10%</f>
        <v>1304.8209999999999</v>
      </c>
      <c r="J8">
        <f>+B6*0.07</f>
        <v>913.37470000000008</v>
      </c>
      <c r="K8" s="437">
        <f>+B6*4%</f>
        <v>521.92840000000001</v>
      </c>
      <c r="L8" s="395">
        <f>+E8-K8</f>
        <v>0</v>
      </c>
      <c r="M8" s="440">
        <f>+B6*N6</f>
        <v>782.8925999999999</v>
      </c>
      <c r="N8" s="441">
        <f>+M8-H8</f>
        <v>-260.96420000000012</v>
      </c>
      <c r="O8">
        <f>10101.25*0.06</f>
        <v>606.07499999999993</v>
      </c>
    </row>
    <row r="9" spans="1:15" ht="27.6" x14ac:dyDescent="0.3">
      <c r="A9" s="644" t="s">
        <v>143</v>
      </c>
      <c r="B9" s="55"/>
      <c r="C9" s="56"/>
      <c r="D9" s="660">
        <f t="shared" ref="D9:I9" si="0">+D7+D8</f>
        <v>5418.2142000000003</v>
      </c>
      <c r="E9" s="660">
        <f t="shared" si="0"/>
        <v>5573.9283999999998</v>
      </c>
      <c r="F9" s="660">
        <f t="shared" si="0"/>
        <v>5651.7855</v>
      </c>
      <c r="G9" s="660">
        <f t="shared" si="0"/>
        <v>5729.6426000000001</v>
      </c>
      <c r="H9" s="660">
        <f t="shared" si="0"/>
        <v>5885.3567999999996</v>
      </c>
      <c r="I9" s="660">
        <f t="shared" si="0"/>
        <v>6041.0709999999999</v>
      </c>
      <c r="K9" s="438">
        <f>+K7+K8</f>
        <v>5573.9283999999998</v>
      </c>
      <c r="L9" s="395">
        <f>+E9-K9</f>
        <v>0</v>
      </c>
      <c r="M9" s="444">
        <f>+M7+M8</f>
        <v>5729.6426000000001</v>
      </c>
      <c r="N9" s="445">
        <f>+M9-H9</f>
        <v>-155.71419999999944</v>
      </c>
      <c r="O9">
        <f>+O7+O8</f>
        <v>5328.5409999999993</v>
      </c>
    </row>
    <row r="10" spans="1:15" ht="19.2" customHeight="1" x14ac:dyDescent="0.3">
      <c r="A10" s="645" t="s">
        <v>128</v>
      </c>
      <c r="B10" s="55"/>
      <c r="C10" s="641">
        <v>586.25</v>
      </c>
      <c r="D10" s="640">
        <f>+C10*0.98</f>
        <v>574.52499999999998</v>
      </c>
      <c r="E10" s="640">
        <f>+C10*0.96</f>
        <v>562.79999999999995</v>
      </c>
      <c r="F10" s="640">
        <f>+C10*0.95</f>
        <v>556.9375</v>
      </c>
      <c r="G10" s="640">
        <f>+C10*0.94</f>
        <v>551.07499999999993</v>
      </c>
      <c r="H10" s="640">
        <f>+E10*0.92</f>
        <v>517.77599999999995</v>
      </c>
      <c r="I10" s="640">
        <f>+F10*0.9</f>
        <v>501.24375000000003</v>
      </c>
      <c r="J10" s="45"/>
      <c r="K10" s="443">
        <f>+C10*0.96</f>
        <v>562.79999999999995</v>
      </c>
      <c r="L10" s="395">
        <f>+K10-E10</f>
        <v>0</v>
      </c>
      <c r="M10" s="446">
        <f>+C10*(1-N6)</f>
        <v>551.07499999999993</v>
      </c>
      <c r="N10" s="445">
        <f>+H10-M10</f>
        <v>-33.298999999999978</v>
      </c>
    </row>
    <row r="11" spans="1:15" ht="19.2" customHeight="1" x14ac:dyDescent="0.3">
      <c r="A11" s="644" t="s">
        <v>129</v>
      </c>
      <c r="B11" s="55"/>
      <c r="C11" s="642" t="s">
        <v>130</v>
      </c>
      <c r="D11" s="752"/>
      <c r="E11" s="640" t="s">
        <v>130</v>
      </c>
      <c r="F11" s="640"/>
      <c r="G11" s="640"/>
      <c r="H11" s="49"/>
      <c r="I11" s="650"/>
      <c r="J11" s="45"/>
      <c r="K11" s="351"/>
      <c r="L11" s="351"/>
      <c r="M11" s="446"/>
      <c r="N11" s="446"/>
    </row>
    <row r="12" spans="1:15" ht="19.2" customHeight="1" x14ac:dyDescent="0.3">
      <c r="A12" s="646" t="s">
        <v>131</v>
      </c>
      <c r="B12" s="55"/>
      <c r="C12" s="641">
        <v>169</v>
      </c>
      <c r="D12" s="640">
        <f>+C12*0.98</f>
        <v>165.62</v>
      </c>
      <c r="E12" s="640">
        <f>+C12*0.96</f>
        <v>162.23999999999998</v>
      </c>
      <c r="F12" s="640">
        <f>+C12*0.95</f>
        <v>160.54999999999998</v>
      </c>
      <c r="G12" s="640">
        <f>+C12*0.94</f>
        <v>158.85999999999999</v>
      </c>
      <c r="H12" s="640">
        <f>+E12*0.92</f>
        <v>149.26079999999999</v>
      </c>
      <c r="I12" s="640">
        <f>+F12*0.9</f>
        <v>144.49499999999998</v>
      </c>
      <c r="J12" s="45"/>
      <c r="K12" s="351">
        <f>+C12*0.96</f>
        <v>162.23999999999998</v>
      </c>
      <c r="L12" s="395">
        <f>+E12-K12</f>
        <v>0</v>
      </c>
      <c r="M12" s="446">
        <f>+C12*(1-N6)</f>
        <v>158.85999999999999</v>
      </c>
      <c r="N12" s="445">
        <f>+H12-M12</f>
        <v>-9.5991999999999962</v>
      </c>
    </row>
    <row r="13" spans="1:15" ht="19.2" customHeight="1" x14ac:dyDescent="0.3">
      <c r="A13" s="644" t="s">
        <v>126</v>
      </c>
      <c r="B13" s="55"/>
      <c r="C13" s="641">
        <v>8.6300000000000008</v>
      </c>
      <c r="D13" s="751">
        <f>+D12</f>
        <v>165.62</v>
      </c>
      <c r="E13" s="640">
        <f>+C13</f>
        <v>8.6300000000000008</v>
      </c>
      <c r="F13" s="640"/>
      <c r="G13" s="640"/>
      <c r="H13" s="49"/>
      <c r="I13" s="650"/>
      <c r="J13" s="45"/>
    </row>
    <row r="14" spans="1:15" ht="27.6" hidden="1" x14ac:dyDescent="0.3">
      <c r="A14" s="54" t="s">
        <v>144</v>
      </c>
      <c r="B14" s="55"/>
      <c r="C14" s="56"/>
      <c r="D14" s="318"/>
      <c r="E14" s="71" t="s">
        <v>127</v>
      </c>
      <c r="F14" s="71"/>
      <c r="G14" s="71"/>
      <c r="H14" s="71"/>
      <c r="I14" s="651"/>
      <c r="J14" s="442">
        <f>+E12/C12</f>
        <v>0.95999999999999985</v>
      </c>
    </row>
    <row r="15" spans="1:15" ht="27.6" hidden="1" x14ac:dyDescent="0.3">
      <c r="A15" s="54" t="s">
        <v>145</v>
      </c>
      <c r="B15" s="55"/>
      <c r="C15" s="639"/>
      <c r="D15" s="753"/>
      <c r="E15" s="71" t="s">
        <v>132</v>
      </c>
      <c r="F15" s="71"/>
      <c r="G15" s="71"/>
      <c r="H15" s="71"/>
      <c r="I15" s="651"/>
      <c r="J15" s="45"/>
    </row>
    <row r="16" spans="1:15" hidden="1" x14ac:dyDescent="0.3">
      <c r="A16" s="54" t="s">
        <v>230</v>
      </c>
      <c r="B16" s="55"/>
      <c r="C16" s="56"/>
      <c r="D16" s="318"/>
      <c r="E16" s="71">
        <v>0</v>
      </c>
      <c r="F16" s="71"/>
      <c r="G16" s="71"/>
      <c r="H16" s="71"/>
      <c r="I16" s="651"/>
      <c r="J16" s="391"/>
    </row>
    <row r="17" spans="1:10" hidden="1" x14ac:dyDescent="0.3">
      <c r="A17" s="54" t="s">
        <v>146</v>
      </c>
      <c r="B17" s="55"/>
      <c r="C17" s="56" t="s">
        <v>133</v>
      </c>
      <c r="D17" s="318"/>
      <c r="E17" s="71" t="s">
        <v>133</v>
      </c>
      <c r="F17" s="71"/>
      <c r="G17" s="71"/>
      <c r="H17" s="71"/>
      <c r="I17" s="651"/>
      <c r="J17" s="45"/>
    </row>
    <row r="18" spans="1:10" hidden="1" x14ac:dyDescent="0.3">
      <c r="A18" s="54" t="s">
        <v>134</v>
      </c>
      <c r="B18" s="55"/>
      <c r="C18" s="56"/>
      <c r="D18" s="318"/>
      <c r="E18" s="71" t="s">
        <v>431</v>
      </c>
      <c r="F18" s="71"/>
      <c r="G18" s="71"/>
      <c r="H18" s="71"/>
      <c r="I18" s="651"/>
      <c r="J18" s="45"/>
    </row>
    <row r="19" spans="1:10" hidden="1" x14ac:dyDescent="0.3">
      <c r="A19" s="54" t="s">
        <v>147</v>
      </c>
      <c r="B19" s="55"/>
      <c r="C19" s="638" t="s">
        <v>148</v>
      </c>
      <c r="D19" s="754"/>
      <c r="E19" s="71" t="s">
        <v>135</v>
      </c>
      <c r="F19" s="71"/>
      <c r="G19" s="71"/>
      <c r="H19" s="71"/>
      <c r="I19" s="651"/>
      <c r="J19" s="45"/>
    </row>
    <row r="20" spans="1:10" ht="27.6" hidden="1" x14ac:dyDescent="0.3">
      <c r="A20" s="54" t="s">
        <v>149</v>
      </c>
      <c r="B20" s="55"/>
      <c r="C20" s="56" t="s">
        <v>148</v>
      </c>
      <c r="D20" s="318"/>
      <c r="E20" s="71" t="s">
        <v>133</v>
      </c>
      <c r="F20" s="71"/>
      <c r="G20" s="71"/>
      <c r="H20" s="71"/>
      <c r="I20" s="651"/>
      <c r="J20" s="45"/>
    </row>
    <row r="21" spans="1:10" hidden="1" x14ac:dyDescent="0.3">
      <c r="A21" s="54" t="s">
        <v>150</v>
      </c>
      <c r="B21" s="55"/>
      <c r="C21" s="48" t="s">
        <v>148</v>
      </c>
      <c r="D21" s="317"/>
      <c r="E21" s="71" t="s">
        <v>135</v>
      </c>
      <c r="F21" s="71"/>
      <c r="G21" s="71"/>
      <c r="H21" s="71"/>
      <c r="I21" s="651"/>
      <c r="J21" s="45"/>
    </row>
    <row r="22" spans="1:10" hidden="1" x14ac:dyDescent="0.3">
      <c r="A22" s="54" t="s">
        <v>151</v>
      </c>
      <c r="B22" s="55"/>
      <c r="C22" s="56" t="s">
        <v>148</v>
      </c>
      <c r="D22" s="318"/>
      <c r="E22" s="71" t="s">
        <v>152</v>
      </c>
      <c r="F22" s="71"/>
      <c r="G22" s="71"/>
      <c r="H22" s="71" t="s">
        <v>152</v>
      </c>
      <c r="I22" s="651"/>
      <c r="J22" s="45"/>
    </row>
    <row r="23" spans="1:10" hidden="1" x14ac:dyDescent="0.3">
      <c r="A23" s="54" t="s">
        <v>136</v>
      </c>
      <c r="B23" s="55"/>
      <c r="C23" s="56" t="s">
        <v>148</v>
      </c>
      <c r="D23" s="318"/>
      <c r="E23" s="57" t="s">
        <v>135</v>
      </c>
      <c r="F23" s="57"/>
      <c r="G23" s="495"/>
      <c r="H23" s="57" t="s">
        <v>135</v>
      </c>
      <c r="I23" s="652"/>
      <c r="J23" s="45"/>
    </row>
    <row r="24" spans="1:10" ht="28.2" hidden="1" thickBot="1" x14ac:dyDescent="0.35">
      <c r="A24" s="58" t="s">
        <v>153</v>
      </c>
      <c r="B24" s="59"/>
      <c r="C24" s="60" t="s">
        <v>148</v>
      </c>
      <c r="D24" s="319"/>
      <c r="E24" s="61" t="s">
        <v>133</v>
      </c>
      <c r="F24" s="61"/>
      <c r="G24" s="61"/>
      <c r="H24" s="61" t="s">
        <v>133</v>
      </c>
      <c r="I24" s="653"/>
      <c r="J24" s="45"/>
    </row>
    <row r="25" spans="1:10" x14ac:dyDescent="0.3">
      <c r="A25" s="62"/>
      <c r="B25" s="62"/>
      <c r="C25" s="63"/>
      <c r="D25" s="63"/>
      <c r="E25" s="64"/>
      <c r="F25" s="64"/>
      <c r="G25" s="64"/>
      <c r="H25" s="62"/>
      <c r="I25" s="62"/>
    </row>
    <row r="26" spans="1:10" x14ac:dyDescent="0.3">
      <c r="A26" s="872"/>
      <c r="B26" s="872"/>
      <c r="C26" s="872"/>
      <c r="D26" s="872"/>
      <c r="E26" s="872"/>
      <c r="F26" s="472"/>
      <c r="G26" s="490"/>
      <c r="H26" s="65"/>
      <c r="I26" s="65"/>
    </row>
    <row r="27" spans="1:10" x14ac:dyDescent="0.3">
      <c r="A27" s="66"/>
      <c r="B27" s="66"/>
      <c r="C27" s="66"/>
      <c r="D27" s="721"/>
      <c r="E27" s="66"/>
      <c r="F27" s="472"/>
      <c r="G27" s="490"/>
      <c r="H27" s="65"/>
      <c r="I27" s="65"/>
    </row>
    <row r="28" spans="1:10" x14ac:dyDescent="0.3">
      <c r="A28" s="870"/>
      <c r="B28" s="870"/>
      <c r="C28" s="870"/>
      <c r="D28" s="870"/>
      <c r="E28" s="870"/>
      <c r="F28" s="475"/>
      <c r="G28" s="488"/>
      <c r="H28" s="65"/>
      <c r="I28" s="65"/>
    </row>
    <row r="29" spans="1:10" x14ac:dyDescent="0.3">
      <c r="A29" s="67"/>
      <c r="B29" s="67"/>
      <c r="C29" s="68"/>
      <c r="D29" s="68"/>
      <c r="E29" s="68"/>
      <c r="F29" s="68"/>
      <c r="G29" s="68"/>
      <c r="H29" s="65"/>
      <c r="I29" s="65"/>
    </row>
    <row r="30" spans="1:10" x14ac:dyDescent="0.3">
      <c r="A30" s="870"/>
      <c r="B30" s="870"/>
      <c r="C30" s="870"/>
      <c r="D30" s="870"/>
      <c r="E30" s="870"/>
      <c r="F30" s="475"/>
      <c r="G30" s="488"/>
      <c r="H30" s="65"/>
      <c r="I30" s="65"/>
    </row>
    <row r="31" spans="1:10" x14ac:dyDescent="0.3">
      <c r="A31" s="67"/>
      <c r="B31" s="67"/>
      <c r="C31" s="68"/>
      <c r="D31" s="68"/>
      <c r="E31" s="68"/>
      <c r="F31" s="68"/>
      <c r="G31" s="68"/>
      <c r="H31" s="65"/>
      <c r="I31" s="65"/>
    </row>
    <row r="32" spans="1:10" x14ac:dyDescent="0.3">
      <c r="A32" s="871"/>
      <c r="B32" s="871"/>
      <c r="C32" s="871"/>
      <c r="D32" s="871"/>
      <c r="E32" s="871"/>
      <c r="F32" s="476"/>
      <c r="G32" s="489"/>
      <c r="H32" s="69"/>
      <c r="I32" s="69"/>
    </row>
    <row r="33" spans="1:9" x14ac:dyDescent="0.3">
      <c r="A33" s="67"/>
      <c r="B33" s="67"/>
      <c r="C33" s="68"/>
      <c r="D33" s="68"/>
      <c r="E33" s="68"/>
      <c r="F33" s="68"/>
      <c r="G33" s="68"/>
      <c r="H33" s="65"/>
      <c r="I33" s="65"/>
    </row>
    <row r="34" spans="1:9" x14ac:dyDescent="0.3">
      <c r="A34" s="870"/>
      <c r="B34" s="870"/>
      <c r="C34" s="870"/>
      <c r="D34" s="870"/>
      <c r="E34" s="870"/>
      <c r="F34" s="475"/>
      <c r="G34" s="488"/>
      <c r="H34" s="65"/>
      <c r="I34" s="65"/>
    </row>
    <row r="35" spans="1:9" x14ac:dyDescent="0.3">
      <c r="A35" s="70"/>
      <c r="B35" s="70"/>
      <c r="C35" s="70"/>
      <c r="D35" s="723"/>
      <c r="E35" s="70"/>
      <c r="F35" s="475"/>
      <c r="G35" s="488"/>
      <c r="H35" s="65"/>
      <c r="I35" s="65"/>
    </row>
    <row r="36" spans="1:9" x14ac:dyDescent="0.3">
      <c r="A36" s="868"/>
      <c r="B36" s="868"/>
      <c r="C36" s="868"/>
      <c r="D36" s="868"/>
      <c r="E36" s="868"/>
      <c r="F36" s="868"/>
      <c r="G36" s="868"/>
      <c r="H36" s="868"/>
      <c r="I36" s="605"/>
    </row>
    <row r="37" spans="1:9" x14ac:dyDescent="0.3">
      <c r="A37" s="868"/>
      <c r="B37" s="868"/>
      <c r="C37" s="868"/>
      <c r="D37" s="868"/>
      <c r="E37" s="868"/>
      <c r="F37" s="471"/>
      <c r="G37" s="487"/>
      <c r="H37" s="50"/>
      <c r="I37" s="605"/>
    </row>
    <row r="38" spans="1:9" x14ac:dyDescent="0.3">
      <c r="A38" s="868"/>
      <c r="B38" s="868"/>
      <c r="C38" s="868"/>
      <c r="D38" s="868"/>
      <c r="E38" s="868"/>
      <c r="F38" s="471"/>
      <c r="G38" s="487"/>
      <c r="H38" s="50"/>
      <c r="I38" s="605"/>
    </row>
    <row r="39" spans="1:9" x14ac:dyDescent="0.3">
      <c r="A39" s="868"/>
      <c r="B39" s="868"/>
      <c r="C39" s="868"/>
      <c r="D39" s="868"/>
      <c r="E39" s="868"/>
      <c r="F39" s="471"/>
      <c r="G39" s="487"/>
      <c r="H39" s="62"/>
      <c r="I39" s="62"/>
    </row>
    <row r="40" spans="1:9" x14ac:dyDescent="0.3">
      <c r="A40" s="44"/>
      <c r="B40" s="44"/>
      <c r="C40" s="44"/>
      <c r="D40" s="44"/>
      <c r="E40" s="44"/>
      <c r="F40" s="44"/>
      <c r="G40" s="44"/>
      <c r="H40" s="62"/>
      <c r="I40" s="62"/>
    </row>
    <row r="41" spans="1:9" x14ac:dyDescent="0.3">
      <c r="A41" s="869"/>
      <c r="B41" s="869"/>
      <c r="C41" s="869"/>
      <c r="D41" s="869"/>
      <c r="E41" s="869"/>
      <c r="F41" s="470"/>
      <c r="G41" s="486"/>
      <c r="H41" s="62"/>
      <c r="I41" s="62"/>
    </row>
  </sheetData>
  <mergeCells count="15">
    <mergeCell ref="A26:E26"/>
    <mergeCell ref="A1:E1"/>
    <mergeCell ref="A2:E2"/>
    <mergeCell ref="A3:A5"/>
    <mergeCell ref="B3:B4"/>
    <mergeCell ref="C3:C4"/>
    <mergeCell ref="A38:E38"/>
    <mergeCell ref="A39:E39"/>
    <mergeCell ref="A41:E41"/>
    <mergeCell ref="A28:E28"/>
    <mergeCell ref="A30:E30"/>
    <mergeCell ref="A32:E32"/>
    <mergeCell ref="A34:E34"/>
    <mergeCell ref="A36:H36"/>
    <mergeCell ref="A37:E3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0000"/>
  </sheetPr>
  <dimension ref="A1:S25"/>
  <sheetViews>
    <sheetView zoomScale="85" zoomScaleNormal="85" workbookViewId="0">
      <selection activeCell="I165" sqref="I165:L169"/>
    </sheetView>
  </sheetViews>
  <sheetFormatPr baseColWidth="10" defaultColWidth="11.21875" defaultRowHeight="13.8" x14ac:dyDescent="0.3"/>
  <cols>
    <col min="1" max="1" width="48.21875" style="72" customWidth="1"/>
    <col min="2" max="2" width="21" style="72" customWidth="1"/>
    <col min="3" max="5" width="14.6640625" style="72" customWidth="1"/>
    <col min="6" max="6" width="13.44140625" style="72" customWidth="1"/>
    <col min="7" max="7" width="14.109375" style="72" customWidth="1"/>
    <col min="8" max="10" width="14.6640625" style="72" customWidth="1"/>
    <col min="11" max="11" width="11.21875" style="72"/>
    <col min="12" max="12" width="12.77734375" style="72" customWidth="1"/>
    <col min="13" max="13" width="11.21875" style="72"/>
    <col min="14" max="14" width="5.77734375" style="72" customWidth="1"/>
    <col min="15" max="15" width="10.77734375" style="72" customWidth="1"/>
    <col min="16" max="16" width="11.109375" style="72" customWidth="1"/>
    <col min="17" max="17" width="7.21875" style="72" customWidth="1"/>
    <col min="18" max="18" width="14.33203125" style="72" customWidth="1"/>
    <col min="19" max="16384" width="11.21875" style="72"/>
  </cols>
  <sheetData>
    <row r="1" spans="1:19" ht="34.5" customHeight="1" thickTop="1" x14ac:dyDescent="0.3">
      <c r="A1" s="883" t="s">
        <v>444</v>
      </c>
      <c r="B1" s="884"/>
      <c r="C1" s="884"/>
      <c r="D1" s="884"/>
      <c r="E1" s="884"/>
      <c r="F1" s="884"/>
      <c r="G1" s="884"/>
      <c r="H1" s="884"/>
      <c r="I1" s="569"/>
    </row>
    <row r="2" spans="1:19" x14ac:dyDescent="0.3">
      <c r="A2" s="885" t="s">
        <v>122</v>
      </c>
      <c r="B2" s="886"/>
      <c r="C2" s="886"/>
      <c r="D2" s="886"/>
      <c r="E2" s="886"/>
      <c r="F2" s="886"/>
      <c r="G2" s="886"/>
      <c r="H2" s="886"/>
      <c r="I2" s="569"/>
      <c r="J2" s="72" t="s">
        <v>504</v>
      </c>
    </row>
    <row r="3" spans="1:19" ht="39.450000000000003" customHeight="1" x14ac:dyDescent="0.3">
      <c r="A3" s="887" t="s">
        <v>123</v>
      </c>
      <c r="B3" s="73" t="s">
        <v>154</v>
      </c>
      <c r="C3" s="890" t="s">
        <v>502</v>
      </c>
      <c r="D3" s="890" t="s">
        <v>503</v>
      </c>
      <c r="E3" s="74" t="s">
        <v>370</v>
      </c>
      <c r="F3" s="74" t="s">
        <v>462</v>
      </c>
      <c r="G3" s="74" t="s">
        <v>448</v>
      </c>
      <c r="H3" s="74" t="s">
        <v>375</v>
      </c>
      <c r="I3" s="74" t="s">
        <v>465</v>
      </c>
      <c r="J3" s="74" t="s">
        <v>397</v>
      </c>
      <c r="L3" s="72">
        <f>+B6*0.1</f>
        <v>2024.8310000000001</v>
      </c>
    </row>
    <row r="4" spans="1:19" ht="19.649999999999999" customHeight="1" x14ac:dyDescent="0.3">
      <c r="A4" s="888"/>
      <c r="B4" s="75">
        <v>1</v>
      </c>
      <c r="C4" s="891"/>
      <c r="D4" s="891"/>
      <c r="E4" s="76">
        <v>0.02</v>
      </c>
      <c r="F4" s="76">
        <v>0.03</v>
      </c>
      <c r="G4" s="76">
        <v>0.05</v>
      </c>
      <c r="H4" s="76">
        <v>0.1</v>
      </c>
      <c r="I4" s="76">
        <v>0.11</v>
      </c>
      <c r="J4" s="76">
        <v>0.12</v>
      </c>
    </row>
    <row r="5" spans="1:19" ht="14.4" thickBot="1" x14ac:dyDescent="0.35">
      <c r="A5" s="889"/>
      <c r="B5" s="77" t="str">
        <f>+'[5]COMBUSTIBLES '!C5</f>
        <v>Ecopetrol</v>
      </c>
      <c r="C5" s="77" t="str">
        <f>+B5</f>
        <v>Ecopetrol</v>
      </c>
      <c r="D5" s="77" t="str">
        <f>+C5</f>
        <v>Ecopetrol</v>
      </c>
      <c r="E5" s="78" t="str">
        <f>+B5</f>
        <v>Ecopetrol</v>
      </c>
      <c r="F5" s="78" t="str">
        <f>+C5</f>
        <v>Ecopetrol</v>
      </c>
      <c r="G5" s="78" t="str">
        <f>+D5</f>
        <v>Ecopetrol</v>
      </c>
      <c r="H5" s="78" t="str">
        <f>+B5</f>
        <v>Ecopetrol</v>
      </c>
      <c r="I5" s="78" t="str">
        <f>+C5</f>
        <v>Ecopetrol</v>
      </c>
      <c r="J5" s="78" t="str">
        <f>+C5</f>
        <v>Ecopetrol</v>
      </c>
    </row>
    <row r="6" spans="1:19" ht="19.05" customHeight="1" thickTop="1" x14ac:dyDescent="0.3">
      <c r="A6" s="79" t="s">
        <v>125</v>
      </c>
      <c r="B6" s="658">
        <f>+'Calculo IP ZDF'!$D$24</f>
        <v>20248.310000000001</v>
      </c>
      <c r="C6" s="659">
        <f>+'Calculo IP ZDF'!C24</f>
        <v>4632.25</v>
      </c>
      <c r="D6" s="659">
        <f>+C6</f>
        <v>4632.25</v>
      </c>
      <c r="E6" s="482"/>
      <c r="F6" s="483"/>
      <c r="G6" s="483"/>
      <c r="H6" s="482"/>
      <c r="I6" s="482"/>
      <c r="J6" s="482"/>
      <c r="L6" s="352" t="s">
        <v>440</v>
      </c>
      <c r="M6" s="448">
        <v>0.1</v>
      </c>
      <c r="O6" s="451" t="s">
        <v>449</v>
      </c>
      <c r="P6" s="452">
        <v>0.05</v>
      </c>
      <c r="R6" s="451" t="s">
        <v>441</v>
      </c>
      <c r="S6" s="452">
        <v>0.12</v>
      </c>
    </row>
    <row r="7" spans="1:19" ht="22.95" customHeight="1" x14ac:dyDescent="0.3">
      <c r="A7" s="80" t="s">
        <v>156</v>
      </c>
      <c r="B7" s="484"/>
      <c r="C7" s="485"/>
      <c r="D7" s="485"/>
      <c r="E7" s="633">
        <f>+ROUND(D6*0.98,2)</f>
        <v>4539.6099999999997</v>
      </c>
      <c r="F7" s="633">
        <f>+C6*97%</f>
        <v>4493.2825000000003</v>
      </c>
      <c r="G7" s="633">
        <f>+D6*0.95</f>
        <v>4400.6374999999998</v>
      </c>
      <c r="H7" s="633">
        <f>+C6*0.9</f>
        <v>4169.0250000000005</v>
      </c>
      <c r="I7" s="633">
        <f>+C6*0.89</f>
        <v>4122.7025000000003</v>
      </c>
      <c r="J7" s="632">
        <f>+C6*0.88</f>
        <v>4076.38</v>
      </c>
      <c r="K7" s="366"/>
      <c r="L7" s="449">
        <f>+D6*(1-M6)</f>
        <v>4169.0250000000005</v>
      </c>
      <c r="M7" s="450">
        <f>+L7-H7</f>
        <v>0</v>
      </c>
      <c r="O7" s="453">
        <f>+C6*(1-P6)</f>
        <v>4400.6374999999998</v>
      </c>
      <c r="P7" s="454">
        <f>+O7-G7</f>
        <v>0</v>
      </c>
      <c r="R7" s="453">
        <f>+C6*(1-S6)</f>
        <v>4076.38</v>
      </c>
      <c r="S7" s="454">
        <f>+R7-J7</f>
        <v>0</v>
      </c>
    </row>
    <row r="8" spans="1:19" ht="22.95" customHeight="1" x14ac:dyDescent="0.3">
      <c r="A8" s="80" t="s">
        <v>157</v>
      </c>
      <c r="B8" s="485"/>
      <c r="C8" s="485"/>
      <c r="D8" s="485"/>
      <c r="E8" s="633">
        <f>+B6*0.02</f>
        <v>404.96620000000001</v>
      </c>
      <c r="F8" s="633">
        <f>+B6*3%</f>
        <v>607.44929999999999</v>
      </c>
      <c r="G8" s="633">
        <f>+B6*0.05</f>
        <v>1012.4155000000001</v>
      </c>
      <c r="H8" s="633">
        <f>+B6*0.1</f>
        <v>2024.8310000000001</v>
      </c>
      <c r="I8" s="633">
        <f>+B6*0.11</f>
        <v>2227.3141000000001</v>
      </c>
      <c r="J8" s="632">
        <f>+B6*0.12</f>
        <v>2429.7972</v>
      </c>
      <c r="K8" s="366"/>
      <c r="L8" s="450">
        <f>+B6*M6</f>
        <v>2024.8310000000001</v>
      </c>
      <c r="M8" s="450">
        <f>+L8-H8</f>
        <v>0</v>
      </c>
      <c r="O8" s="454">
        <f>+B6*P6</f>
        <v>1012.4155000000001</v>
      </c>
      <c r="P8" s="454">
        <f>+O8-G8</f>
        <v>0</v>
      </c>
      <c r="R8" s="454">
        <f>+B6*S6</f>
        <v>2429.7972</v>
      </c>
      <c r="S8" s="454">
        <f>+R8-J8</f>
        <v>0</v>
      </c>
    </row>
    <row r="9" spans="1:19" ht="22.95" customHeight="1" x14ac:dyDescent="0.3">
      <c r="A9" s="80" t="s">
        <v>158</v>
      </c>
      <c r="B9" s="485"/>
      <c r="C9" s="485"/>
      <c r="D9" s="485"/>
      <c r="E9" s="637">
        <f t="shared" ref="E9:J9" si="0">+E7+E8</f>
        <v>4944.5761999999995</v>
      </c>
      <c r="F9" s="637">
        <f t="shared" si="0"/>
        <v>5100.7318000000005</v>
      </c>
      <c r="G9" s="637">
        <f t="shared" si="0"/>
        <v>5413.0529999999999</v>
      </c>
      <c r="H9" s="637">
        <f t="shared" si="0"/>
        <v>6193.8560000000007</v>
      </c>
      <c r="I9" s="637">
        <f t="shared" si="0"/>
        <v>6350.0166000000008</v>
      </c>
      <c r="J9" s="637">
        <f t="shared" si="0"/>
        <v>6506.1772000000001</v>
      </c>
      <c r="K9" s="366"/>
      <c r="L9" s="450">
        <f>+L7+L8</f>
        <v>6193.8560000000007</v>
      </c>
      <c r="M9" s="450">
        <f>+L9-H9</f>
        <v>0</v>
      </c>
      <c r="O9" s="454">
        <f>+O7+O8</f>
        <v>5413.0529999999999</v>
      </c>
      <c r="P9" s="454">
        <f>+O9-G9</f>
        <v>0</v>
      </c>
      <c r="R9" s="454">
        <f>+R7+R8</f>
        <v>6506.1772000000001</v>
      </c>
      <c r="S9" s="454">
        <f>+R9-J9</f>
        <v>0</v>
      </c>
    </row>
    <row r="10" spans="1:19" ht="22.95" customHeight="1" x14ac:dyDescent="0.3">
      <c r="A10" s="185" t="s">
        <v>128</v>
      </c>
      <c r="B10" s="485"/>
      <c r="C10" s="629">
        <v>561.12</v>
      </c>
      <c r="D10" s="629">
        <f>+C10</f>
        <v>561.12</v>
      </c>
      <c r="E10" s="633">
        <f>+C10*0.98</f>
        <v>549.89760000000001</v>
      </c>
      <c r="F10" s="633">
        <f>+C10*0.97</f>
        <v>544.28639999999996</v>
      </c>
      <c r="G10" s="633">
        <f>+C10*0.95</f>
        <v>533.06399999999996</v>
      </c>
      <c r="H10" s="633">
        <f>+C10*0.9</f>
        <v>505.00800000000004</v>
      </c>
      <c r="I10" s="633">
        <f>+C10*0.89</f>
        <v>499.39679999999998</v>
      </c>
      <c r="J10" s="632">
        <f>+C10*0.88</f>
        <v>493.78559999999999</v>
      </c>
      <c r="L10" s="352">
        <f>+C10*0.9</f>
        <v>505.00800000000004</v>
      </c>
      <c r="M10" s="450">
        <f>+L10-H10</f>
        <v>0</v>
      </c>
      <c r="O10" s="353">
        <f>+C10*(1-P6)</f>
        <v>533.06399999999996</v>
      </c>
      <c r="P10" s="455">
        <f>+O10-G10</f>
        <v>0</v>
      </c>
      <c r="R10" s="479">
        <f>+C10*(1-S6)</f>
        <v>493.78559999999999</v>
      </c>
      <c r="S10" s="353"/>
    </row>
    <row r="11" spans="1:19" ht="22.95" customHeight="1" x14ac:dyDescent="0.3">
      <c r="A11" s="80" t="s">
        <v>129</v>
      </c>
      <c r="B11" s="485"/>
      <c r="C11" s="629" t="s">
        <v>130</v>
      </c>
      <c r="D11" s="629" t="s">
        <v>130</v>
      </c>
      <c r="E11" s="633" t="s">
        <v>130</v>
      </c>
      <c r="F11" s="633" t="s">
        <v>130</v>
      </c>
      <c r="G11" s="633" t="s">
        <v>130</v>
      </c>
      <c r="H11" s="633" t="s">
        <v>130</v>
      </c>
      <c r="I11" s="633" t="s">
        <v>130</v>
      </c>
      <c r="J11" s="632" t="s">
        <v>130</v>
      </c>
      <c r="L11" s="352"/>
      <c r="M11" s="352"/>
      <c r="O11" s="353"/>
      <c r="P11" s="353"/>
      <c r="R11" s="353"/>
      <c r="S11" s="353"/>
    </row>
    <row r="12" spans="1:19" ht="22.95" customHeight="1" x14ac:dyDescent="0.3">
      <c r="A12" s="186" t="s">
        <v>131</v>
      </c>
      <c r="B12" s="485"/>
      <c r="C12" s="629">
        <v>191</v>
      </c>
      <c r="D12" s="629">
        <f>+C12</f>
        <v>191</v>
      </c>
      <c r="E12" s="633">
        <f>+C12*0.98</f>
        <v>187.18</v>
      </c>
      <c r="F12" s="633">
        <f>+D12*0.97</f>
        <v>185.26999999999998</v>
      </c>
      <c r="G12" s="633">
        <f>+D12*0.95</f>
        <v>181.45</v>
      </c>
      <c r="H12" s="633">
        <f>+D12*0.9</f>
        <v>171.9</v>
      </c>
      <c r="I12" s="633">
        <f>+D12*0.89</f>
        <v>169.99</v>
      </c>
      <c r="J12" s="632">
        <f>+D12*0.88</f>
        <v>168.08</v>
      </c>
      <c r="K12" s="72">
        <f>+D12*0.89</f>
        <v>169.99</v>
      </c>
      <c r="L12" s="352">
        <f>+C12*(1-M6)</f>
        <v>171.9</v>
      </c>
      <c r="M12" s="450">
        <f>+H12-L12</f>
        <v>0</v>
      </c>
      <c r="O12" s="353">
        <f>+C12*(1-P6)</f>
        <v>181.45</v>
      </c>
      <c r="P12" s="455">
        <f>+G12-O12</f>
        <v>0</v>
      </c>
      <c r="R12" s="353">
        <f>+D12*(1-S6)</f>
        <v>168.08</v>
      </c>
      <c r="S12" s="455">
        <f>+J12-R12</f>
        <v>0</v>
      </c>
    </row>
    <row r="13" spans="1:19" ht="22.95" customHeight="1" x14ac:dyDescent="0.3">
      <c r="A13" s="80" t="s">
        <v>126</v>
      </c>
      <c r="B13" s="485"/>
      <c r="C13" s="629">
        <f>ROUND(8.3842,2)*1.03</f>
        <v>8.6314000000000011</v>
      </c>
      <c r="D13" s="629">
        <f>+C13</f>
        <v>8.6314000000000011</v>
      </c>
      <c r="E13" s="633">
        <f>+D13</f>
        <v>8.6314000000000011</v>
      </c>
      <c r="F13" s="633">
        <f>+E13</f>
        <v>8.6314000000000011</v>
      </c>
      <c r="G13" s="633">
        <f>+F13</f>
        <v>8.6314000000000011</v>
      </c>
      <c r="H13" s="633">
        <f>+F13</f>
        <v>8.6314000000000011</v>
      </c>
      <c r="I13" s="633">
        <v>8.6314000000000011</v>
      </c>
      <c r="J13" s="632">
        <f>+H13</f>
        <v>8.6314000000000011</v>
      </c>
      <c r="L13" s="352"/>
      <c r="M13" s="352"/>
      <c r="O13" s="353"/>
      <c r="P13" s="353"/>
      <c r="R13" s="353"/>
      <c r="S13" s="353"/>
    </row>
    <row r="14" spans="1:19" ht="22.95" customHeight="1" x14ac:dyDescent="0.3">
      <c r="A14" s="80" t="s">
        <v>159</v>
      </c>
      <c r="B14" s="629"/>
      <c r="C14" s="629" t="s">
        <v>127</v>
      </c>
      <c r="D14" s="629" t="s">
        <v>127</v>
      </c>
      <c r="E14" s="633" t="s">
        <v>127</v>
      </c>
      <c r="F14" s="633"/>
      <c r="G14" s="633"/>
      <c r="H14" s="633" t="s">
        <v>127</v>
      </c>
      <c r="I14" s="633"/>
      <c r="J14" s="633" t="s">
        <v>127</v>
      </c>
      <c r="L14" s="352"/>
      <c r="M14" s="352"/>
      <c r="O14" s="353"/>
      <c r="P14" s="353"/>
      <c r="R14" s="353"/>
      <c r="S14" s="353"/>
    </row>
    <row r="15" spans="1:19" ht="21.45" customHeight="1" x14ac:dyDescent="0.3">
      <c r="A15" s="80" t="s">
        <v>160</v>
      </c>
      <c r="B15" s="629" t="s">
        <v>148</v>
      </c>
      <c r="C15" s="629"/>
      <c r="D15" s="629"/>
      <c r="E15" s="633" t="s">
        <v>132</v>
      </c>
      <c r="F15" s="633"/>
      <c r="G15" s="633"/>
      <c r="H15" s="633" t="s">
        <v>132</v>
      </c>
      <c r="I15" s="633"/>
      <c r="J15" s="633" t="s">
        <v>132</v>
      </c>
      <c r="L15" s="352"/>
      <c r="M15" s="352"/>
      <c r="O15" s="353"/>
      <c r="P15" s="353"/>
      <c r="R15" s="353"/>
      <c r="S15" s="353"/>
    </row>
    <row r="16" spans="1:19" ht="21.45" hidden="1" customHeight="1" x14ac:dyDescent="0.3">
      <c r="A16" s="82" t="s">
        <v>230</v>
      </c>
      <c r="B16" s="629"/>
      <c r="C16" s="629"/>
      <c r="D16" s="629"/>
      <c r="E16" s="633"/>
      <c r="F16" s="633"/>
      <c r="G16" s="633"/>
      <c r="H16" s="633"/>
      <c r="I16" s="633"/>
      <c r="J16" s="633"/>
      <c r="L16" s="352"/>
      <c r="M16" s="352"/>
      <c r="O16" s="353"/>
      <c r="P16" s="353"/>
      <c r="R16" s="353"/>
      <c r="S16" s="353"/>
    </row>
    <row r="17" spans="1:11" ht="21.45" hidden="1" customHeight="1" x14ac:dyDescent="0.3">
      <c r="A17" s="80" t="s">
        <v>146</v>
      </c>
      <c r="B17" s="81"/>
      <c r="C17" s="81"/>
      <c r="D17" s="81"/>
      <c r="E17" s="633"/>
      <c r="F17" s="633"/>
      <c r="G17" s="633"/>
      <c r="H17" s="633"/>
      <c r="I17" s="633"/>
      <c r="J17" s="633"/>
    </row>
    <row r="18" spans="1:11" ht="21.45" hidden="1" customHeight="1" x14ac:dyDescent="0.3">
      <c r="A18" s="80" t="s">
        <v>147</v>
      </c>
      <c r="B18" s="83"/>
      <c r="C18" s="84"/>
      <c r="D18" s="84"/>
      <c r="E18" s="634" t="s">
        <v>148</v>
      </c>
      <c r="F18" s="634"/>
      <c r="G18" s="635"/>
      <c r="H18" s="636" t="s">
        <v>135</v>
      </c>
      <c r="I18" s="636"/>
      <c r="J18" s="636" t="s">
        <v>135</v>
      </c>
    </row>
    <row r="19" spans="1:11" ht="21.45" hidden="1" customHeight="1" x14ac:dyDescent="0.3">
      <c r="A19" s="80" t="s">
        <v>149</v>
      </c>
      <c r="B19" s="83"/>
      <c r="C19" s="83"/>
      <c r="D19" s="83"/>
      <c r="E19" s="634" t="s">
        <v>148</v>
      </c>
      <c r="F19" s="634"/>
      <c r="G19" s="634"/>
      <c r="H19" s="634" t="s">
        <v>133</v>
      </c>
      <c r="I19" s="634"/>
      <c r="J19" s="634" t="s">
        <v>133</v>
      </c>
    </row>
    <row r="20" spans="1:11" ht="21.45" hidden="1" customHeight="1" x14ac:dyDescent="0.3">
      <c r="A20" s="80" t="s">
        <v>150</v>
      </c>
      <c r="B20" s="83"/>
      <c r="C20" s="83"/>
      <c r="D20" s="83"/>
      <c r="E20" s="634" t="s">
        <v>148</v>
      </c>
      <c r="F20" s="634"/>
      <c r="G20" s="634"/>
      <c r="H20" s="633" t="s">
        <v>135</v>
      </c>
      <c r="I20" s="633"/>
      <c r="J20" s="633" t="s">
        <v>135</v>
      </c>
    </row>
    <row r="21" spans="1:11" ht="21.45" hidden="1" customHeight="1" x14ac:dyDescent="0.3">
      <c r="A21" s="80" t="s">
        <v>161</v>
      </c>
      <c r="B21" s="83"/>
      <c r="C21" s="83"/>
      <c r="D21" s="83"/>
      <c r="E21" s="634" t="s">
        <v>148</v>
      </c>
      <c r="F21" s="634"/>
      <c r="G21" s="634"/>
      <c r="H21" s="633" t="s">
        <v>135</v>
      </c>
      <c r="I21" s="633"/>
      <c r="J21" s="633" t="s">
        <v>135</v>
      </c>
    </row>
    <row r="22" spans="1:11" ht="21.45" customHeight="1" x14ac:dyDescent="0.3">
      <c r="A22" s="85" t="s">
        <v>134</v>
      </c>
      <c r="B22" s="81"/>
      <c r="C22" s="81"/>
      <c r="D22" s="81"/>
      <c r="E22" s="633"/>
      <c r="F22" s="633"/>
      <c r="G22" s="633"/>
      <c r="H22" s="633"/>
      <c r="I22" s="633"/>
      <c r="J22" s="633">
        <v>301</v>
      </c>
    </row>
    <row r="23" spans="1:11" ht="27" thickBot="1" x14ac:dyDescent="0.35">
      <c r="A23" s="86" t="s">
        <v>153</v>
      </c>
      <c r="B23" s="87"/>
      <c r="C23" s="87"/>
      <c r="D23" s="87"/>
      <c r="E23" s="630" t="s">
        <v>148</v>
      </c>
      <c r="F23" s="631"/>
      <c r="G23" s="631"/>
      <c r="H23" s="630"/>
      <c r="I23" s="630"/>
      <c r="J23" s="630" t="s">
        <v>133</v>
      </c>
    </row>
    <row r="24" spans="1:11" ht="14.4" thickTop="1" x14ac:dyDescent="0.3"/>
    <row r="25" spans="1:11" x14ac:dyDescent="0.3">
      <c r="E25" s="732"/>
      <c r="F25" s="732"/>
      <c r="G25" s="732"/>
      <c r="H25" s="732"/>
      <c r="I25" s="732"/>
      <c r="J25" s="732"/>
      <c r="K25" s="732"/>
    </row>
  </sheetData>
  <mergeCells count="5">
    <mergeCell ref="A1:H1"/>
    <mergeCell ref="A2:H2"/>
    <mergeCell ref="A3:A5"/>
    <mergeCell ref="C3:C4"/>
    <mergeCell ref="D3:D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P46"/>
  <sheetViews>
    <sheetView showGridLines="0" zoomScale="80" zoomScaleNormal="80" workbookViewId="0">
      <selection activeCell="J5" sqref="J5"/>
    </sheetView>
  </sheetViews>
  <sheetFormatPr baseColWidth="10" defaultRowHeight="14.4" x14ac:dyDescent="0.3"/>
  <cols>
    <col min="2" max="2" width="49.44140625" customWidth="1"/>
    <col min="3" max="3" width="16" customWidth="1"/>
    <col min="4" max="4" width="14" style="540" hidden="1" customWidth="1"/>
    <col min="5" max="5" width="14" style="540" customWidth="1"/>
    <col min="6" max="6" width="14.88671875" hidden="1" customWidth="1"/>
    <col min="7" max="7" width="15.5546875" style="540" hidden="1" customWidth="1"/>
    <col min="8" max="8" width="14.109375" style="540" customWidth="1"/>
    <col min="9" max="10" width="14.109375" customWidth="1"/>
    <col min="11" max="11" width="8.21875" hidden="1" customWidth="1"/>
    <col min="12" max="12" width="13.88671875" style="540" customWidth="1"/>
    <col min="13" max="13" width="13.88671875" customWidth="1"/>
    <col min="14" max="14" width="18.88671875" customWidth="1"/>
    <col min="15" max="15" width="0" hidden="1" customWidth="1"/>
  </cols>
  <sheetData>
    <row r="1" spans="1:16" x14ac:dyDescent="0.3">
      <c r="A1" s="88"/>
      <c r="B1" s="114" t="s">
        <v>508</v>
      </c>
      <c r="C1" s="349" t="str">
        <f>+B1</f>
        <v>Vigencia: 01 de Octubre de 2022; 00:00 horas</v>
      </c>
      <c r="D1" s="349"/>
      <c r="E1" s="349"/>
      <c r="F1" s="114"/>
      <c r="G1" s="114"/>
      <c r="H1" s="114"/>
      <c r="I1" s="89"/>
      <c r="J1" s="89"/>
      <c r="K1" s="89"/>
      <c r="L1" s="89"/>
      <c r="M1" s="89"/>
    </row>
    <row r="2" spans="1:16" ht="15" thickBot="1" x14ac:dyDescent="0.35">
      <c r="A2" s="115" t="s">
        <v>162</v>
      </c>
      <c r="B2" s="116"/>
      <c r="C2" s="116"/>
      <c r="D2" s="116"/>
      <c r="E2" s="116"/>
      <c r="F2" s="412"/>
      <c r="G2" s="412"/>
      <c r="H2" s="412"/>
      <c r="I2" s="116"/>
      <c r="J2" s="412"/>
      <c r="K2" s="116"/>
      <c r="L2" s="116"/>
      <c r="M2" s="116"/>
    </row>
    <row r="3" spans="1:16" ht="15" thickTop="1" x14ac:dyDescent="0.3">
      <c r="A3" s="117"/>
      <c r="B3" s="118" t="s">
        <v>202</v>
      </c>
      <c r="C3" s="904" t="s">
        <v>163</v>
      </c>
      <c r="D3" s="905"/>
      <c r="E3" s="905"/>
      <c r="F3" s="905"/>
      <c r="G3" s="905"/>
      <c r="H3" s="905"/>
      <c r="I3" s="905"/>
      <c r="J3" s="905"/>
      <c r="K3" s="908" t="s">
        <v>203</v>
      </c>
      <c r="L3" s="909"/>
      <c r="M3" s="910"/>
    </row>
    <row r="4" spans="1:16" ht="27.6" x14ac:dyDescent="0.3">
      <c r="A4" s="119"/>
      <c r="B4" s="603" t="s">
        <v>477</v>
      </c>
      <c r="C4" s="906"/>
      <c r="D4" s="907"/>
      <c r="E4" s="907"/>
      <c r="F4" s="907"/>
      <c r="G4" s="907"/>
      <c r="H4" s="907"/>
      <c r="I4" s="907"/>
      <c r="J4" s="907"/>
      <c r="K4" s="911"/>
      <c r="L4" s="912"/>
      <c r="M4" s="913"/>
      <c r="P4" s="19"/>
    </row>
    <row r="5" spans="1:16" ht="41.4" x14ac:dyDescent="0.3">
      <c r="A5" s="896" t="s">
        <v>164</v>
      </c>
      <c r="B5" s="898" t="s">
        <v>165</v>
      </c>
      <c r="C5" s="902" t="s">
        <v>223</v>
      </c>
      <c r="D5" s="749" t="s">
        <v>96</v>
      </c>
      <c r="E5" s="690" t="s">
        <v>96</v>
      </c>
      <c r="F5" s="120" t="s">
        <v>96</v>
      </c>
      <c r="G5" s="549" t="s">
        <v>96</v>
      </c>
      <c r="H5" s="900" t="s">
        <v>472</v>
      </c>
      <c r="I5" s="120" t="s">
        <v>371</v>
      </c>
      <c r="J5" s="190" t="s">
        <v>375</v>
      </c>
      <c r="K5" s="748" t="s">
        <v>96</v>
      </c>
      <c r="L5" s="749" t="s">
        <v>96</v>
      </c>
      <c r="M5" s="744" t="str">
        <f>+J5</f>
        <v>Biodiesel B10</v>
      </c>
    </row>
    <row r="6" spans="1:16" ht="27.6" x14ac:dyDescent="0.3">
      <c r="A6" s="896"/>
      <c r="B6" s="898"/>
      <c r="C6" s="903"/>
      <c r="D6" s="480" t="s">
        <v>512</v>
      </c>
      <c r="E6" s="480" t="s">
        <v>488</v>
      </c>
      <c r="F6" s="480" t="s">
        <v>452</v>
      </c>
      <c r="G6" s="480" t="s">
        <v>463</v>
      </c>
      <c r="H6" s="901"/>
      <c r="I6" s="138">
        <v>0.02</v>
      </c>
      <c r="J6" s="624">
        <v>0.1</v>
      </c>
      <c r="K6" s="757" t="str">
        <f>+F6</f>
        <v>Oxigenada 5%</v>
      </c>
      <c r="L6" s="459" t="str">
        <f>+E6</f>
        <v>Oxigenada 4%</v>
      </c>
      <c r="M6" s="121">
        <f>+J6</f>
        <v>0.1</v>
      </c>
    </row>
    <row r="7" spans="1:16" x14ac:dyDescent="0.3">
      <c r="A7" s="897"/>
      <c r="B7" s="899"/>
      <c r="C7" s="91" t="s">
        <v>166</v>
      </c>
      <c r="D7" s="749" t="s">
        <v>166</v>
      </c>
      <c r="E7" s="690" t="s">
        <v>166</v>
      </c>
      <c r="F7" s="120" t="s">
        <v>166</v>
      </c>
      <c r="G7" s="549" t="s">
        <v>166</v>
      </c>
      <c r="H7" s="580" t="s">
        <v>166</v>
      </c>
      <c r="I7" s="120" t="s">
        <v>166</v>
      </c>
      <c r="J7" s="190" t="s">
        <v>166</v>
      </c>
      <c r="K7" s="748" t="s">
        <v>166</v>
      </c>
      <c r="L7" s="748" t="s">
        <v>166</v>
      </c>
      <c r="M7" s="744" t="s">
        <v>166</v>
      </c>
    </row>
    <row r="8" spans="1:16" x14ac:dyDescent="0.3">
      <c r="A8" s="93" t="s">
        <v>167</v>
      </c>
      <c r="B8" s="99" t="s">
        <v>168</v>
      </c>
      <c r="C8" s="95">
        <f>+'Calculo IP ZDF'!B28</f>
        <v>5262.5</v>
      </c>
      <c r="D8" s="97">
        <f>+'Calculo IP ZDF'!G28</f>
        <v>5418.2142000000003</v>
      </c>
      <c r="E8" s="97">
        <f>+'Calculo IP ZDF'!H28</f>
        <v>5573.9283999999998</v>
      </c>
      <c r="F8" s="122">
        <f>+'Calculo IP ZDF'!I28</f>
        <v>5651.7855</v>
      </c>
      <c r="G8" s="122">
        <f>+'Calculo IP ZDF'!J28</f>
        <v>5729.6426000000001</v>
      </c>
      <c r="H8" s="122">
        <f>+'Calculo IP ZDF'!C28</f>
        <v>4424.7251999999999</v>
      </c>
      <c r="I8" s="122">
        <f>+'Calculo IP ZDF'!F28</f>
        <v>4741.2</v>
      </c>
      <c r="J8" s="755">
        <f>+'Calculo IP ZDF'!M28</f>
        <v>6007.0836799999997</v>
      </c>
      <c r="K8" s="95">
        <f>+'GAS CTE'!F9</f>
        <v>5651.7855</v>
      </c>
      <c r="L8" s="103">
        <f>+'GAS CTE'!E9</f>
        <v>5573.9283999999998</v>
      </c>
      <c r="M8" s="96">
        <f>+BIODIESEL!H9</f>
        <v>6193.8560000000007</v>
      </c>
    </row>
    <row r="9" spans="1:16" x14ac:dyDescent="0.3">
      <c r="A9" s="93" t="s">
        <v>169</v>
      </c>
      <c r="B9" s="99" t="s">
        <v>170</v>
      </c>
      <c r="C9" s="103" t="s">
        <v>171</v>
      </c>
      <c r="D9" s="123" t="s">
        <v>171</v>
      </c>
      <c r="E9" s="123" t="s">
        <v>171</v>
      </c>
      <c r="F9" s="123" t="s">
        <v>171</v>
      </c>
      <c r="G9" s="123" t="s">
        <v>171</v>
      </c>
      <c r="H9" s="123" t="s">
        <v>171</v>
      </c>
      <c r="I9" s="123" t="s">
        <v>171</v>
      </c>
      <c r="J9" s="192" t="s">
        <v>171</v>
      </c>
      <c r="K9" s="103">
        <f>+'GAS CTE'!F10</f>
        <v>556.9375</v>
      </c>
      <c r="L9" s="103">
        <f>+'GAS CTE'!E10</f>
        <v>562.79999999999995</v>
      </c>
      <c r="M9" s="124">
        <f>+BIODIESEL!H10</f>
        <v>505.00800000000004</v>
      </c>
    </row>
    <row r="10" spans="1:16" x14ac:dyDescent="0.3">
      <c r="A10" s="93"/>
      <c r="B10" s="99" t="s">
        <v>129</v>
      </c>
      <c r="C10" s="103" t="s">
        <v>171</v>
      </c>
      <c r="D10" s="123" t="s">
        <v>171</v>
      </c>
      <c r="E10" s="123" t="s">
        <v>171</v>
      </c>
      <c r="F10" s="123" t="s">
        <v>171</v>
      </c>
      <c r="G10" s="123" t="s">
        <v>171</v>
      </c>
      <c r="H10" s="123" t="s">
        <v>171</v>
      </c>
      <c r="I10" s="123" t="s">
        <v>171</v>
      </c>
      <c r="J10" s="192" t="s">
        <v>171</v>
      </c>
      <c r="K10" s="103" t="s">
        <v>130</v>
      </c>
      <c r="L10" s="103" t="s">
        <v>130</v>
      </c>
      <c r="M10" s="124" t="str">
        <f>+K10</f>
        <v>(3)</v>
      </c>
    </row>
    <row r="11" spans="1:16" x14ac:dyDescent="0.3">
      <c r="A11" s="93"/>
      <c r="B11" s="99" t="s">
        <v>131</v>
      </c>
      <c r="C11" s="123" t="s">
        <v>201</v>
      </c>
      <c r="D11" s="123" t="s">
        <v>201</v>
      </c>
      <c r="E11" s="123" t="s">
        <v>201</v>
      </c>
      <c r="F11" s="123" t="str">
        <f>+C11</f>
        <v>(4)</v>
      </c>
      <c r="G11" s="123" t="str">
        <f t="shared" ref="G11:H14" si="0">+F11</f>
        <v>(4)</v>
      </c>
      <c r="H11" s="123" t="str">
        <f t="shared" si="0"/>
        <v>(4)</v>
      </c>
      <c r="I11" s="123" t="str">
        <f>+C11</f>
        <v>(4)</v>
      </c>
      <c r="J11" s="192" t="str">
        <f>+C11</f>
        <v>(4)</v>
      </c>
      <c r="K11" s="103" t="str">
        <f>+F11</f>
        <v>(4)</v>
      </c>
      <c r="L11" s="103" t="str">
        <f>+G11</f>
        <v>(4)</v>
      </c>
      <c r="M11" s="124" t="str">
        <f>+J11</f>
        <v>(4)</v>
      </c>
    </row>
    <row r="12" spans="1:16" x14ac:dyDescent="0.3">
      <c r="A12" s="93" t="s">
        <v>172</v>
      </c>
      <c r="B12" s="99" t="s">
        <v>293</v>
      </c>
      <c r="C12" s="567" t="s">
        <v>200</v>
      </c>
      <c r="D12" s="126" t="s">
        <v>200</v>
      </c>
      <c r="E12" s="567" t="s">
        <v>200</v>
      </c>
      <c r="F12" s="126" t="str">
        <f>+C12</f>
        <v>(2)</v>
      </c>
      <c r="G12" s="567" t="str">
        <f t="shared" si="0"/>
        <v>(2)</v>
      </c>
      <c r="H12" s="567" t="str">
        <f t="shared" si="0"/>
        <v>(2)</v>
      </c>
      <c r="I12" s="126" t="str">
        <f>+C12</f>
        <v>(2)</v>
      </c>
      <c r="J12" s="756" t="str">
        <f>+C12</f>
        <v>(2)</v>
      </c>
      <c r="K12" s="125" t="str">
        <f>+C12</f>
        <v>(2)</v>
      </c>
      <c r="L12" s="568" t="str">
        <f>+F12</f>
        <v>(2)</v>
      </c>
      <c r="M12" s="127" t="str">
        <f>+C12</f>
        <v>(2)</v>
      </c>
    </row>
    <row r="13" spans="1:16" x14ac:dyDescent="0.3">
      <c r="A13" s="93" t="s">
        <v>174</v>
      </c>
      <c r="B13" s="99" t="s">
        <v>175</v>
      </c>
      <c r="C13" s="122">
        <f>+RUBROS!AC13</f>
        <v>23.500029293035123</v>
      </c>
      <c r="D13" s="122">
        <f>+C13</f>
        <v>23.500029293035123</v>
      </c>
      <c r="E13" s="122">
        <f>+RUBROS!AD13</f>
        <v>23.500029293035123</v>
      </c>
      <c r="F13" s="122">
        <f>+C13</f>
        <v>23.500029293035123</v>
      </c>
      <c r="G13" s="122">
        <f t="shared" si="0"/>
        <v>23.500029293035123</v>
      </c>
      <c r="H13" s="122">
        <f>+RUBROS!AC13</f>
        <v>23.500029293035123</v>
      </c>
      <c r="I13" s="122">
        <f>+C13</f>
        <v>23.500029293035123</v>
      </c>
      <c r="J13" s="178">
        <f>+C13</f>
        <v>23.500029293035123</v>
      </c>
      <c r="K13" s="95">
        <f>+RUBROS!AD13</f>
        <v>23.500029293035123</v>
      </c>
      <c r="L13" s="95">
        <f>+RUBROS!AD13</f>
        <v>23.500029293035123</v>
      </c>
      <c r="M13" s="96">
        <f>+K13</f>
        <v>23.500029293035123</v>
      </c>
    </row>
    <row r="14" spans="1:16" x14ac:dyDescent="0.3">
      <c r="A14" s="93" t="s">
        <v>178</v>
      </c>
      <c r="B14" s="99" t="s">
        <v>179</v>
      </c>
      <c r="C14" s="122">
        <f>+RUBROS!AU39</f>
        <v>13.326421256197724</v>
      </c>
      <c r="D14" s="122">
        <f>+C14</f>
        <v>13.326421256197724</v>
      </c>
      <c r="E14" s="122">
        <f>+RUBROS!AV39</f>
        <v>13.326421256197724</v>
      </c>
      <c r="F14" s="122">
        <f>+C14</f>
        <v>13.326421256197724</v>
      </c>
      <c r="G14" s="122">
        <f t="shared" si="0"/>
        <v>13.326421256197724</v>
      </c>
      <c r="H14" s="122">
        <f>+RUBROS!AU39</f>
        <v>13.326421256197724</v>
      </c>
      <c r="I14" s="122">
        <f>+C14</f>
        <v>13.326421256197724</v>
      </c>
      <c r="J14" s="178">
        <f>+C14</f>
        <v>13.326421256197724</v>
      </c>
      <c r="K14" s="95">
        <f>+C14</f>
        <v>13.326421256197724</v>
      </c>
      <c r="L14" s="95">
        <f>+K14</f>
        <v>13.326421256197724</v>
      </c>
      <c r="M14" s="96">
        <f>+C14</f>
        <v>13.326421256197724</v>
      </c>
    </row>
    <row r="15" spans="1:16" hidden="1" x14ac:dyDescent="0.3">
      <c r="A15" s="93"/>
      <c r="B15" s="99" t="s">
        <v>180</v>
      </c>
      <c r="C15" s="95"/>
      <c r="D15" s="95"/>
      <c r="E15" s="95"/>
      <c r="F15" s="122"/>
      <c r="G15" s="122"/>
      <c r="H15" s="122"/>
      <c r="I15" s="122"/>
      <c r="J15" s="178"/>
      <c r="K15" s="95"/>
      <c r="L15" s="148"/>
      <c r="M15" s="96"/>
      <c r="O15" s="365" t="s">
        <v>392</v>
      </c>
    </row>
    <row r="16" spans="1:16" x14ac:dyDescent="0.3">
      <c r="A16" s="100" t="s">
        <v>181</v>
      </c>
      <c r="B16" s="129" t="s">
        <v>182</v>
      </c>
      <c r="C16" s="130">
        <f>SUM(C8:C15)</f>
        <v>5299.3264505492334</v>
      </c>
      <c r="D16" s="130">
        <f>SUM(D8:D15)</f>
        <v>5455.0406505492338</v>
      </c>
      <c r="E16" s="130">
        <f>SUM(E8:E15)</f>
        <v>5610.7548505492332</v>
      </c>
      <c r="F16" s="130">
        <f t="shared" ref="F16:M16" si="1">SUM(F8:F15)</f>
        <v>5688.6119505492334</v>
      </c>
      <c r="G16" s="130">
        <f t="shared" si="1"/>
        <v>5766.4690505492335</v>
      </c>
      <c r="H16" s="130">
        <f t="shared" si="1"/>
        <v>4461.5516505492333</v>
      </c>
      <c r="I16" s="130">
        <f t="shared" si="1"/>
        <v>4778.0264505492332</v>
      </c>
      <c r="J16" s="179">
        <f t="shared" si="1"/>
        <v>6043.9101305492331</v>
      </c>
      <c r="K16" s="101">
        <f t="shared" si="1"/>
        <v>6245.5494505492334</v>
      </c>
      <c r="L16" s="101">
        <f t="shared" si="1"/>
        <v>6173.5548505492334</v>
      </c>
      <c r="M16" s="102">
        <f t="shared" si="1"/>
        <v>6735.6904505492339</v>
      </c>
    </row>
    <row r="17" spans="1:15" ht="16.2" customHeight="1" x14ac:dyDescent="0.3">
      <c r="A17" s="93" t="s">
        <v>204</v>
      </c>
      <c r="B17" s="99" t="s">
        <v>205</v>
      </c>
      <c r="C17" s="122" t="str">
        <f>I17</f>
        <v>**</v>
      </c>
      <c r="D17" s="122" t="s">
        <v>212</v>
      </c>
      <c r="E17" s="122" t="str">
        <f>J17</f>
        <v>**</v>
      </c>
      <c r="F17" s="122" t="str">
        <f t="shared" ref="F17:F20" si="2">J17</f>
        <v>**</v>
      </c>
      <c r="G17" s="122" t="str">
        <f>K17</f>
        <v>**</v>
      </c>
      <c r="H17" s="122" t="s">
        <v>212</v>
      </c>
      <c r="I17" s="122" t="str">
        <f>+A35</f>
        <v>**</v>
      </c>
      <c r="J17" s="178" t="str">
        <f>+I17</f>
        <v>**</v>
      </c>
      <c r="K17" s="95" t="str">
        <f>+J17</f>
        <v>**</v>
      </c>
      <c r="L17" s="95" t="str">
        <f>+K17</f>
        <v>**</v>
      </c>
      <c r="M17" s="96" t="str">
        <f>+J17</f>
        <v>**</v>
      </c>
    </row>
    <row r="18" spans="1:15" ht="16.2" customHeight="1" x14ac:dyDescent="0.3">
      <c r="A18" s="93" t="s">
        <v>183</v>
      </c>
      <c r="B18" s="99" t="s">
        <v>206</v>
      </c>
      <c r="C18" s="122" t="str">
        <f>I18</f>
        <v>***</v>
      </c>
      <c r="D18" s="122" t="s">
        <v>214</v>
      </c>
      <c r="E18" s="122" t="str">
        <f>J18</f>
        <v>***</v>
      </c>
      <c r="F18" s="122" t="str">
        <f t="shared" si="2"/>
        <v>***</v>
      </c>
      <c r="G18" s="122" t="str">
        <f>K18</f>
        <v>***</v>
      </c>
      <c r="H18" s="122" t="s">
        <v>214</v>
      </c>
      <c r="I18" s="122" t="str">
        <f>+A36</f>
        <v>***</v>
      </c>
      <c r="J18" s="178" t="str">
        <f t="shared" ref="J18:K20" si="3">+I18</f>
        <v>***</v>
      </c>
      <c r="K18" s="95" t="str">
        <f t="shared" si="3"/>
        <v>***</v>
      </c>
      <c r="L18" s="95" t="str">
        <f t="shared" ref="L18:L20" si="4">+K18</f>
        <v>***</v>
      </c>
      <c r="M18" s="96" t="str">
        <f>+J18</f>
        <v>***</v>
      </c>
    </row>
    <row r="19" spans="1:15" ht="16.2" customHeight="1" x14ac:dyDescent="0.3">
      <c r="A19" s="93" t="s">
        <v>207</v>
      </c>
      <c r="B19" s="99" t="s">
        <v>208</v>
      </c>
      <c r="C19" s="128" t="s">
        <v>216</v>
      </c>
      <c r="D19" s="128" t="s">
        <v>216</v>
      </c>
      <c r="E19" s="128" t="s">
        <v>216</v>
      </c>
      <c r="F19" s="128" t="str">
        <f t="shared" si="2"/>
        <v>****</v>
      </c>
      <c r="G19" s="128" t="str">
        <f>K19</f>
        <v>****</v>
      </c>
      <c r="H19" s="128" t="s">
        <v>216</v>
      </c>
      <c r="I19" s="128" t="str">
        <f>+A37</f>
        <v>****</v>
      </c>
      <c r="J19" s="166" t="str">
        <f t="shared" si="3"/>
        <v>****</v>
      </c>
      <c r="K19" s="95" t="str">
        <f t="shared" si="3"/>
        <v>****</v>
      </c>
      <c r="L19" s="95" t="str">
        <f t="shared" si="4"/>
        <v>****</v>
      </c>
      <c r="M19" s="96" t="str">
        <f>+J19</f>
        <v>****</v>
      </c>
    </row>
    <row r="20" spans="1:15" ht="16.2" customHeight="1" x14ac:dyDescent="0.3">
      <c r="A20" s="93" t="s">
        <v>187</v>
      </c>
      <c r="B20" s="99" t="s">
        <v>134</v>
      </c>
      <c r="C20" s="122" t="str">
        <f>I20</f>
        <v>*****</v>
      </c>
      <c r="D20" s="122" t="s">
        <v>218</v>
      </c>
      <c r="E20" s="122" t="str">
        <f>J20</f>
        <v>*****</v>
      </c>
      <c r="F20" s="122" t="str">
        <f t="shared" si="2"/>
        <v>*****</v>
      </c>
      <c r="G20" s="122" t="str">
        <f>K20</f>
        <v>*****</v>
      </c>
      <c r="H20" s="122" t="s">
        <v>218</v>
      </c>
      <c r="I20" s="122" t="str">
        <f>+A38</f>
        <v>*****</v>
      </c>
      <c r="J20" s="178" t="str">
        <f t="shared" si="3"/>
        <v>*****</v>
      </c>
      <c r="K20" s="95" t="str">
        <f t="shared" si="3"/>
        <v>*****</v>
      </c>
      <c r="L20" s="95" t="str">
        <f t="shared" si="4"/>
        <v>*****</v>
      </c>
      <c r="M20" s="96" t="str">
        <f>+J20</f>
        <v>*****</v>
      </c>
    </row>
    <row r="21" spans="1:15" ht="16.2" customHeight="1" x14ac:dyDescent="0.3">
      <c r="A21" s="100" t="s">
        <v>189</v>
      </c>
      <c r="B21" s="129" t="s">
        <v>209</v>
      </c>
      <c r="C21" s="130">
        <f t="shared" ref="C21:M21" si="5">+C16</f>
        <v>5299.3264505492334</v>
      </c>
      <c r="D21" s="130">
        <f t="shared" si="5"/>
        <v>5455.0406505492338</v>
      </c>
      <c r="E21" s="130">
        <f t="shared" ref="E21" si="6">+E16</f>
        <v>5610.7548505492332</v>
      </c>
      <c r="F21" s="130">
        <f t="shared" si="5"/>
        <v>5688.6119505492334</v>
      </c>
      <c r="G21" s="130">
        <f t="shared" ref="G21:H21" si="7">+G16</f>
        <v>5766.4690505492335</v>
      </c>
      <c r="H21" s="130">
        <f t="shared" si="7"/>
        <v>4461.5516505492333</v>
      </c>
      <c r="I21" s="130">
        <f t="shared" si="5"/>
        <v>4778.0264505492332</v>
      </c>
      <c r="J21" s="179">
        <f t="shared" si="5"/>
        <v>6043.9101305492331</v>
      </c>
      <c r="K21" s="101">
        <f t="shared" si="5"/>
        <v>6245.5494505492334</v>
      </c>
      <c r="L21" s="101">
        <f t="shared" ref="L21" si="8">+L16</f>
        <v>6173.5548505492334</v>
      </c>
      <c r="M21" s="102">
        <f t="shared" si="5"/>
        <v>6735.6904505492339</v>
      </c>
    </row>
    <row r="22" spans="1:15" ht="16.2" customHeight="1" x14ac:dyDescent="0.3">
      <c r="A22" s="93" t="s">
        <v>191</v>
      </c>
      <c r="B22" s="99" t="s">
        <v>150</v>
      </c>
      <c r="C22" s="122" t="str">
        <f>I22</f>
        <v>***</v>
      </c>
      <c r="D22" s="122" t="str">
        <f t="shared" ref="D22:F24" si="9">H22</f>
        <v>***</v>
      </c>
      <c r="E22" s="122" t="str">
        <f>J22</f>
        <v>***</v>
      </c>
      <c r="F22" s="122" t="str">
        <f t="shared" si="9"/>
        <v>***</v>
      </c>
      <c r="G22" s="122" t="str">
        <f>K22</f>
        <v>***</v>
      </c>
      <c r="H22" s="122" t="str">
        <f>L22</f>
        <v>***</v>
      </c>
      <c r="I22" s="122" t="str">
        <f>+I18</f>
        <v>***</v>
      </c>
      <c r="J22" s="178" t="str">
        <f>+I22</f>
        <v>***</v>
      </c>
      <c r="K22" s="95" t="str">
        <f>+K18</f>
        <v>***</v>
      </c>
      <c r="L22" s="95" t="str">
        <f>+L18</f>
        <v>***</v>
      </c>
      <c r="M22" s="96" t="str">
        <f>+M18</f>
        <v>***</v>
      </c>
    </row>
    <row r="23" spans="1:15" ht="16.2" customHeight="1" x14ac:dyDescent="0.3">
      <c r="A23" s="93" t="s">
        <v>192</v>
      </c>
      <c r="B23" s="94" t="s">
        <v>193</v>
      </c>
      <c r="C23" s="128" t="s">
        <v>219</v>
      </c>
      <c r="D23" s="128" t="str">
        <f>+C23</f>
        <v>******</v>
      </c>
      <c r="E23" s="128" t="s">
        <v>219</v>
      </c>
      <c r="F23" s="128" t="str">
        <f>+C23</f>
        <v>******</v>
      </c>
      <c r="G23" s="128" t="str">
        <f>+F23</f>
        <v>******</v>
      </c>
      <c r="H23" s="128" t="str">
        <f>+G23</f>
        <v>******</v>
      </c>
      <c r="I23" s="128" t="s">
        <v>194</v>
      </c>
      <c r="J23" s="166" t="str">
        <f>+I23</f>
        <v>N.A</v>
      </c>
      <c r="K23" s="131" t="str">
        <f>+C23</f>
        <v>******</v>
      </c>
      <c r="L23" s="131" t="str">
        <f>+F23</f>
        <v>******</v>
      </c>
      <c r="M23" s="98" t="s">
        <v>194</v>
      </c>
    </row>
    <row r="24" spans="1:15" ht="16.2" customHeight="1" x14ac:dyDescent="0.3">
      <c r="A24" s="93" t="s">
        <v>195</v>
      </c>
      <c r="B24" s="99" t="s">
        <v>196</v>
      </c>
      <c r="C24" s="128" t="str">
        <f>I24</f>
        <v>*******</v>
      </c>
      <c r="D24" s="128" t="str">
        <f t="shared" si="9"/>
        <v>*******</v>
      </c>
      <c r="E24" s="128" t="str">
        <f>J24</f>
        <v>*******</v>
      </c>
      <c r="F24" s="128" t="str">
        <f t="shared" si="9"/>
        <v>*******</v>
      </c>
      <c r="G24" s="128" t="str">
        <f>K24</f>
        <v>*******</v>
      </c>
      <c r="H24" s="128" t="str">
        <f>L24</f>
        <v>*******</v>
      </c>
      <c r="I24" s="128" t="str">
        <f>+A40</f>
        <v>*******</v>
      </c>
      <c r="J24" s="166" t="str">
        <f>+I24</f>
        <v>*******</v>
      </c>
      <c r="K24" s="131" t="str">
        <f>+J24</f>
        <v>*******</v>
      </c>
      <c r="L24" s="131" t="str">
        <f>+K24</f>
        <v>*******</v>
      </c>
      <c r="M24" s="98" t="str">
        <f>+J24</f>
        <v>*******</v>
      </c>
    </row>
    <row r="25" spans="1:15" ht="16.2" customHeight="1" thickBot="1" x14ac:dyDescent="0.35">
      <c r="A25" s="104" t="s">
        <v>197</v>
      </c>
      <c r="B25" s="105" t="s">
        <v>198</v>
      </c>
      <c r="C25" s="106"/>
      <c r="D25" s="108"/>
      <c r="E25" s="108"/>
      <c r="F25" s="132"/>
      <c r="G25" s="132"/>
      <c r="H25" s="132"/>
      <c r="I25" s="132"/>
      <c r="J25" s="180"/>
      <c r="K25" s="106"/>
      <c r="L25" s="158"/>
      <c r="M25" s="107"/>
    </row>
    <row r="26" spans="1:15" ht="15" thickTop="1" x14ac:dyDescent="0.3">
      <c r="A26" s="109"/>
      <c r="B26" s="110"/>
      <c r="C26" s="110"/>
      <c r="D26" s="110"/>
      <c r="E26" s="110"/>
      <c r="F26" s="110"/>
      <c r="G26" s="110"/>
      <c r="H26" s="110"/>
      <c r="I26" s="111"/>
      <c r="J26" s="111"/>
      <c r="K26" s="111"/>
      <c r="L26" s="111"/>
      <c r="M26" s="111"/>
    </row>
    <row r="27" spans="1:15" x14ac:dyDescent="0.3">
      <c r="A27" s="112"/>
      <c r="B27" s="210" t="s">
        <v>210</v>
      </c>
      <c r="C27" s="133"/>
      <c r="D27" s="133"/>
      <c r="E27" s="133"/>
      <c r="F27" s="133"/>
      <c r="G27" s="133"/>
      <c r="H27" s="133"/>
      <c r="I27" s="133"/>
      <c r="J27" s="133"/>
      <c r="K27" s="133"/>
      <c r="L27" s="133"/>
      <c r="M27" s="133"/>
    </row>
    <row r="28" spans="1:15" x14ac:dyDescent="0.3">
      <c r="A28" s="112" t="s">
        <v>148</v>
      </c>
      <c r="B28" s="892"/>
      <c r="C28" s="892"/>
      <c r="D28" s="892"/>
      <c r="E28" s="892"/>
      <c r="F28" s="892"/>
      <c r="G28" s="892"/>
      <c r="H28" s="892"/>
      <c r="I28" s="892"/>
      <c r="J28" s="892"/>
      <c r="K28" s="892"/>
      <c r="L28" s="892"/>
      <c r="M28" s="892"/>
    </row>
    <row r="29" spans="1:15" s="540" customFormat="1" ht="39.15" customHeight="1" x14ac:dyDescent="0.3">
      <c r="A29" s="135" t="s">
        <v>173</v>
      </c>
      <c r="B29" s="892" t="s">
        <v>478</v>
      </c>
      <c r="C29" s="892"/>
      <c r="D29" s="892"/>
      <c r="E29" s="892"/>
      <c r="F29" s="892"/>
      <c r="G29" s="892"/>
      <c r="H29" s="892"/>
      <c r="I29" s="892"/>
      <c r="J29" s="892"/>
      <c r="K29" s="892"/>
      <c r="L29" s="892"/>
      <c r="M29" s="892"/>
    </row>
    <row r="30" spans="1:15" ht="28.5" customHeight="1" x14ac:dyDescent="0.3">
      <c r="A30" s="136" t="s">
        <v>200</v>
      </c>
      <c r="B30" s="893" t="s">
        <v>251</v>
      </c>
      <c r="C30" s="893"/>
      <c r="D30" s="893"/>
      <c r="E30" s="893"/>
      <c r="F30" s="893"/>
      <c r="G30" s="893"/>
      <c r="H30" s="893"/>
      <c r="I30" s="893"/>
      <c r="J30" s="893"/>
      <c r="K30" s="893"/>
      <c r="L30" s="893"/>
      <c r="M30" s="893"/>
      <c r="N30" s="893"/>
      <c r="O30" s="893"/>
    </row>
    <row r="31" spans="1:15" ht="58.8" customHeight="1" x14ac:dyDescent="0.3">
      <c r="A31" s="136" t="s">
        <v>130</v>
      </c>
      <c r="B31" s="893" t="s">
        <v>307</v>
      </c>
      <c r="C31" s="893"/>
      <c r="D31" s="893"/>
      <c r="E31" s="893"/>
      <c r="F31" s="893"/>
      <c r="G31" s="893"/>
      <c r="H31" s="893"/>
      <c r="I31" s="893"/>
      <c r="J31" s="893"/>
      <c r="K31" s="893"/>
      <c r="L31" s="893"/>
      <c r="M31" s="893"/>
    </row>
    <row r="32" spans="1:15" ht="61.5" customHeight="1" x14ac:dyDescent="0.3">
      <c r="A32" s="136" t="s">
        <v>201</v>
      </c>
      <c r="B32" s="914" t="s">
        <v>376</v>
      </c>
      <c r="C32" s="915"/>
      <c r="D32" s="915"/>
      <c r="E32" s="915"/>
      <c r="F32" s="915"/>
      <c r="G32" s="915"/>
      <c r="H32" s="915"/>
      <c r="I32" s="915"/>
      <c r="J32" s="915"/>
      <c r="K32" s="915"/>
      <c r="L32" s="915"/>
      <c r="M32" s="915"/>
    </row>
    <row r="33" spans="1:13" ht="40.049999999999997" customHeight="1" x14ac:dyDescent="0.3">
      <c r="A33" s="112"/>
      <c r="B33" s="916" t="s">
        <v>467</v>
      </c>
      <c r="C33" s="916"/>
      <c r="D33" s="916"/>
      <c r="E33" s="916"/>
      <c r="F33" s="916"/>
      <c r="G33" s="916"/>
      <c r="H33" s="916"/>
      <c r="I33" s="916"/>
      <c r="J33" s="916"/>
      <c r="K33" s="916"/>
      <c r="L33" s="916"/>
      <c r="M33" s="916"/>
    </row>
    <row r="34" spans="1:13" x14ac:dyDescent="0.3">
      <c r="A34" s="112" t="s">
        <v>102</v>
      </c>
      <c r="B34" s="892" t="s">
        <v>211</v>
      </c>
      <c r="C34" s="892"/>
      <c r="D34" s="892"/>
      <c r="E34" s="892"/>
      <c r="F34" s="892"/>
      <c r="G34" s="892"/>
      <c r="H34" s="892"/>
      <c r="I34" s="892"/>
      <c r="J34" s="892"/>
      <c r="K34" s="892"/>
      <c r="L34" s="892"/>
      <c r="M34" s="892"/>
    </row>
    <row r="35" spans="1:13" ht="29.25" customHeight="1" x14ac:dyDescent="0.3">
      <c r="A35" s="112" t="s">
        <v>212</v>
      </c>
      <c r="B35" s="893" t="s">
        <v>213</v>
      </c>
      <c r="C35" s="893"/>
      <c r="D35" s="893"/>
      <c r="E35" s="893"/>
      <c r="F35" s="893"/>
      <c r="G35" s="893"/>
      <c r="H35" s="893"/>
      <c r="I35" s="893"/>
      <c r="J35" s="893"/>
      <c r="K35" s="893"/>
      <c r="L35" s="893"/>
      <c r="M35" s="893"/>
    </row>
    <row r="36" spans="1:13" x14ac:dyDescent="0.3">
      <c r="A36" s="112" t="s">
        <v>214</v>
      </c>
      <c r="B36" s="892" t="s">
        <v>215</v>
      </c>
      <c r="C36" s="892"/>
      <c r="D36" s="892"/>
      <c r="E36" s="892"/>
      <c r="F36" s="892"/>
      <c r="G36" s="892"/>
      <c r="H36" s="892"/>
      <c r="I36" s="892"/>
      <c r="J36" s="892"/>
      <c r="K36" s="892"/>
      <c r="L36" s="892"/>
      <c r="M36" s="892"/>
    </row>
    <row r="37" spans="1:13" ht="43.5" customHeight="1" x14ac:dyDescent="0.3">
      <c r="A37" s="134" t="s">
        <v>216</v>
      </c>
      <c r="B37" s="893" t="s">
        <v>217</v>
      </c>
      <c r="C37" s="893"/>
      <c r="D37" s="893"/>
      <c r="E37" s="893"/>
      <c r="F37" s="893"/>
      <c r="G37" s="893"/>
      <c r="H37" s="893"/>
      <c r="I37" s="893"/>
      <c r="J37" s="893"/>
      <c r="K37" s="893"/>
      <c r="L37" s="893"/>
      <c r="M37" s="893"/>
    </row>
    <row r="38" spans="1:13" x14ac:dyDescent="0.3">
      <c r="A38" s="134" t="s">
        <v>218</v>
      </c>
      <c r="B38" s="892" t="s">
        <v>429</v>
      </c>
      <c r="C38" s="892"/>
      <c r="D38" s="892"/>
      <c r="E38" s="892"/>
      <c r="F38" s="892"/>
      <c r="G38" s="892"/>
      <c r="H38" s="892"/>
      <c r="I38" s="892"/>
      <c r="J38" s="892"/>
      <c r="K38" s="892"/>
      <c r="L38" s="892"/>
      <c r="M38" s="892"/>
    </row>
    <row r="39" spans="1:13" x14ac:dyDescent="0.3">
      <c r="A39" s="112" t="s">
        <v>219</v>
      </c>
      <c r="B39" s="892" t="s">
        <v>220</v>
      </c>
      <c r="C39" s="892"/>
      <c r="D39" s="892"/>
      <c r="E39" s="892"/>
      <c r="F39" s="892"/>
      <c r="G39" s="892"/>
      <c r="H39" s="892"/>
      <c r="I39" s="892"/>
      <c r="J39" s="892"/>
      <c r="K39" s="892"/>
      <c r="L39" s="892"/>
      <c r="M39" s="892"/>
    </row>
    <row r="40" spans="1:13" ht="30.15" customHeight="1" x14ac:dyDescent="0.3">
      <c r="A40" s="112" t="s">
        <v>221</v>
      </c>
      <c r="B40" s="893" t="s">
        <v>222</v>
      </c>
      <c r="C40" s="893"/>
      <c r="D40" s="893"/>
      <c r="E40" s="893"/>
      <c r="F40" s="893"/>
      <c r="G40" s="893"/>
      <c r="H40" s="893"/>
      <c r="I40" s="893"/>
      <c r="J40" s="893"/>
      <c r="K40" s="893"/>
      <c r="L40" s="893"/>
      <c r="M40" s="893"/>
    </row>
    <row r="41" spans="1:13" x14ac:dyDescent="0.3">
      <c r="A41" s="88"/>
      <c r="B41" s="89"/>
      <c r="C41" s="89"/>
      <c r="D41" s="89"/>
      <c r="E41" s="89"/>
      <c r="F41" s="89"/>
      <c r="G41" s="89"/>
      <c r="H41" s="89"/>
      <c r="I41" s="89"/>
      <c r="J41" s="89"/>
      <c r="K41" s="89"/>
      <c r="L41" s="89"/>
      <c r="M41" s="89"/>
    </row>
    <row r="42" spans="1:13" x14ac:dyDescent="0.3">
      <c r="A42" s="135" t="s">
        <v>173</v>
      </c>
      <c r="B42" s="892" t="s">
        <v>420</v>
      </c>
      <c r="C42" s="892"/>
      <c r="D42" s="892"/>
      <c r="E42" s="892"/>
      <c r="F42" s="892"/>
      <c r="G42" s="892"/>
      <c r="H42" s="892"/>
      <c r="I42" s="892"/>
      <c r="J42" s="892"/>
      <c r="K42" s="892"/>
      <c r="L42" s="892"/>
      <c r="M42" s="892"/>
    </row>
    <row r="43" spans="1:13" hidden="1" x14ac:dyDescent="0.3">
      <c r="A43" s="136" t="s">
        <v>130</v>
      </c>
      <c r="B43" s="137" t="s">
        <v>199</v>
      </c>
      <c r="C43" s="89"/>
      <c r="D43" s="89"/>
      <c r="E43" s="89"/>
      <c r="F43" s="89"/>
      <c r="G43" s="89"/>
      <c r="H43" s="89"/>
      <c r="I43" s="89"/>
      <c r="J43" s="89"/>
      <c r="K43" s="89"/>
      <c r="L43" s="89"/>
      <c r="M43" s="89"/>
    </row>
    <row r="44" spans="1:13" ht="39.75" hidden="1" customHeight="1" x14ac:dyDescent="0.3">
      <c r="A44" s="136" t="s">
        <v>201</v>
      </c>
      <c r="B44" s="893" t="s">
        <v>224</v>
      </c>
      <c r="C44" s="893"/>
      <c r="D44" s="893"/>
      <c r="E44" s="893"/>
      <c r="F44" s="893"/>
      <c r="G44" s="893"/>
      <c r="H44" s="893"/>
      <c r="I44" s="893"/>
      <c r="J44" s="893"/>
      <c r="K44" s="893"/>
      <c r="L44" s="893"/>
      <c r="M44" s="893"/>
    </row>
    <row r="45" spans="1:13" x14ac:dyDescent="0.3">
      <c r="A45" s="136"/>
      <c r="B45" s="892" t="s">
        <v>148</v>
      </c>
      <c r="C45" s="892"/>
      <c r="D45" s="892"/>
      <c r="E45" s="892"/>
      <c r="F45" s="892"/>
      <c r="G45" s="892"/>
      <c r="H45" s="892"/>
      <c r="I45" s="892"/>
      <c r="J45" s="892"/>
      <c r="K45" s="892"/>
      <c r="L45" s="892"/>
      <c r="M45" s="892"/>
    </row>
    <row r="46" spans="1:13" ht="100.5" customHeight="1" x14ac:dyDescent="0.3">
      <c r="A46" s="894" t="s">
        <v>450</v>
      </c>
      <c r="B46" s="895"/>
      <c r="C46" s="895"/>
      <c r="D46" s="895"/>
      <c r="E46" s="895"/>
      <c r="F46" s="895"/>
      <c r="G46" s="895"/>
      <c r="H46" s="895"/>
      <c r="I46" s="895"/>
      <c r="J46" s="895"/>
      <c r="K46" s="895"/>
      <c r="L46" s="895"/>
      <c r="M46" s="895"/>
    </row>
  </sheetData>
  <sheetProtection algorithmName="SHA-512" hashValue="0J+KPyhauPcyCMvzutKsof04Wp5GiGHtT20kfTkAkv7Q8pgi+tn6x8FGwV6X+k8XYJYS7xxSHPCMFJcqX+fA/Q==" saltValue="5dbVIRuVdZiEUUEQJiS3Iw==" spinCount="100000" sheet="1" objects="1" scenarios="1"/>
  <mergeCells count="24">
    <mergeCell ref="N30:O30"/>
    <mergeCell ref="B34:M34"/>
    <mergeCell ref="C5:C6"/>
    <mergeCell ref="C3:J4"/>
    <mergeCell ref="K3:M4"/>
    <mergeCell ref="B32:M32"/>
    <mergeCell ref="B33:M33"/>
    <mergeCell ref="B29:M29"/>
    <mergeCell ref="A5:A7"/>
    <mergeCell ref="B5:B7"/>
    <mergeCell ref="B28:M28"/>
    <mergeCell ref="B31:M31"/>
    <mergeCell ref="B30:M30"/>
    <mergeCell ref="H5:H6"/>
    <mergeCell ref="B42:M42"/>
    <mergeCell ref="B44:M44"/>
    <mergeCell ref="B45:M45"/>
    <mergeCell ref="A46:M46"/>
    <mergeCell ref="B35:M35"/>
    <mergeCell ref="B36:M36"/>
    <mergeCell ref="B37:M37"/>
    <mergeCell ref="B38:M38"/>
    <mergeCell ref="B39:M39"/>
    <mergeCell ref="B40:M40"/>
  </mergeCells>
  <hyperlinks>
    <hyperlink ref="B27" location="AMAZONAS!A46" display="Ver Nota Informativa" xr:uid="{00000000-0004-0000-0800-000000000000}"/>
  </hyperlinks>
  <pageMargins left="0.7" right="0.7" top="0.75" bottom="0.75" header="0.3" footer="0.3"/>
  <pageSetup orientation="portrait" r:id="rId1"/>
  <ignoredErrors>
    <ignoredError sqref="M10:M12 I12 A30:A31 A42:A44 F12 K10:K12 C12" numberStoredAsText="1"/>
    <ignoredError sqref="I13:J13 M13:M14 M16:M23 F13:F14 F16:F23 I16:K23 I14:K14 C17:C2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rgb="FFFFFF00"/>
  </sheetPr>
  <dimension ref="A1:S42"/>
  <sheetViews>
    <sheetView showGridLines="0" tabSelected="1" zoomScale="80" zoomScaleNormal="80" workbookViewId="0">
      <selection activeCell="R5" sqref="R5"/>
    </sheetView>
  </sheetViews>
  <sheetFormatPr baseColWidth="10" defaultRowHeight="14.4" x14ac:dyDescent="0.3"/>
  <cols>
    <col min="2" max="2" width="44.77734375" customWidth="1"/>
    <col min="3" max="3" width="12.21875" customWidth="1"/>
    <col min="4" max="4" width="12.21875" style="540" hidden="1" customWidth="1"/>
    <col min="5" max="5" width="14.21875" style="540" customWidth="1"/>
    <col min="6" max="6" width="14.21875" hidden="1" customWidth="1"/>
    <col min="7" max="7" width="14.21875" style="540" hidden="1" customWidth="1"/>
    <col min="8" max="8" width="13" style="540" customWidth="1"/>
    <col min="9" max="9" width="13.44140625" hidden="1" customWidth="1"/>
    <col min="10" max="10" width="12.6640625" customWidth="1"/>
    <col min="11" max="11" width="12.6640625" style="540" customWidth="1"/>
    <col min="12" max="12" width="15.21875" hidden="1" customWidth="1"/>
    <col min="13" max="13" width="13.77734375" style="540" hidden="1" customWidth="1"/>
    <col min="14" max="14" width="13.6640625" hidden="1" customWidth="1"/>
    <col min="15" max="15" width="12.88671875" customWidth="1"/>
  </cols>
  <sheetData>
    <row r="1" spans="1:17" x14ac:dyDescent="0.3">
      <c r="A1" s="88"/>
      <c r="B1" s="88" t="str">
        <f>+AMAZONAS!C1</f>
        <v>Vigencia: 01 de Octubre de 2022; 00:00 horas</v>
      </c>
      <c r="J1" s="140"/>
      <c r="K1" s="140"/>
    </row>
    <row r="2" spans="1:17" ht="15" thickBot="1" x14ac:dyDescent="0.35">
      <c r="A2" s="115" t="s">
        <v>162</v>
      </c>
      <c r="B2" s="115"/>
    </row>
    <row r="3" spans="1:17" ht="16.05" customHeight="1" thickTop="1" x14ac:dyDescent="0.3">
      <c r="A3" s="143"/>
      <c r="B3" s="144" t="s">
        <v>231</v>
      </c>
      <c r="C3" s="917" t="s">
        <v>163</v>
      </c>
      <c r="D3" s="918"/>
      <c r="E3" s="918"/>
      <c r="F3" s="918"/>
      <c r="G3" s="918"/>
      <c r="H3" s="918"/>
      <c r="I3" s="918"/>
      <c r="J3" s="919"/>
      <c r="K3" s="923" t="s">
        <v>232</v>
      </c>
      <c r="L3" s="924"/>
      <c r="M3" s="924"/>
      <c r="N3" s="924"/>
      <c r="O3" s="924"/>
    </row>
    <row r="4" spans="1:17" ht="31.95" customHeight="1" x14ac:dyDescent="0.3">
      <c r="A4" s="90"/>
      <c r="B4" s="603" t="s">
        <v>476</v>
      </c>
      <c r="C4" s="920"/>
      <c r="D4" s="921"/>
      <c r="E4" s="921"/>
      <c r="F4" s="921"/>
      <c r="G4" s="921"/>
      <c r="H4" s="921"/>
      <c r="I4" s="921"/>
      <c r="J4" s="922"/>
      <c r="K4" s="925"/>
      <c r="L4" s="926"/>
      <c r="M4" s="926"/>
      <c r="N4" s="926"/>
      <c r="O4" s="926"/>
    </row>
    <row r="5" spans="1:17" ht="38.25" customHeight="1" x14ac:dyDescent="0.3">
      <c r="A5" s="896" t="s">
        <v>164</v>
      </c>
      <c r="B5" s="898" t="s">
        <v>165</v>
      </c>
      <c r="C5" s="902" t="s">
        <v>223</v>
      </c>
      <c r="D5" s="749" t="s">
        <v>513</v>
      </c>
      <c r="E5" s="690" t="s">
        <v>490</v>
      </c>
      <c r="F5" s="120" t="s">
        <v>486</v>
      </c>
      <c r="G5" s="616" t="s">
        <v>485</v>
      </c>
      <c r="H5" s="724" t="s">
        <v>370</v>
      </c>
      <c r="I5" s="120" t="s">
        <v>448</v>
      </c>
      <c r="J5" s="120" t="s">
        <v>375</v>
      </c>
      <c r="K5" s="690" t="s">
        <v>490</v>
      </c>
      <c r="L5" s="120" t="s">
        <v>486</v>
      </c>
      <c r="M5" s="616" t="s">
        <v>485</v>
      </c>
      <c r="N5" s="92" t="str">
        <f>+I5</f>
        <v>Biodiesel B5</v>
      </c>
      <c r="O5" s="611" t="s">
        <v>375</v>
      </c>
    </row>
    <row r="6" spans="1:17" x14ac:dyDescent="0.3">
      <c r="A6" s="896"/>
      <c r="B6" s="898"/>
      <c r="C6" s="903"/>
      <c r="D6" s="138">
        <v>0.02</v>
      </c>
      <c r="E6" s="138">
        <v>0.04</v>
      </c>
      <c r="F6" s="138">
        <v>0.05</v>
      </c>
      <c r="G6" s="617">
        <v>0.1</v>
      </c>
      <c r="H6" s="138">
        <v>0.02</v>
      </c>
      <c r="I6" s="138">
        <v>0.05</v>
      </c>
      <c r="J6" s="322">
        <v>0.1</v>
      </c>
      <c r="K6" s="480" t="s">
        <v>488</v>
      </c>
      <c r="L6" s="322">
        <v>0.05</v>
      </c>
      <c r="M6" s="617">
        <v>0.1</v>
      </c>
      <c r="N6" s="121">
        <f>+I6</f>
        <v>0.05</v>
      </c>
      <c r="O6" s="322">
        <v>0.1</v>
      </c>
    </row>
    <row r="7" spans="1:17" x14ac:dyDescent="0.3">
      <c r="A7" s="897"/>
      <c r="B7" s="899"/>
      <c r="C7" s="91" t="s">
        <v>166</v>
      </c>
      <c r="D7" s="749" t="s">
        <v>166</v>
      </c>
      <c r="E7" s="690" t="s">
        <v>166</v>
      </c>
      <c r="F7" s="120" t="s">
        <v>166</v>
      </c>
      <c r="G7" s="616" t="s">
        <v>166</v>
      </c>
      <c r="H7" s="724" t="s">
        <v>166</v>
      </c>
      <c r="I7" s="120" t="s">
        <v>166</v>
      </c>
      <c r="J7" s="120" t="s">
        <v>166</v>
      </c>
      <c r="K7" s="690" t="s">
        <v>166</v>
      </c>
      <c r="L7" s="91" t="s">
        <v>166</v>
      </c>
      <c r="M7" s="616" t="s">
        <v>166</v>
      </c>
      <c r="N7" s="92" t="s">
        <v>166</v>
      </c>
      <c r="O7" s="611" t="s">
        <v>166</v>
      </c>
      <c r="Q7" s="540"/>
    </row>
    <row r="8" spans="1:17" x14ac:dyDescent="0.3">
      <c r="A8" s="93" t="s">
        <v>167</v>
      </c>
      <c r="B8" s="99" t="s">
        <v>168</v>
      </c>
      <c r="C8" s="160">
        <f>+'Calculo IP ZDF'!B29</f>
        <v>4941.4874999999993</v>
      </c>
      <c r="D8" s="160">
        <f>+'Calculo IP ZDF'!G29</f>
        <v>5103.6219499999997</v>
      </c>
      <c r="E8" s="166">
        <f>+'Calculo IP ZDF'!H29</f>
        <v>5265.7563999999993</v>
      </c>
      <c r="F8" s="668">
        <f>+'Calculo IP ZDF'!I29</f>
        <v>5346.8236249999991</v>
      </c>
      <c r="G8" s="614">
        <f>+'Calculo IP ZDF'!K29</f>
        <v>5752.1597499999998</v>
      </c>
      <c r="H8" s="145">
        <f>+'Calculo IP ZDF'!F29</f>
        <v>3425.6193669999998</v>
      </c>
      <c r="I8" s="168">
        <f>+'Calculo IP ZDF'!R29</f>
        <v>3940.5996924999999</v>
      </c>
      <c r="J8" s="167">
        <f>+'Calculo IP ZDF'!M29</f>
        <v>4798.9002350000001</v>
      </c>
      <c r="K8" s="145">
        <f>+'GAS CTE'!E9</f>
        <v>5573.9283999999998</v>
      </c>
      <c r="L8" s="614">
        <f>+'GAS CTE'!F9</f>
        <v>5651.7855</v>
      </c>
      <c r="M8" s="614">
        <f>+'GAS CTE'!I9</f>
        <v>6041.0709999999999</v>
      </c>
      <c r="N8" s="170">
        <f>+BIODIESEL!G9</f>
        <v>5413.0529999999999</v>
      </c>
      <c r="O8" s="167">
        <f>+BIODIESEL!H9</f>
        <v>6193.8560000000007</v>
      </c>
    </row>
    <row r="9" spans="1:17" x14ac:dyDescent="0.3">
      <c r="A9" s="93" t="s">
        <v>169</v>
      </c>
      <c r="B9" s="99" t="s">
        <v>470</v>
      </c>
      <c r="C9" s="146" t="str">
        <f t="shared" ref="C9:C12" si="0">+F9</f>
        <v>------------------</v>
      </c>
      <c r="D9" s="739" t="s">
        <v>171</v>
      </c>
      <c r="E9" s="739" t="s">
        <v>171</v>
      </c>
      <c r="F9" s="666" t="s">
        <v>171</v>
      </c>
      <c r="G9" s="666" t="s">
        <v>171</v>
      </c>
      <c r="H9" s="739" t="s">
        <v>171</v>
      </c>
      <c r="I9" s="147" t="s">
        <v>171</v>
      </c>
      <c r="J9" s="98" t="s">
        <v>171</v>
      </c>
      <c r="K9" s="145">
        <f>+'GAS CTE'!E10</f>
        <v>562.79999999999995</v>
      </c>
      <c r="L9" s="614">
        <f>+'GAS CTE'!F10</f>
        <v>556.9375</v>
      </c>
      <c r="M9" s="614">
        <f>+'GAS CTE'!I10</f>
        <v>501.24375000000003</v>
      </c>
      <c r="N9" s="171">
        <f>+BIODIESEL!G10</f>
        <v>533.06399999999996</v>
      </c>
      <c r="O9" s="98" t="s">
        <v>171</v>
      </c>
    </row>
    <row r="10" spans="1:17" x14ac:dyDescent="0.3">
      <c r="A10" s="93"/>
      <c r="B10" s="99" t="s">
        <v>129</v>
      </c>
      <c r="C10" s="146" t="str">
        <f>+F10</f>
        <v>------------------</v>
      </c>
      <c r="D10" s="739" t="s">
        <v>171</v>
      </c>
      <c r="E10" s="739" t="s">
        <v>171</v>
      </c>
      <c r="F10" s="666" t="s">
        <v>171</v>
      </c>
      <c r="G10" s="666" t="s">
        <v>171</v>
      </c>
      <c r="H10" s="739" t="s">
        <v>171</v>
      </c>
      <c r="I10" s="147" t="s">
        <v>171</v>
      </c>
      <c r="J10" s="98" t="s">
        <v>171</v>
      </c>
      <c r="K10" s="145" t="s">
        <v>130</v>
      </c>
      <c r="L10" s="667" t="e">
        <f>+#REF!</f>
        <v>#REF!</v>
      </c>
      <c r="M10" s="667" t="s">
        <v>130</v>
      </c>
      <c r="N10" s="171" t="str">
        <f>+BIODIESEL!H11</f>
        <v>(3)</v>
      </c>
      <c r="O10" s="98" t="s">
        <v>171</v>
      </c>
    </row>
    <row r="11" spans="1:17" x14ac:dyDescent="0.3">
      <c r="A11" s="93"/>
      <c r="B11" s="99" t="s">
        <v>131</v>
      </c>
      <c r="C11" s="146">
        <f>+'GAS CTE'!C12</f>
        <v>169</v>
      </c>
      <c r="D11" s="739">
        <f>+'GAS CTE'!D12</f>
        <v>165.62</v>
      </c>
      <c r="E11" s="739">
        <f>+'GAS CTE'!E12</f>
        <v>162.23999999999998</v>
      </c>
      <c r="F11" s="666">
        <f>+'GAS CTE'!F12</f>
        <v>160.54999999999998</v>
      </c>
      <c r="G11" s="619">
        <f>+'GAS CTE'!I12</f>
        <v>144.49499999999998</v>
      </c>
      <c r="H11" s="532">
        <f>+BIODIESEL!E12</f>
        <v>187.18</v>
      </c>
      <c r="I11" s="147">
        <f>+BIODIESEL!G12</f>
        <v>181.45</v>
      </c>
      <c r="J11" s="98">
        <f>+BIODIESEL!H12</f>
        <v>171.9</v>
      </c>
      <c r="K11" s="145">
        <f>+E11</f>
        <v>162.23999999999998</v>
      </c>
      <c r="L11" s="614">
        <f>+F11</f>
        <v>160.54999999999998</v>
      </c>
      <c r="M11" s="614">
        <f>+G11</f>
        <v>144.49499999999998</v>
      </c>
      <c r="N11" s="167">
        <f>+BIODIESEL!G12</f>
        <v>181.45</v>
      </c>
      <c r="O11" s="98">
        <f>+BIODIESEL!H12</f>
        <v>171.9</v>
      </c>
    </row>
    <row r="12" spans="1:17" x14ac:dyDescent="0.3">
      <c r="A12" s="93" t="s">
        <v>172</v>
      </c>
      <c r="B12" s="99" t="s">
        <v>293</v>
      </c>
      <c r="C12" s="146" t="str">
        <f t="shared" si="0"/>
        <v>(2)</v>
      </c>
      <c r="D12" s="146" t="s">
        <v>200</v>
      </c>
      <c r="E12" s="146" t="str">
        <f>+C12</f>
        <v>(2)</v>
      </c>
      <c r="F12" s="627" t="s">
        <v>200</v>
      </c>
      <c r="G12" s="627" t="s">
        <v>200</v>
      </c>
      <c r="H12" s="128" t="s">
        <v>200</v>
      </c>
      <c r="I12" s="97" t="s">
        <v>200</v>
      </c>
      <c r="J12" s="98" t="s">
        <v>200</v>
      </c>
      <c r="K12" s="145" t="str">
        <f>+I12</f>
        <v>(2)</v>
      </c>
      <c r="L12" s="614" t="str">
        <f>+J12</f>
        <v>(2)</v>
      </c>
      <c r="M12" s="614" t="s">
        <v>200</v>
      </c>
      <c r="N12" s="170" t="s">
        <v>200</v>
      </c>
      <c r="O12" s="98" t="s">
        <v>200</v>
      </c>
    </row>
    <row r="13" spans="1:17" x14ac:dyDescent="0.3">
      <c r="A13" s="93" t="s">
        <v>174</v>
      </c>
      <c r="B13" s="99" t="s">
        <v>175</v>
      </c>
      <c r="C13" s="146">
        <f>+RUBROS!AC14</f>
        <v>10.866833607342301</v>
      </c>
      <c r="D13" s="146">
        <f>+C13</f>
        <v>10.866833607342301</v>
      </c>
      <c r="E13" s="146">
        <f>+C13</f>
        <v>10.866833607342301</v>
      </c>
      <c r="F13" s="627">
        <f>+C13</f>
        <v>10.866833607342301</v>
      </c>
      <c r="G13" s="620">
        <f>+C13</f>
        <v>10.866833607342301</v>
      </c>
      <c r="H13" s="156">
        <f>+C13</f>
        <v>10.866833607342301</v>
      </c>
      <c r="I13" s="97">
        <f>+F13</f>
        <v>10.866833607342301</v>
      </c>
      <c r="J13" s="98">
        <f>+I13</f>
        <v>10.866833607342301</v>
      </c>
      <c r="K13" s="145">
        <f>+RUBROS!$AD$14</f>
        <v>23.500029293035123</v>
      </c>
      <c r="L13" s="614">
        <f>+RUBROS!$AD$14</f>
        <v>23.500029293035123</v>
      </c>
      <c r="M13" s="614">
        <f>+RUBROS!$AD$14</f>
        <v>23.500029293035123</v>
      </c>
      <c r="N13" s="170">
        <f>+L13</f>
        <v>23.500029293035123</v>
      </c>
      <c r="O13" s="98">
        <f>+N13</f>
        <v>23.500029293035123</v>
      </c>
    </row>
    <row r="14" spans="1:17" x14ac:dyDescent="0.3">
      <c r="A14" s="93" t="s">
        <v>176</v>
      </c>
      <c r="B14" s="99" t="s">
        <v>177</v>
      </c>
      <c r="C14" s="146">
        <f>+RUBROS!AC50</f>
        <v>112.5832368093597</v>
      </c>
      <c r="D14" s="146">
        <f>+C14</f>
        <v>112.5832368093597</v>
      </c>
      <c r="E14" s="146">
        <f>+C14</f>
        <v>112.5832368093597</v>
      </c>
      <c r="F14" s="627">
        <f>+C14</f>
        <v>112.5832368093597</v>
      </c>
      <c r="G14" s="620">
        <f>+C14</f>
        <v>112.5832368093597</v>
      </c>
      <c r="H14" s="156">
        <f>+C14</f>
        <v>112.5832368093597</v>
      </c>
      <c r="I14" s="97">
        <f>+C14</f>
        <v>112.5832368093597</v>
      </c>
      <c r="J14" s="98">
        <f>+C14</f>
        <v>112.5832368093597</v>
      </c>
      <c r="K14" s="145">
        <f>+RUBROS!$AD$50</f>
        <v>112.5832368093597</v>
      </c>
      <c r="L14" s="614">
        <f>+RUBROS!$AD$50</f>
        <v>112.5832368093597</v>
      </c>
      <c r="M14" s="614">
        <f>+RUBROS!$AD$50</f>
        <v>112.5832368093597</v>
      </c>
      <c r="N14" s="170">
        <f>+L14</f>
        <v>112.5832368093597</v>
      </c>
      <c r="O14" s="98">
        <f>+J14</f>
        <v>112.5832368093597</v>
      </c>
    </row>
    <row r="15" spans="1:17" x14ac:dyDescent="0.3">
      <c r="A15" s="93" t="s">
        <v>178</v>
      </c>
      <c r="B15" s="165" t="s">
        <v>179</v>
      </c>
      <c r="C15" s="146">
        <f>+RUBROS!AU28</f>
        <v>13.326421256197724</v>
      </c>
      <c r="D15" s="146">
        <f>+C15</f>
        <v>13.326421256197724</v>
      </c>
      <c r="E15" s="146">
        <f>+C15</f>
        <v>13.326421256197724</v>
      </c>
      <c r="F15" s="627">
        <f>+C15</f>
        <v>13.326421256197724</v>
      </c>
      <c r="G15" s="97">
        <f>+C15</f>
        <v>13.326421256197724</v>
      </c>
      <c r="H15" s="148">
        <f>+C15</f>
        <v>13.326421256197724</v>
      </c>
      <c r="I15" s="148">
        <f>+C15</f>
        <v>13.326421256197724</v>
      </c>
      <c r="J15" s="98">
        <f>+C15</f>
        <v>13.326421256197724</v>
      </c>
      <c r="K15" s="145">
        <f>+C15</f>
        <v>13.326421256197724</v>
      </c>
      <c r="L15" s="614">
        <f>+C15</f>
        <v>13.326421256197724</v>
      </c>
      <c r="M15" s="614">
        <f>+G15</f>
        <v>13.326421256197724</v>
      </c>
      <c r="N15" s="170">
        <f>+L15</f>
        <v>13.326421256197724</v>
      </c>
      <c r="O15" s="98">
        <f>+J15</f>
        <v>13.326421256197724</v>
      </c>
    </row>
    <row r="16" spans="1:17" hidden="1" x14ac:dyDescent="0.3">
      <c r="A16" s="93"/>
      <c r="B16" s="99" t="s">
        <v>180</v>
      </c>
      <c r="C16" s="146"/>
      <c r="D16" s="517"/>
      <c r="E16" s="517"/>
      <c r="F16" s="273"/>
      <c r="G16" s="150"/>
      <c r="H16" s="150"/>
      <c r="I16" s="150"/>
      <c r="J16" s="613"/>
      <c r="K16" s="614"/>
      <c r="L16" s="145"/>
      <c r="M16" s="520"/>
      <c r="N16" s="172"/>
      <c r="O16" s="613"/>
    </row>
    <row r="17" spans="1:19" x14ac:dyDescent="0.3">
      <c r="A17" s="100" t="s">
        <v>181</v>
      </c>
      <c r="B17" s="129" t="s">
        <v>182</v>
      </c>
      <c r="C17" s="151">
        <f t="shared" ref="C17:N17" si="1">SUM(C8:C16)</f>
        <v>5247.2639916728995</v>
      </c>
      <c r="D17" s="151">
        <f t="shared" si="1"/>
        <v>5406.0184416728998</v>
      </c>
      <c r="E17" s="151">
        <f t="shared" si="1"/>
        <v>5564.7728916728993</v>
      </c>
      <c r="F17" s="274">
        <f t="shared" si="1"/>
        <v>5644.1501166728995</v>
      </c>
      <c r="G17" s="274">
        <f t="shared" si="1"/>
        <v>6033.4312416728999</v>
      </c>
      <c r="H17" s="274">
        <f t="shared" si="1"/>
        <v>3749.5758586728994</v>
      </c>
      <c r="I17" s="152">
        <f t="shared" si="1"/>
        <v>4258.8261841729</v>
      </c>
      <c r="J17" s="152">
        <f t="shared" si="1"/>
        <v>5107.5767266728999</v>
      </c>
      <c r="K17" s="154">
        <f t="shared" si="1"/>
        <v>6448.3780873585929</v>
      </c>
      <c r="L17" s="154" t="e">
        <f t="shared" si="1"/>
        <v>#REF!</v>
      </c>
      <c r="M17" s="274">
        <f t="shared" si="1"/>
        <v>6836.2194373585926</v>
      </c>
      <c r="N17" s="173">
        <f t="shared" si="1"/>
        <v>6276.9766873585932</v>
      </c>
      <c r="O17" s="152">
        <f t="shared" ref="O17" si="2">SUM(O8:O16)</f>
        <v>6515.1656873585935</v>
      </c>
    </row>
    <row r="18" spans="1:19" x14ac:dyDescent="0.3">
      <c r="A18" s="93" t="s">
        <v>183</v>
      </c>
      <c r="B18" s="99" t="s">
        <v>184</v>
      </c>
      <c r="C18" s="146" t="s">
        <v>214</v>
      </c>
      <c r="D18" s="146" t="s">
        <v>214</v>
      </c>
      <c r="E18" s="146" t="s">
        <v>214</v>
      </c>
      <c r="F18" s="275" t="str">
        <f>+C18</f>
        <v>***</v>
      </c>
      <c r="G18" s="275" t="str">
        <f>+F18</f>
        <v>***</v>
      </c>
      <c r="H18" s="275" t="str">
        <f>+G18</f>
        <v>***</v>
      </c>
      <c r="I18" s="155" t="str">
        <f>+C18</f>
        <v>***</v>
      </c>
      <c r="J18" s="98" t="str">
        <f>+C18</f>
        <v>***</v>
      </c>
      <c r="K18" s="148" t="str">
        <f t="shared" ref="K18:M19" si="3">+M18</f>
        <v>***</v>
      </c>
      <c r="L18" s="148" t="str">
        <f t="shared" si="3"/>
        <v>***</v>
      </c>
      <c r="M18" s="148" t="str">
        <f t="shared" si="3"/>
        <v>***</v>
      </c>
      <c r="N18" s="174" t="s">
        <v>214</v>
      </c>
      <c r="O18" s="98" t="str">
        <f>+J18</f>
        <v>***</v>
      </c>
      <c r="P18" s="19"/>
    </row>
    <row r="19" spans="1:19" x14ac:dyDescent="0.3">
      <c r="A19" s="93" t="s">
        <v>185</v>
      </c>
      <c r="B19" s="99" t="s">
        <v>186</v>
      </c>
      <c r="C19" s="146" t="str">
        <f>+F19</f>
        <v>**</v>
      </c>
      <c r="D19" s="146" t="str">
        <f>+G19</f>
        <v>**</v>
      </c>
      <c r="E19" s="146" t="str">
        <f>+G19</f>
        <v>**</v>
      </c>
      <c r="F19" s="128" t="s">
        <v>212</v>
      </c>
      <c r="G19" s="128" t="s">
        <v>212</v>
      </c>
      <c r="H19" s="128" t="s">
        <v>212</v>
      </c>
      <c r="I19" s="156" t="s">
        <v>212</v>
      </c>
      <c r="J19" s="98" t="s">
        <v>212</v>
      </c>
      <c r="K19" s="148" t="str">
        <f t="shared" si="3"/>
        <v>**</v>
      </c>
      <c r="L19" s="148" t="str">
        <f t="shared" si="3"/>
        <v>**</v>
      </c>
      <c r="M19" s="148" t="str">
        <f t="shared" si="3"/>
        <v>**</v>
      </c>
      <c r="N19" s="167" t="s">
        <v>212</v>
      </c>
      <c r="O19" s="98" t="s">
        <v>212</v>
      </c>
    </row>
    <row r="20" spans="1:19" x14ac:dyDescent="0.3">
      <c r="A20" s="93" t="s">
        <v>187</v>
      </c>
      <c r="B20" s="99" t="s">
        <v>188</v>
      </c>
      <c r="C20" s="146" t="str">
        <f>+F20</f>
        <v>****</v>
      </c>
      <c r="D20" s="146" t="str">
        <f>+G20</f>
        <v>****</v>
      </c>
      <c r="E20" s="146" t="str">
        <f>+G20</f>
        <v>****</v>
      </c>
      <c r="F20" s="122" t="s">
        <v>216</v>
      </c>
      <c r="G20" s="122" t="s">
        <v>216</v>
      </c>
      <c r="H20" s="122" t="s">
        <v>216</v>
      </c>
      <c r="I20" s="97" t="str">
        <f>+F20</f>
        <v>****</v>
      </c>
      <c r="J20" s="98" t="str">
        <f>+I20</f>
        <v>****</v>
      </c>
      <c r="K20" s="148" t="str">
        <f>+I20</f>
        <v>****</v>
      </c>
      <c r="L20" s="148" t="str">
        <f>+J20</f>
        <v>****</v>
      </c>
      <c r="M20" s="148" t="str">
        <f>+L20</f>
        <v>****</v>
      </c>
      <c r="N20" s="170" t="str">
        <f>+J20</f>
        <v>****</v>
      </c>
      <c r="O20" s="98" t="str">
        <f>+N20</f>
        <v>****</v>
      </c>
    </row>
    <row r="21" spans="1:19" x14ac:dyDescent="0.3">
      <c r="A21" s="100" t="s">
        <v>189</v>
      </c>
      <c r="B21" s="129" t="s">
        <v>190</v>
      </c>
      <c r="C21" s="151">
        <f t="shared" ref="C21:N21" si="4">+C17</f>
        <v>5247.2639916728995</v>
      </c>
      <c r="D21" s="151">
        <f t="shared" ref="D21" si="5">+D17</f>
        <v>5406.0184416728998</v>
      </c>
      <c r="E21" s="151">
        <f t="shared" ref="E21" si="6">+E17</f>
        <v>5564.7728916728993</v>
      </c>
      <c r="F21" s="276">
        <f t="shared" si="4"/>
        <v>5644.1501166728995</v>
      </c>
      <c r="G21" s="276">
        <f t="shared" ref="G21:H21" si="7">+G17</f>
        <v>6033.4312416728999</v>
      </c>
      <c r="H21" s="276">
        <f t="shared" si="7"/>
        <v>3749.5758586728994</v>
      </c>
      <c r="I21" s="151">
        <f t="shared" si="4"/>
        <v>4258.8261841729</v>
      </c>
      <c r="J21" s="151">
        <f t="shared" si="4"/>
        <v>5107.5767266728999</v>
      </c>
      <c r="K21" s="151">
        <f t="shared" ref="K21" si="8">+K17</f>
        <v>6448.3780873585929</v>
      </c>
      <c r="L21" s="151" t="e">
        <f t="shared" si="4"/>
        <v>#REF!</v>
      </c>
      <c r="M21" s="151">
        <f t="shared" ref="M21" si="9">+M17</f>
        <v>6836.2194373585926</v>
      </c>
      <c r="N21" s="169">
        <f t="shared" si="4"/>
        <v>6276.9766873585932</v>
      </c>
      <c r="O21" s="151">
        <f t="shared" ref="O21" si="10">+O17</f>
        <v>6515.1656873585935</v>
      </c>
    </row>
    <row r="22" spans="1:19" x14ac:dyDescent="0.3">
      <c r="A22" s="93" t="s">
        <v>191</v>
      </c>
      <c r="B22" s="99" t="s">
        <v>150</v>
      </c>
      <c r="C22" s="146" t="s">
        <v>214</v>
      </c>
      <c r="D22" s="146" t="s">
        <v>214</v>
      </c>
      <c r="E22" s="146" t="s">
        <v>214</v>
      </c>
      <c r="F22" s="122" t="str">
        <f>+C22</f>
        <v>***</v>
      </c>
      <c r="G22" s="122" t="str">
        <f>+F22</f>
        <v>***</v>
      </c>
      <c r="H22" s="122" t="str">
        <f>+G22</f>
        <v>***</v>
      </c>
      <c r="I22" s="97" t="str">
        <f>+F22</f>
        <v>***</v>
      </c>
      <c r="J22" s="98" t="str">
        <f>+I22</f>
        <v>***</v>
      </c>
      <c r="K22" s="148" t="str">
        <f>+M22</f>
        <v>***</v>
      </c>
      <c r="L22" s="148" t="str">
        <f>+N22</f>
        <v>***</v>
      </c>
      <c r="M22" s="148" t="str">
        <f>+O22</f>
        <v>***</v>
      </c>
      <c r="N22" s="170" t="s">
        <v>214</v>
      </c>
      <c r="O22" s="98" t="str">
        <f>+N22</f>
        <v>***</v>
      </c>
    </row>
    <row r="23" spans="1:19" x14ac:dyDescent="0.3">
      <c r="A23" s="93" t="s">
        <v>192</v>
      </c>
      <c r="B23" s="94" t="s">
        <v>193</v>
      </c>
      <c r="C23" s="146" t="str">
        <f>+F23</f>
        <v>*****</v>
      </c>
      <c r="D23" s="146" t="str">
        <f>+G23</f>
        <v>*****</v>
      </c>
      <c r="E23" s="146" t="str">
        <f>+G23</f>
        <v>*****</v>
      </c>
      <c r="F23" s="122" t="s">
        <v>218</v>
      </c>
      <c r="G23" s="122" t="s">
        <v>218</v>
      </c>
      <c r="H23" s="122" t="s">
        <v>218</v>
      </c>
      <c r="I23" s="97" t="s">
        <v>236</v>
      </c>
      <c r="J23" s="98" t="s">
        <v>194</v>
      </c>
      <c r="K23" s="148" t="str">
        <f>+E23</f>
        <v>*****</v>
      </c>
      <c r="L23" s="148" t="str">
        <f>+F23</f>
        <v>*****</v>
      </c>
      <c r="M23" s="148" t="str">
        <f>+G23</f>
        <v>*****</v>
      </c>
      <c r="N23" s="170" t="s">
        <v>237</v>
      </c>
      <c r="O23" s="98" t="s">
        <v>194</v>
      </c>
    </row>
    <row r="24" spans="1:19" x14ac:dyDescent="0.3">
      <c r="A24" s="93" t="s">
        <v>195</v>
      </c>
      <c r="B24" s="99" t="s">
        <v>196</v>
      </c>
      <c r="C24" s="146" t="str">
        <f>+F24</f>
        <v>******</v>
      </c>
      <c r="D24" s="146" t="str">
        <f>+G24</f>
        <v>******</v>
      </c>
      <c r="E24" s="146" t="str">
        <f>+G24</f>
        <v>******</v>
      </c>
      <c r="F24" s="156" t="s">
        <v>219</v>
      </c>
      <c r="G24" s="156" t="s">
        <v>219</v>
      </c>
      <c r="H24" s="156" t="s">
        <v>219</v>
      </c>
      <c r="I24" s="156" t="str">
        <f>+F24</f>
        <v>******</v>
      </c>
      <c r="J24" s="98" t="str">
        <f>+I24</f>
        <v>******</v>
      </c>
      <c r="K24" s="148" t="str">
        <f>+I24</f>
        <v>******</v>
      </c>
      <c r="L24" s="148" t="str">
        <f>+J24</f>
        <v>******</v>
      </c>
      <c r="M24" s="148" t="str">
        <f>+L24</f>
        <v>******</v>
      </c>
      <c r="N24" s="167" t="str">
        <f>+L24</f>
        <v>******</v>
      </c>
      <c r="O24" s="98" t="str">
        <f>+N24</f>
        <v>******</v>
      </c>
    </row>
    <row r="25" spans="1:19" ht="15" thickBot="1" x14ac:dyDescent="0.35">
      <c r="A25" s="104" t="s">
        <v>197</v>
      </c>
      <c r="B25" s="105" t="s">
        <v>198</v>
      </c>
      <c r="C25" s="157"/>
      <c r="D25" s="157"/>
      <c r="E25" s="157"/>
      <c r="F25" s="108"/>
      <c r="G25" s="158"/>
      <c r="H25" s="158"/>
      <c r="I25" s="158"/>
      <c r="J25" s="107"/>
      <c r="K25" s="158"/>
      <c r="L25" s="158"/>
      <c r="M25" s="158"/>
      <c r="N25" s="175"/>
      <c r="O25" s="107"/>
    </row>
    <row r="26" spans="1:19" ht="15" thickTop="1" x14ac:dyDescent="0.3">
      <c r="J26" s="540"/>
      <c r="O26" s="142"/>
    </row>
    <row r="27" spans="1:19" x14ac:dyDescent="0.3">
      <c r="A27" s="112"/>
      <c r="B27" s="210" t="s">
        <v>210</v>
      </c>
      <c r="C27" s="162"/>
      <c r="D27" s="162"/>
      <c r="E27" s="162"/>
      <c r="F27" s="162"/>
      <c r="G27" s="162"/>
      <c r="H27" s="162"/>
      <c r="I27" s="162"/>
      <c r="J27" s="162"/>
      <c r="K27" s="162"/>
      <c r="L27" s="142"/>
      <c r="M27" s="142"/>
      <c r="N27" s="142"/>
      <c r="O27" s="142"/>
      <c r="P27" s="142"/>
      <c r="Q27" s="142"/>
      <c r="R27" s="142"/>
      <c r="S27" s="142"/>
    </row>
    <row r="28" spans="1:19" x14ac:dyDescent="0.3">
      <c r="A28" s="112"/>
      <c r="B28" s="133"/>
      <c r="C28" s="162"/>
      <c r="D28" s="162"/>
      <c r="E28" s="162"/>
      <c r="F28" s="162"/>
      <c r="G28" s="162"/>
      <c r="H28" s="162"/>
      <c r="I28" s="162"/>
      <c r="J28" s="162"/>
      <c r="K28" s="162"/>
      <c r="L28" s="142"/>
      <c r="M28" s="142"/>
      <c r="N28" s="142"/>
      <c r="O28" s="142"/>
      <c r="P28" s="142"/>
      <c r="Q28" s="142"/>
      <c r="R28" s="142"/>
      <c r="S28" s="142"/>
    </row>
    <row r="29" spans="1:19" ht="27" customHeight="1" x14ac:dyDescent="0.3">
      <c r="A29" s="112" t="s">
        <v>173</v>
      </c>
      <c r="B29" s="915" t="str">
        <f>+AMAZONAS!B29</f>
        <v>De acuerdo con lo establecido en la Resoluccion 91349 de 2014 del MME para combustible de origen nacional o importado a ser distribuido en zonas de frontera, aplica la tarifa de marcación o remarcación vigente a la fecha según corresponda</v>
      </c>
      <c r="C29" s="915"/>
      <c r="D29" s="915"/>
      <c r="E29" s="915"/>
      <c r="F29" s="915"/>
      <c r="G29" s="915"/>
      <c r="H29" s="915"/>
      <c r="I29" s="915"/>
      <c r="J29" s="915"/>
      <c r="K29" s="915"/>
      <c r="L29" s="915"/>
      <c r="M29" s="915"/>
      <c r="N29" s="915"/>
      <c r="O29" s="915"/>
      <c r="P29" s="163"/>
      <c r="Q29" s="163"/>
      <c r="R29" s="163"/>
      <c r="S29" s="163"/>
    </row>
    <row r="30" spans="1:19" ht="25.5" customHeight="1" x14ac:dyDescent="0.3">
      <c r="A30" s="112" t="s">
        <v>200</v>
      </c>
      <c r="B30" s="915" t="s">
        <v>251</v>
      </c>
      <c r="C30" s="915"/>
      <c r="D30" s="915"/>
      <c r="E30" s="915"/>
      <c r="F30" s="915"/>
      <c r="G30" s="915"/>
      <c r="H30" s="915"/>
      <c r="I30" s="915"/>
      <c r="J30" s="915"/>
      <c r="K30" s="915"/>
      <c r="L30" s="915"/>
      <c r="M30" s="915"/>
      <c r="N30" s="915"/>
      <c r="O30" s="915"/>
      <c r="P30" s="142"/>
      <c r="Q30" s="142"/>
      <c r="R30" s="142"/>
      <c r="S30" s="142"/>
    </row>
    <row r="31" spans="1:19" ht="52.05" customHeight="1" x14ac:dyDescent="0.3">
      <c r="A31" s="112" t="s">
        <v>130</v>
      </c>
      <c r="B31" s="915" t="s">
        <v>307</v>
      </c>
      <c r="C31" s="915"/>
      <c r="D31" s="915"/>
      <c r="E31" s="915"/>
      <c r="F31" s="915"/>
      <c r="G31" s="915"/>
      <c r="H31" s="915"/>
      <c r="I31" s="915"/>
      <c r="J31" s="915"/>
      <c r="K31" s="915"/>
      <c r="L31" s="915"/>
      <c r="M31" s="915"/>
      <c r="N31" s="915"/>
      <c r="O31" s="915"/>
      <c r="P31" s="142"/>
      <c r="Q31" s="142"/>
      <c r="R31" s="142"/>
      <c r="S31" s="142"/>
    </row>
    <row r="32" spans="1:19" x14ac:dyDescent="0.3">
      <c r="A32" s="112"/>
      <c r="B32" s="133"/>
      <c r="C32" s="162"/>
      <c r="D32" s="162"/>
      <c r="E32" s="162"/>
      <c r="F32" s="162"/>
      <c r="G32" s="162"/>
      <c r="H32" s="162"/>
      <c r="I32" s="162"/>
      <c r="J32" s="162"/>
      <c r="K32" s="162"/>
      <c r="L32" s="142"/>
      <c r="M32" s="142"/>
      <c r="N32" s="142"/>
      <c r="O32" s="142"/>
      <c r="P32" s="142"/>
      <c r="Q32" s="142"/>
      <c r="R32" s="142"/>
      <c r="S32" s="142"/>
    </row>
    <row r="33" spans="1:19" s="540" customFormat="1" ht="21.15" customHeight="1" x14ac:dyDescent="0.3">
      <c r="A33" s="112"/>
      <c r="B33" s="915"/>
      <c r="C33" s="915"/>
      <c r="D33" s="915"/>
      <c r="E33" s="915"/>
      <c r="F33" s="915"/>
      <c r="G33" s="915"/>
      <c r="H33" s="915"/>
      <c r="I33" s="915"/>
      <c r="J33" s="915"/>
      <c r="K33" s="915"/>
      <c r="L33" s="915"/>
      <c r="M33" s="915"/>
      <c r="N33" s="915"/>
      <c r="O33" s="915"/>
      <c r="P33" s="142"/>
      <c r="Q33" s="142"/>
      <c r="R33" s="142"/>
      <c r="S33" s="142"/>
    </row>
    <row r="34" spans="1:19" ht="15" customHeight="1" x14ac:dyDescent="0.3">
      <c r="A34" s="134" t="s">
        <v>102</v>
      </c>
      <c r="B34" s="892" t="s">
        <v>211</v>
      </c>
      <c r="C34" s="892"/>
      <c r="D34" s="892"/>
      <c r="E34" s="892"/>
      <c r="F34" s="892"/>
      <c r="G34" s="892"/>
      <c r="H34" s="892"/>
      <c r="I34" s="892"/>
      <c r="J34" s="892"/>
      <c r="K34" s="892"/>
      <c r="L34" s="892"/>
      <c r="M34" s="892"/>
      <c r="N34" s="892"/>
      <c r="O34" s="892"/>
      <c r="P34" s="142"/>
      <c r="Q34" s="142"/>
      <c r="R34" s="142"/>
      <c r="S34" s="142"/>
    </row>
    <row r="35" spans="1:19" ht="15" customHeight="1" x14ac:dyDescent="0.3">
      <c r="A35" s="134" t="s">
        <v>212</v>
      </c>
      <c r="B35" s="915" t="s">
        <v>240</v>
      </c>
      <c r="C35" s="915"/>
      <c r="D35" s="915"/>
      <c r="E35" s="915"/>
      <c r="F35" s="915"/>
      <c r="G35" s="915"/>
      <c r="H35" s="915"/>
      <c r="I35" s="915"/>
      <c r="J35" s="915"/>
      <c r="K35" s="915"/>
      <c r="L35" s="915"/>
      <c r="M35" s="915"/>
      <c r="N35" s="915"/>
      <c r="O35" s="915"/>
      <c r="P35" s="142"/>
      <c r="Q35" s="142"/>
      <c r="R35" s="142"/>
      <c r="S35" s="142"/>
    </row>
    <row r="36" spans="1:19" ht="15" customHeight="1" x14ac:dyDescent="0.3">
      <c r="A36" s="112" t="s">
        <v>214</v>
      </c>
      <c r="B36" s="915" t="s">
        <v>215</v>
      </c>
      <c r="C36" s="915"/>
      <c r="D36" s="915"/>
      <c r="E36" s="915"/>
      <c r="F36" s="915"/>
      <c r="G36" s="915"/>
      <c r="H36" s="915"/>
      <c r="I36" s="915"/>
      <c r="J36" s="915"/>
      <c r="K36" s="915"/>
      <c r="L36" s="915"/>
      <c r="M36" s="915"/>
      <c r="N36" s="915"/>
      <c r="O36" s="112"/>
      <c r="P36" s="892"/>
      <c r="Q36" s="892"/>
      <c r="R36" s="892"/>
      <c r="S36" s="892"/>
    </row>
    <row r="37" spans="1:19" ht="19.649999999999999" customHeight="1" x14ac:dyDescent="0.3">
      <c r="A37" s="112" t="s">
        <v>216</v>
      </c>
      <c r="B37" s="892" t="s">
        <v>429</v>
      </c>
      <c r="C37" s="892"/>
      <c r="D37" s="892"/>
      <c r="E37" s="892"/>
      <c r="F37" s="892"/>
      <c r="G37" s="892"/>
      <c r="H37" s="892"/>
      <c r="I37" s="892"/>
      <c r="J37" s="892"/>
      <c r="K37" s="892"/>
      <c r="L37" s="892"/>
      <c r="M37" s="892"/>
      <c r="N37" s="892"/>
      <c r="O37" s="112"/>
      <c r="P37" s="113"/>
      <c r="Q37" s="113"/>
      <c r="R37" s="113"/>
      <c r="S37" s="113"/>
    </row>
    <row r="38" spans="1:19" ht="24" customHeight="1" x14ac:dyDescent="0.3">
      <c r="A38" s="134" t="s">
        <v>218</v>
      </c>
      <c r="B38" s="915" t="s">
        <v>220</v>
      </c>
      <c r="C38" s="915"/>
      <c r="D38" s="915"/>
      <c r="E38" s="915"/>
      <c r="F38" s="915"/>
      <c r="G38" s="915"/>
      <c r="H38" s="915"/>
      <c r="I38" s="915"/>
      <c r="J38" s="915"/>
      <c r="K38" s="915"/>
      <c r="L38" s="915"/>
      <c r="M38" s="915"/>
      <c r="N38" s="915"/>
      <c r="O38" s="915"/>
      <c r="P38" s="142"/>
      <c r="Q38" s="142"/>
      <c r="R38" s="142"/>
      <c r="S38" s="142"/>
    </row>
    <row r="39" spans="1:19" ht="26.4" customHeight="1" x14ac:dyDescent="0.3">
      <c r="A39" s="134" t="s">
        <v>219</v>
      </c>
      <c r="B39" s="915" t="s">
        <v>238</v>
      </c>
      <c r="C39" s="915"/>
      <c r="D39" s="915"/>
      <c r="E39" s="915"/>
      <c r="F39" s="915"/>
      <c r="G39" s="915"/>
      <c r="H39" s="915"/>
      <c r="I39" s="915"/>
      <c r="J39" s="915"/>
      <c r="K39" s="915"/>
      <c r="L39" s="915"/>
      <c r="M39" s="915"/>
      <c r="N39" s="915"/>
      <c r="O39" s="915"/>
      <c r="P39" s="142"/>
      <c r="Q39" s="142"/>
      <c r="R39" s="142"/>
      <c r="S39" s="142"/>
    </row>
    <row r="40" spans="1:19" ht="27.3" customHeight="1" x14ac:dyDescent="0.3">
      <c r="A40" s="134"/>
      <c r="B40" s="892" t="s">
        <v>432</v>
      </c>
      <c r="C40" s="892"/>
      <c r="D40" s="892"/>
      <c r="E40" s="892"/>
      <c r="F40" s="892"/>
      <c r="G40" s="892"/>
      <c r="H40" s="892"/>
      <c r="I40" s="892"/>
      <c r="J40" s="892"/>
      <c r="K40" s="892"/>
      <c r="L40" s="892"/>
      <c r="M40" s="892"/>
      <c r="N40" s="892"/>
      <c r="O40" s="892"/>
      <c r="P40" s="142"/>
      <c r="Q40" s="142"/>
      <c r="R40" s="142"/>
      <c r="S40" s="142"/>
    </row>
    <row r="42" spans="1:19" ht="88.05" customHeight="1" x14ac:dyDescent="0.3">
      <c r="A42" s="895" t="s">
        <v>137</v>
      </c>
      <c r="B42" s="895"/>
      <c r="C42" s="895"/>
      <c r="D42" s="895"/>
      <c r="E42" s="895"/>
      <c r="F42" s="895"/>
      <c r="G42" s="895"/>
      <c r="H42" s="895"/>
      <c r="I42" s="895"/>
      <c r="J42" s="895"/>
      <c r="K42" s="895"/>
      <c r="L42" s="895"/>
      <c r="M42" s="895"/>
      <c r="N42" s="895"/>
      <c r="O42" s="895"/>
    </row>
  </sheetData>
  <sheetProtection algorithmName="SHA-512" hashValue="nyq807rH/9Kv1SQKt/u4iKw6JX5WQX1i/xDngYbFJp2bTmIRrFFdEu1enidqlop8WL2PEGcrRCQuK6XVBDHKDQ==" saltValue="a2uVMvEicD8pPvV4vUjOHQ==" spinCount="100000" sheet="1" objects="1" scenarios="1"/>
  <mergeCells count="18">
    <mergeCell ref="A42:O42"/>
    <mergeCell ref="B34:O34"/>
    <mergeCell ref="B35:O35"/>
    <mergeCell ref="B38:O38"/>
    <mergeCell ref="B39:O39"/>
    <mergeCell ref="B36:N36"/>
    <mergeCell ref="B40:O40"/>
    <mergeCell ref="C3:J4"/>
    <mergeCell ref="B31:O31"/>
    <mergeCell ref="B29:O29"/>
    <mergeCell ref="B37:N37"/>
    <mergeCell ref="K3:O4"/>
    <mergeCell ref="A5:A7"/>
    <mergeCell ref="B5:B7"/>
    <mergeCell ref="C5:C6"/>
    <mergeCell ref="P36:S36"/>
    <mergeCell ref="B30:O30"/>
    <mergeCell ref="B33:O33"/>
  </mergeCells>
  <hyperlinks>
    <hyperlink ref="B27" location="ARAUCA!A42" display="Ver Nota Informativa" xr:uid="{00000000-0004-0000-0900-000000000000}"/>
  </hyperlinks>
  <pageMargins left="0.7" right="0.7" top="0.75" bottom="0.75" header="0.3" footer="0.3"/>
  <pageSetup orientation="portrait" r:id="rId1"/>
  <ignoredErrors>
    <ignoredError sqref="N22:N25 C11:C12 J11 F22:F25 L22:L25 C17:C25 I22:J25" formula="1"/>
    <ignoredError sqref="N12:N15 N17:N21 F17:F21 F12:F15 L17:L21 L15 L12 I12:J15 I17:J21" numberStoredAsText="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W41"/>
  <sheetViews>
    <sheetView showGridLines="0" zoomScale="80" zoomScaleNormal="80" workbookViewId="0">
      <selection activeCell="S7" sqref="S7"/>
    </sheetView>
  </sheetViews>
  <sheetFormatPr baseColWidth="10" defaultRowHeight="14.4" x14ac:dyDescent="0.3"/>
  <cols>
    <col min="1" max="1" width="6.109375" customWidth="1"/>
    <col min="2" max="2" width="46" customWidth="1"/>
    <col min="3" max="3" width="12.88671875" customWidth="1"/>
    <col min="4" max="4" width="12.88671875" style="540" hidden="1" customWidth="1"/>
    <col min="5" max="5" width="12.88671875" style="540" customWidth="1"/>
    <col min="6" max="6" width="10.109375" hidden="1" customWidth="1"/>
    <col min="7" max="7" width="12.88671875" style="540" hidden="1" customWidth="1"/>
    <col min="8" max="8" width="11.5546875" customWidth="1"/>
    <col min="9" max="9" width="11.88671875" style="540" customWidth="1"/>
    <col min="10" max="10" width="13.21875" hidden="1" customWidth="1"/>
    <col min="11" max="11" width="13.21875" style="540" customWidth="1"/>
    <col min="12" max="12" width="14.109375" hidden="1" customWidth="1"/>
    <col min="13" max="13" width="13.77734375" style="540" hidden="1" customWidth="1"/>
    <col min="14" max="14" width="13.77734375" style="540" customWidth="1"/>
    <col min="15" max="15" width="12.88671875" hidden="1" customWidth="1"/>
    <col min="16" max="16" width="14.21875" customWidth="1"/>
    <col min="17" max="17" width="0" hidden="1" customWidth="1"/>
  </cols>
  <sheetData>
    <row r="1" spans="1:17" x14ac:dyDescent="0.3">
      <c r="A1" s="88"/>
      <c r="B1" s="89" t="str">
        <f>+AMAZONAS!C1</f>
        <v>Vigencia: 01 de Octubre de 2022; 00:00 horas</v>
      </c>
      <c r="C1" s="89"/>
      <c r="D1" s="89"/>
      <c r="E1" s="89"/>
      <c r="F1" s="89"/>
      <c r="G1" s="89"/>
      <c r="H1" s="89"/>
      <c r="I1" s="89"/>
      <c r="J1" s="89"/>
      <c r="K1" s="89"/>
      <c r="L1" s="89"/>
      <c r="M1" s="89"/>
      <c r="N1" s="89"/>
      <c r="O1" s="89"/>
    </row>
    <row r="2" spans="1:17" ht="15" thickBot="1" x14ac:dyDescent="0.35">
      <c r="A2" s="176" t="s">
        <v>162</v>
      </c>
      <c r="B2" s="177"/>
      <c r="C2" s="177"/>
      <c r="D2" s="177"/>
      <c r="E2" s="177"/>
      <c r="F2" s="177"/>
      <c r="G2" s="177"/>
      <c r="H2" s="177"/>
      <c r="I2" s="177"/>
      <c r="J2" s="177"/>
      <c r="K2" s="177"/>
      <c r="L2" s="177"/>
      <c r="M2" s="177"/>
      <c r="N2" s="177"/>
      <c r="O2" s="177"/>
    </row>
    <row r="3" spans="1:17" ht="16.05" customHeight="1" thickTop="1" x14ac:dyDescent="0.3">
      <c r="A3" s="143"/>
      <c r="B3" s="118" t="s">
        <v>241</v>
      </c>
      <c r="C3" s="917" t="s">
        <v>163</v>
      </c>
      <c r="D3" s="918"/>
      <c r="E3" s="918"/>
      <c r="F3" s="918"/>
      <c r="G3" s="918"/>
      <c r="H3" s="918"/>
      <c r="I3" s="918"/>
      <c r="J3" s="919"/>
      <c r="K3" s="927" t="s">
        <v>232</v>
      </c>
      <c r="L3" s="928"/>
      <c r="M3" s="928"/>
      <c r="N3" s="928"/>
      <c r="O3" s="929"/>
    </row>
    <row r="4" spans="1:17" ht="27.6" x14ac:dyDescent="0.3">
      <c r="A4" s="90"/>
      <c r="B4" s="603" t="s">
        <v>476</v>
      </c>
      <c r="C4" s="920"/>
      <c r="D4" s="921"/>
      <c r="E4" s="921"/>
      <c r="F4" s="921"/>
      <c r="G4" s="921"/>
      <c r="H4" s="921"/>
      <c r="I4" s="921"/>
      <c r="J4" s="922"/>
      <c r="K4" s="930"/>
      <c r="L4" s="931"/>
      <c r="M4" s="931"/>
      <c r="N4" s="931"/>
      <c r="O4" s="932"/>
    </row>
    <row r="5" spans="1:17" ht="27.75" customHeight="1" x14ac:dyDescent="0.3">
      <c r="A5" s="896" t="s">
        <v>164</v>
      </c>
      <c r="B5" s="898" t="s">
        <v>165</v>
      </c>
      <c r="C5" s="902" t="s">
        <v>223</v>
      </c>
      <c r="D5" s="749" t="s">
        <v>96</v>
      </c>
      <c r="E5" s="690" t="s">
        <v>96</v>
      </c>
      <c r="F5" s="120" t="s">
        <v>96</v>
      </c>
      <c r="G5" s="549" t="s">
        <v>96</v>
      </c>
      <c r="H5" s="120" t="s">
        <v>370</v>
      </c>
      <c r="I5" s="587" t="s">
        <v>375</v>
      </c>
      <c r="J5" s="120" t="s">
        <v>465</v>
      </c>
      <c r="K5" s="690" t="str">
        <f>+E5</f>
        <v>Gasolina Corriente</v>
      </c>
      <c r="L5" s="120" t="s">
        <v>96</v>
      </c>
      <c r="M5" s="549" t="s">
        <v>96</v>
      </c>
      <c r="N5" s="588" t="str">
        <f>+I5</f>
        <v>Biodiesel B10</v>
      </c>
      <c r="O5" s="92" t="str">
        <f>+J5</f>
        <v>Biodiesel B11</v>
      </c>
    </row>
    <row r="6" spans="1:17" ht="27.6" x14ac:dyDescent="0.3">
      <c r="A6" s="896"/>
      <c r="B6" s="898"/>
      <c r="C6" s="903"/>
      <c r="D6" s="758">
        <v>0.02</v>
      </c>
      <c r="E6" s="480" t="s">
        <v>515</v>
      </c>
      <c r="F6" s="480" t="s">
        <v>459</v>
      </c>
      <c r="G6" s="480" t="s">
        <v>464</v>
      </c>
      <c r="H6" s="138">
        <v>0.02</v>
      </c>
      <c r="I6" s="322">
        <v>0.1</v>
      </c>
      <c r="J6" s="322">
        <v>0.11</v>
      </c>
      <c r="K6" s="690" t="str">
        <f>+E6</f>
        <v>4%</v>
      </c>
      <c r="L6" s="459" t="str">
        <f>+F6</f>
        <v>Oxigena 5%</v>
      </c>
      <c r="M6" s="459" t="str">
        <f>+G6</f>
        <v>Oxigena 6%</v>
      </c>
      <c r="N6" s="322">
        <f>+I6</f>
        <v>0.1</v>
      </c>
      <c r="O6" s="121">
        <f>+J6</f>
        <v>0.11</v>
      </c>
    </row>
    <row r="7" spans="1:17" x14ac:dyDescent="0.3">
      <c r="A7" s="897"/>
      <c r="B7" s="899"/>
      <c r="C7" s="91" t="s">
        <v>166</v>
      </c>
      <c r="D7" s="749" t="s">
        <v>166</v>
      </c>
      <c r="E7" s="690" t="s">
        <v>166</v>
      </c>
      <c r="F7" s="120" t="s">
        <v>166</v>
      </c>
      <c r="G7" s="549" t="s">
        <v>166</v>
      </c>
      <c r="H7" s="120" t="s">
        <v>166</v>
      </c>
      <c r="I7" s="587" t="s">
        <v>166</v>
      </c>
      <c r="J7" s="120" t="s">
        <v>166</v>
      </c>
      <c r="K7" s="690" t="str">
        <f>+E7</f>
        <v>$/Galón</v>
      </c>
      <c r="L7" s="91" t="s">
        <v>166</v>
      </c>
      <c r="M7" s="548" t="s">
        <v>166</v>
      </c>
      <c r="N7" s="584" t="s">
        <v>166</v>
      </c>
      <c r="O7" s="92" t="s">
        <v>166</v>
      </c>
    </row>
    <row r="8" spans="1:17" x14ac:dyDescent="0.3">
      <c r="A8" s="93" t="s">
        <v>167</v>
      </c>
      <c r="B8" s="99" t="s">
        <v>168</v>
      </c>
      <c r="C8" s="160">
        <f>+'Calculo IP ZDF'!B30</f>
        <v>5262.5</v>
      </c>
      <c r="D8" s="160">
        <f>+'Calculo IP ZDF'!G30</f>
        <v>5418.2142000000003</v>
      </c>
      <c r="E8" s="166">
        <f>+'Calculo IP ZDF'!H30</f>
        <v>5573.9283999999998</v>
      </c>
      <c r="F8" s="166">
        <f>+'Calculo IP ZDF'!I30</f>
        <v>5651.7855</v>
      </c>
      <c r="G8" s="166">
        <f>+'Calculo IP ZDF'!J30</f>
        <v>5729.6426000000001</v>
      </c>
      <c r="H8" s="168">
        <f>+'Calculo IP ZDF'!F30</f>
        <v>4826.5414699999992</v>
      </c>
      <c r="I8" s="167">
        <f>+'Calculo IP ZDF'!M30</f>
        <v>6085.4613499999996</v>
      </c>
      <c r="J8" s="167">
        <f>+'Calculo IP ZDF'!L30</f>
        <v>6242.8263349999997</v>
      </c>
      <c r="K8" s="145">
        <f>+'GAS CTE'!E9</f>
        <v>5573.9283999999998</v>
      </c>
      <c r="L8" s="145">
        <f>+'GAS CTE'!F9</f>
        <v>5651.7855</v>
      </c>
      <c r="M8" s="145">
        <f>+'GAS CTE'!G9</f>
        <v>5729.6426000000001</v>
      </c>
      <c r="N8" s="167">
        <f>+BIODIESEL!H9</f>
        <v>6193.8560000000007</v>
      </c>
      <c r="O8" s="170">
        <f>+BIODIESEL!I9</f>
        <v>6350.0166000000008</v>
      </c>
    </row>
    <row r="9" spans="1:17" ht="20.399999999999999" customHeight="1" x14ac:dyDescent="0.3">
      <c r="A9" s="93" t="s">
        <v>169</v>
      </c>
      <c r="B9" s="99" t="s">
        <v>170</v>
      </c>
      <c r="C9" s="146" t="str">
        <f t="shared" ref="C9:C13" si="0">+F9</f>
        <v>------------------</v>
      </c>
      <c r="D9" s="147" t="s">
        <v>171</v>
      </c>
      <c r="E9" s="147" t="s">
        <v>171</v>
      </c>
      <c r="F9" s="147" t="s">
        <v>171</v>
      </c>
      <c r="G9" s="532" t="s">
        <v>171</v>
      </c>
      <c r="H9" s="532" t="s">
        <v>171</v>
      </c>
      <c r="I9" s="98" t="s">
        <v>171</v>
      </c>
      <c r="J9" s="98" t="s">
        <v>171</v>
      </c>
      <c r="K9" s="145">
        <f>+'GAS CTE'!E10</f>
        <v>562.79999999999995</v>
      </c>
      <c r="L9" s="145">
        <f>+'GAS CTE'!F10</f>
        <v>556.9375</v>
      </c>
      <c r="M9" s="145">
        <f>+'GAS CTE'!G10</f>
        <v>551.07499999999993</v>
      </c>
      <c r="N9" s="98">
        <f>+BIODIESEL!H10</f>
        <v>505.00800000000004</v>
      </c>
      <c r="O9" s="171">
        <f>+BIODIESEL!I10</f>
        <v>499.39679999999998</v>
      </c>
    </row>
    <row r="10" spans="1:17" ht="15.6" customHeight="1" x14ac:dyDescent="0.3">
      <c r="A10" s="93"/>
      <c r="B10" s="99" t="s">
        <v>129</v>
      </c>
      <c r="C10" s="146" t="str">
        <f>+F10</f>
        <v>------------------</v>
      </c>
      <c r="D10" s="147" t="s">
        <v>171</v>
      </c>
      <c r="E10" s="147" t="s">
        <v>171</v>
      </c>
      <c r="F10" s="147" t="s">
        <v>171</v>
      </c>
      <c r="G10" s="532" t="s">
        <v>171</v>
      </c>
      <c r="H10" s="532" t="s">
        <v>171</v>
      </c>
      <c r="I10" s="98" t="s">
        <v>171</v>
      </c>
      <c r="J10" s="98" t="s">
        <v>171</v>
      </c>
      <c r="K10" s="161" t="s">
        <v>130</v>
      </c>
      <c r="L10" s="161" t="e">
        <f>+#REF!</f>
        <v>#REF!</v>
      </c>
      <c r="M10" s="161" t="e">
        <f>+L10</f>
        <v>#REF!</v>
      </c>
      <c r="N10" s="98" t="str">
        <f>+BIODIESEL!H11</f>
        <v>(3)</v>
      </c>
      <c r="O10" s="171" t="str">
        <f>+BIODIESEL!H11</f>
        <v>(3)</v>
      </c>
    </row>
    <row r="11" spans="1:17" x14ac:dyDescent="0.3">
      <c r="A11" s="93"/>
      <c r="B11" s="99" t="s">
        <v>131</v>
      </c>
      <c r="C11" s="146">
        <f>+'GAS CTE'!C12</f>
        <v>169</v>
      </c>
      <c r="D11" s="147">
        <f>+'GAS CTE'!D12</f>
        <v>165.62</v>
      </c>
      <c r="E11" s="147">
        <f>+'GAS CTE'!E12</f>
        <v>162.23999999999998</v>
      </c>
      <c r="F11" s="147">
        <f>+'GAS CTE'!F12</f>
        <v>160.54999999999998</v>
      </c>
      <c r="G11" s="532">
        <f>+'GAS CTE'!G12</f>
        <v>158.85999999999999</v>
      </c>
      <c r="H11" s="532">
        <f>+BIODIESEL!E12</f>
        <v>187.18</v>
      </c>
      <c r="I11" s="98">
        <f>+BIODIESEL!H12</f>
        <v>171.9</v>
      </c>
      <c r="J11" s="98">
        <f>+BIODIESEL!I12</f>
        <v>169.99</v>
      </c>
      <c r="K11" s="145">
        <f>+'GAS CTE'!E12</f>
        <v>162.23999999999998</v>
      </c>
      <c r="L11" s="145">
        <f>+'GAS CTE'!F12</f>
        <v>160.54999999999998</v>
      </c>
      <c r="M11" s="145">
        <f>+'GAS CTE'!G12</f>
        <v>158.85999999999999</v>
      </c>
      <c r="N11" s="98">
        <f>+I11</f>
        <v>171.9</v>
      </c>
      <c r="O11" s="167">
        <f>+J11</f>
        <v>169.99</v>
      </c>
      <c r="Q11" s="361" t="s">
        <v>388</v>
      </c>
    </row>
    <row r="12" spans="1:17" x14ac:dyDescent="0.3">
      <c r="A12" s="93" t="s">
        <v>172</v>
      </c>
      <c r="B12" s="99" t="s">
        <v>233</v>
      </c>
      <c r="C12" s="146" t="str">
        <f t="shared" si="0"/>
        <v>(2)</v>
      </c>
      <c r="D12" s="97" t="s">
        <v>200</v>
      </c>
      <c r="E12" s="97" t="s">
        <v>200</v>
      </c>
      <c r="F12" s="97" t="s">
        <v>200</v>
      </c>
      <c r="G12" s="156" t="s">
        <v>200</v>
      </c>
      <c r="H12" s="156" t="s">
        <v>200</v>
      </c>
      <c r="I12" s="98" t="s">
        <v>200</v>
      </c>
      <c r="J12" s="98" t="s">
        <v>200</v>
      </c>
      <c r="K12" s="145" t="s">
        <v>200</v>
      </c>
      <c r="L12" s="145" t="str">
        <f>+J12</f>
        <v>(2)</v>
      </c>
      <c r="M12" s="145" t="str">
        <f>+L12</f>
        <v>(2)</v>
      </c>
      <c r="N12" s="98" t="s">
        <v>200</v>
      </c>
      <c r="O12" s="170" t="s">
        <v>200</v>
      </c>
    </row>
    <row r="13" spans="1:17" x14ac:dyDescent="0.3">
      <c r="A13" s="93" t="s">
        <v>234</v>
      </c>
      <c r="B13" s="99" t="s">
        <v>235</v>
      </c>
      <c r="C13" s="146" t="str">
        <f t="shared" si="0"/>
        <v>N.A.</v>
      </c>
      <c r="D13" s="97" t="s">
        <v>236</v>
      </c>
      <c r="E13" s="97" t="s">
        <v>236</v>
      </c>
      <c r="F13" s="97" t="s">
        <v>236</v>
      </c>
      <c r="G13" s="156" t="s">
        <v>236</v>
      </c>
      <c r="H13" s="532" t="s">
        <v>201</v>
      </c>
      <c r="I13" s="98" t="str">
        <f>+H13</f>
        <v>(4)</v>
      </c>
      <c r="J13" s="98" t="str">
        <f>+H13</f>
        <v>(4)</v>
      </c>
      <c r="K13" s="145" t="s">
        <v>236</v>
      </c>
      <c r="L13" s="145" t="s">
        <v>236</v>
      </c>
      <c r="M13" s="145" t="s">
        <v>236</v>
      </c>
      <c r="N13" s="98" t="s">
        <v>201</v>
      </c>
      <c r="O13" s="167" t="str">
        <f>+J13</f>
        <v>(4)</v>
      </c>
    </row>
    <row r="14" spans="1:17" x14ac:dyDescent="0.3">
      <c r="A14" s="93" t="s">
        <v>174</v>
      </c>
      <c r="B14" s="99" t="s">
        <v>175</v>
      </c>
      <c r="C14" s="146">
        <f>+RUBROS!AC15</f>
        <v>23.501085493035124</v>
      </c>
      <c r="D14" s="146">
        <f>+C14</f>
        <v>23.501085493035124</v>
      </c>
      <c r="E14" s="97">
        <f>+C14</f>
        <v>23.501085493035124</v>
      </c>
      <c r="F14" s="97">
        <f>+C14</f>
        <v>23.501085493035124</v>
      </c>
      <c r="G14" s="156">
        <f>+F14</f>
        <v>23.501085493035124</v>
      </c>
      <c r="H14" s="156">
        <f>+F14</f>
        <v>23.501085493035124</v>
      </c>
      <c r="I14" s="98">
        <f>+H14</f>
        <v>23.501085493035124</v>
      </c>
      <c r="J14" s="98">
        <f>+H14</f>
        <v>23.501085493035124</v>
      </c>
      <c r="K14" s="145">
        <f>+E14</f>
        <v>23.501085493035124</v>
      </c>
      <c r="L14" s="145">
        <f>+RUBROS!AD14</f>
        <v>23.500029293035123</v>
      </c>
      <c r="M14" s="145">
        <f>+RUBROS!AD14</f>
        <v>23.500029293035123</v>
      </c>
      <c r="N14" s="98">
        <f>+O14</f>
        <v>23.500029293035123</v>
      </c>
      <c r="O14" s="170">
        <f>+L14</f>
        <v>23.500029293035123</v>
      </c>
      <c r="Q14" s="361" t="s">
        <v>388</v>
      </c>
    </row>
    <row r="15" spans="1:17" x14ac:dyDescent="0.3">
      <c r="A15" s="93" t="s">
        <v>178</v>
      </c>
      <c r="B15" s="165" t="s">
        <v>179</v>
      </c>
      <c r="C15" s="146">
        <f>+RUBROS!AU29</f>
        <v>13.326421256197724</v>
      </c>
      <c r="D15" s="146">
        <f>+C15</f>
        <v>13.326421256197724</v>
      </c>
      <c r="E15" s="97">
        <f>+C15</f>
        <v>13.326421256197724</v>
      </c>
      <c r="F15" s="97">
        <f>+C15</f>
        <v>13.326421256197724</v>
      </c>
      <c r="G15" s="97">
        <f>+F15</f>
        <v>13.326421256197724</v>
      </c>
      <c r="H15" s="148">
        <f>+C15</f>
        <v>13.326421256197724</v>
      </c>
      <c r="I15" s="96">
        <f>+C15</f>
        <v>13.326421256197724</v>
      </c>
      <c r="J15" s="96">
        <f>+C15</f>
        <v>13.326421256197724</v>
      </c>
      <c r="K15" s="145">
        <f>+E15</f>
        <v>13.326421256197724</v>
      </c>
      <c r="L15" s="145">
        <f>+C15</f>
        <v>13.326421256197724</v>
      </c>
      <c r="M15" s="145">
        <f>+L15</f>
        <v>13.326421256197724</v>
      </c>
      <c r="N15" s="96">
        <f>+O15</f>
        <v>13.326421256197724</v>
      </c>
      <c r="O15" s="170">
        <f>+L15</f>
        <v>13.326421256197724</v>
      </c>
      <c r="Q15" s="361" t="s">
        <v>387</v>
      </c>
    </row>
    <row r="16" spans="1:17" ht="20.25" hidden="1" customHeight="1" x14ac:dyDescent="0.3">
      <c r="A16" s="93"/>
      <c r="B16" s="99" t="s">
        <v>180</v>
      </c>
      <c r="C16" s="146"/>
      <c r="D16" s="517"/>
      <c r="E16" s="517"/>
      <c r="F16" s="149"/>
      <c r="G16" s="150"/>
      <c r="H16" s="150"/>
      <c r="I16" s="96"/>
      <c r="J16" s="96"/>
      <c r="K16" s="148"/>
      <c r="L16" s="145"/>
      <c r="M16" s="520"/>
      <c r="N16" s="96"/>
      <c r="O16" s="172"/>
    </row>
    <row r="17" spans="1:23" x14ac:dyDescent="0.3">
      <c r="A17" s="100" t="s">
        <v>181</v>
      </c>
      <c r="B17" s="129" t="s">
        <v>182</v>
      </c>
      <c r="C17" s="151">
        <f t="shared" ref="C17:O17" si="1">SUM(C8:C16)</f>
        <v>5468.3275067492332</v>
      </c>
      <c r="D17" s="151">
        <f t="shared" ref="D17" si="2">SUM(D8:D16)</f>
        <v>5620.6617067492334</v>
      </c>
      <c r="E17" s="151">
        <f t="shared" si="1"/>
        <v>5772.9959067492327</v>
      </c>
      <c r="F17" s="152">
        <f t="shared" si="1"/>
        <v>5849.1630067492333</v>
      </c>
      <c r="G17" s="152">
        <f t="shared" si="1"/>
        <v>5925.330106749233</v>
      </c>
      <c r="H17" s="152">
        <f t="shared" si="1"/>
        <v>5050.5489767492327</v>
      </c>
      <c r="I17" s="153">
        <f t="shared" si="1"/>
        <v>6294.1888567492324</v>
      </c>
      <c r="J17" s="153">
        <f t="shared" si="1"/>
        <v>6449.6438417492327</v>
      </c>
      <c r="K17" s="154">
        <f t="shared" si="1"/>
        <v>6335.7959067492329</v>
      </c>
      <c r="L17" s="154" t="e">
        <f t="shared" si="1"/>
        <v>#REF!</v>
      </c>
      <c r="M17" s="154" t="e">
        <f t="shared" si="1"/>
        <v>#REF!</v>
      </c>
      <c r="N17" s="153">
        <f t="shared" si="1"/>
        <v>6907.5904505492335</v>
      </c>
      <c r="O17" s="173">
        <f t="shared" si="1"/>
        <v>7056.2298505492345</v>
      </c>
    </row>
    <row r="18" spans="1:23" x14ac:dyDescent="0.3">
      <c r="A18" s="93" t="s">
        <v>183</v>
      </c>
      <c r="B18" s="99" t="s">
        <v>184</v>
      </c>
      <c r="C18" s="146" t="s">
        <v>214</v>
      </c>
      <c r="D18" s="146" t="s">
        <v>214</v>
      </c>
      <c r="E18" s="146" t="s">
        <v>214</v>
      </c>
      <c r="F18" s="155" t="str">
        <f>+C18</f>
        <v>***</v>
      </c>
      <c r="G18" s="155" t="str">
        <f>+F18</f>
        <v>***</v>
      </c>
      <c r="H18" s="155" t="str">
        <f>+C18</f>
        <v>***</v>
      </c>
      <c r="I18" s="96" t="s">
        <v>214</v>
      </c>
      <c r="J18" s="96" t="str">
        <f>+C18</f>
        <v>***</v>
      </c>
      <c r="K18" s="148" t="str">
        <f>+N18</f>
        <v>***</v>
      </c>
      <c r="L18" s="148" t="str">
        <f>+O18</f>
        <v>***</v>
      </c>
      <c r="M18" s="148" t="str">
        <f>+L18</f>
        <v>***</v>
      </c>
      <c r="N18" s="96" t="s">
        <v>214</v>
      </c>
      <c r="O18" s="174" t="s">
        <v>214</v>
      </c>
    </row>
    <row r="19" spans="1:23" x14ac:dyDescent="0.3">
      <c r="A19" s="93" t="s">
        <v>185</v>
      </c>
      <c r="B19" s="99" t="s">
        <v>186</v>
      </c>
      <c r="C19" s="146" t="str">
        <f>+F19</f>
        <v>**</v>
      </c>
      <c r="D19" s="146" t="str">
        <f>+F19</f>
        <v>**</v>
      </c>
      <c r="E19" s="146" t="str">
        <f>+G19</f>
        <v>**</v>
      </c>
      <c r="F19" s="156" t="s">
        <v>212</v>
      </c>
      <c r="G19" s="156" t="s">
        <v>212</v>
      </c>
      <c r="H19" s="156" t="s">
        <v>212</v>
      </c>
      <c r="I19" s="96" t="s">
        <v>212</v>
      </c>
      <c r="J19" s="96" t="s">
        <v>212</v>
      </c>
      <c r="K19" s="148" t="str">
        <f>+N19</f>
        <v>**</v>
      </c>
      <c r="L19" s="148" t="str">
        <f>+O19</f>
        <v>**</v>
      </c>
      <c r="M19" s="148" t="str">
        <f>+L19</f>
        <v>**</v>
      </c>
      <c r="N19" s="96" t="s">
        <v>212</v>
      </c>
      <c r="O19" s="167" t="s">
        <v>212</v>
      </c>
    </row>
    <row r="20" spans="1:23" x14ac:dyDescent="0.3">
      <c r="A20" s="93" t="s">
        <v>187</v>
      </c>
      <c r="B20" s="99" t="s">
        <v>188</v>
      </c>
      <c r="C20" s="146" t="str">
        <f>+F20</f>
        <v>****</v>
      </c>
      <c r="D20" s="146" t="str">
        <f>+F20</f>
        <v>****</v>
      </c>
      <c r="E20" s="146" t="str">
        <f>+G20</f>
        <v>****</v>
      </c>
      <c r="F20" s="97" t="s">
        <v>216</v>
      </c>
      <c r="G20" s="97" t="s">
        <v>216</v>
      </c>
      <c r="H20" s="97" t="str">
        <f>+F20</f>
        <v>****</v>
      </c>
      <c r="I20" s="96" t="s">
        <v>216</v>
      </c>
      <c r="J20" s="96" t="str">
        <f>+H20</f>
        <v>****</v>
      </c>
      <c r="K20" s="148" t="str">
        <f>+I20</f>
        <v>****</v>
      </c>
      <c r="L20" s="148" t="str">
        <f>+J20</f>
        <v>****</v>
      </c>
      <c r="M20" s="148" t="str">
        <f>+L20</f>
        <v>****</v>
      </c>
      <c r="N20" s="96" t="s">
        <v>216</v>
      </c>
      <c r="O20" s="170" t="str">
        <f>+J20</f>
        <v>****</v>
      </c>
    </row>
    <row r="21" spans="1:23" x14ac:dyDescent="0.3">
      <c r="A21" s="100" t="s">
        <v>189</v>
      </c>
      <c r="B21" s="129" t="s">
        <v>190</v>
      </c>
      <c r="C21" s="151">
        <f t="shared" ref="C21:O21" si="3">+C17</f>
        <v>5468.3275067492332</v>
      </c>
      <c r="D21" s="151">
        <f t="shared" ref="D21" si="4">+D17</f>
        <v>5620.6617067492334</v>
      </c>
      <c r="E21" s="151">
        <f t="shared" si="3"/>
        <v>5772.9959067492327</v>
      </c>
      <c r="F21" s="151">
        <f t="shared" si="3"/>
        <v>5849.1630067492333</v>
      </c>
      <c r="G21" s="151">
        <f t="shared" ref="G21" si="5">+G17</f>
        <v>5925.330106749233</v>
      </c>
      <c r="H21" s="151">
        <f t="shared" si="3"/>
        <v>5050.5489767492327</v>
      </c>
      <c r="I21" s="169">
        <f t="shared" si="3"/>
        <v>6294.1888567492324</v>
      </c>
      <c r="J21" s="169">
        <f t="shared" si="3"/>
        <v>6449.6438417492327</v>
      </c>
      <c r="K21" s="151">
        <f t="shared" ref="K21" si="6">+K17</f>
        <v>6335.7959067492329</v>
      </c>
      <c r="L21" s="151" t="e">
        <f t="shared" si="3"/>
        <v>#REF!</v>
      </c>
      <c r="M21" s="151" t="e">
        <f t="shared" ref="M21" si="7">+M17</f>
        <v>#REF!</v>
      </c>
      <c r="N21" s="169">
        <f t="shared" si="3"/>
        <v>6907.5904505492335</v>
      </c>
      <c r="O21" s="169">
        <f t="shared" si="3"/>
        <v>7056.2298505492345</v>
      </c>
    </row>
    <row r="22" spans="1:23" x14ac:dyDescent="0.3">
      <c r="A22" s="93" t="s">
        <v>191</v>
      </c>
      <c r="B22" s="99" t="s">
        <v>150</v>
      </c>
      <c r="C22" s="146" t="s">
        <v>214</v>
      </c>
      <c r="D22" s="146" t="s">
        <v>214</v>
      </c>
      <c r="E22" s="146" t="s">
        <v>214</v>
      </c>
      <c r="F22" s="97" t="str">
        <f>+C22</f>
        <v>***</v>
      </c>
      <c r="G22" s="97" t="str">
        <f>+F22</f>
        <v>***</v>
      </c>
      <c r="H22" s="97" t="str">
        <f>+F22</f>
        <v>***</v>
      </c>
      <c r="I22" s="96" t="s">
        <v>214</v>
      </c>
      <c r="J22" s="96" t="str">
        <f>+H22</f>
        <v>***</v>
      </c>
      <c r="K22" s="148" t="str">
        <f>+N22</f>
        <v>***</v>
      </c>
      <c r="L22" s="148" t="str">
        <f>+O22</f>
        <v>***</v>
      </c>
      <c r="M22" s="148">
        <f>+P22</f>
        <v>0</v>
      </c>
      <c r="N22" s="96" t="s">
        <v>214</v>
      </c>
      <c r="O22" s="170" t="s">
        <v>214</v>
      </c>
    </row>
    <row r="23" spans="1:23" x14ac:dyDescent="0.3">
      <c r="A23" s="93" t="s">
        <v>192</v>
      </c>
      <c r="B23" s="94" t="s">
        <v>193</v>
      </c>
      <c r="C23" s="146" t="str">
        <f>+F23</f>
        <v>*****</v>
      </c>
      <c r="D23" s="146" t="str">
        <f>+F23</f>
        <v>*****</v>
      </c>
      <c r="E23" s="146" t="str">
        <f>+G23</f>
        <v>*****</v>
      </c>
      <c r="F23" s="97" t="s">
        <v>218</v>
      </c>
      <c r="G23" s="97" t="s">
        <v>218</v>
      </c>
      <c r="H23" s="97" t="s">
        <v>236</v>
      </c>
      <c r="I23" s="96" t="s">
        <v>194</v>
      </c>
      <c r="J23" s="96" t="s">
        <v>194</v>
      </c>
      <c r="K23" s="148" t="str">
        <f>+E23</f>
        <v>*****</v>
      </c>
      <c r="L23" s="148" t="str">
        <f>+F23</f>
        <v>*****</v>
      </c>
      <c r="M23" s="148" t="str">
        <f>+G23</f>
        <v>*****</v>
      </c>
      <c r="N23" s="96" t="s">
        <v>237</v>
      </c>
      <c r="O23" s="170" t="s">
        <v>237</v>
      </c>
    </row>
    <row r="24" spans="1:23" x14ac:dyDescent="0.3">
      <c r="A24" s="93" t="s">
        <v>195</v>
      </c>
      <c r="B24" s="99" t="s">
        <v>196</v>
      </c>
      <c r="C24" s="146" t="str">
        <f>+F24</f>
        <v>******</v>
      </c>
      <c r="D24" s="146" t="str">
        <f>+F24</f>
        <v>******</v>
      </c>
      <c r="E24" s="146" t="str">
        <f>+G24</f>
        <v>******</v>
      </c>
      <c r="F24" s="156" t="s">
        <v>219</v>
      </c>
      <c r="G24" s="156" t="s">
        <v>219</v>
      </c>
      <c r="H24" s="156" t="str">
        <f>+F24</f>
        <v>******</v>
      </c>
      <c r="I24" s="98" t="s">
        <v>219</v>
      </c>
      <c r="J24" s="98" t="str">
        <f>+H24</f>
        <v>******</v>
      </c>
      <c r="K24" s="148" t="str">
        <f>+I24</f>
        <v>******</v>
      </c>
      <c r="L24" s="148" t="str">
        <f>+J24</f>
        <v>******</v>
      </c>
      <c r="M24" s="148" t="str">
        <f>+L24</f>
        <v>******</v>
      </c>
      <c r="N24" s="98" t="s">
        <v>219</v>
      </c>
      <c r="O24" s="167" t="str">
        <f>+L24</f>
        <v>******</v>
      </c>
    </row>
    <row r="25" spans="1:23" ht="15" thickBot="1" x14ac:dyDescent="0.35">
      <c r="A25" s="104" t="s">
        <v>197</v>
      </c>
      <c r="B25" s="105" t="s">
        <v>198</v>
      </c>
      <c r="C25" s="157"/>
      <c r="D25" s="157"/>
      <c r="E25" s="157"/>
      <c r="F25" s="108"/>
      <c r="G25" s="158"/>
      <c r="H25" s="158"/>
      <c r="I25" s="158"/>
      <c r="J25" s="107"/>
      <c r="K25" s="158"/>
      <c r="L25" s="158"/>
      <c r="M25" s="158"/>
      <c r="N25" s="158"/>
      <c r="O25" s="175"/>
    </row>
    <row r="26" spans="1:23" ht="15" thickTop="1" x14ac:dyDescent="0.3"/>
    <row r="27" spans="1:23" x14ac:dyDescent="0.3">
      <c r="A27" s="112"/>
      <c r="B27" s="210" t="s">
        <v>210</v>
      </c>
      <c r="C27" s="162"/>
      <c r="D27" s="162"/>
      <c r="E27" s="162"/>
      <c r="F27" s="162"/>
      <c r="G27" s="162"/>
      <c r="H27" s="162"/>
      <c r="I27" s="162"/>
      <c r="J27" s="162"/>
      <c r="K27" s="162"/>
      <c r="L27" s="142"/>
      <c r="M27" s="142"/>
      <c r="N27" s="142"/>
      <c r="O27" s="142"/>
      <c r="P27" s="142"/>
      <c r="Q27" s="142"/>
      <c r="R27" s="142"/>
      <c r="S27" s="142"/>
      <c r="T27" s="142"/>
      <c r="U27" s="142"/>
      <c r="V27" s="142"/>
      <c r="W27" s="142"/>
    </row>
    <row r="28" spans="1:23" x14ac:dyDescent="0.3">
      <c r="A28" s="112"/>
      <c r="B28" s="133"/>
      <c r="C28" s="162"/>
      <c r="D28" s="162"/>
      <c r="E28" s="162"/>
      <c r="F28" s="162"/>
      <c r="G28" s="162"/>
      <c r="H28" s="162"/>
      <c r="I28" s="162"/>
      <c r="J28" s="162"/>
      <c r="K28" s="162"/>
      <c r="L28" s="142"/>
      <c r="M28" s="142"/>
      <c r="N28" s="142"/>
      <c r="O28" s="142"/>
      <c r="P28" s="142"/>
      <c r="Q28" s="142"/>
      <c r="R28" s="142"/>
      <c r="S28" s="142"/>
      <c r="T28" s="142"/>
      <c r="U28" s="142"/>
      <c r="V28" s="142"/>
      <c r="W28" s="142"/>
    </row>
    <row r="29" spans="1:23" ht="30.45" customHeight="1" x14ac:dyDescent="0.3">
      <c r="A29" s="112" t="s">
        <v>173</v>
      </c>
      <c r="B29" s="915" t="str">
        <f>+ARAUCA!B29</f>
        <v>De acuerdo con lo establecido en la Resoluccion 91349 de 2014 del MME para combustible de origen nacional o importado a ser distribuido en zonas de frontera, aplica la tarifa de marcación o remarcación vigente a la fecha según corresponda</v>
      </c>
      <c r="C29" s="915"/>
      <c r="D29" s="915"/>
      <c r="E29" s="915"/>
      <c r="F29" s="915"/>
      <c r="G29" s="915"/>
      <c r="H29" s="915"/>
      <c r="I29" s="915"/>
      <c r="J29" s="915"/>
      <c r="K29" s="915"/>
      <c r="L29" s="915"/>
      <c r="M29" s="915"/>
      <c r="N29" s="915"/>
      <c r="O29" s="915"/>
      <c r="P29" s="915"/>
      <c r="Q29" s="915"/>
      <c r="R29" s="163"/>
      <c r="S29" s="163"/>
      <c r="T29" s="163"/>
      <c r="U29" s="163"/>
      <c r="V29" s="163"/>
      <c r="W29" s="163"/>
    </row>
    <row r="30" spans="1:23" x14ac:dyDescent="0.3">
      <c r="A30" s="112" t="s">
        <v>200</v>
      </c>
      <c r="B30" s="139" t="s">
        <v>199</v>
      </c>
      <c r="C30" s="162"/>
      <c r="D30" s="162"/>
      <c r="E30" s="162"/>
      <c r="F30" s="162"/>
      <c r="G30" s="162"/>
      <c r="H30" s="162"/>
      <c r="I30" s="162"/>
      <c r="J30" s="162"/>
      <c r="K30" s="162"/>
      <c r="L30" s="142"/>
      <c r="M30" s="142"/>
      <c r="N30" s="142"/>
      <c r="O30" s="142"/>
      <c r="P30" s="142"/>
      <c r="Q30" s="142"/>
      <c r="R30" s="142"/>
      <c r="S30" s="142"/>
      <c r="T30" s="142"/>
      <c r="U30" s="142"/>
      <c r="V30" s="142"/>
      <c r="W30" s="142"/>
    </row>
    <row r="31" spans="1:23" ht="53.55" customHeight="1" x14ac:dyDescent="0.3">
      <c r="A31" s="112" t="s">
        <v>130</v>
      </c>
      <c r="B31" s="915" t="s">
        <v>307</v>
      </c>
      <c r="C31" s="915"/>
      <c r="D31" s="915"/>
      <c r="E31" s="915"/>
      <c r="F31" s="915"/>
      <c r="G31" s="915"/>
      <c r="H31" s="915"/>
      <c r="I31" s="915"/>
      <c r="J31" s="915"/>
      <c r="K31" s="915"/>
      <c r="L31" s="915"/>
      <c r="M31" s="915"/>
      <c r="N31" s="915"/>
      <c r="O31" s="915"/>
      <c r="P31" s="915"/>
      <c r="Q31" s="915"/>
      <c r="R31" s="142"/>
      <c r="S31" s="142"/>
      <c r="T31" s="142"/>
      <c r="U31" s="142"/>
      <c r="V31" s="142"/>
      <c r="W31" s="142"/>
    </row>
    <row r="32" spans="1:23" ht="24.75" customHeight="1" x14ac:dyDescent="0.3">
      <c r="A32" s="112" t="s">
        <v>201</v>
      </c>
      <c r="B32" s="915" t="s">
        <v>239</v>
      </c>
      <c r="C32" s="915"/>
      <c r="D32" s="915"/>
      <c r="E32" s="915"/>
      <c r="F32" s="915"/>
      <c r="G32" s="915"/>
      <c r="H32" s="915"/>
      <c r="I32" s="915"/>
      <c r="J32" s="915"/>
      <c r="K32" s="915"/>
      <c r="L32" s="915"/>
      <c r="M32" s="915"/>
      <c r="N32" s="915"/>
      <c r="O32" s="915"/>
      <c r="P32" s="915"/>
      <c r="Q32" s="915"/>
      <c r="R32" s="142"/>
      <c r="S32" s="142"/>
      <c r="T32" s="142"/>
      <c r="U32" s="142"/>
      <c r="V32" s="142"/>
      <c r="W32" s="142"/>
    </row>
    <row r="33" spans="1:23" ht="41.4" customHeight="1" x14ac:dyDescent="0.3">
      <c r="A33" s="112"/>
      <c r="B33" s="915" t="s">
        <v>467</v>
      </c>
      <c r="C33" s="915"/>
      <c r="D33" s="915"/>
      <c r="E33" s="915"/>
      <c r="F33" s="915"/>
      <c r="G33" s="915"/>
      <c r="H33" s="915"/>
      <c r="I33" s="915"/>
      <c r="J33" s="915"/>
      <c r="K33" s="915"/>
      <c r="L33" s="915"/>
      <c r="M33" s="915"/>
      <c r="N33" s="915"/>
      <c r="O33" s="915"/>
      <c r="P33" s="915"/>
      <c r="Q33" s="142"/>
      <c r="R33" s="142"/>
      <c r="S33" s="142"/>
      <c r="T33" s="142"/>
      <c r="U33" s="142"/>
      <c r="V33" s="142"/>
      <c r="W33" s="142"/>
    </row>
    <row r="34" spans="1:23" x14ac:dyDescent="0.3">
      <c r="A34" s="134" t="s">
        <v>102</v>
      </c>
      <c r="B34" s="892" t="s">
        <v>211</v>
      </c>
      <c r="C34" s="892"/>
      <c r="D34" s="892"/>
      <c r="E34" s="892"/>
      <c r="F34" s="892"/>
      <c r="G34" s="892"/>
      <c r="H34" s="892"/>
      <c r="I34" s="892"/>
      <c r="J34" s="892"/>
      <c r="K34" s="892"/>
      <c r="L34" s="892"/>
      <c r="M34" s="892"/>
      <c r="N34" s="892"/>
      <c r="O34" s="892"/>
      <c r="P34" s="892"/>
      <c r="Q34" s="892"/>
      <c r="R34" s="142"/>
      <c r="S34" s="142"/>
      <c r="T34" s="142"/>
      <c r="U34" s="142"/>
      <c r="V34" s="142"/>
      <c r="W34" s="142"/>
    </row>
    <row r="35" spans="1:23" x14ac:dyDescent="0.3">
      <c r="A35" s="134" t="s">
        <v>212</v>
      </c>
      <c r="B35" s="915" t="s">
        <v>243</v>
      </c>
      <c r="C35" s="915"/>
      <c r="D35" s="915"/>
      <c r="E35" s="915"/>
      <c r="F35" s="915"/>
      <c r="G35" s="915"/>
      <c r="H35" s="915"/>
      <c r="I35" s="915"/>
      <c r="J35" s="915"/>
      <c r="K35" s="915"/>
      <c r="L35" s="915"/>
      <c r="M35" s="915"/>
      <c r="N35" s="915"/>
      <c r="O35" s="915"/>
      <c r="P35" s="915"/>
      <c r="Q35" s="915"/>
      <c r="R35" s="142"/>
      <c r="S35" s="142"/>
      <c r="T35" s="142"/>
      <c r="U35" s="142"/>
      <c r="V35" s="142"/>
      <c r="W35" s="142"/>
    </row>
    <row r="36" spans="1:23" x14ac:dyDescent="0.3">
      <c r="A36" s="112" t="s">
        <v>214</v>
      </c>
      <c r="B36" s="915" t="s">
        <v>215</v>
      </c>
      <c r="C36" s="915"/>
      <c r="D36" s="915"/>
      <c r="E36" s="915"/>
      <c r="F36" s="915"/>
      <c r="G36" s="915"/>
      <c r="H36" s="915"/>
      <c r="I36" s="915"/>
      <c r="J36" s="915"/>
      <c r="K36" s="915"/>
      <c r="L36" s="915"/>
      <c r="M36" s="915"/>
      <c r="N36" s="915"/>
      <c r="O36" s="915"/>
      <c r="P36" s="112"/>
      <c r="Q36" s="892"/>
      <c r="R36" s="892"/>
      <c r="S36" s="892"/>
      <c r="T36" s="892"/>
      <c r="U36" s="892"/>
      <c r="V36" s="892"/>
      <c r="W36" s="892"/>
    </row>
    <row r="37" spans="1:23" x14ac:dyDescent="0.3">
      <c r="A37" s="112" t="s">
        <v>216</v>
      </c>
      <c r="B37" s="892" t="s">
        <v>429</v>
      </c>
      <c r="C37" s="892"/>
      <c r="D37" s="892"/>
      <c r="E37" s="892"/>
      <c r="F37" s="892"/>
      <c r="G37" s="892"/>
      <c r="H37" s="892"/>
      <c r="I37" s="892"/>
      <c r="J37" s="892"/>
      <c r="K37" s="892"/>
      <c r="L37" s="892"/>
      <c r="M37" s="892"/>
      <c r="N37" s="892"/>
      <c r="O37" s="892"/>
      <c r="P37" s="112"/>
      <c r="Q37" s="139"/>
      <c r="R37" s="139"/>
      <c r="S37" s="139"/>
      <c r="T37" s="139"/>
      <c r="U37" s="139"/>
      <c r="V37" s="139"/>
      <c r="W37" s="139"/>
    </row>
    <row r="38" spans="1:23" x14ac:dyDescent="0.3">
      <c r="A38" s="134" t="s">
        <v>218</v>
      </c>
      <c r="B38" s="915" t="s">
        <v>220</v>
      </c>
      <c r="C38" s="915"/>
      <c r="D38" s="915"/>
      <c r="E38" s="915"/>
      <c r="F38" s="915"/>
      <c r="G38" s="915"/>
      <c r="H38" s="915"/>
      <c r="I38" s="915"/>
      <c r="J38" s="915"/>
      <c r="K38" s="915"/>
      <c r="L38" s="915"/>
      <c r="M38" s="915"/>
      <c r="N38" s="915"/>
      <c r="O38" s="915"/>
      <c r="P38" s="915"/>
      <c r="Q38" s="915"/>
      <c r="R38" s="142"/>
      <c r="S38" s="142"/>
      <c r="T38" s="142"/>
      <c r="U38" s="142"/>
      <c r="V38" s="142"/>
      <c r="W38" s="142"/>
    </row>
    <row r="39" spans="1:23" ht="28.5" customHeight="1" x14ac:dyDescent="0.3">
      <c r="A39" s="134" t="s">
        <v>219</v>
      </c>
      <c r="B39" s="915" t="s">
        <v>238</v>
      </c>
      <c r="C39" s="915"/>
      <c r="D39" s="915"/>
      <c r="E39" s="915"/>
      <c r="F39" s="915"/>
      <c r="G39" s="915"/>
      <c r="H39" s="915"/>
      <c r="I39" s="915"/>
      <c r="J39" s="915"/>
      <c r="K39" s="915"/>
      <c r="L39" s="915"/>
      <c r="M39" s="915"/>
      <c r="N39" s="915"/>
      <c r="O39" s="915"/>
      <c r="P39" s="915"/>
      <c r="Q39" s="915"/>
      <c r="R39" s="142"/>
      <c r="S39" s="142"/>
      <c r="T39" s="142"/>
      <c r="U39" s="142"/>
      <c r="V39" s="142"/>
      <c r="W39" s="142"/>
    </row>
    <row r="41" spans="1:23" ht="92.25" customHeight="1" x14ac:dyDescent="0.3">
      <c r="A41" s="895" t="s">
        <v>137</v>
      </c>
      <c r="B41" s="895"/>
      <c r="C41" s="895"/>
      <c r="D41" s="895"/>
      <c r="E41" s="895"/>
      <c r="F41" s="895"/>
      <c r="G41" s="895"/>
      <c r="H41" s="895"/>
      <c r="I41" s="895"/>
      <c r="J41" s="895"/>
      <c r="K41" s="895"/>
      <c r="L41" s="895"/>
      <c r="M41" s="895"/>
      <c r="N41" s="895"/>
      <c r="O41" s="895"/>
      <c r="P41" s="895"/>
      <c r="Q41" s="895"/>
    </row>
  </sheetData>
  <sheetProtection algorithmName="SHA-512" hashValue="rB4M2CQcJ4lDLeWYlJbKk1k039n8fNt7HbNL+I1eScNPgZXZ922J4ohiD7uC8ek0wWmJOpgi/2AEbzpx0vvrew==" saltValue="B8wbwCteyUZ8gnRotapp3g==" spinCount="100000" sheet="1" objects="1" scenarios="1"/>
  <mergeCells count="17">
    <mergeCell ref="A5:A7"/>
    <mergeCell ref="B5:B7"/>
    <mergeCell ref="C3:J4"/>
    <mergeCell ref="C5:C6"/>
    <mergeCell ref="K3:O4"/>
    <mergeCell ref="B29:Q29"/>
    <mergeCell ref="B31:Q31"/>
    <mergeCell ref="B32:Q32"/>
    <mergeCell ref="B34:Q34"/>
    <mergeCell ref="B35:Q35"/>
    <mergeCell ref="B33:P33"/>
    <mergeCell ref="A41:Q41"/>
    <mergeCell ref="B36:O36"/>
    <mergeCell ref="Q36:W36"/>
    <mergeCell ref="B37:O37"/>
    <mergeCell ref="B38:Q38"/>
    <mergeCell ref="B39:Q39"/>
  </mergeCells>
  <hyperlinks>
    <hyperlink ref="B27" location="BOYACA!A41" display="Ver Nota Informativa" xr:uid="{00000000-0004-0000-0A00-000000000000}"/>
  </hyperlinks>
  <pageMargins left="0.7" right="0.7" top="0.75" bottom="0.75" header="0.3" footer="0.3"/>
  <ignoredErrors>
    <ignoredError sqref="C11 C12:C13 C17:C24 O11 H11" formula="1"/>
    <ignoredError sqref="O12:O15 O17:O24 F17:F24 F12:F15 L17:L24 L15 L12:L13 H17:H24 H12:H15 J12:J15 J17:J24" numberStoredAsText="1" formula="1"/>
    <ignoredError sqref="O25:P25 P16:P24 F25 L25 H25 J25" numberStoredAsText="1"/>
  </ignoredErrors>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vt:i4>
      </vt:variant>
    </vt:vector>
  </HeadingPairs>
  <TitlesOfParts>
    <vt:vector size="22" baseType="lpstr">
      <vt:lpstr>RUBROS</vt:lpstr>
      <vt:lpstr>Tma</vt:lpstr>
      <vt:lpstr>SP</vt:lpstr>
      <vt:lpstr>Calculo IP ZDF</vt:lpstr>
      <vt:lpstr>GAS CTE</vt:lpstr>
      <vt:lpstr>BIODIESEL</vt:lpstr>
      <vt:lpstr>AMAZONAS</vt:lpstr>
      <vt:lpstr>ARAUCA</vt:lpstr>
      <vt:lpstr>BOYACA</vt:lpstr>
      <vt:lpstr>CESAR</vt:lpstr>
      <vt:lpstr>CHOCO</vt:lpstr>
      <vt:lpstr>NARIÑO</vt:lpstr>
      <vt:lpstr>GUAINIA</vt:lpstr>
      <vt:lpstr>LA GUAJIRA</vt:lpstr>
      <vt:lpstr>NORTE SANTANDER</vt:lpstr>
      <vt:lpstr>PUTUMAYO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cp:lastModifiedBy>
  <dcterms:created xsi:type="dcterms:W3CDTF">2019-03-31T15:51:33Z</dcterms:created>
  <dcterms:modified xsi:type="dcterms:W3CDTF">2022-10-01T01:39:53Z</dcterms:modified>
</cp:coreProperties>
</file>