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2145" windowWidth="12030" windowHeight="2925" tabRatio="941" firstSheet="3" activeTab="3"/>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2" hidden="1">SP!$D$39:$L$76</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F14" i="4" l="1"/>
  <c r="E9" i="70" l="1"/>
  <c r="K258" i="114" l="1"/>
  <c r="K71" i="114"/>
  <c r="K69" i="114"/>
  <c r="K68" i="114"/>
  <c r="K59" i="114" l="1"/>
  <c r="K57" i="114"/>
  <c r="K64" i="114"/>
  <c r="K54" i="114"/>
  <c r="K49" i="114"/>
  <c r="K46" i="114"/>
  <c r="K73" i="114"/>
  <c r="K67" i="114"/>
  <c r="A2" i="1" l="1"/>
  <c r="H13" i="95" l="1"/>
  <c r="C49" i="106" l="1"/>
  <c r="C48" i="106"/>
  <c r="C47" i="106"/>
  <c r="C46" i="106"/>
  <c r="C42" i="106"/>
  <c r="C34" i="106"/>
  <c r="C33" i="106"/>
  <c r="C27" i="106"/>
  <c r="C25" i="106"/>
  <c r="C24" i="106"/>
  <c r="C23" i="106"/>
  <c r="C20" i="106"/>
  <c r="BG81" i="61" l="1"/>
  <c r="BI80" i="61"/>
  <c r="BH80" i="61"/>
  <c r="BG80" i="61"/>
  <c r="BI75" i="61"/>
  <c r="BH75" i="61"/>
  <c r="BG75" i="61"/>
  <c r="BI73" i="61"/>
  <c r="BH73" i="61"/>
  <c r="BG73" i="61"/>
  <c r="BI61" i="61"/>
  <c r="BH61" i="61"/>
  <c r="BG61" i="61"/>
  <c r="BI60" i="61"/>
  <c r="BH60" i="61"/>
  <c r="BG60" i="61"/>
  <c r="BI59" i="61"/>
  <c r="BH59" i="61"/>
  <c r="BG59" i="61"/>
  <c r="BI58" i="61"/>
  <c r="BH58" i="61"/>
  <c r="BG58" i="61"/>
  <c r="BI57" i="61"/>
  <c r="BH57" i="61"/>
  <c r="BG57" i="61"/>
  <c r="BI56" i="61"/>
  <c r="BH56" i="61"/>
  <c r="BG56" i="61"/>
  <c r="BI55" i="61"/>
  <c r="BH55" i="61"/>
  <c r="BG55" i="61"/>
  <c r="BI54" i="61"/>
  <c r="BH54" i="61"/>
  <c r="BG54" i="61"/>
  <c r="BI53" i="61"/>
  <c r="BH53" i="61"/>
  <c r="BG53" i="61"/>
  <c r="BI52" i="61"/>
  <c r="BH52" i="61"/>
  <c r="BG52" i="61"/>
  <c r="BI51" i="61"/>
  <c r="BH51" i="61"/>
  <c r="BG51" i="61"/>
  <c r="BI50" i="61"/>
  <c r="BH50" i="61"/>
  <c r="BG50" i="61"/>
  <c r="BI49" i="61"/>
  <c r="BH49" i="61"/>
  <c r="BG49" i="61"/>
  <c r="BI48" i="61"/>
  <c r="BH48" i="61"/>
  <c r="BG48" i="61"/>
  <c r="BI47" i="61"/>
  <c r="BH47" i="61"/>
  <c r="BG47" i="61"/>
  <c r="BI46" i="61"/>
  <c r="BH46" i="61"/>
  <c r="BG46" i="61"/>
  <c r="BI45" i="61"/>
  <c r="BH45" i="61"/>
  <c r="BG45" i="61"/>
  <c r="BI44" i="61"/>
  <c r="BH44" i="61"/>
  <c r="BG44" i="61"/>
  <c r="BI43" i="61"/>
  <c r="BH43" i="61"/>
  <c r="BG43" i="61"/>
  <c r="BI42" i="61"/>
  <c r="BH42" i="61"/>
  <c r="BG42" i="61"/>
  <c r="BI41" i="61"/>
  <c r="BH41" i="61"/>
  <c r="BG41" i="61"/>
  <c r="BI40" i="61"/>
  <c r="BH40" i="61"/>
  <c r="BG40" i="61"/>
  <c r="BI39" i="61"/>
  <c r="BH39" i="61"/>
  <c r="BG39" i="61"/>
  <c r="BI38" i="61"/>
  <c r="BH38" i="61"/>
  <c r="BG38" i="61"/>
  <c r="BI37" i="61"/>
  <c r="BH37" i="61"/>
  <c r="BG37" i="61"/>
  <c r="BI36" i="61"/>
  <c r="BH36" i="61"/>
  <c r="BG36" i="61"/>
  <c r="BI35" i="61"/>
  <c r="BH35" i="61"/>
  <c r="BG35" i="61"/>
  <c r="BI34" i="61"/>
  <c r="BH34" i="61"/>
  <c r="BG34" i="61"/>
  <c r="BI33" i="61"/>
  <c r="BH33" i="61"/>
  <c r="BG33" i="61"/>
  <c r="BI32" i="61"/>
  <c r="BH32" i="61"/>
  <c r="BG32" i="61"/>
  <c r="BI31" i="61"/>
  <c r="BH31" i="61"/>
  <c r="BG31" i="61"/>
  <c r="BI30" i="61"/>
  <c r="BH30" i="61"/>
  <c r="BG30" i="61"/>
  <c r="BI29" i="61"/>
  <c r="BH29" i="61"/>
  <c r="BG29" i="61"/>
  <c r="BI28" i="61"/>
  <c r="BH28" i="61"/>
  <c r="BG28" i="61"/>
  <c r="BI27" i="61"/>
  <c r="BH27" i="61"/>
  <c r="BG27" i="61"/>
  <c r="BI26" i="61"/>
  <c r="BH26" i="61"/>
  <c r="BG26" i="61"/>
  <c r="BI25" i="61"/>
  <c r="BH25" i="61"/>
  <c r="BG25" i="61"/>
  <c r="BI24" i="61"/>
  <c r="BH24" i="61"/>
  <c r="BG24" i="61"/>
  <c r="BI23" i="61"/>
  <c r="BH23" i="61"/>
  <c r="BG23" i="61"/>
  <c r="BI22" i="61"/>
  <c r="BH22" i="61"/>
  <c r="BG22" i="61"/>
  <c r="BI21" i="61"/>
  <c r="BH21" i="61"/>
  <c r="BG21" i="61"/>
  <c r="BI20" i="61"/>
  <c r="BH20" i="61"/>
  <c r="BG20" i="61"/>
  <c r="BI19" i="61"/>
  <c r="BH19" i="61"/>
  <c r="BG19" i="61"/>
  <c r="BI18" i="61"/>
  <c r="BH18" i="61"/>
  <c r="BG18" i="61"/>
  <c r="BI17" i="61"/>
  <c r="BH17" i="61"/>
  <c r="BG17" i="61"/>
  <c r="BI16" i="61"/>
  <c r="BH16" i="61"/>
  <c r="BG16" i="61"/>
  <c r="BI15" i="61"/>
  <c r="BH15" i="61"/>
  <c r="BG15" i="61"/>
  <c r="BI14" i="61"/>
  <c r="BH14" i="61"/>
  <c r="BG14" i="61"/>
  <c r="BI13" i="61"/>
  <c r="BH13" i="61"/>
  <c r="BG13" i="61"/>
  <c r="BI12" i="61"/>
  <c r="BH12" i="61"/>
  <c r="BG12" i="61"/>
  <c r="BI11" i="61"/>
  <c r="BH11" i="61"/>
  <c r="BG11" i="61"/>
  <c r="BI10" i="61"/>
  <c r="BH10" i="61"/>
  <c r="BG10" i="61"/>
  <c r="BI9" i="61"/>
  <c r="BH9" i="61"/>
  <c r="BG9" i="61"/>
  <c r="BI8" i="61"/>
  <c r="BH8" i="61"/>
  <c r="BG8" i="61"/>
  <c r="BI7" i="61"/>
  <c r="BH7" i="61"/>
  <c r="BG7" i="61"/>
  <c r="B8" i="1" l="1"/>
  <c r="R5" i="114" l="1"/>
  <c r="C41" i="106" l="1"/>
  <c r="BF61" i="61"/>
  <c r="BE61" i="61"/>
  <c r="BD61" i="61"/>
  <c r="BF60" i="61"/>
  <c r="BE60" i="61"/>
  <c r="BD60" i="61"/>
  <c r="BF59" i="61"/>
  <c r="BE59" i="61"/>
  <c r="BD59" i="61"/>
  <c r="BF58" i="61"/>
  <c r="BE58" i="61"/>
  <c r="BD58" i="61"/>
  <c r="BF57" i="61"/>
  <c r="BE57" i="61"/>
  <c r="BD57" i="61"/>
  <c r="BF56" i="61"/>
  <c r="BE56" i="61"/>
  <c r="BD56" i="61"/>
  <c r="BF55" i="61"/>
  <c r="BE55" i="61"/>
  <c r="BD55" i="61"/>
  <c r="BF54" i="61"/>
  <c r="BE54" i="61"/>
  <c r="BD54" i="61"/>
  <c r="BF53" i="61"/>
  <c r="BE53" i="61"/>
  <c r="BD53" i="61"/>
  <c r="BF52" i="61"/>
  <c r="BE52" i="61"/>
  <c r="BD52" i="61"/>
  <c r="BF51" i="61"/>
  <c r="BE51" i="61"/>
  <c r="BD51" i="61"/>
  <c r="BF50" i="61"/>
  <c r="BE50" i="61"/>
  <c r="BD50" i="61"/>
  <c r="BF49" i="61"/>
  <c r="BE49" i="61"/>
  <c r="BD49" i="61"/>
  <c r="BF48" i="61"/>
  <c r="BE48" i="61"/>
  <c r="BD48" i="61"/>
  <c r="BF47" i="61"/>
  <c r="BE47" i="61"/>
  <c r="BD47" i="61"/>
  <c r="BF46" i="61"/>
  <c r="BE46" i="61"/>
  <c r="BD46" i="61"/>
  <c r="BF45" i="61"/>
  <c r="BE45" i="61"/>
  <c r="BD45" i="61"/>
  <c r="BF44" i="61"/>
  <c r="BE44" i="61"/>
  <c r="BD44" i="61"/>
  <c r="BF43" i="61"/>
  <c r="BE43" i="61"/>
  <c r="BD43" i="61"/>
  <c r="BF42" i="61"/>
  <c r="BE42" i="61"/>
  <c r="BD42" i="61"/>
  <c r="BF41" i="61"/>
  <c r="BE41" i="61"/>
  <c r="BD41" i="61"/>
  <c r="BF40" i="61"/>
  <c r="BE40" i="61"/>
  <c r="BD40" i="61"/>
  <c r="BF39" i="61"/>
  <c r="BE39" i="61"/>
  <c r="BD39" i="61"/>
  <c r="BF38" i="61"/>
  <c r="BE38" i="61"/>
  <c r="BD38" i="61"/>
  <c r="BF37" i="61"/>
  <c r="BE37" i="61"/>
  <c r="BD37" i="61"/>
  <c r="BF36" i="61"/>
  <c r="BE36" i="61"/>
  <c r="BD36" i="61"/>
  <c r="BF35" i="61"/>
  <c r="BE35" i="61"/>
  <c r="BD35" i="61"/>
  <c r="BF34" i="61"/>
  <c r="BE34" i="61"/>
  <c r="BD34" i="61"/>
  <c r="BF33" i="61"/>
  <c r="BE33" i="61"/>
  <c r="BD33" i="61"/>
  <c r="BF32" i="61"/>
  <c r="BE32" i="61"/>
  <c r="BD32" i="61"/>
  <c r="BF31" i="61"/>
  <c r="BE31" i="61"/>
  <c r="BD31" i="61"/>
  <c r="BF30" i="61"/>
  <c r="BE30" i="61"/>
  <c r="BD30" i="61"/>
  <c r="BF29" i="61"/>
  <c r="BE29" i="61"/>
  <c r="BD29" i="61"/>
  <c r="BF28" i="61"/>
  <c r="BE28" i="61"/>
  <c r="BD28" i="61"/>
  <c r="BF27" i="61"/>
  <c r="BE27" i="61"/>
  <c r="BD27" i="61"/>
  <c r="BF26" i="61"/>
  <c r="BE26" i="61"/>
  <c r="BD26" i="61"/>
  <c r="BF25" i="61"/>
  <c r="BE25" i="61"/>
  <c r="BD25" i="61"/>
  <c r="BF24" i="61"/>
  <c r="BE24" i="61"/>
  <c r="BD24" i="61"/>
  <c r="BF23" i="61"/>
  <c r="BE23" i="61"/>
  <c r="BD23" i="61"/>
  <c r="BF22" i="61"/>
  <c r="BE22" i="61"/>
  <c r="BD22" i="61"/>
  <c r="BF21" i="61"/>
  <c r="BE21" i="61"/>
  <c r="BD21" i="61"/>
  <c r="BF20" i="61"/>
  <c r="BE20" i="61"/>
  <c r="BD20" i="61"/>
  <c r="BF19" i="61"/>
  <c r="BE19" i="61"/>
  <c r="BD19" i="61"/>
  <c r="BF18" i="61"/>
  <c r="BE18" i="61"/>
  <c r="BD18" i="61"/>
  <c r="BF17" i="61"/>
  <c r="BE17" i="61"/>
  <c r="BD17" i="61"/>
  <c r="BF16" i="61"/>
  <c r="BE16" i="61"/>
  <c r="BD16" i="61"/>
  <c r="BF15" i="61"/>
  <c r="BE15" i="61"/>
  <c r="BD15" i="61"/>
  <c r="BF14" i="61"/>
  <c r="BE14" i="61"/>
  <c r="BD14" i="61"/>
  <c r="BF13" i="61"/>
  <c r="BE13" i="61"/>
  <c r="BD13" i="61"/>
  <c r="BF12" i="61"/>
  <c r="BE12" i="61"/>
  <c r="BD12" i="61"/>
  <c r="BF11" i="61"/>
  <c r="BE11" i="61"/>
  <c r="BD11" i="61"/>
  <c r="BF10" i="61"/>
  <c r="BE10" i="61"/>
  <c r="BD10" i="61"/>
  <c r="BF9" i="61"/>
  <c r="BE9" i="61"/>
  <c r="BD9" i="61"/>
  <c r="BF8" i="61"/>
  <c r="BE8" i="61"/>
  <c r="BD8" i="61"/>
  <c r="BF7" i="61"/>
  <c r="BE7" i="61"/>
  <c r="BD7" i="61"/>
  <c r="BD81" i="61"/>
  <c r="BF80" i="61"/>
  <c r="BE80" i="61"/>
  <c r="BD80" i="61"/>
  <c r="BF75" i="61"/>
  <c r="BE75" i="61"/>
  <c r="BD75" i="61"/>
  <c r="BF73" i="61"/>
  <c r="BE73" i="61"/>
  <c r="BD73" i="61"/>
  <c r="C12" i="4" l="1"/>
  <c r="D12" i="4"/>
  <c r="E12" i="4"/>
  <c r="C8" i="1" l="1"/>
  <c r="D303" i="114" l="1"/>
  <c r="D300" i="114"/>
  <c r="D297" i="114"/>
  <c r="D294" i="114"/>
  <c r="D291" i="114"/>
  <c r="D288" i="114"/>
  <c r="D285" i="114"/>
  <c r="D282" i="114"/>
  <c r="D279" i="114"/>
  <c r="F53" i="91" l="1"/>
  <c r="E113" i="91" s="1"/>
  <c r="K72" i="114" l="1"/>
  <c r="K257" i="114" l="1"/>
  <c r="K182" i="114"/>
  <c r="K109" i="114"/>
  <c r="K81" i="114"/>
  <c r="K66" i="114"/>
  <c r="K58" i="114"/>
  <c r="K56" i="114"/>
  <c r="K48" i="114"/>
  <c r="K44" i="114"/>
  <c r="B14" i="70" l="1"/>
  <c r="D14" i="70" s="1"/>
  <c r="D55" i="91"/>
  <c r="E55" i="91" s="1"/>
  <c r="F55" i="91" s="1"/>
  <c r="C12" i="95"/>
  <c r="D12" i="95" s="1"/>
  <c r="E12" i="95" s="1"/>
  <c r="F12" i="95" s="1"/>
  <c r="G12" i="95" s="1"/>
  <c r="H12" i="95" s="1"/>
  <c r="I12" i="95" s="1"/>
  <c r="C12" i="96"/>
  <c r="D12" i="96" s="1"/>
  <c r="E12" i="96" s="1"/>
  <c r="F12" i="96" s="1"/>
  <c r="C12" i="46"/>
  <c r="D12" i="46" s="1"/>
  <c r="E12" i="46" s="1"/>
  <c r="F12" i="46" s="1"/>
  <c r="E14" i="70" l="1"/>
  <c r="G14" i="70" s="1"/>
  <c r="I14" i="70" s="1"/>
  <c r="F14" i="70"/>
  <c r="H14" i="70" s="1"/>
  <c r="J14" i="70" s="1"/>
  <c r="E7" i="91"/>
  <c r="K256" i="114" l="1"/>
  <c r="K47" i="114"/>
  <c r="F7" i="91" l="1"/>
  <c r="J7" i="70" l="1"/>
  <c r="I7" i="70"/>
  <c r="D31" i="91" l="1"/>
  <c r="E31" i="91" s="1"/>
  <c r="F31" i="91" s="1"/>
  <c r="F12" i="4"/>
  <c r="A13" i="95" l="1"/>
  <c r="A12" i="95"/>
  <c r="A13" i="96"/>
  <c r="A12" i="96"/>
  <c r="A12" i="46"/>
  <c r="C8" i="91" s="1"/>
  <c r="C32" i="91" s="1"/>
  <c r="C55" i="91" s="1"/>
  <c r="A13" i="46"/>
  <c r="C9" i="91" s="1"/>
  <c r="C33" i="91" s="1"/>
  <c r="C56" i="91" s="1"/>
  <c r="E8" i="91" l="1"/>
  <c r="F8" i="91" s="1"/>
  <c r="I8" i="91" s="1"/>
  <c r="J8" i="91" s="1"/>
  <c r="D8" i="91"/>
  <c r="A5" i="70"/>
  <c r="E9" i="46"/>
  <c r="F9" i="46"/>
  <c r="F9" i="70"/>
  <c r="C8" i="70"/>
  <c r="E8" i="70" s="1"/>
  <c r="I8" i="70"/>
  <c r="J8" i="70"/>
  <c r="B9" i="70"/>
  <c r="D9" i="70"/>
  <c r="G9" i="70"/>
  <c r="C11" i="70"/>
  <c r="D11" i="70"/>
  <c r="E11" i="70"/>
  <c r="F11" i="70"/>
  <c r="G11" i="70"/>
  <c r="H11" i="70"/>
  <c r="A13" i="70"/>
  <c r="D16" i="70"/>
  <c r="C17" i="70"/>
  <c r="D17" i="70" s="1"/>
  <c r="F22" i="46"/>
  <c r="F24" i="46" s="1"/>
  <c r="C14" i="46"/>
  <c r="D14" i="46" s="1"/>
  <c r="E14" i="46" s="1"/>
  <c r="AR81" i="61"/>
  <c r="AU81" i="61" s="1"/>
  <c r="AX81" i="61" s="1"/>
  <c r="BA81" i="61" s="1"/>
  <c r="D9" i="46"/>
  <c r="D7" i="1"/>
  <c r="K80"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s="1"/>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C7" i="95"/>
  <c r="H8" i="95" s="1"/>
  <c r="H9" i="95"/>
  <c r="I9" i="95"/>
  <c r="B11" i="107"/>
  <c r="D11" i="107" s="1"/>
  <c r="F11" i="107" s="1"/>
  <c r="H11" i="107" s="1"/>
  <c r="J11" i="107" s="1"/>
  <c r="L11" i="107" s="1"/>
  <c r="N11" i="107" s="1"/>
  <c r="A8" i="107"/>
  <c r="F9" i="95"/>
  <c r="E58" i="91"/>
  <c r="F58" i="91" s="1"/>
  <c r="I19"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D10" i="91" s="1"/>
  <c r="D34" i="91" s="1"/>
  <c r="E34" i="91" s="1"/>
  <c r="F34" i="91" s="1"/>
  <c r="G34" i="91" s="1"/>
  <c r="H34" i="91" s="1"/>
  <c r="C7" i="46"/>
  <c r="F8" i="46" s="1"/>
  <c r="E16" i="4"/>
  <c r="F16" i="4" s="1"/>
  <c r="D15" i="95"/>
  <c r="E15" i="95" s="1"/>
  <c r="F15" i="95" s="1"/>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D8" i="1"/>
  <c r="E8" i="1" s="1"/>
  <c r="C10" i="1"/>
  <c r="D10" i="1"/>
  <c r="E10" i="1"/>
  <c r="D11" i="91" s="1"/>
  <c r="D35" i="91" s="1"/>
  <c r="D59" i="91" s="1"/>
  <c r="D79" i="91" s="1"/>
  <c r="B16" i="1"/>
  <c r="C16" i="1"/>
  <c r="D16" i="1" s="1"/>
  <c r="E16" i="1"/>
  <c r="B17" i="106"/>
  <c r="B43" i="106" s="1"/>
  <c r="G28" i="106"/>
  <c r="G29" i="106" s="1"/>
  <c r="G30" i="106" s="1"/>
  <c r="G31" i="106" s="1"/>
  <c r="F28" i="106"/>
  <c r="F29" i="106" s="1"/>
  <c r="F30" i="106" s="1"/>
  <c r="F31" i="106" s="1"/>
  <c r="E28" i="106"/>
  <c r="E29" i="106" s="1"/>
  <c r="E30" i="106" s="1"/>
  <c r="E31" i="106" s="1"/>
  <c r="G21" i="106"/>
  <c r="G22" i="106" s="1"/>
  <c r="F21" i="106"/>
  <c r="F22" i="106" s="1"/>
  <c r="E21" i="106"/>
  <c r="E22" i="106" s="1"/>
  <c r="D17" i="4"/>
  <c r="E17" i="4" s="1"/>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E38" i="91"/>
  <c r="F38" i="91" s="1"/>
  <c r="G38" i="91" s="1"/>
  <c r="H38" i="91" s="1"/>
  <c r="C7" i="96"/>
  <c r="C17" i="95"/>
  <c r="E17" i="95" s="1"/>
  <c r="D22" i="46"/>
  <c r="D24" i="46" s="1"/>
  <c r="D92" i="91"/>
  <c r="J10" i="91"/>
  <c r="D9" i="4"/>
  <c r="F9" i="4" s="1"/>
  <c r="E9" i="4"/>
  <c r="F10" i="46" l="1"/>
  <c r="E11" i="4"/>
  <c r="F11" i="4" s="1"/>
  <c r="AI34" i="61"/>
  <c r="AK45" i="61"/>
  <c r="AL45" i="61" s="1"/>
  <c r="AK46" i="61"/>
  <c r="AL46" i="61" s="1"/>
  <c r="B12" i="70"/>
  <c r="C12" i="70" s="1"/>
  <c r="D12" i="70" s="1"/>
  <c r="E12" i="70" s="1"/>
  <c r="F12" i="70" s="1"/>
  <c r="AK13" i="61"/>
  <c r="AL13" i="61" s="1"/>
  <c r="AK31" i="61"/>
  <c r="AL31" i="61" s="1"/>
  <c r="AI14" i="61"/>
  <c r="AK7" i="61"/>
  <c r="AL7" i="61" s="1"/>
  <c r="AI41" i="61"/>
  <c r="AI20" i="61"/>
  <c r="AK70" i="61"/>
  <c r="AL70" i="61" s="1"/>
  <c r="H15" i="95"/>
  <c r="AI17" i="61"/>
  <c r="AK25" i="61"/>
  <c r="AL25" i="61" s="1"/>
  <c r="AH49" i="61"/>
  <c r="AI49" i="61" s="1"/>
  <c r="AK24" i="61"/>
  <c r="AL24" i="61" s="1"/>
  <c r="AK26" i="61"/>
  <c r="AL26" i="61" s="1"/>
  <c r="K74" i="114"/>
  <c r="K55" i="114"/>
  <c r="K61" i="114"/>
  <c r="K65" i="114"/>
  <c r="K113" i="114"/>
  <c r="K106" i="114"/>
  <c r="K178" i="114"/>
  <c r="K53" i="114"/>
  <c r="K70" i="114"/>
  <c r="D9" i="108"/>
  <c r="E9" i="108" s="1"/>
  <c r="E10" i="108" s="1"/>
  <c r="K63" i="114"/>
  <c r="K186" i="114"/>
  <c r="I16" i="70"/>
  <c r="E16" i="70"/>
  <c r="AK57" i="61"/>
  <c r="AL57" i="61" s="1"/>
  <c r="AH58" i="61"/>
  <c r="AI58" i="61" s="1"/>
  <c r="AI56" i="61"/>
  <c r="AK15" i="61"/>
  <c r="AL15" i="61" s="1"/>
  <c r="AI40" i="61"/>
  <c r="AI43" i="61"/>
  <c r="AI48" i="61"/>
  <c r="D10" i="108"/>
  <c r="C8" i="96"/>
  <c r="C14" i="95" s="1"/>
  <c r="H14" i="95" s="1"/>
  <c r="I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F8" i="95"/>
  <c r="F10" i="95" s="1"/>
  <c r="E8" i="95"/>
  <c r="F16" i="70"/>
  <c r="G16" i="70" s="1"/>
  <c r="C9" i="70"/>
  <c r="C14" i="70" s="1"/>
  <c r="D8" i="46"/>
  <c r="D7" i="96"/>
  <c r="B18" i="70"/>
  <c r="E18" i="70" s="1"/>
  <c r="G18" i="70" s="1"/>
  <c r="D30" i="91"/>
  <c r="F30" i="91" s="1"/>
  <c r="F6" i="91" s="1"/>
  <c r="E6" i="91"/>
  <c r="D76" i="91"/>
  <c r="F76" i="91" s="1"/>
  <c r="F81" i="91" s="1"/>
  <c r="F82" i="91" s="1"/>
  <c r="E10" i="91"/>
  <c r="F10" i="91" s="1"/>
  <c r="H17" i="95"/>
  <c r="F15" i="108" s="1"/>
  <c r="L15" i="108" s="1"/>
  <c r="B15" i="108"/>
  <c r="D15" i="108" s="1"/>
  <c r="E15" i="108" s="1"/>
  <c r="K15" i="108" s="1"/>
  <c r="D40" i="91"/>
  <c r="D62" i="91" s="1"/>
  <c r="D95" i="91"/>
  <c r="C16" i="96"/>
  <c r="E16" i="96" s="1"/>
  <c r="E11" i="91"/>
  <c r="F7" i="96"/>
  <c r="E7" i="96"/>
  <c r="G12" i="70"/>
  <c r="H12" i="70"/>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B13" i="107"/>
  <c r="C19" i="46"/>
  <c r="AH9" i="61"/>
  <c r="AF9" i="61"/>
  <c r="AI36" i="61"/>
  <c r="AK36" i="61"/>
  <c r="AL36" i="61" s="1"/>
  <c r="F16" i="95"/>
  <c r="H16" i="95"/>
  <c r="E8" i="46"/>
  <c r="C11" i="107"/>
  <c r="E11" i="107" s="1"/>
  <c r="G11" i="107" s="1"/>
  <c r="I11" i="107" s="1"/>
  <c r="K11" i="107" s="1"/>
  <c r="M11" i="107" s="1"/>
  <c r="D7" i="95"/>
  <c r="I8" i="95" s="1"/>
  <c r="H10" i="95"/>
  <c r="F14" i="46"/>
  <c r="I9" i="70"/>
  <c r="I11" i="70"/>
  <c r="J11" i="70"/>
  <c r="H8" i="70"/>
  <c r="H9" i="70" s="1"/>
  <c r="B6" i="46"/>
  <c r="F6" i="46" s="1"/>
  <c r="C6" i="46"/>
  <c r="D6" i="46" s="1"/>
  <c r="E6" i="46" s="1"/>
  <c r="F19" i="46" l="1"/>
  <c r="E19" i="46"/>
  <c r="D19" i="46"/>
  <c r="E112" i="114"/>
  <c r="E104" i="114"/>
  <c r="E103" i="114"/>
  <c r="I10" i="95"/>
  <c r="D109" i="91"/>
  <c r="D112" i="91"/>
  <c r="E112" i="91" s="1"/>
  <c r="F112" i="91" s="1"/>
  <c r="AH59" i="61"/>
  <c r="AI59" i="61" s="1"/>
  <c r="H17" i="70"/>
  <c r="AK58" i="61"/>
  <c r="AL58" i="61" s="1"/>
  <c r="K180" i="114"/>
  <c r="K50" i="114"/>
  <c r="K185" i="114"/>
  <c r="K62" i="114"/>
  <c r="E76" i="91"/>
  <c r="E81" i="91" s="1"/>
  <c r="E82" i="91" s="1"/>
  <c r="F8" i="4"/>
  <c r="K60" i="114"/>
  <c r="K183" i="114"/>
  <c r="D14" i="95"/>
  <c r="E14" i="95" s="1"/>
  <c r="H10" i="70" s="1"/>
  <c r="D8" i="96"/>
  <c r="E8" i="96" s="1"/>
  <c r="F8" i="96" s="1"/>
  <c r="D81" i="91"/>
  <c r="D82" i="91" s="1"/>
  <c r="J15" i="108"/>
  <c r="E10" i="95"/>
  <c r="D53" i="91" s="1"/>
  <c r="H16" i="70"/>
  <c r="B6" i="95"/>
  <c r="C6" i="95" s="1"/>
  <c r="D6" i="95" s="1"/>
  <c r="G6" i="95" s="1"/>
  <c r="E6" i="95" s="1"/>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E30" i="91"/>
  <c r="D21" i="108"/>
  <c r="F21" i="108"/>
  <c r="E10" i="46"/>
  <c r="D10" i="46"/>
  <c r="H15" i="108"/>
  <c r="N15" i="108" s="1"/>
  <c r="F16" i="96"/>
  <c r="D16" i="96"/>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G8" i="95"/>
  <c r="G10" i="95" s="1"/>
  <c r="D13" i="107"/>
  <c r="F13" i="107" s="1"/>
  <c r="H13" i="107" s="1"/>
  <c r="J13" i="107" s="1"/>
  <c r="L13" i="107" s="1"/>
  <c r="N13" i="107" s="1"/>
  <c r="C13" i="107"/>
  <c r="E13" i="107" s="1"/>
  <c r="G13" i="107" s="1"/>
  <c r="I13" i="107" s="1"/>
  <c r="K13" i="107" s="1"/>
  <c r="M13" i="107" s="1"/>
  <c r="B6" i="96"/>
  <c r="E6" i="96"/>
  <c r="F109" i="91" l="1"/>
  <c r="D113" i="91"/>
  <c r="F113" i="91" s="1"/>
  <c r="AK59" i="61"/>
  <c r="AL59" i="61" s="1"/>
  <c r="B12" i="108"/>
  <c r="K52" i="114"/>
  <c r="D111" i="91"/>
  <c r="F111" i="91" s="1"/>
  <c r="E10" i="70"/>
  <c r="G10" i="70" s="1"/>
  <c r="F14" i="95"/>
  <c r="F10" i="4" s="1"/>
  <c r="K179" i="114"/>
  <c r="K51" i="114"/>
  <c r="K208" i="114"/>
  <c r="K207" i="114"/>
  <c r="H6" i="95"/>
  <c r="F6" i="95" s="1"/>
  <c r="F110" i="91"/>
  <c r="K206" i="114" s="1"/>
  <c r="I6" i="95"/>
  <c r="I18" i="70"/>
  <c r="J21" i="108"/>
  <c r="I21" i="108"/>
  <c r="M21" i="108" s="1"/>
  <c r="E21" i="108"/>
  <c r="H21" i="108" s="1"/>
  <c r="L21" i="108" s="1"/>
  <c r="G21" i="108"/>
  <c r="K21" i="108" s="1"/>
  <c r="O21" i="108" s="1"/>
  <c r="F35" i="91"/>
  <c r="I11" i="91"/>
  <c r="E53" i="91"/>
  <c r="P13" i="107"/>
  <c r="O13" i="107"/>
  <c r="M9" i="108"/>
  <c r="C10" i="108"/>
  <c r="I9" i="108"/>
  <c r="I10" i="108" s="1"/>
  <c r="D6" i="96"/>
  <c r="F6" i="96" s="1"/>
  <c r="D7" i="4"/>
  <c r="E7" i="4" s="1"/>
  <c r="F7" i="4" s="1"/>
  <c r="K210" i="114" l="1"/>
  <c r="K209" i="114"/>
  <c r="G14" i="95"/>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C21" i="106" l="1"/>
  <c r="B8" i="107"/>
  <c r="C8" i="107" l="1"/>
  <c r="E8" i="107" s="1"/>
  <c r="G8" i="107" s="1"/>
  <c r="I8" i="107" s="1"/>
  <c r="K8" i="107" s="1"/>
  <c r="M8" i="107" s="1"/>
  <c r="D8" i="107"/>
  <c r="F8" i="107" s="1"/>
  <c r="H8" i="107" s="1"/>
  <c r="J8" i="107" s="1"/>
  <c r="L8" i="107" s="1"/>
  <c r="N8" i="107" s="1"/>
  <c r="C11" i="46"/>
  <c r="H21" i="106"/>
  <c r="I21" i="106" s="1"/>
  <c r="C22" i="106"/>
  <c r="H22" i="106" s="1"/>
  <c r="I22" i="106" s="1"/>
  <c r="F11" i="46" l="1"/>
  <c r="D11" i="46"/>
  <c r="E11" i="46"/>
  <c r="O8" i="107"/>
  <c r="P8" i="107"/>
  <c r="J7" i="91" l="1"/>
  <c r="E54" i="91" s="1"/>
  <c r="I7" i="91"/>
  <c r="J13" i="70"/>
  <c r="D13" i="70"/>
  <c r="B13" i="70"/>
  <c r="F13" i="70"/>
  <c r="G13" i="70" s="1"/>
  <c r="C32" i="106"/>
  <c r="D7" i="91" s="1"/>
  <c r="C28" i="106"/>
  <c r="C29" i="106" s="1"/>
  <c r="H31" i="91" l="1"/>
  <c r="H36" i="91" s="1"/>
  <c r="H39" i="91" s="1"/>
  <c r="I13" i="70"/>
  <c r="D54" i="91"/>
  <c r="D78" i="91"/>
  <c r="D93" i="91" s="1"/>
  <c r="C30" i="106"/>
  <c r="H31" i="106"/>
  <c r="H30" i="106" l="1"/>
  <c r="I30" i="106"/>
  <c r="D11" i="95"/>
  <c r="H11" i="95" s="1"/>
  <c r="C31" i="106"/>
  <c r="G31" i="91"/>
  <c r="G36" i="91" s="1"/>
  <c r="G39" i="91" s="1"/>
  <c r="F54" i="91"/>
  <c r="I31" i="106" l="1"/>
  <c r="C11" i="95"/>
  <c r="F11" i="95" l="1"/>
  <c r="I11" i="95"/>
  <c r="G11" i="95"/>
  <c r="E11" i="95"/>
  <c r="E13" i="70" l="1"/>
  <c r="B11" i="108"/>
  <c r="H13" i="70"/>
  <c r="D11" i="108"/>
  <c r="C11" i="108"/>
  <c r="C13" i="70"/>
  <c r="N11" i="108" l="1"/>
  <c r="E11" i="108"/>
  <c r="O11" i="108" s="1"/>
  <c r="F11" i="108"/>
  <c r="J11" i="108"/>
  <c r="L11" i="108"/>
  <c r="G11" i="108"/>
  <c r="K11" i="108"/>
  <c r="H11" i="108"/>
  <c r="P11" i="108"/>
  <c r="I11" i="108"/>
  <c r="M11" i="108"/>
  <c r="I23" i="106"/>
  <c r="H23" i="106" l="1"/>
  <c r="C11" i="1"/>
  <c r="C11" i="96" l="1"/>
  <c r="D11" i="1"/>
  <c r="D11" i="96" l="1"/>
  <c r="E11" i="96"/>
  <c r="F11" i="96"/>
  <c r="E9" i="91"/>
  <c r="F9" i="91" l="1"/>
  <c r="D9" i="91"/>
  <c r="E14" i="4"/>
  <c r="E15" i="4" s="1"/>
  <c r="B15" i="70"/>
  <c r="D15" i="70" s="1"/>
  <c r="I15" i="70" s="1"/>
  <c r="J15" i="70" s="1"/>
  <c r="C13" i="95"/>
  <c r="D13" i="95" s="1"/>
  <c r="F13" i="95" l="1"/>
  <c r="I13" i="95"/>
  <c r="G13" i="95"/>
  <c r="E13" i="95"/>
  <c r="D33" i="91"/>
  <c r="D36" i="91" s="1"/>
  <c r="D39" i="91" s="1"/>
  <c r="D56" i="91"/>
  <c r="D60" i="91" s="1"/>
  <c r="D61" i="91" s="1"/>
  <c r="D12" i="91"/>
  <c r="E15" i="70"/>
  <c r="H15" i="70" s="1"/>
  <c r="F15" i="4"/>
  <c r="E12" i="91"/>
  <c r="E33" i="91"/>
  <c r="J9" i="91"/>
  <c r="J12" i="91" s="1"/>
  <c r="I9" i="91"/>
  <c r="I12" i="91" s="1"/>
  <c r="F12" i="91"/>
  <c r="F33" i="91"/>
  <c r="F36" i="91" s="1"/>
  <c r="F39" i="91" s="1"/>
  <c r="E36" i="91" l="1"/>
  <c r="E39" i="91" s="1"/>
  <c r="E56" i="91"/>
  <c r="E60" i="91" l="1"/>
  <c r="E61" i="91" s="1"/>
  <c r="F56" i="91"/>
  <c r="F60" i="91" s="1"/>
  <c r="F61" i="91" s="1"/>
  <c r="D14" i="4"/>
  <c r="D15" i="4" s="1"/>
  <c r="C13" i="96" l="1"/>
  <c r="C13" i="46"/>
  <c r="C14" i="4"/>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2" authorId="0">
      <text>
        <r>
          <rPr>
            <b/>
            <sz val="9"/>
            <color indexed="81"/>
            <rFont val="Tahoma"/>
            <family val="2"/>
          </rPr>
          <t>De acuerdo con el Decreto 0568 del 21032013</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<sst xmlns="http://schemas.openxmlformats.org/spreadsheetml/2006/main" count="1447" uniqueCount="689">
  <si>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</si>
  <si>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</si>
  <si>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</si>
  <si>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</si>
  <si>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</si>
  <si>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</si>
  <si>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</si>
  <si>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</si>
  <si>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</si>
  <si>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</si>
  <si>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</si>
  <si>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</si>
  <si>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</si>
  <si>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</si>
  <si>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</si>
  <si>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</si>
  <si>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</si>
  <si>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</si>
  <si>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</si>
  <si>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</si>
  <si>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</si>
  <si>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</si>
  <si>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</si>
  <si>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</si>
  <si>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</si>
  <si>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</si>
  <si>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</si>
  <si>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</si>
  <si>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</si>
  <si>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</si>
  <si>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</si>
  <si>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</si>
  <si>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</si>
  <si>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</si>
  <si>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</si>
  <si>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</si>
  <si>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</si>
  <si>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</si>
  <si>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</si>
  <si>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</si>
  <si>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</si>
  <si>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</si>
  <si>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</si>
  <si>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</si>
  <si>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</si>
  <si>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</si>
  <si>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</si>
  <si>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</si>
  <si>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</si>
  <si>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</si>
  <si>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</si>
  <si>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</si>
  <si>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</si>
  <si>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</si>
  <si>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</si>
  <si>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</si>
  <si>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</si>
  <si>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</si>
  <si>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</si>
  <si>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</si>
  <si>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</si>
  <si>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</si>
  <si>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</si>
  <si>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</si>
  <si>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</si>
  <si>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</si>
  <si>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</si>
  <si>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</si>
  <si>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</si>
  <si>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</si>
  <si>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</si>
  <si>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</si>
  <si>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</si>
  <si>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</si>
  <si>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</si>
  <si>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</si>
  <si>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</si>
  <si>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</si>
  <si>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</si>
  <si>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</si>
  <si>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</si>
  <si>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</si>
  <si>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</si>
  <si>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</si>
  <si>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</si>
  <si>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</si>
  <si>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</si>
  <si>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</si>
  <si>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</si>
  <si>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</si>
  <si>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</si>
  <si>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</si>
  <si>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</si>
  <si>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</si>
  <si>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</si>
  <si>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</si>
  <si>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</si>
  <si>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</si>
  <si>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</si>
  <si>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</si>
  <si>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</si>
  <si>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</si>
  <si>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</si>
  <si>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</si>
  <si>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</si>
  <si>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</si>
  <si>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</si>
  <si>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</si>
  <si>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</si>
  <si>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</si>
  <si>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</si>
  <si>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</si>
  <si>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</si>
  <si>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</si>
  <si>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</si>
  <si>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</si>
  <si>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</si>
  <si>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</si>
  <si>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</si>
  <si>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</si>
  <si>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</si>
  <si>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</si>
  <si>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</si>
  <si>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</si>
  <si>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</si>
  <si>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</si>
  <si>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</si>
  <si>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</si>
  <si>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</si>
  <si>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</si>
  <si>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</si>
  <si>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</si>
  <si>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</si>
  <si>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</si>
  <si>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</si>
  <si>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</si>
  <si>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</si>
  <si>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</si>
  <si>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</si>
  <si>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</si>
  <si>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</si>
  <si>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</si>
  <si>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</si>
  <si>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</si>
  <si>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</si>
  <si>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</si>
  <si>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</si>
  <si>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</si>
  <si>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</si>
  <si>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</si>
  <si>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</si>
  <si>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</si>
  <si>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</si>
  <si>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</si>
  <si>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</si>
  <si>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</si>
  <si>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</si>
  <si>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</si>
  <si>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</si>
  <si>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</si>
  <si>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</si>
  <si>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</si>
  <si>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</si>
  <si>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</si>
  <si>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</si>
  <si>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</si>
  <si>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</si>
  <si>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</si>
  <si>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</si>
  <si>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</si>
  <si>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</si>
  <si>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</si>
  <si>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</si>
  <si>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</si>
  <si>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</si>
  <si>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</si>
  <si>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</si>
  <si>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</si>
  <si>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</si>
  <si>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</si>
  <si>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</si>
  <si>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</si>
  <si>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</si>
  <si>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</si>
  <si>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</si>
  <si>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</si>
  <si>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</si>
  <si>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</si>
  <si>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</si>
  <si>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</si>
  <si>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</si>
  <si>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</si>
  <si>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</si>
  <si>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</si>
  <si>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</si>
  <si>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</si>
  <si>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</si>
  <si>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</si>
  <si>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</si>
  <si>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</si>
  <si>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</si>
  <si>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</si>
  <si>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</si>
  <si>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</si>
  <si>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</si>
  <si>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</si>
  <si>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</si>
  <si>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</si>
  <si>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</si>
  <si>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</si>
  <si>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</si>
  <si>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</si>
  <si>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</si>
  <si>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</si>
  <si>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</si>
  <si>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</si>
  <si>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</si>
  <si>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</si>
  <si>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</si>
  <si>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</si>
  <si>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</si>
  <si>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</si>
  <si>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</si>
  <si>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</si>
  <si>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</si>
  <si>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</si>
  <si>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</si>
  <si>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</si>
  <si>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</si>
  <si>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</si>
  <si>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</si>
  <si>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</si>
  <si>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</si>
  <si>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</si>
  <si>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</si>
  <si>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</si>
  <si>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</si>
  <si>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</si>
  <si>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</si>
  <si>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</si>
  <si>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</si>
  <si>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</si>
  <si>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</si>
  <si>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</si>
  <si>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</si>
  <si>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</si>
  <si>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</si>
  <si>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</si>
  <si>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</si>
  <si>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</si>
  <si>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</si>
  <si>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</si>
  <si>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</si>
  <si>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</si>
  <si>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</si>
  <si>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</si>
  <si>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</si>
  <si>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</si>
  <si>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</si>
  <si>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</si>
  <si>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</si>
  <si>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</si>
  <si>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</si>
  <si>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</si>
  <si>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</si>
  <si>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</si>
  <si>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</si>
  <si>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</si>
  <si>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</si>
  <si>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</si>
  <si>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</si>
  <si>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</si>
  <si>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</si>
  <si>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</si>
  <si>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</si>
  <si>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</si>
  <si>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</si>
  <si>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</si>
  <si>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</si>
  <si>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</si>
  <si>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</si>
  <si>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</si>
  <si>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</si>
  <si>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</si>
  <si>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</si>
  <si>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</si>
  <si>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</si>
  <si>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</si>
  <si>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</si>
  <si>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</si>
  <si>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</si>
  <si>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</si>
  <si>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</si>
  <si>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</si>
  <si>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</si>
  <si>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</si>
  <si>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</si>
  <si>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</si>
  <si>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</si>
  <si>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</si>
  <si>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</si>
  <si>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</si>
  <si>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</si>
  <si>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</si>
  <si>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</si>
  <si>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</si>
  <si>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</si>
  <si>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</si>
  <si>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</si>
  <si>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</si>
  <si>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</si>
  <si>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</si>
  <si>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</si>
  <si>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</si>
  <si>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</si>
  <si>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</si>
  <si>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</si>
  <si>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</si>
  <si>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</si>
  <si>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</si>
  <si>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</si>
  <si>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</si>
  <si>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</si>
  <si>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</si>
  <si>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</si>
  <si>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</si>
  <si>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</si>
  <si>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</si>
  <si>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</si>
  <si>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</si>
  <si>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</si>
  <si>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</si>
  <si>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</si>
  <si>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</si>
  <si>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</si>
  <si>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</si>
  <si>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</si>
  <si>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</si>
  <si>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</si>
  <si>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</si>
  <si>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</si>
  <si>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</si>
  <si>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</si>
  <si>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</si>
  <si>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</si>
  <si>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</si>
  <si>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</si>
  <si>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</si>
  <si>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</si>
  <si>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</si>
  <si>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</si>
  <si>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</si>
  <si>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</si>
  <si>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</si>
  <si>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</si>
  <si>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</si>
  <si>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</si>
  <si>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</si>
  <si>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</si>
  <si>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</si>
  <si>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</si>
  <si>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</si>
  <si>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</si>
  <si>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</si>
  <si>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</si>
  <si>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</si>
  <si>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</si>
  <si>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</si>
  <si>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</si>
  <si>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</si>
  <si>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</si>
  <si>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</si>
  <si>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</si>
  <si>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</si>
  <si>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</si>
  <si>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</si>
  <si>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</si>
  <si>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</si>
  <si>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</si>
  <si>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</si>
  <si>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</si>
  <si>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</si>
  <si>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</si>
  <si>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</si>
  <si>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</si>
  <si>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</si>
  <si>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</si>
  <si>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</si>
  <si>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</si>
  <si>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</si>
  <si>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</si>
  <si>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</si>
  <si>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</si>
  <si>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</si>
  <si>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</si>
  <si>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</si>
  <si>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</si>
  <si>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</si>
  <si>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</si>
  <si>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</si>
  <si>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</si>
  <si>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</si>
  <si>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</si>
  <si>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</si>
  <si>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</si>
  <si>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</si>
  <si>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</si>
  <si>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</si>
  <si>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</si>
  <si>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</si>
  <si>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</si>
  <si>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</si>
  <si>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</si>
  <si>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</si>
  <si>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</si>
  <si>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</si>
  <si>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</si>
  <si>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</si>
  <si>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</si>
  <si>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</si>
  <si>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</si>
  <si>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</si>
  <si>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</si>
  <si>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</si>
  <si>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</si>
  <si>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</si>
  <si>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</si>
  <si>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</si>
  <si>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</si>
  <si>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</si>
  <si>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</si>
  <si>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</si>
  <si>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</si>
  <si>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</si>
  <si>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</si>
  <si>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</si>
  <si>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</si>
  <si>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</si>
  <si>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</si>
  <si>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</si>
  <si>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</si>
  <si>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</si>
  <si>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</si>
  <si>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</si>
  <si>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</si>
  <si>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</si>
  <si>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</si>
  <si>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</si>
  <si>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</si>
  <si>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</si>
  <si>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</si>
  <si>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</si>
  <si>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</si>
  <si>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</si>
  <si>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</si>
  <si>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</si>
  <si>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</si>
  <si>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</si>
  <si>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</si>
  <si>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</si>
  <si>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</si>
  <si>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</si>
  <si>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</si>
  <si>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</si>
  <si>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</si>
  <si>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</si>
  <si>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</si>
  <si>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</si>
  <si>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</si>
  <si>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</si>
  <si>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</si>
  <si>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</si>
  <si>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</si>
  <si>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</si>
  <si>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</si>
  <si>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</si>
  <si>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</si>
  <si>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</si>
  <si>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</si>
  <si>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</si>
  <si>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</si>
  <si>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</si>
  <si>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</si>
  <si>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</si>
  <si>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</si>
  <si>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</si>
  <si>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</si>
  <si>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</si>
  <si>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</si>
  <si>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</si>
  <si>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</si>
  <si>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</si>
  <si>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</si>
  <si>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</si>
  <si>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</si>
  <si>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</si>
  <si>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</si>
  <si>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</si>
  <si>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</si>
  <si>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</si>
  <si>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</si>
  <si>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</si>
  <si>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</si>
  <si>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</si>
  <si>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</si>
  <si>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</si>
  <si>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</si>
  <si>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</si>
  <si>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</si>
  <si>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</si>
  <si>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</si>
  <si>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</si>
  <si>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</si>
  <si>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</si>
  <si>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</si>
  <si>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</si>
  <si>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</si>
  <si>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</si>
  <si>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</si>
  <si>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</si>
  <si>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</si>
  <si>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</si>
  <si>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</si>
  <si>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</si>
  <si>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</si>
  <si>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</si>
  <si>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</si>
  <si>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</si>
  <si>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</si>
  <si>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</si>
  <si>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</si>
  <si>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</si>
  <si>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</si>
  <si>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</si>
  <si>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</si>
  <si>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</si>
  <si>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</si>
  <si>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</si>
  <si>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</si>
  <si>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</si>
  <si>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</si>
  <si>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</si>
  <si>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</si>
  <si>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</si>
  <si>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</si>
  <si>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</si>
  <si>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</si>
  <si>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</si>
  <si>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</si>
  <si>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</si>
  <si>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</si>
  <si>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</si>
  <si>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</si>
  <si>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</si>
  <si>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</si>
  <si>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</si>
  <si>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</si>
  <si>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</si>
  <si>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</si>
  <si>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</si>
  <si>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</si>
  <si>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</si>
  <si>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</si>
  <si>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</si>
  <si>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</si>
  <si>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</si>
  <si>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</si>
  <si>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</si>
  <si>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</si>
  <si>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</si>
  <si>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</si>
  <si>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</si>
  <si>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</si>
  <si>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</si>
  <si>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</si>
  <si>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</si>
  <si>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</si>
  <si>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</si>
  <si>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</si>
  <si>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</si>
  <si>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</si>
  <si>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</si>
  <si>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</si>
  <si>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</si>
  <si>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</si>
  <si>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</si>
  <si>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</si>
  <si>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</si>
  <si>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</si>
  <si>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</si>
  <si>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</si>
  <si>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</si>
  <si>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</si>
  <si>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</si>
  <si>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</si>
  <si>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</si>
  <si>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</si>
  <si>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</si>
  <si>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</si>
  <si>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</si>
  <si>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</si>
  <si>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</si>
  <si>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</si>
  <si>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</si>
  <si>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</si>
  <si>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</si>
  <si>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</si>
  <si>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</si>
  <si>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</si>
  <si>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</si>
  <si>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</si>
  <si>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</si>
  <si>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</si>
  <si>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</si>
  <si>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</si>
  <si>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</si>
  <si>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</si>
  <si>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</si>
  <si>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</si>
  <si>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</si>
  <si>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</si>
  <si>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</si>
  <si>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</si>
  <si>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</si>
  <si>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</si>
  <si>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</si>
  <si>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</si>
  <si>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</si>
  <si>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</si>
  <si>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</si>
  <si>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</si>
  <si>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</si>
  <si>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</si>
  <si>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</si>
  <si>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</si>
  <si>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</si>
  <si>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</si>
  <si>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</si>
  <si>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</si>
  <si>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</si>
  <si>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</si>
  <si>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</si>
  <si>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</si>
  <si>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</si>
  <si>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</si>
  <si>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</si>
  <si>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</si>
  <si>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</si>
  <si>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</si>
  <si>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</si>
  <si>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</si>
  <si>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</si>
  <si>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</si>
  <si>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</si>
  <si>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</si>
  <si>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</si>
  <si>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</si>
  <si>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</si>
  <si>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</si>
  <si>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</si>
  <si>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</si>
  <si>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GASOLINA MOTOR REGULAR IAD81</t>
  </si>
  <si>
    <t>CO2</t>
  </si>
  <si>
    <t>UG6</t>
  </si>
  <si>
    <t>Hasta</t>
  </si>
  <si>
    <t>Desde</t>
  </si>
  <si>
    <t>Material</t>
  </si>
  <si>
    <t>Nombre</t>
  </si>
  <si>
    <t>Importe</t>
  </si>
  <si>
    <t>Por</t>
  </si>
  <si>
    <t>UM</t>
  </si>
  <si>
    <t>Clase condición ZPRE</t>
  </si>
  <si>
    <t>Moneda</t>
  </si>
  <si>
    <t>Actualizar</t>
  </si>
  <si>
    <t>NOMBRE EN SP</t>
  </si>
  <si>
    <t>ZONA DE FRONTERA</t>
  </si>
  <si>
    <t>GUAJIRA PRECIO ESPECIAL</t>
  </si>
  <si>
    <t>BALANCE VOLUMETRICO</t>
  </si>
  <si>
    <t>Empresa: Ecopetrol</t>
  </si>
  <si>
    <t>01.01.2019</t>
  </si>
  <si>
    <t>10.02.2019</t>
  </si>
  <si>
    <t>Año 2019</t>
  </si>
  <si>
    <t>FEB 1 A FEB 28  2019</t>
  </si>
  <si>
    <t>Inflación 2018</t>
  </si>
  <si>
    <t>ok</t>
  </si>
  <si>
    <t>9 DE MARZO 2019</t>
  </si>
  <si>
    <t xml:space="preserve">Gasolina Corriente Base para Oxigenar </t>
  </si>
  <si>
    <t>OK</t>
  </si>
  <si>
    <t>VALOR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</si>
</sst>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 #,##0_-;_-* &quot;-&quot;_-;_-@_-"/>
    <numFmt numFmtId="165" formatCode="_-* #,##0.00_-;\-* #,##0.00_-;_-* &quot;-&quot;??_-;_-@_-"/>
    <numFmt numFmtId="166" formatCode="_(* #,##0.00_);_(* \(#,##0.00\);_(* &quot;-&quot;??_);_(@_)"/>
    <numFmt numFmtId="167" formatCode="#,##0.0000"/>
    <numFmt numFmtId="168" formatCode="General_)"/>
    <numFmt numFmtId="169" formatCode="_-* #,##0.0000_-;\-* #,##0.0000_-;_-* &quot;-&quot;??_-;_-@_-"/>
    <numFmt numFmtId="170" formatCode=";;;"/>
    <numFmt numFmtId="171" formatCode="#,##0.00000000"/>
    <numFmt numFmtId="172" formatCode="#,##0.00000000000"/>
    <numFmt numFmtId="173" formatCode="#,##0.00\ &quot;(*****)&quot;"/>
    <numFmt numFmtId="174" formatCode="_-* #,##0.0_-;\-* #,##0.0_-;_-* &quot;-&quot;??_-;_-@_-"/>
    <numFmt numFmtId="175" formatCode="_(* #,##0.00000_);_(* \(#,##0.00000\);_(* &quot;-&quot;??_);_(@_)"/>
    <numFmt numFmtId="176" formatCode="0.0000"/>
  </numFmts>
  <fonts count="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sz val="9"/>
      <name val="Tahoma"/>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0" fontId="8" fillId="0" borderId="0"/>
    <xf numFmtId="0" fontId="9" fillId="0" borderId="0"/>
    <xf numFmtId="0" fontId="8" fillId="0" borderId="0"/>
    <xf numFmtId="0" fontId="9" fillId="0" borderId="0"/>
    <xf numFmtId="0" fontId="10" fillId="0" borderId="0">
      <protection locked="0"/>
    </xf>
    <xf numFmtId="0" fontId="11" fillId="0" borderId="0">
      <protection locked="0"/>
    </xf>
    <xf numFmtId="0" fontId="1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165" fontId="7" fillId="0" borderId="0" applyFont="0" applyFill="0" applyBorder="0" applyAlignment="0" applyProtection="0"/>
    <xf numFmtId="0" fontId="7" fillId="0" borderId="0" applyFont="0" applyFill="0" applyBorder="0" applyAlignment="0" applyProtection="0"/>
    <xf numFmtId="0" fontId="10" fillId="0" borderId="0">
      <protection locked="0"/>
    </xf>
    <xf numFmtId="37" fontId="12" fillId="0" borderId="0"/>
    <xf numFmtId="0" fontId="7" fillId="0" borderId="0"/>
    <xf numFmtId="0" fontId="7" fillId="0" borderId="0"/>
    <xf numFmtId="0" fontId="28" fillId="0" borderId="0"/>
    <xf numFmtId="168" fontId="17" fillId="0" borderId="0"/>
    <xf numFmtId="9" fontId="7" fillId="0" borderId="0" applyFont="0" applyFill="0" applyBorder="0" applyAlignment="0" applyProtection="0"/>
    <xf numFmtId="9" fontId="7" fillId="0" borderId="0" applyFont="0" applyFill="0" applyBorder="0" applyAlignment="0" applyProtection="0"/>
    <xf numFmtId="168" fontId="14" fillId="0" borderId="0">
      <alignment horizontal="left"/>
    </xf>
    <xf numFmtId="38" fontId="13" fillId="0" borderId="0"/>
    <xf numFmtId="0" fontId="10" fillId="0" borderId="1">
      <protection locked="0"/>
    </xf>
    <xf numFmtId="0" fontId="6" fillId="0" borderId="0"/>
    <xf numFmtId="164" fontId="88" fillId="0" borderId="0" applyFont="0" applyFill="0" applyBorder="0" applyAlignment="0" applyProtection="0"/>
  </cellStyleXfs>
  <cellXfs count="737">
    <xf numFmtId="0" fontId="0" fillId="0" borderId="0" xfId="0"/>
    <xf numFmtId="0" fontId="40" fillId="2" borderId="0" xfId="0" applyFont="1" applyFill="1" applyAlignment="1" applyProtection="1">
      <alignment vertical="center"/>
      <protection hidden="1"/>
    </xf>
    <xf numFmtId="0" fontId="40" fillId="2" borderId="0" xfId="0" quotePrefix="1" applyFont="1" applyFill="1" applyAlignment="1" applyProtection="1">
      <alignment vertical="center"/>
      <protection hidden="1"/>
    </xf>
    <xf numFmtId="0" fontId="41" fillId="2" borderId="0" xfId="0" applyFont="1" applyFill="1" applyAlignment="1" applyProtection="1">
      <alignment horizontal="left" vertical="center"/>
      <protection hidden="1"/>
    </xf>
    <xf numFmtId="0" fontId="42" fillId="2" borderId="0" xfId="0" applyFont="1" applyFill="1" applyAlignment="1" applyProtection="1">
      <alignment vertical="center"/>
      <protection hidden="1"/>
    </xf>
    <xf numFmtId="0" fontId="18" fillId="2" borderId="0" xfId="0" applyFont="1" applyFill="1" applyAlignment="1" applyProtection="1">
      <alignment vertical="center"/>
      <protection hidden="1"/>
    </xf>
    <xf numFmtId="166" fontId="18" fillId="2" borderId="0" xfId="0" applyNumberFormat="1" applyFont="1" applyFill="1" applyAlignment="1" applyProtection="1">
      <alignment vertical="center"/>
      <protection hidden="1"/>
    </xf>
    <xf numFmtId="2" fontId="18" fillId="2" borderId="0" xfId="0" applyNumberFormat="1" applyFont="1" applyFill="1" applyAlignment="1" applyProtection="1">
      <alignment vertical="center"/>
      <protection hidden="1"/>
    </xf>
    <xf numFmtId="0" fontId="18" fillId="0" borderId="0" xfId="0" applyFont="1" applyBorder="1" applyAlignment="1" applyProtection="1">
      <alignment vertical="center"/>
      <protection hidden="1"/>
    </xf>
    <xf numFmtId="0" fontId="18" fillId="12" borderId="0" xfId="0" applyFont="1" applyFill="1" applyBorder="1" applyAlignment="1" applyProtection="1">
      <alignment vertical="center"/>
      <protection hidden="1"/>
    </xf>
    <xf numFmtId="0" fontId="19" fillId="2" borderId="0" xfId="0" applyFont="1" applyFill="1" applyAlignment="1" applyProtection="1">
      <alignment vertical="center"/>
      <protection hidden="1"/>
    </xf>
    <xf numFmtId="0" fontId="19" fillId="2"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6" fillId="0" borderId="0" xfId="0" applyFont="1" applyAlignment="1" applyProtection="1">
      <alignment vertical="center"/>
      <protection hidden="1"/>
    </xf>
    <xf numFmtId="0" fontId="18" fillId="0" borderId="0" xfId="0" applyFont="1" applyAlignment="1" applyProtection="1">
      <alignment vertical="center"/>
      <protection hidden="1"/>
    </xf>
    <xf numFmtId="0" fontId="27" fillId="2" borderId="0" xfId="0" quotePrefix="1" applyFont="1" applyFill="1" applyAlignment="1" applyProtection="1">
      <alignment horizontal="left" vertical="center"/>
      <protection hidden="1"/>
    </xf>
    <xf numFmtId="0" fontId="19" fillId="0" borderId="0" xfId="0" applyFont="1" applyBorder="1" applyAlignment="1" applyProtection="1">
      <alignment horizontal="left" vertical="center" wrapText="1"/>
      <protection hidden="1"/>
    </xf>
    <xf numFmtId="165" fontId="19" fillId="2" borderId="0" xfId="17" applyFont="1" applyFill="1" applyBorder="1" applyAlignment="1" applyProtection="1">
      <alignment vertical="center" wrapText="1"/>
      <protection hidden="1"/>
    </xf>
    <xf numFmtId="0" fontId="18" fillId="12" borderId="0" xfId="0" applyFont="1" applyFill="1" applyAlignment="1" applyProtection="1">
      <alignment vertical="center"/>
      <protection hidden="1"/>
    </xf>
    <xf numFmtId="9" fontId="18" fillId="12" borderId="0" xfId="0" applyNumberFormat="1" applyFont="1" applyFill="1" applyBorder="1" applyAlignment="1" applyProtection="1">
      <alignment vertical="center"/>
      <protection hidden="1"/>
    </xf>
    <xf numFmtId="0" fontId="15" fillId="0" borderId="0" xfId="0" applyFont="1" applyAlignment="1" applyProtection="1">
      <alignment vertical="center"/>
      <protection hidden="1"/>
    </xf>
    <xf numFmtId="0" fontId="40" fillId="0" borderId="0" xfId="0" applyFont="1" applyAlignment="1" applyProtection="1">
      <alignment horizontal="left" vertical="center"/>
      <protection hidden="1"/>
    </xf>
    <xf numFmtId="0" fontId="43" fillId="0" borderId="0" xfId="0" applyFont="1" applyAlignment="1" applyProtection="1">
      <alignment horizontal="center" vertical="center"/>
      <protection hidden="1"/>
    </xf>
    <xf numFmtId="0" fontId="40" fillId="0" borderId="0" xfId="0" applyFont="1" applyAlignment="1" applyProtection="1">
      <alignment vertical="center"/>
      <protection hidden="1"/>
    </xf>
    <xf numFmtId="0" fontId="40" fillId="0" borderId="0" xfId="0" applyFont="1" applyFill="1" applyAlignment="1" applyProtection="1">
      <alignment horizontal="left" vertical="center"/>
      <protection hidden="1"/>
    </xf>
    <xf numFmtId="0" fontId="40" fillId="0" borderId="0" xfId="0" quotePrefix="1" applyFont="1" applyFill="1" applyAlignment="1" applyProtection="1">
      <alignment horizontal="left" vertical="center"/>
      <protection hidden="1"/>
    </xf>
    <xf numFmtId="0" fontId="19" fillId="2" borderId="0" xfId="0" applyFont="1" applyFill="1" applyBorder="1" applyAlignment="1" applyProtection="1">
      <alignment horizontal="left" vertical="center" wrapText="1"/>
      <protection hidden="1"/>
    </xf>
    <xf numFmtId="165" fontId="19" fillId="2" borderId="0" xfId="17" applyNumberFormat="1" applyFont="1" applyFill="1" applyBorder="1" applyAlignment="1" applyProtection="1">
      <alignment vertical="center" wrapText="1"/>
      <protection hidden="1"/>
    </xf>
    <xf numFmtId="165" fontId="19" fillId="2" borderId="0" xfId="17" applyFont="1" applyFill="1" applyBorder="1" applyAlignment="1" applyProtection="1">
      <alignment horizontal="center" vertical="center" wrapText="1"/>
      <protection hidden="1"/>
    </xf>
    <xf numFmtId="0" fontId="44" fillId="0" borderId="0" xfId="0" quotePrefix="1" applyFont="1" applyAlignment="1" applyProtection="1">
      <alignment horizontal="left" vertical="center"/>
      <protection hidden="1"/>
    </xf>
    <xf numFmtId="0" fontId="42" fillId="2" borderId="0" xfId="0" quotePrefix="1" applyFont="1" applyFill="1" applyBorder="1" applyAlignment="1" applyProtection="1">
      <alignment horizontal="left" vertical="center"/>
      <protection hidden="1"/>
    </xf>
    <xf numFmtId="4" fontId="41" fillId="2" borderId="0" xfId="0" applyNumberFormat="1" applyFont="1" applyFill="1" applyBorder="1" applyAlignment="1" applyProtection="1">
      <alignment horizontal="right" vertical="center"/>
      <protection hidden="1"/>
    </xf>
    <xf numFmtId="0" fontId="19" fillId="0" borderId="0" xfId="0" applyFont="1" applyAlignment="1" applyProtection="1">
      <alignment horizontal="center" vertical="center"/>
      <protection hidden="1"/>
    </xf>
    <xf numFmtId="4" fontId="18" fillId="2" borderId="35" xfId="0" applyNumberFormat="1" applyFont="1" applyFill="1" applyBorder="1" applyAlignment="1" applyProtection="1">
      <alignment horizontal="right" vertical="center"/>
      <protection hidden="1"/>
    </xf>
    <xf numFmtId="4" fontId="18" fillId="2" borderId="0" xfId="0" applyNumberFormat="1" applyFont="1" applyFill="1" applyBorder="1" applyAlignment="1" applyProtection="1">
      <alignment horizontal="right" vertical="center"/>
      <protection hidden="1"/>
    </xf>
    <xf numFmtId="168" fontId="44" fillId="2" borderId="0" xfId="24" applyFont="1" applyFill="1" applyAlignment="1" applyProtection="1">
      <alignment horizontal="centerContinuous" vertical="center"/>
      <protection hidden="1"/>
    </xf>
    <xf numFmtId="0" fontId="43" fillId="2" borderId="0" xfId="0" applyFont="1" applyFill="1" applyAlignment="1" applyProtection="1">
      <alignment horizontal="centerContinuous" vertical="center"/>
      <protection hidden="1"/>
    </xf>
    <xf numFmtId="0" fontId="40" fillId="2" borderId="0" xfId="0" applyFont="1" applyFill="1" applyAlignment="1" applyProtection="1">
      <alignment horizontal="centerContinuous" vertical="center"/>
      <protection hidden="1"/>
    </xf>
    <xf numFmtId="0" fontId="18" fillId="2" borderId="0" xfId="0" applyFont="1" applyFill="1" applyAlignment="1" applyProtection="1">
      <alignment horizontal="centerContinuous" vertical="center"/>
      <protection hidden="1"/>
    </xf>
    <xf numFmtId="0" fontId="44" fillId="5" borderId="32" xfId="0" quotePrefix="1" applyFont="1" applyFill="1" applyBorder="1" applyAlignment="1" applyProtection="1">
      <alignment horizontal="left" vertical="center" wrapText="1"/>
      <protection hidden="1"/>
    </xf>
    <xf numFmtId="4" fontId="18" fillId="2" borderId="0" xfId="0" applyNumberFormat="1" applyFont="1" applyFill="1" applyAlignment="1" applyProtection="1">
      <alignment vertical="center"/>
      <protection hidden="1"/>
    </xf>
    <xf numFmtId="4" fontId="18" fillId="2" borderId="37" xfId="0" applyNumberFormat="1" applyFont="1" applyFill="1" applyBorder="1" applyAlignment="1" applyProtection="1">
      <alignment horizontal="right" vertical="center"/>
      <protection hidden="1"/>
    </xf>
    <xf numFmtId="0" fontId="40" fillId="2" borderId="0" xfId="0" applyFont="1" applyFill="1" applyAlignment="1" applyProtection="1">
      <alignment horizontal="fill" vertical="center" wrapText="1"/>
      <protection hidden="1"/>
    </xf>
    <xf numFmtId="0" fontId="18" fillId="2" borderId="0" xfId="0" applyFont="1" applyFill="1" applyAlignment="1" applyProtection="1">
      <alignment horizontal="fill" vertical="center" wrapText="1"/>
      <protection hidden="1"/>
    </xf>
    <xf numFmtId="0" fontId="45" fillId="12" borderId="0" xfId="0" applyFont="1" applyFill="1" applyBorder="1" applyAlignment="1" applyProtection="1">
      <alignment horizontal="left" vertical="center" wrapText="1"/>
      <protection hidden="1"/>
    </xf>
    <xf numFmtId="0" fontId="45" fillId="12" borderId="0" xfId="0" quotePrefix="1" applyFont="1" applyFill="1" applyBorder="1" applyAlignment="1" applyProtection="1">
      <alignment horizontal="left" vertical="center" wrapText="1"/>
      <protection hidden="1"/>
    </xf>
    <xf numFmtId="4" fontId="44" fillId="5" borderId="31" xfId="0" applyNumberFormat="1" applyFont="1" applyFill="1" applyBorder="1" applyAlignment="1" applyProtection="1">
      <alignment horizontal="right" vertical="center"/>
      <protection hidden="1"/>
    </xf>
    <xf numFmtId="4" fontId="44" fillId="5" borderId="36" xfId="0" applyNumberFormat="1" applyFont="1" applyFill="1" applyBorder="1" applyAlignment="1" applyProtection="1">
      <alignment horizontal="right" vertical="center"/>
      <protection hidden="1"/>
    </xf>
    <xf numFmtId="168" fontId="44" fillId="2" borderId="0" xfId="24" quotePrefix="1" applyFont="1" applyFill="1" applyAlignment="1" applyProtection="1">
      <alignment horizontal="centerContinuous" vertical="center"/>
      <protection hidden="1"/>
    </xf>
    <xf numFmtId="0" fontId="44" fillId="2" borderId="0" xfId="0" applyFont="1" applyFill="1" applyAlignment="1" applyProtection="1">
      <alignment horizontal="centerContinuous" vertical="center"/>
      <protection hidden="1"/>
    </xf>
    <xf numFmtId="0" fontId="44" fillId="2" borderId="0" xfId="0" applyFont="1" applyFill="1" applyBorder="1" applyAlignment="1" applyProtection="1">
      <alignment horizontal="centerContinuous" vertical="center"/>
      <protection hidden="1"/>
    </xf>
    <xf numFmtId="0" fontId="19" fillId="2" borderId="0" xfId="0" applyFont="1" applyFill="1" applyAlignment="1" applyProtection="1">
      <alignment horizontal="left" vertical="center"/>
      <protection hidden="1"/>
    </xf>
    <xf numFmtId="0" fontId="44" fillId="5" borderId="34" xfId="0" quotePrefix="1" applyFont="1" applyFill="1" applyBorder="1" applyAlignment="1" applyProtection="1">
      <alignment horizontal="left" vertical="center" wrapText="1"/>
      <protection hidden="1"/>
    </xf>
    <xf numFmtId="4" fontId="44" fillId="5" borderId="37" xfId="0" applyNumberFormat="1" applyFont="1" applyFill="1" applyBorder="1" applyAlignment="1" applyProtection="1">
      <alignment horizontal="right" vertical="center"/>
      <protection hidden="1"/>
    </xf>
    <xf numFmtId="15" fontId="44" fillId="0" borderId="0" xfId="0" quotePrefix="1" applyNumberFormat="1" applyFont="1" applyAlignment="1" applyProtection="1">
      <alignment horizontal="left" vertical="center"/>
      <protection hidden="1"/>
    </xf>
    <xf numFmtId="0" fontId="45" fillId="12" borderId="0" xfId="0" applyFont="1" applyFill="1" applyAlignment="1" applyProtection="1">
      <alignment vertical="center"/>
      <protection hidden="1"/>
    </xf>
    <xf numFmtId="0" fontId="42" fillId="0" borderId="0" xfId="0" applyFont="1" applyBorder="1" applyAlignment="1" applyProtection="1">
      <alignment vertical="center"/>
      <protection hidden="1"/>
    </xf>
    <xf numFmtId="0" fontId="42" fillId="12" borderId="0" xfId="0" applyFont="1" applyFill="1" applyBorder="1" applyAlignment="1" applyProtection="1">
      <alignment vertical="center"/>
      <protection hidden="1"/>
    </xf>
    <xf numFmtId="0" fontId="42" fillId="6" borderId="38" xfId="0" applyFont="1" applyFill="1" applyBorder="1" applyAlignment="1" applyProtection="1">
      <alignment horizontal="center" vertical="center"/>
      <protection hidden="1"/>
    </xf>
    <xf numFmtId="17" fontId="42" fillId="6" borderId="40" xfId="0" applyNumberFormat="1" applyFont="1" applyFill="1" applyBorder="1" applyAlignment="1" applyProtection="1">
      <alignment horizontal="center" vertical="center" wrapText="1"/>
      <protection hidden="1"/>
    </xf>
    <xf numFmtId="0" fontId="27" fillId="0" borderId="0" xfId="0" quotePrefix="1" applyFont="1" applyFill="1" applyAlignment="1" applyProtection="1">
      <alignment horizontal="left" vertical="center"/>
      <protection hidden="1"/>
    </xf>
    <xf numFmtId="0" fontId="18" fillId="0" borderId="0" xfId="0" applyFont="1" applyFill="1" applyBorder="1" applyAlignment="1" applyProtection="1">
      <alignment vertical="center"/>
      <protection hidden="1"/>
    </xf>
    <xf numFmtId="0" fontId="46" fillId="0" borderId="0" xfId="0" applyFont="1" applyBorder="1" applyAlignment="1" applyProtection="1">
      <alignment vertical="center"/>
      <protection hidden="1"/>
    </xf>
    <xf numFmtId="0" fontId="46" fillId="12" borderId="0" xfId="0" applyFont="1" applyFill="1" applyBorder="1" applyAlignment="1" applyProtection="1">
      <alignment vertical="center"/>
      <protection hidden="1"/>
    </xf>
    <xf numFmtId="0" fontId="30" fillId="12" borderId="0" xfId="0" applyFont="1" applyFill="1" applyBorder="1" applyAlignment="1" applyProtection="1">
      <alignment vertical="center"/>
      <protection hidden="1"/>
    </xf>
    <xf numFmtId="0" fontId="30" fillId="0" borderId="0" xfId="0" applyFont="1" applyBorder="1" applyAlignment="1" applyProtection="1">
      <alignment vertical="center"/>
      <protection hidden="1"/>
    </xf>
    <xf numFmtId="0" fontId="31" fillId="0" borderId="0" xfId="0" applyFont="1" applyAlignment="1" applyProtection="1">
      <alignment vertical="center"/>
      <protection hidden="1"/>
    </xf>
    <xf numFmtId="0" fontId="18" fillId="0" borderId="0" xfId="0" applyFont="1" applyBorder="1" applyAlignment="1" applyProtection="1">
      <alignment horizontal="center" vertical="center"/>
      <protection hidden="1"/>
    </xf>
    <xf numFmtId="0" fontId="18" fillId="12" borderId="0" xfId="0" applyFont="1" applyFill="1" applyBorder="1" applyAlignment="1" applyProtection="1">
      <alignment horizontal="center" vertical="center"/>
      <protection hidden="1"/>
    </xf>
    <xf numFmtId="0" fontId="18" fillId="2" borderId="34" xfId="0" quotePrefix="1" applyFont="1" applyFill="1" applyBorder="1" applyAlignment="1" applyProtection="1">
      <alignment horizontal="left" vertical="center" wrapText="1"/>
      <protection hidden="1"/>
    </xf>
    <xf numFmtId="0" fontId="40" fillId="0" borderId="0" xfId="0" applyFont="1" applyFill="1" applyBorder="1" applyAlignment="1" applyProtection="1">
      <alignment vertical="center"/>
      <protection hidden="1"/>
    </xf>
    <xf numFmtId="0" fontId="41" fillId="5" borderId="41" xfId="0" applyFont="1" applyFill="1" applyBorder="1" applyAlignment="1" applyProtection="1">
      <alignment horizontal="center" vertical="center" wrapText="1"/>
      <protection hidden="1"/>
    </xf>
    <xf numFmtId="0" fontId="19" fillId="0" borderId="42" xfId="0" applyFont="1" applyBorder="1" applyAlignment="1" applyProtection="1">
      <alignment horizontal="left" vertical="center" wrapText="1"/>
      <protection hidden="1"/>
    </xf>
    <xf numFmtId="2" fontId="43" fillId="0" borderId="41" xfId="0" applyNumberFormat="1" applyFont="1" applyFill="1" applyBorder="1" applyAlignment="1" applyProtection="1">
      <alignment horizontal="right" vertical="center" wrapText="1"/>
      <protection hidden="1"/>
    </xf>
    <xf numFmtId="165" fontId="19" fillId="0" borderId="41" xfId="17" applyFont="1" applyFill="1" applyBorder="1" applyAlignment="1" applyProtection="1">
      <alignment vertical="center" wrapText="1"/>
      <protection hidden="1"/>
    </xf>
    <xf numFmtId="2" fontId="19" fillId="0" borderId="41" xfId="0" quotePrefix="1" applyNumberFormat="1" applyFont="1" applyFill="1" applyBorder="1" applyAlignment="1" applyProtection="1">
      <alignment horizontal="right" vertical="center" wrapText="1"/>
      <protection hidden="1"/>
    </xf>
    <xf numFmtId="165" fontId="19" fillId="0" borderId="41" xfId="17" applyFont="1" applyFill="1" applyBorder="1" applyAlignment="1" applyProtection="1">
      <alignment horizontal="right" vertical="center" wrapText="1"/>
      <protection hidden="1"/>
    </xf>
    <xf numFmtId="0" fontId="19" fillId="0" borderId="43" xfId="0" applyFont="1" applyBorder="1" applyAlignment="1" applyProtection="1">
      <alignment horizontal="left" vertical="center" wrapText="1"/>
      <protection hidden="1"/>
    </xf>
    <xf numFmtId="2" fontId="43" fillId="0" borderId="44" xfId="0" applyNumberFormat="1" applyFont="1" applyFill="1" applyBorder="1" applyAlignment="1" applyProtection="1">
      <alignment horizontal="right" vertical="center" wrapText="1"/>
      <protection hidden="1"/>
    </xf>
    <xf numFmtId="165" fontId="19" fillId="0" borderId="45" xfId="17" applyFont="1" applyFill="1" applyBorder="1" applyAlignment="1" applyProtection="1">
      <alignment vertical="center" wrapText="1"/>
      <protection hidden="1"/>
    </xf>
    <xf numFmtId="0" fontId="19" fillId="0" borderId="46" xfId="0" applyFont="1" applyBorder="1" applyAlignment="1" applyProtection="1">
      <alignment horizontal="left" vertical="center" wrapText="1"/>
      <protection hidden="1"/>
    </xf>
    <xf numFmtId="15" fontId="42" fillId="5" borderId="44" xfId="0" quotePrefix="1" applyNumberFormat="1" applyFont="1" applyFill="1" applyBorder="1" applyAlignment="1" applyProtection="1">
      <alignment horizontal="center" vertical="center" wrapText="1"/>
      <protection hidden="1"/>
    </xf>
    <xf numFmtId="15" fontId="42" fillId="5" borderId="47" xfId="0" quotePrefix="1" applyNumberFormat="1" applyFont="1" applyFill="1" applyBorder="1" applyAlignment="1" applyProtection="1">
      <alignment horizontal="center" vertical="center" wrapText="1"/>
      <protection hidden="1"/>
    </xf>
    <xf numFmtId="0" fontId="19" fillId="0" borderId="42" xfId="0" applyFont="1" applyFill="1" applyBorder="1" applyAlignment="1" applyProtection="1">
      <alignment horizontal="left" vertical="center" wrapText="1"/>
      <protection hidden="1"/>
    </xf>
    <xf numFmtId="165" fontId="19" fillId="0" borderId="45" xfId="17" applyFont="1" applyFill="1" applyBorder="1" applyAlignment="1" applyProtection="1">
      <alignment horizontal="right" vertical="center" wrapText="1"/>
      <protection hidden="1"/>
    </xf>
    <xf numFmtId="0" fontId="18" fillId="0" borderId="41" xfId="0" applyFont="1" applyFill="1" applyBorder="1" applyAlignment="1" applyProtection="1">
      <alignment vertical="center"/>
      <protection hidden="1"/>
    </xf>
    <xf numFmtId="0" fontId="19" fillId="0" borderId="43" xfId="0" applyFont="1" applyFill="1" applyBorder="1" applyAlignment="1" applyProtection="1">
      <alignment horizontal="left" vertical="center" wrapText="1"/>
      <protection hidden="1"/>
    </xf>
    <xf numFmtId="165" fontId="19" fillId="0" borderId="44" xfId="17" applyFont="1" applyFill="1" applyBorder="1" applyAlignment="1" applyProtection="1">
      <alignment horizontal="right" vertical="center" wrapText="1"/>
      <protection hidden="1"/>
    </xf>
    <xf numFmtId="165" fontId="19" fillId="0" borderId="47" xfId="17" applyFont="1" applyFill="1" applyBorder="1" applyAlignment="1" applyProtection="1">
      <alignment horizontal="right" vertical="center" wrapText="1"/>
      <protection hidden="1"/>
    </xf>
    <xf numFmtId="0" fontId="19" fillId="0" borderId="46" xfId="0" applyFont="1" applyFill="1" applyBorder="1" applyAlignment="1" applyProtection="1">
      <alignment horizontal="left" vertical="center" wrapText="1"/>
      <protection hidden="1"/>
    </xf>
    <xf numFmtId="0" fontId="18" fillId="0" borderId="0" xfId="0" applyFont="1" applyFill="1" applyAlignment="1" applyProtection="1">
      <alignment vertical="center"/>
      <protection hidden="1"/>
    </xf>
    <xf numFmtId="0" fontId="18" fillId="0" borderId="0" xfId="0" applyFont="1" applyFill="1" applyAlignment="1" applyProtection="1">
      <alignment horizontal="left" vertical="center" wrapText="1"/>
      <protection hidden="1"/>
    </xf>
    <xf numFmtId="0" fontId="47" fillId="5" borderId="49" xfId="0" applyFont="1" applyFill="1" applyBorder="1" applyAlignment="1" applyProtection="1">
      <alignment horizontal="center" vertical="center" wrapText="1"/>
      <protection hidden="1"/>
    </xf>
    <xf numFmtId="0" fontId="41" fillId="16" borderId="49" xfId="0" applyFont="1" applyFill="1" applyBorder="1" applyAlignment="1" applyProtection="1">
      <alignment horizontal="center" vertical="center" wrapText="1"/>
      <protection hidden="1"/>
    </xf>
    <xf numFmtId="9" fontId="42" fillId="5" borderId="49" xfId="0" quotePrefix="1" applyNumberFormat="1" applyFont="1" applyFill="1" applyBorder="1" applyAlignment="1" applyProtection="1">
      <alignment horizontal="center" vertical="center" wrapText="1"/>
      <protection hidden="1"/>
    </xf>
    <xf numFmtId="9" fontId="42" fillId="16" borderId="49" xfId="0" quotePrefix="1" applyNumberFormat="1" applyFont="1" applyFill="1" applyBorder="1" applyAlignment="1" applyProtection="1">
      <alignment horizontal="center" vertical="center" wrapText="1"/>
      <protection hidden="1"/>
    </xf>
    <xf numFmtId="165" fontId="19" fillId="13" borderId="49" xfId="17" applyNumberFormat="1" applyFont="1" applyFill="1" applyBorder="1" applyAlignment="1" applyProtection="1">
      <alignment horizontal="center" vertical="center" wrapText="1"/>
      <protection hidden="1"/>
    </xf>
    <xf numFmtId="165" fontId="19" fillId="12" borderId="49" xfId="17" applyNumberFormat="1" applyFont="1" applyFill="1" applyBorder="1" applyAlignment="1" applyProtection="1">
      <alignment horizontal="center" vertical="center" wrapText="1"/>
      <protection hidden="1"/>
    </xf>
    <xf numFmtId="165" fontId="19" fillId="2" borderId="49" xfId="17" applyNumberFormat="1" applyFont="1" applyFill="1" applyBorder="1" applyAlignment="1" applyProtection="1">
      <alignment horizontal="center" vertical="center" wrapText="1"/>
      <protection hidden="1"/>
    </xf>
    <xf numFmtId="0" fontId="19" fillId="0" borderId="50" xfId="0" applyFont="1" applyBorder="1" applyAlignment="1" applyProtection="1">
      <alignment horizontal="left" vertical="center" wrapText="1"/>
      <protection hidden="1"/>
    </xf>
    <xf numFmtId="165" fontId="19" fillId="2" borderId="51" xfId="17" applyFont="1" applyFill="1" applyBorder="1" applyAlignment="1" applyProtection="1">
      <alignment horizontal="center" vertical="center" wrapText="1"/>
      <protection hidden="1"/>
    </xf>
    <xf numFmtId="165" fontId="19" fillId="13" borderId="51" xfId="17" applyFont="1" applyFill="1" applyBorder="1" applyAlignment="1" applyProtection="1">
      <alignment horizontal="center" vertical="center" wrapText="1"/>
      <protection hidden="1"/>
    </xf>
    <xf numFmtId="0" fontId="41" fillId="5" borderId="45" xfId="0" quotePrefix="1" applyFont="1" applyFill="1" applyBorder="1" applyAlignment="1" applyProtection="1">
      <alignment horizontal="center" vertical="center" wrapText="1"/>
      <protection hidden="1"/>
    </xf>
    <xf numFmtId="9" fontId="41" fillId="5" borderId="45" xfId="0" quotePrefix="1" applyNumberFormat="1" applyFont="1" applyFill="1" applyBorder="1" applyAlignment="1" applyProtection="1">
      <alignment horizontal="center" vertical="center" wrapText="1"/>
      <protection hidden="1"/>
    </xf>
    <xf numFmtId="165" fontId="20" fillId="0" borderId="41" xfId="17" applyFont="1" applyFill="1" applyBorder="1" applyAlignment="1" applyProtection="1">
      <alignment vertical="center" wrapText="1"/>
      <protection hidden="1"/>
    </xf>
    <xf numFmtId="2" fontId="19" fillId="0" borderId="45" xfId="0" quotePrefix="1" applyNumberFormat="1" applyFont="1" applyFill="1" applyBorder="1" applyAlignment="1" applyProtection="1">
      <alignment horizontal="right" vertical="center" wrapText="1"/>
      <protection hidden="1"/>
    </xf>
    <xf numFmtId="165" fontId="19" fillId="0" borderId="52" xfId="17" applyFont="1" applyFill="1" applyBorder="1" applyAlignment="1" applyProtection="1">
      <alignment vertical="center" wrapText="1"/>
      <protection hidden="1"/>
    </xf>
    <xf numFmtId="165" fontId="19" fillId="0" borderId="48" xfId="17" applyFont="1" applyFill="1" applyBorder="1" applyAlignment="1" applyProtection="1">
      <alignment vertical="center" wrapText="1"/>
      <protection hidden="1"/>
    </xf>
    <xf numFmtId="0" fontId="32" fillId="0" borderId="0" xfId="0" applyFont="1" applyFill="1" applyAlignment="1" applyProtection="1">
      <alignment vertical="center"/>
      <protection hidden="1"/>
    </xf>
    <xf numFmtId="0" fontId="42" fillId="6" borderId="53" xfId="0" applyFont="1" applyFill="1" applyBorder="1" applyAlignment="1" applyProtection="1">
      <alignment horizontal="center" vertical="center" wrapText="1"/>
      <protection hidden="1"/>
    </xf>
    <xf numFmtId="0" fontId="42" fillId="6" borderId="54" xfId="0" applyFont="1" applyFill="1" applyBorder="1" applyAlignment="1" applyProtection="1">
      <alignment horizontal="center" vertical="center" wrapText="1"/>
      <protection hidden="1"/>
    </xf>
    <xf numFmtId="0" fontId="42" fillId="6" borderId="55" xfId="0" applyFont="1" applyFill="1" applyBorder="1" applyAlignment="1" applyProtection="1">
      <alignment horizontal="center" vertical="center" wrapText="1"/>
      <protection hidden="1"/>
    </xf>
    <xf numFmtId="4" fontId="18" fillId="0" borderId="42" xfId="0" applyNumberFormat="1" applyFont="1" applyBorder="1" applyAlignment="1" applyProtection="1">
      <alignment vertical="center"/>
      <protection hidden="1"/>
    </xf>
    <xf numFmtId="4" fontId="18" fillId="0" borderId="41" xfId="0" applyNumberFormat="1" applyFont="1" applyFill="1" applyBorder="1" applyAlignment="1" applyProtection="1">
      <alignment horizontal="center" vertical="center"/>
      <protection hidden="1"/>
    </xf>
    <xf numFmtId="4" fontId="18" fillId="0" borderId="45" xfId="0" applyNumberFormat="1" applyFont="1" applyFill="1" applyBorder="1" applyAlignment="1" applyProtection="1">
      <alignment horizontal="center" vertical="center"/>
      <protection hidden="1"/>
    </xf>
    <xf numFmtId="0" fontId="18" fillId="0" borderId="42" xfId="0" applyFont="1" applyBorder="1" applyAlignment="1" applyProtection="1">
      <alignment horizontal="left" vertical="center" wrapText="1"/>
      <protection hidden="1"/>
    </xf>
    <xf numFmtId="4" fontId="18" fillId="0" borderId="41" xfId="0" applyNumberFormat="1" applyFont="1" applyBorder="1" applyAlignment="1" applyProtection="1">
      <alignment horizontal="center" vertical="center"/>
      <protection hidden="1"/>
    </xf>
    <xf numFmtId="4" fontId="18" fillId="0" borderId="45" xfId="0" applyNumberFormat="1" applyFont="1" applyBorder="1" applyAlignment="1" applyProtection="1">
      <alignment horizontal="center" vertical="center"/>
      <protection hidden="1"/>
    </xf>
    <xf numFmtId="4" fontId="41" fillId="17" borderId="42" xfId="0" applyNumberFormat="1" applyFont="1" applyFill="1" applyBorder="1" applyAlignment="1" applyProtection="1">
      <alignment horizontal="left" vertical="center" wrapText="1"/>
      <protection hidden="1"/>
    </xf>
    <xf numFmtId="4" fontId="41" fillId="17" borderId="41" xfId="0" applyNumberFormat="1" applyFont="1" applyFill="1" applyBorder="1" applyAlignment="1" applyProtection="1">
      <alignment horizontal="center" vertical="center" wrapText="1"/>
      <protection hidden="1"/>
    </xf>
    <xf numFmtId="4" fontId="41" fillId="17" borderId="45" xfId="0" applyNumberFormat="1" applyFont="1" applyFill="1" applyBorder="1" applyAlignment="1" applyProtection="1">
      <alignment horizontal="center" vertical="center" wrapText="1"/>
      <protection hidden="1"/>
    </xf>
    <xf numFmtId="4" fontId="19" fillId="0" borderId="41" xfId="0" applyNumberFormat="1" applyFont="1" applyFill="1" applyBorder="1" applyAlignment="1" applyProtection="1">
      <alignment horizontal="center" vertical="center"/>
      <protection hidden="1"/>
    </xf>
    <xf numFmtId="4" fontId="19" fillId="0" borderId="45" xfId="0" applyNumberFormat="1" applyFont="1" applyFill="1" applyBorder="1" applyAlignment="1" applyProtection="1">
      <alignment horizontal="center" vertical="center"/>
      <protection hidden="1"/>
    </xf>
    <xf numFmtId="4" fontId="18" fillId="0" borderId="43" xfId="0" applyNumberFormat="1" applyFont="1" applyBorder="1" applyAlignment="1" applyProtection="1">
      <alignment vertical="center"/>
      <protection hidden="1"/>
    </xf>
    <xf numFmtId="4" fontId="19" fillId="0" borderId="44" xfId="0" applyNumberFormat="1" applyFont="1" applyFill="1" applyBorder="1" applyAlignment="1" applyProtection="1">
      <alignment horizontal="center" vertical="center"/>
      <protection hidden="1"/>
    </xf>
    <xf numFmtId="4" fontId="19" fillId="0" borderId="47" xfId="0" applyNumberFormat="1" applyFont="1" applyFill="1" applyBorder="1" applyAlignment="1" applyProtection="1">
      <alignment horizontal="center" vertical="center"/>
      <protection hidden="1"/>
    </xf>
    <xf numFmtId="4" fontId="18" fillId="0" borderId="46" xfId="0" applyNumberFormat="1" applyFont="1" applyBorder="1" applyAlignment="1" applyProtection="1">
      <alignment vertical="center"/>
      <protection hidden="1"/>
    </xf>
    <xf numFmtId="4" fontId="18" fillId="0" borderId="52" xfId="0" applyNumberFormat="1" applyFont="1" applyFill="1" applyBorder="1" applyAlignment="1" applyProtection="1">
      <alignment horizontal="center" vertical="center"/>
      <protection hidden="1"/>
    </xf>
    <xf numFmtId="4" fontId="18" fillId="0" borderId="48" xfId="0" applyNumberFormat="1" applyFont="1" applyFill="1" applyBorder="1" applyAlignment="1" applyProtection="1">
      <alignment horizontal="center" vertical="center"/>
      <protection hidden="1"/>
    </xf>
    <xf numFmtId="15" fontId="42" fillId="5" borderId="43" xfId="0" quotePrefix="1" applyNumberFormat="1" applyFont="1" applyFill="1" applyBorder="1" applyAlignment="1" applyProtection="1">
      <alignment horizontal="center" vertical="center" wrapText="1"/>
      <protection hidden="1"/>
    </xf>
    <xf numFmtId="0" fontId="18" fillId="0" borderId="42" xfId="0" applyFont="1" applyBorder="1" applyAlignment="1" applyProtection="1">
      <alignment vertical="center"/>
      <protection hidden="1"/>
    </xf>
    <xf numFmtId="0" fontId="42" fillId="6" borderId="53" xfId="0" applyFont="1" applyFill="1" applyBorder="1" applyAlignment="1" applyProtection="1">
      <alignment horizontal="center" vertical="center"/>
      <protection hidden="1"/>
    </xf>
    <xf numFmtId="4" fontId="18" fillId="0" borderId="45" xfId="0" applyNumberFormat="1" applyFont="1" applyFill="1" applyBorder="1" applyAlignment="1" applyProtection="1">
      <alignment vertical="center"/>
      <protection hidden="1"/>
    </xf>
    <xf numFmtId="0" fontId="18" fillId="12" borderId="42" xfId="0" quotePrefix="1" applyFont="1" applyFill="1" applyBorder="1" applyAlignment="1" applyProtection="1">
      <alignment horizontal="left" vertical="center"/>
      <protection hidden="1"/>
    </xf>
    <xf numFmtId="165" fontId="19" fillId="0" borderId="41" xfId="17" applyNumberFormat="1" applyFont="1" applyFill="1" applyBorder="1" applyAlignment="1" applyProtection="1">
      <alignment horizontal="right" vertical="center" wrapText="1"/>
      <protection hidden="1"/>
    </xf>
    <xf numFmtId="169" fontId="19" fillId="13" borderId="49" xfId="17" applyNumberFormat="1" applyFont="1" applyFill="1" applyBorder="1" applyAlignment="1" applyProtection="1">
      <alignment horizontal="center" vertical="center" wrapText="1"/>
      <protection hidden="1"/>
    </xf>
    <xf numFmtId="169" fontId="19" fillId="0" borderId="56" xfId="17" applyNumberFormat="1" applyFont="1" applyBorder="1" applyAlignment="1" applyProtection="1">
      <alignment horizontal="left" vertical="center" wrapText="1"/>
      <protection hidden="1"/>
    </xf>
    <xf numFmtId="169" fontId="19" fillId="13" borderId="57" xfId="17" applyNumberFormat="1" applyFont="1" applyFill="1" applyBorder="1" applyAlignment="1" applyProtection="1">
      <alignment horizontal="center" vertical="center" wrapText="1"/>
      <protection hidden="1"/>
    </xf>
    <xf numFmtId="169" fontId="18" fillId="12" borderId="0" xfId="17" applyNumberFormat="1" applyFont="1" applyFill="1" applyBorder="1" applyAlignment="1" applyProtection="1">
      <alignment horizontal="center" vertical="center"/>
      <protection hidden="1"/>
    </xf>
    <xf numFmtId="169" fontId="18" fillId="0" borderId="0" xfId="17" applyNumberFormat="1" applyFont="1" applyBorder="1" applyAlignment="1" applyProtection="1">
      <alignment horizontal="center" vertical="center"/>
      <protection hidden="1"/>
    </xf>
    <xf numFmtId="169" fontId="19" fillId="0" borderId="58" xfId="17" applyNumberFormat="1" applyFont="1" applyBorder="1" applyAlignment="1" applyProtection="1">
      <alignment horizontal="left" vertical="center" wrapText="1"/>
      <protection hidden="1"/>
    </xf>
    <xf numFmtId="169" fontId="19" fillId="2" borderId="49" xfId="17" applyNumberFormat="1" applyFont="1" applyFill="1" applyBorder="1" applyAlignment="1" applyProtection="1">
      <alignment horizontal="center" vertical="center" wrapText="1"/>
      <protection hidden="1"/>
    </xf>
    <xf numFmtId="169" fontId="19" fillId="0" borderId="49" xfId="17" applyNumberFormat="1" applyFont="1" applyFill="1" applyBorder="1" applyAlignment="1" applyProtection="1">
      <alignment horizontal="center" vertical="center" wrapText="1"/>
      <protection hidden="1"/>
    </xf>
    <xf numFmtId="165" fontId="19" fillId="13" borderId="57" xfId="17" applyNumberFormat="1" applyFont="1" applyFill="1" applyBorder="1" applyAlignment="1" applyProtection="1">
      <alignment horizontal="center" vertical="center" wrapText="1"/>
      <protection hidden="1"/>
    </xf>
    <xf numFmtId="165" fontId="19" fillId="12" borderId="49" xfId="17" applyNumberFormat="1" applyFont="1" applyFill="1" applyBorder="1" applyAlignment="1" applyProtection="1">
      <alignment horizontal="center" wrapText="1"/>
      <protection hidden="1"/>
    </xf>
    <xf numFmtId="165" fontId="19" fillId="0" borderId="58" xfId="17" applyNumberFormat="1" applyFont="1" applyBorder="1" applyAlignment="1" applyProtection="1">
      <alignment horizontal="left" vertical="center" wrapText="1"/>
      <protection hidden="1"/>
    </xf>
    <xf numFmtId="165" fontId="18" fillId="12" borderId="0" xfId="17" applyNumberFormat="1" applyFont="1" applyFill="1" applyBorder="1" applyAlignment="1" applyProtection="1">
      <alignment horizontal="center" vertical="center"/>
      <protection hidden="1"/>
    </xf>
    <xf numFmtId="165" fontId="18" fillId="0" borderId="0" xfId="17" applyNumberFormat="1" applyFont="1" applyBorder="1" applyAlignment="1" applyProtection="1">
      <alignment horizontal="center" vertical="center"/>
      <protection hidden="1"/>
    </xf>
    <xf numFmtId="4" fontId="18" fillId="12" borderId="42" xfId="0" applyNumberFormat="1" applyFont="1" applyFill="1" applyBorder="1" applyAlignment="1" applyProtection="1">
      <alignment vertical="center" wrapText="1"/>
      <protection hidden="1"/>
    </xf>
    <xf numFmtId="0" fontId="18" fillId="12" borderId="0" xfId="21" applyFont="1" applyFill="1" applyProtection="1">
      <protection hidden="1"/>
    </xf>
    <xf numFmtId="0" fontId="34" fillId="0" borderId="0" xfId="0" applyFont="1" applyAlignment="1">
      <alignment horizontal="center" vertical="center"/>
    </xf>
    <xf numFmtId="0" fontId="34" fillId="0" borderId="0" xfId="0" applyFont="1" applyAlignment="1">
      <alignment vertical="center"/>
    </xf>
    <xf numFmtId="165" fontId="0" fillId="0" borderId="0" xfId="17" applyFont="1" applyAlignment="1">
      <alignment horizontal="center" vertical="center"/>
    </xf>
    <xf numFmtId="0" fontId="0" fillId="0" borderId="0" xfId="0" applyAlignment="1">
      <alignment vertical="center"/>
    </xf>
    <xf numFmtId="0" fontId="34" fillId="0" borderId="2" xfId="0" applyFont="1" applyBorder="1" applyAlignment="1">
      <alignment vertical="center"/>
    </xf>
    <xf numFmtId="165" fontId="0" fillId="0" borderId="2" xfId="17" applyFont="1" applyBorder="1" applyAlignment="1">
      <alignment horizontal="center" vertical="center"/>
    </xf>
    <xf numFmtId="165" fontId="7" fillId="0" borderId="2" xfId="17" applyFont="1" applyBorder="1" applyAlignment="1">
      <alignment horizontal="center" vertical="center"/>
    </xf>
    <xf numFmtId="0" fontId="49" fillId="18" borderId="2" xfId="0" applyFont="1" applyFill="1" applyBorder="1" applyAlignment="1">
      <alignment horizontal="center" vertical="center"/>
    </xf>
    <xf numFmtId="0" fontId="50" fillId="18" borderId="2" xfId="0" applyFont="1" applyFill="1" applyBorder="1" applyAlignment="1">
      <alignment horizontal="center" vertical="center"/>
    </xf>
    <xf numFmtId="0" fontId="38" fillId="0" borderId="0" xfId="0" applyFont="1" applyAlignment="1">
      <alignment horizontal="center" vertical="center"/>
    </xf>
    <xf numFmtId="0" fontId="50" fillId="19" borderId="2" xfId="0" applyFont="1" applyFill="1" applyBorder="1" applyAlignment="1">
      <alignment horizontal="center" vertical="center"/>
    </xf>
    <xf numFmtId="37" fontId="18" fillId="0" borderId="3" xfId="23" applyNumberFormat="1" applyFont="1" applyBorder="1" applyProtection="1"/>
    <xf numFmtId="37" fontId="18" fillId="0" borderId="4" xfId="23" applyNumberFormat="1" applyFont="1" applyBorder="1" applyProtection="1"/>
    <xf numFmtId="37" fontId="18" fillId="7" borderId="4" xfId="23" applyNumberFormat="1" applyFont="1" applyFill="1" applyBorder="1" applyProtection="1"/>
    <xf numFmtId="0" fontId="16" fillId="0" borderId="5" xfId="23" applyNumberFormat="1" applyFont="1" applyBorder="1" applyAlignment="1" applyProtection="1">
      <alignment horizontal="center"/>
    </xf>
    <xf numFmtId="4" fontId="7" fillId="3" borderId="5" xfId="21" applyNumberFormat="1" applyFill="1" applyBorder="1"/>
    <xf numFmtId="4" fontId="7" fillId="0" borderId="6" xfId="21" applyNumberFormat="1" applyBorder="1"/>
    <xf numFmtId="4" fontId="7" fillId="0" borderId="3" xfId="21" applyNumberFormat="1" applyBorder="1"/>
    <xf numFmtId="4" fontId="7" fillId="4" borderId="5" xfId="21" applyNumberFormat="1" applyFill="1" applyBorder="1"/>
    <xf numFmtId="4" fontId="7" fillId="0" borderId="5" xfId="21" applyNumberFormat="1" applyBorder="1"/>
    <xf numFmtId="4" fontId="7" fillId="20" borderId="6" xfId="21" applyNumberFormat="1" applyFill="1" applyBorder="1"/>
    <xf numFmtId="0" fontId="16" fillId="0" borderId="7" xfId="23" applyNumberFormat="1" applyFont="1" applyBorder="1" applyAlignment="1" applyProtection="1">
      <alignment horizontal="center"/>
    </xf>
    <xf numFmtId="4" fontId="7" fillId="3" borderId="7" xfId="21" applyNumberFormat="1" applyFill="1" applyBorder="1"/>
    <xf numFmtId="4" fontId="7" fillId="0" borderId="0" xfId="21" applyNumberFormat="1" applyBorder="1"/>
    <xf numFmtId="4" fontId="7" fillId="0" borderId="4" xfId="21" applyNumberFormat="1" applyBorder="1"/>
    <xf numFmtId="4" fontId="7" fillId="4" borderId="7" xfId="21" applyNumberFormat="1" applyFill="1" applyBorder="1"/>
    <xf numFmtId="4" fontId="7" fillId="0" borderId="7" xfId="21" applyNumberFormat="1" applyBorder="1"/>
    <xf numFmtId="4" fontId="7" fillId="20" borderId="0" xfId="21" applyNumberFormat="1" applyFill="1" applyBorder="1"/>
    <xf numFmtId="0" fontId="16" fillId="7" borderId="7" xfId="23" applyNumberFormat="1" applyFont="1" applyFill="1" applyBorder="1" applyAlignment="1" applyProtection="1">
      <alignment horizontal="center"/>
    </xf>
    <xf numFmtId="4" fontId="7" fillId="7" borderId="7" xfId="21" applyNumberFormat="1" applyFill="1" applyBorder="1"/>
    <xf numFmtId="4" fontId="7" fillId="7" borderId="0" xfId="21" applyNumberFormat="1" applyFill="1" applyBorder="1"/>
    <xf numFmtId="4" fontId="7" fillId="7" borderId="4" xfId="21" applyNumberFormat="1" applyFill="1" applyBorder="1"/>
    <xf numFmtId="4" fontId="7" fillId="3" borderId="0" xfId="21" applyNumberFormat="1" applyFill="1" applyBorder="1"/>
    <xf numFmtId="0" fontId="7" fillId="7" borderId="0" xfId="21" applyFill="1"/>
    <xf numFmtId="0" fontId="7" fillId="7" borderId="0" xfId="21" applyFill="1" applyAlignment="1">
      <alignment horizontal="left"/>
    </xf>
    <xf numFmtId="0" fontId="7" fillId="8" borderId="0" xfId="21" applyFill="1"/>
    <xf numFmtId="4" fontId="7" fillId="4" borderId="0" xfId="21" applyNumberFormat="1" applyFill="1" applyBorder="1"/>
    <xf numFmtId="4" fontId="7" fillId="19" borderId="0" xfId="21" applyNumberFormat="1" applyFill="1" applyBorder="1"/>
    <xf numFmtId="0" fontId="19" fillId="0" borderId="64" xfId="0" applyFont="1" applyFill="1" applyBorder="1" applyAlignment="1" applyProtection="1">
      <alignment horizontal="left" vertical="center" wrapText="1"/>
      <protection hidden="1"/>
    </xf>
    <xf numFmtId="0" fontId="19" fillId="0" borderId="65" xfId="0" applyFont="1" applyFill="1" applyBorder="1" applyAlignment="1" applyProtection="1">
      <alignment horizontal="left" vertical="center" wrapText="1"/>
      <protection hidden="1"/>
    </xf>
    <xf numFmtId="165" fontId="19" fillId="0" borderId="52" xfId="17" applyFont="1" applyFill="1" applyBorder="1" applyAlignment="1" applyProtection="1">
      <alignment horizontal="center" vertical="center" wrapText="1"/>
      <protection hidden="1"/>
    </xf>
    <xf numFmtId="15" fontId="51" fillId="5" borderId="51" xfId="0" quotePrefix="1" applyNumberFormat="1" applyFont="1" applyFill="1" applyBorder="1" applyAlignment="1" applyProtection="1">
      <alignment horizontal="center" vertical="center" wrapText="1"/>
      <protection hidden="1"/>
    </xf>
    <xf numFmtId="15" fontId="51" fillId="16" borderId="51" xfId="0" quotePrefix="1" applyNumberFormat="1" applyFont="1" applyFill="1" applyBorder="1" applyAlignment="1" applyProtection="1">
      <alignment horizontal="center" vertical="center" wrapText="1"/>
      <protection hidden="1"/>
    </xf>
    <xf numFmtId="0" fontId="46" fillId="6" borderId="0" xfId="0" applyFont="1" applyFill="1" applyBorder="1" applyAlignment="1" applyProtection="1">
      <alignment horizontal="center" vertical="center"/>
      <protection hidden="1"/>
    </xf>
    <xf numFmtId="15" fontId="52" fillId="5" borderId="44" xfId="0" applyNumberFormat="1" applyFont="1" applyFill="1" applyBorder="1" applyAlignment="1" applyProtection="1">
      <alignment horizontal="center" vertical="center" wrapText="1"/>
      <protection hidden="1"/>
    </xf>
    <xf numFmtId="15" fontId="52" fillId="5" borderId="44" xfId="0" quotePrefix="1" applyNumberFormat="1" applyFont="1" applyFill="1" applyBorder="1" applyAlignment="1" applyProtection="1">
      <alignment horizontal="center" vertical="center" wrapText="1"/>
      <protection hidden="1"/>
    </xf>
    <xf numFmtId="15" fontId="52" fillId="5" borderId="66" xfId="0" applyNumberFormat="1" applyFont="1" applyFill="1" applyBorder="1" applyAlignment="1" applyProtection="1">
      <alignment horizontal="center" vertical="center" wrapText="1"/>
      <protection hidden="1"/>
    </xf>
    <xf numFmtId="0" fontId="53" fillId="0" borderId="0" xfId="0" applyFont="1"/>
    <xf numFmtId="9" fontId="54" fillId="0" borderId="0" xfId="25" applyFont="1" applyFill="1" applyBorder="1" applyAlignment="1" applyProtection="1">
      <alignment horizontal="center" vertical="center"/>
      <protection hidden="1"/>
    </xf>
    <xf numFmtId="9" fontId="54" fillId="0" borderId="0" xfId="0" applyNumberFormat="1" applyFont="1" applyFill="1" applyAlignment="1" applyProtection="1">
      <alignment horizontal="center" vertical="center"/>
      <protection hidden="1"/>
    </xf>
    <xf numFmtId="170" fontId="15" fillId="2" borderId="7" xfId="23" applyNumberFormat="1" applyFont="1" applyFill="1" applyBorder="1" applyProtection="1"/>
    <xf numFmtId="0" fontId="15" fillId="2" borderId="0" xfId="23" applyFont="1" applyFill="1" applyBorder="1"/>
    <xf numFmtId="0" fontId="7" fillId="2" borderId="0" xfId="21" applyFill="1" applyBorder="1"/>
    <xf numFmtId="0" fontId="7" fillId="12" borderId="0" xfId="21" applyFill="1"/>
    <xf numFmtId="0" fontId="7" fillId="0" borderId="0" xfId="21"/>
    <xf numFmtId="37" fontId="29" fillId="9" borderId="0" xfId="23" applyNumberFormat="1" applyFont="1" applyFill="1" applyBorder="1" applyAlignment="1" applyProtection="1">
      <alignment horizontal="centerContinuous"/>
    </xf>
    <xf numFmtId="0" fontId="7" fillId="2" borderId="0" xfId="21" applyFill="1" applyAlignment="1">
      <alignment horizontal="centerContinuous"/>
    </xf>
    <xf numFmtId="0" fontId="35" fillId="10" borderId="5" xfId="21" applyFont="1" applyFill="1" applyBorder="1"/>
    <xf numFmtId="0" fontId="36" fillId="10" borderId="6" xfId="21" applyFont="1" applyFill="1" applyBorder="1" applyAlignment="1">
      <alignment horizontal="right"/>
    </xf>
    <xf numFmtId="10" fontId="36" fillId="10" borderId="3" xfId="26" applyNumberFormat="1" applyFont="1" applyFill="1" applyBorder="1" applyAlignment="1">
      <alignment horizontal="center"/>
    </xf>
    <xf numFmtId="0" fontId="36" fillId="10" borderId="6" xfId="21" quotePrefix="1" applyFont="1" applyFill="1" applyBorder="1" applyAlignment="1">
      <alignment horizontal="right"/>
    </xf>
    <xf numFmtId="0" fontId="7" fillId="0" borderId="8" xfId="21" applyBorder="1"/>
    <xf numFmtId="0" fontId="7" fillId="0" borderId="9" xfId="21" applyBorder="1"/>
    <xf numFmtId="49" fontId="37" fillId="11" borderId="10" xfId="21" applyNumberFormat="1" applyFont="1" applyFill="1" applyBorder="1" applyAlignment="1">
      <alignment horizontal="center" wrapText="1"/>
    </xf>
    <xf numFmtId="49" fontId="37" fillId="0" borderId="10" xfId="21" applyNumberFormat="1" applyFont="1" applyBorder="1" applyAlignment="1">
      <alignment horizontal="center" wrapText="1"/>
    </xf>
    <xf numFmtId="49" fontId="37" fillId="20" borderId="10" xfId="21" applyNumberFormat="1" applyFont="1" applyFill="1" applyBorder="1" applyAlignment="1">
      <alignment horizontal="center" wrapText="1"/>
    </xf>
    <xf numFmtId="170" fontId="15" fillId="0" borderId="5" xfId="23" applyNumberFormat="1" applyFont="1" applyBorder="1" applyProtection="1"/>
    <xf numFmtId="37" fontId="18" fillId="0" borderId="3" xfId="23" quotePrefix="1" applyNumberFormat="1" applyFont="1" applyBorder="1" applyAlignment="1" applyProtection="1">
      <alignment horizontal="left"/>
    </xf>
    <xf numFmtId="37" fontId="18" fillId="0" borderId="4" xfId="23" quotePrefix="1" applyNumberFormat="1" applyFont="1" applyBorder="1" applyAlignment="1" applyProtection="1">
      <alignment horizontal="left"/>
    </xf>
    <xf numFmtId="0" fontId="16" fillId="0" borderId="11" xfId="23" applyNumberFormat="1" applyFont="1" applyBorder="1" applyAlignment="1" applyProtection="1">
      <alignment horizontal="center"/>
    </xf>
    <xf numFmtId="37" fontId="18" fillId="0" borderId="12" xfId="23" applyNumberFormat="1" applyFont="1" applyFill="1" applyBorder="1" applyProtection="1"/>
    <xf numFmtId="4" fontId="7" fillId="3" borderId="11" xfId="21" applyNumberFormat="1" applyFill="1" applyBorder="1"/>
    <xf numFmtId="4" fontId="7" fillId="0" borderId="13" xfId="21" applyNumberFormat="1" applyBorder="1"/>
    <xf numFmtId="4" fontId="7" fillId="0" borderId="12" xfId="21" applyNumberFormat="1" applyBorder="1"/>
    <xf numFmtId="4" fontId="7" fillId="4" borderId="11" xfId="21" applyNumberFormat="1" applyFill="1" applyBorder="1"/>
    <xf numFmtId="4" fontId="7" fillId="20" borderId="13" xfId="21" applyNumberFormat="1" applyFill="1" applyBorder="1"/>
    <xf numFmtId="170" fontId="15" fillId="0" borderId="7" xfId="23" applyNumberFormat="1" applyFont="1" applyBorder="1" applyProtection="1"/>
    <xf numFmtId="37" fontId="18" fillId="0" borderId="4" xfId="23" applyNumberFormat="1" applyFont="1" applyFill="1" applyBorder="1" applyProtection="1"/>
    <xf numFmtId="170" fontId="15" fillId="0" borderId="11" xfId="23" applyNumberFormat="1" applyFont="1" applyBorder="1" applyProtection="1"/>
    <xf numFmtId="4" fontId="7" fillId="0" borderId="11" xfId="21" applyNumberFormat="1" applyBorder="1"/>
    <xf numFmtId="0" fontId="16" fillId="7" borderId="11" xfId="23" applyNumberFormat="1" applyFont="1" applyFill="1" applyBorder="1" applyAlignment="1" applyProtection="1">
      <alignment horizontal="center"/>
    </xf>
    <xf numFmtId="37" fontId="18" fillId="7" borderId="12" xfId="23" applyNumberFormat="1" applyFont="1" applyFill="1" applyBorder="1" applyProtection="1"/>
    <xf numFmtId="4" fontId="7" fillId="7" borderId="11" xfId="21" applyNumberFormat="1" applyFill="1" applyBorder="1"/>
    <xf numFmtId="4" fontId="7" fillId="7" borderId="13" xfId="21" applyNumberFormat="1" applyFill="1" applyBorder="1"/>
    <xf numFmtId="4" fontId="7" fillId="7" borderId="12" xfId="21" applyNumberFormat="1" applyFill="1" applyBorder="1"/>
    <xf numFmtId="4" fontId="7" fillId="4" borderId="6" xfId="21" applyNumberFormat="1" applyFill="1" applyBorder="1"/>
    <xf numFmtId="37" fontId="18" fillId="0" borderId="12" xfId="23" quotePrefix="1" applyNumberFormat="1" applyFont="1" applyFill="1" applyBorder="1" applyAlignment="1" applyProtection="1">
      <alignment horizontal="left"/>
    </xf>
    <xf numFmtId="4" fontId="7" fillId="4" borderId="13" xfId="21" applyNumberFormat="1" applyFill="1" applyBorder="1"/>
    <xf numFmtId="4" fontId="7" fillId="0" borderId="0" xfId="21" applyNumberFormat="1"/>
    <xf numFmtId="37" fontId="18" fillId="0" borderId="12" xfId="23" applyNumberFormat="1" applyFont="1" applyBorder="1" applyProtection="1"/>
    <xf numFmtId="0" fontId="16" fillId="0" borderId="7" xfId="23" applyNumberFormat="1" applyFont="1" applyFill="1" applyBorder="1" applyAlignment="1" applyProtection="1">
      <alignment horizontal="center"/>
    </xf>
    <xf numFmtId="4" fontId="7" fillId="0" borderId="7" xfId="21" applyNumberFormat="1" applyFill="1" applyBorder="1"/>
    <xf numFmtId="4" fontId="7" fillId="0" borderId="0" xfId="21" applyNumberFormat="1" applyFill="1" applyBorder="1"/>
    <xf numFmtId="4" fontId="7" fillId="0" borderId="4" xfId="21" applyNumberFormat="1" applyFill="1" applyBorder="1"/>
    <xf numFmtId="4" fontId="7" fillId="0" borderId="11" xfId="21" applyNumberFormat="1" applyFill="1" applyBorder="1"/>
    <xf numFmtId="4" fontId="7" fillId="0" borderId="13" xfId="21" applyNumberFormat="1" applyFill="1" applyBorder="1"/>
    <xf numFmtId="4" fontId="7" fillId="0" borderId="12" xfId="21" applyNumberFormat="1" applyFill="1" applyBorder="1"/>
    <xf numFmtId="4" fontId="7" fillId="2" borderId="0" xfId="21" applyNumberFormat="1" applyFill="1" applyBorder="1"/>
    <xf numFmtId="37" fontId="18" fillId="2" borderId="0" xfId="23" applyNumberFormat="1" applyFont="1" applyFill="1" applyBorder="1" applyProtection="1"/>
    <xf numFmtId="4" fontId="7" fillId="21" borderId="0" xfId="21" applyNumberFormat="1" applyFill="1" applyBorder="1"/>
    <xf numFmtId="0" fontId="16" fillId="2" borderId="8" xfId="23" applyNumberFormat="1" applyFont="1" applyFill="1" applyBorder="1" applyAlignment="1" applyProtection="1">
      <alignment horizontal="center"/>
    </xf>
    <xf numFmtId="37" fontId="19" fillId="2" borderId="9" xfId="23" applyNumberFormat="1" applyFont="1" applyFill="1" applyBorder="1" applyProtection="1"/>
    <xf numFmtId="0" fontId="7" fillId="2" borderId="9" xfId="21" applyFill="1" applyBorder="1"/>
    <xf numFmtId="10" fontId="38" fillId="2" borderId="0" xfId="26" applyNumberFormat="1" applyFont="1" applyFill="1" applyAlignment="1">
      <alignment horizontal="center"/>
    </xf>
    <xf numFmtId="0" fontId="38" fillId="2" borderId="0" xfId="21" quotePrefix="1" applyFont="1" applyFill="1" applyAlignment="1">
      <alignment horizontal="right"/>
    </xf>
    <xf numFmtId="0" fontId="38" fillId="2" borderId="0" xfId="21" applyFont="1" applyFill="1" applyAlignment="1">
      <alignment horizontal="left"/>
    </xf>
    <xf numFmtId="10" fontId="7" fillId="0" borderId="0" xfId="21" applyNumberFormat="1"/>
    <xf numFmtId="0" fontId="7" fillId="2" borderId="14" xfId="21" applyFill="1" applyBorder="1"/>
    <xf numFmtId="0" fontId="34" fillId="2" borderId="10" xfId="21" applyFont="1" applyFill="1" applyBorder="1" applyAlignment="1">
      <alignment horizontal="center"/>
    </xf>
    <xf numFmtId="0" fontId="32" fillId="2" borderId="10" xfId="21" applyFont="1" applyFill="1" applyBorder="1"/>
    <xf numFmtId="0" fontId="7" fillId="2" borderId="10" xfId="21" applyFill="1" applyBorder="1"/>
    <xf numFmtId="0" fontId="32" fillId="2" borderId="10" xfId="21" applyFont="1" applyFill="1" applyBorder="1" applyAlignment="1">
      <alignment horizontal="centerContinuous"/>
    </xf>
    <xf numFmtId="0" fontId="7" fillId="2" borderId="10" xfId="21" applyFill="1" applyBorder="1" applyAlignment="1">
      <alignment horizontal="centerContinuous"/>
    </xf>
    <xf numFmtId="0" fontId="32" fillId="2" borderId="10" xfId="21" applyFont="1" applyFill="1" applyBorder="1" applyAlignment="1">
      <alignment horizontal="left"/>
    </xf>
    <xf numFmtId="0" fontId="7" fillId="2" borderId="8" xfId="21" applyFill="1" applyBorder="1" applyAlignment="1">
      <alignment horizontal="centerContinuous"/>
    </xf>
    <xf numFmtId="0" fontId="7" fillId="2" borderId="15" xfId="21" applyFill="1" applyBorder="1" applyAlignment="1">
      <alignment horizontal="centerContinuous"/>
    </xf>
    <xf numFmtId="0" fontId="7" fillId="2" borderId="9" xfId="21" applyFill="1" applyBorder="1" applyAlignment="1">
      <alignment horizontal="centerContinuous"/>
    </xf>
    <xf numFmtId="0" fontId="7" fillId="2" borderId="16" xfId="21" applyFill="1" applyBorder="1"/>
    <xf numFmtId="4" fontId="7" fillId="2" borderId="10" xfId="21" applyNumberFormat="1" applyFill="1" applyBorder="1"/>
    <xf numFmtId="0" fontId="7" fillId="2" borderId="8" xfId="21" applyFill="1" applyBorder="1"/>
    <xf numFmtId="4" fontId="7" fillId="2" borderId="15" xfId="21" applyNumberFormat="1" applyFill="1" applyBorder="1"/>
    <xf numFmtId="4" fontId="7" fillId="2" borderId="15" xfId="21" applyNumberFormat="1" applyFill="1" applyBorder="1" applyAlignment="1">
      <alignment horizontal="centerContinuous"/>
    </xf>
    <xf numFmtId="4" fontId="7" fillId="2" borderId="9" xfId="21" applyNumberFormat="1" applyFill="1" applyBorder="1" applyAlignment="1">
      <alignment horizontal="centerContinuous"/>
    </xf>
    <xf numFmtId="0" fontId="7" fillId="2" borderId="15" xfId="21" applyFill="1" applyBorder="1"/>
    <xf numFmtId="4" fontId="7" fillId="2" borderId="0" xfId="21" applyNumberFormat="1" applyFill="1"/>
    <xf numFmtId="0" fontId="7" fillId="2" borderId="17" xfId="21" applyFill="1" applyBorder="1"/>
    <xf numFmtId="0" fontId="34" fillId="2" borderId="17" xfId="21" applyFont="1" applyFill="1" applyBorder="1" applyAlignment="1">
      <alignment horizontal="center"/>
    </xf>
    <xf numFmtId="0" fontId="32" fillId="2" borderId="17" xfId="21" applyFont="1" applyFill="1" applyBorder="1"/>
    <xf numFmtId="4" fontId="7" fillId="2" borderId="17" xfId="21" applyNumberFormat="1" applyFill="1" applyBorder="1"/>
    <xf numFmtId="0" fontId="7" fillId="2" borderId="18" xfId="21" applyFill="1" applyBorder="1" applyAlignment="1">
      <alignment horizontal="centerContinuous"/>
    </xf>
    <xf numFmtId="0" fontId="7" fillId="2" borderId="19" xfId="21" applyFill="1" applyBorder="1" applyAlignment="1">
      <alignment horizontal="centerContinuous"/>
    </xf>
    <xf numFmtId="0" fontId="32" fillId="2" borderId="17" xfId="21" applyFont="1" applyFill="1" applyBorder="1" applyAlignment="1">
      <alignment horizontal="centerContinuous"/>
    </xf>
    <xf numFmtId="0" fontId="7" fillId="2" borderId="17" xfId="21" applyFill="1" applyBorder="1" applyAlignment="1">
      <alignment horizontal="centerContinuous"/>
    </xf>
    <xf numFmtId="2" fontId="7" fillId="12" borderId="0" xfId="21" applyNumberFormat="1" applyFill="1"/>
    <xf numFmtId="0" fontId="7" fillId="2" borderId="20" xfId="21" applyFill="1" applyBorder="1"/>
    <xf numFmtId="0" fontId="7" fillId="2" borderId="21" xfId="21" applyFill="1" applyBorder="1"/>
    <xf numFmtId="4" fontId="7" fillId="2" borderId="21" xfId="21" applyNumberFormat="1" applyFill="1" applyBorder="1"/>
    <xf numFmtId="0" fontId="7" fillId="2" borderId="22" xfId="21" applyFill="1" applyBorder="1"/>
    <xf numFmtId="0" fontId="7" fillId="2" borderId="23" xfId="21" applyFill="1" applyBorder="1"/>
    <xf numFmtId="0" fontId="32" fillId="2" borderId="21" xfId="21" applyFont="1" applyFill="1" applyBorder="1" applyAlignment="1">
      <alignment horizontal="centerContinuous"/>
    </xf>
    <xf numFmtId="4" fontId="7" fillId="2" borderId="24" xfId="21" applyNumberFormat="1" applyFill="1" applyBorder="1" applyAlignment="1">
      <alignment horizontal="centerContinuous"/>
    </xf>
    <xf numFmtId="4" fontId="7" fillId="2" borderId="25" xfId="21" applyNumberFormat="1" applyFill="1" applyBorder="1" applyAlignment="1">
      <alignment horizontal="centerContinuous"/>
    </xf>
    <xf numFmtId="0" fontId="32" fillId="2" borderId="21" xfId="21" applyFont="1" applyFill="1" applyBorder="1" applyAlignment="1">
      <alignment horizontal="left"/>
    </xf>
    <xf numFmtId="0" fontId="7" fillId="2" borderId="26" xfId="21" applyFill="1" applyBorder="1"/>
    <xf numFmtId="0" fontId="7" fillId="2" borderId="27" xfId="21" applyFill="1" applyBorder="1"/>
    <xf numFmtId="0" fontId="7" fillId="2" borderId="28" xfId="21" applyFill="1" applyBorder="1"/>
    <xf numFmtId="4" fontId="7" fillId="2" borderId="28" xfId="21" applyNumberFormat="1" applyFill="1" applyBorder="1"/>
    <xf numFmtId="4" fontId="7" fillId="2" borderId="29" xfId="21" applyNumberFormat="1" applyFill="1" applyBorder="1"/>
    <xf numFmtId="4" fontId="7" fillId="2" borderId="30" xfId="21" applyNumberFormat="1" applyFill="1" applyBorder="1"/>
    <xf numFmtId="0" fontId="34" fillId="2" borderId="0" xfId="21" quotePrefix="1" applyFont="1" applyFill="1" applyAlignment="1">
      <alignment horizontal="left"/>
    </xf>
    <xf numFmtId="0" fontId="7" fillId="2" borderId="0" xfId="21" quotePrefix="1" applyFill="1" applyAlignment="1">
      <alignment horizontal="left"/>
    </xf>
    <xf numFmtId="2" fontId="7" fillId="0" borderId="0" xfId="21" applyNumberFormat="1" applyFill="1"/>
    <xf numFmtId="0" fontId="16" fillId="2" borderId="0" xfId="21" applyFont="1" applyFill="1"/>
    <xf numFmtId="171" fontId="7" fillId="2" borderId="0" xfId="21" applyNumberFormat="1" applyFill="1"/>
    <xf numFmtId="172" fontId="7" fillId="2" borderId="0" xfId="21" applyNumberFormat="1" applyFill="1"/>
    <xf numFmtId="9" fontId="7" fillId="12" borderId="0" xfId="25" applyFont="1" applyFill="1"/>
    <xf numFmtId="0" fontId="39" fillId="0" borderId="0" xfId="21" applyFont="1" applyAlignment="1">
      <alignment wrapText="1"/>
    </xf>
    <xf numFmtId="165" fontId="0" fillId="0" borderId="0" xfId="17" applyFont="1" applyAlignment="1">
      <alignment vertical="center"/>
    </xf>
    <xf numFmtId="165" fontId="0" fillId="0" borderId="0" xfId="17" applyNumberFormat="1" applyFont="1" applyAlignment="1">
      <alignment vertical="center"/>
    </xf>
    <xf numFmtId="0" fontId="18" fillId="2" borderId="2" xfId="0" applyFont="1" applyFill="1" applyBorder="1" applyAlignment="1" applyProtection="1">
      <alignment vertical="center"/>
      <protection hidden="1"/>
    </xf>
    <xf numFmtId="4" fontId="18" fillId="2" borderId="2" xfId="0" applyNumberFormat="1" applyFont="1" applyFill="1" applyBorder="1" applyAlignment="1" applyProtection="1">
      <alignment vertical="center"/>
      <protection hidden="1"/>
    </xf>
    <xf numFmtId="0" fontId="18" fillId="20" borderId="2" xfId="0" applyFont="1" applyFill="1" applyBorder="1" applyAlignment="1" applyProtection="1">
      <alignment horizontal="center" vertical="center"/>
      <protection hidden="1"/>
    </xf>
    <xf numFmtId="165" fontId="15" fillId="0" borderId="0" xfId="17" applyFont="1"/>
    <xf numFmtId="0" fontId="0" fillId="0" borderId="0" xfId="0" applyAlignment="1">
      <alignment vertical="top" wrapText="1"/>
    </xf>
    <xf numFmtId="17" fontId="42" fillId="6" borderId="39" xfId="0" applyNumberFormat="1" applyFont="1" applyFill="1" applyBorder="1" applyAlignment="1" applyProtection="1">
      <alignment horizontal="center" vertical="center" wrapText="1"/>
      <protection hidden="1"/>
    </xf>
    <xf numFmtId="168" fontId="44" fillId="2" borderId="0" xfId="24" applyFont="1" applyFill="1" applyAlignment="1" applyProtection="1">
      <alignment horizontal="left" vertical="center"/>
      <protection hidden="1"/>
    </xf>
    <xf numFmtId="165" fontId="19" fillId="12" borderId="52" xfId="17" applyFont="1" applyFill="1" applyBorder="1" applyAlignment="1" applyProtection="1">
      <alignment horizontal="right" vertical="center" wrapText="1"/>
      <protection hidden="1"/>
    </xf>
    <xf numFmtId="0" fontId="18" fillId="0" borderId="0" xfId="0" applyFont="1" applyAlignment="1" applyProtection="1">
      <alignment vertical="center"/>
      <protection hidden="1"/>
    </xf>
    <xf numFmtId="0" fontId="48" fillId="0" borderId="0" xfId="0" applyFont="1" applyFill="1" applyBorder="1" applyAlignment="1" applyProtection="1">
      <alignment horizontal="left" vertical="center" wrapText="1"/>
      <protection hidden="1"/>
    </xf>
    <xf numFmtId="9" fontId="41" fillId="5" borderId="52" xfId="25" quotePrefix="1" applyFont="1" applyFill="1" applyBorder="1" applyAlignment="1" applyProtection="1">
      <alignment horizontal="center" vertical="center" wrapText="1"/>
      <protection hidden="1"/>
    </xf>
    <xf numFmtId="0" fontId="7" fillId="0" borderId="0" xfId="0" applyFont="1" applyAlignment="1" applyProtection="1">
      <alignment vertical="center"/>
      <protection hidden="1"/>
    </xf>
    <xf numFmtId="0" fontId="18" fillId="14" borderId="32" xfId="0" quotePrefix="1" applyFont="1" applyFill="1" applyBorder="1" applyAlignment="1" applyProtection="1">
      <alignment horizontal="left" vertical="center"/>
      <protection hidden="1"/>
    </xf>
    <xf numFmtId="4" fontId="18" fillId="14" borderId="31" xfId="0" applyNumberFormat="1" applyFont="1" applyFill="1" applyBorder="1" applyAlignment="1" applyProtection="1">
      <alignment vertical="center"/>
      <protection hidden="1"/>
    </xf>
    <xf numFmtId="4" fontId="18" fillId="14" borderId="36" xfId="0" applyNumberFormat="1" applyFont="1" applyFill="1" applyBorder="1" applyAlignment="1" applyProtection="1">
      <alignment vertical="center"/>
      <protection hidden="1"/>
    </xf>
    <xf numFmtId="0" fontId="18" fillId="14" borderId="32" xfId="0" applyFont="1" applyFill="1" applyBorder="1" applyAlignment="1" applyProtection="1">
      <alignment horizontal="left" vertical="center"/>
      <protection hidden="1"/>
    </xf>
    <xf numFmtId="0" fontId="18" fillId="14" borderId="33" xfId="0" applyFont="1" applyFill="1" applyBorder="1" applyAlignment="1" applyProtection="1">
      <alignment horizontal="left" vertical="center" wrapText="1"/>
      <protection hidden="1"/>
    </xf>
    <xf numFmtId="4" fontId="18" fillId="14" borderId="31" xfId="0" applyNumberFormat="1" applyFont="1" applyFill="1" applyBorder="1" applyAlignment="1" applyProtection="1">
      <alignment horizontal="right" vertical="center"/>
      <protection hidden="1"/>
    </xf>
    <xf numFmtId="4" fontId="18" fillId="14" borderId="36" xfId="0" applyNumberFormat="1" applyFont="1" applyFill="1" applyBorder="1" applyAlignment="1" applyProtection="1">
      <alignment horizontal="right" vertical="center"/>
      <protection hidden="1"/>
    </xf>
    <xf numFmtId="4" fontId="19" fillId="14" borderId="31" xfId="0" applyNumberFormat="1" applyFont="1" applyFill="1" applyBorder="1" applyAlignment="1" applyProtection="1">
      <alignment vertical="center"/>
      <protection hidden="1"/>
    </xf>
    <xf numFmtId="4" fontId="19" fillId="14" borderId="36" xfId="0" applyNumberFormat="1" applyFont="1" applyFill="1" applyBorder="1" applyAlignment="1" applyProtection="1">
      <alignment vertical="center"/>
      <protection hidden="1"/>
    </xf>
    <xf numFmtId="0" fontId="48" fillId="0" borderId="0" xfId="0" applyFont="1" applyBorder="1" applyAlignment="1" applyProtection="1">
      <alignment horizontal="justify" vertical="top" wrapText="1"/>
      <protection hidden="1"/>
    </xf>
    <xf numFmtId="2" fontId="43" fillId="0" borderId="0" xfId="0" applyNumberFormat="1" applyFont="1" applyFill="1" applyBorder="1" applyAlignment="1" applyProtection="1">
      <alignment horizontal="right" vertical="center" wrapText="1"/>
      <protection hidden="1"/>
    </xf>
    <xf numFmtId="0" fontId="48" fillId="0" borderId="0" xfId="0" applyFont="1" applyBorder="1" applyAlignment="1" applyProtection="1">
      <alignment horizontal="left" vertical="top" wrapText="1"/>
      <protection hidden="1"/>
    </xf>
    <xf numFmtId="0" fontId="46" fillId="6" borderId="62" xfId="0" applyFont="1" applyFill="1" applyBorder="1" applyAlignment="1" applyProtection="1">
      <alignment horizontal="center" vertical="center" wrapText="1"/>
      <protection hidden="1"/>
    </xf>
    <xf numFmtId="0" fontId="46" fillId="6" borderId="63" xfId="0" applyFont="1" applyFill="1" applyBorder="1" applyAlignment="1" applyProtection="1">
      <alignment horizontal="center" vertical="center"/>
      <protection hidden="1"/>
    </xf>
    <xf numFmtId="0" fontId="41" fillId="5" borderId="48" xfId="0" applyFont="1" applyFill="1" applyBorder="1" applyAlignment="1" applyProtection="1">
      <alignment horizontal="center" vertical="center" wrapText="1"/>
      <protection hidden="1"/>
    </xf>
    <xf numFmtId="0" fontId="41" fillId="5" borderId="45" xfId="0" applyFont="1" applyFill="1" applyBorder="1" applyAlignment="1" applyProtection="1">
      <alignment horizontal="center" vertical="center" wrapText="1"/>
      <protection hidden="1"/>
    </xf>
    <xf numFmtId="15" fontId="52" fillId="5" borderId="47" xfId="0" applyNumberFormat="1" applyFont="1" applyFill="1" applyBorder="1" applyAlignment="1" applyProtection="1">
      <alignment horizontal="center" vertical="center" wrapText="1"/>
      <protection hidden="1"/>
    </xf>
    <xf numFmtId="165" fontId="19" fillId="12" borderId="45" xfId="17" applyFont="1" applyFill="1" applyBorder="1" applyAlignment="1" applyProtection="1">
      <alignment horizontal="center" vertical="center" wrapText="1"/>
      <protection hidden="1"/>
    </xf>
    <xf numFmtId="2" fontId="43" fillId="0" borderId="45" xfId="0" applyNumberFormat="1" applyFont="1" applyFill="1" applyBorder="1" applyAlignment="1" applyProtection="1">
      <alignment horizontal="right" vertical="center" wrapText="1"/>
      <protection hidden="1"/>
    </xf>
    <xf numFmtId="2" fontId="19" fillId="0" borderId="45" xfId="0" applyNumberFormat="1" applyFont="1" applyFill="1" applyBorder="1" applyAlignment="1" applyProtection="1">
      <alignment horizontal="center" vertical="center" wrapText="1"/>
      <protection hidden="1"/>
    </xf>
    <xf numFmtId="2" fontId="18" fillId="0" borderId="45" xfId="0" applyNumberFormat="1" applyFont="1" applyFill="1" applyBorder="1" applyAlignment="1" applyProtection="1">
      <alignment horizontal="center" vertical="center" wrapText="1"/>
      <protection hidden="1"/>
    </xf>
    <xf numFmtId="2" fontId="23" fillId="0" borderId="45" xfId="0" applyNumberFormat="1" applyFont="1" applyFill="1" applyBorder="1" applyAlignment="1" applyProtection="1">
      <alignment horizontal="center" vertical="center" wrapText="1"/>
      <protection hidden="1"/>
    </xf>
    <xf numFmtId="2" fontId="43" fillId="0" borderId="45" xfId="0" applyNumberFormat="1" applyFont="1" applyFill="1" applyBorder="1" applyAlignment="1" applyProtection="1">
      <alignment horizontal="center" vertical="center" wrapText="1"/>
      <protection hidden="1"/>
    </xf>
    <xf numFmtId="2" fontId="43" fillId="0" borderId="47" xfId="0" applyNumberFormat="1" applyFont="1" applyFill="1" applyBorder="1" applyAlignment="1" applyProtection="1">
      <alignment horizontal="right" vertical="center" wrapText="1"/>
      <protection hidden="1"/>
    </xf>
    <xf numFmtId="165" fontId="20" fillId="0" borderId="45" xfId="17" applyFont="1" applyFill="1" applyBorder="1" applyAlignment="1" applyProtection="1">
      <alignment vertical="center" wrapText="1"/>
      <protection hidden="1"/>
    </xf>
    <xf numFmtId="0" fontId="48" fillId="0" borderId="0" xfId="0" applyFont="1" applyBorder="1" applyAlignment="1" applyProtection="1">
      <alignment vertical="top" wrapText="1"/>
      <protection hidden="1"/>
    </xf>
    <xf numFmtId="0" fontId="40" fillId="2" borderId="0" xfId="0" quotePrefix="1" applyFont="1" applyFill="1" applyAlignment="1" applyProtection="1">
      <alignment horizontal="justify" vertical="center"/>
      <protection hidden="1"/>
    </xf>
    <xf numFmtId="0" fontId="18" fillId="12" borderId="0" xfId="0" applyFont="1" applyFill="1" applyBorder="1" applyAlignment="1" applyProtection="1">
      <alignment horizontal="justify" vertical="center"/>
      <protection hidden="1"/>
    </xf>
    <xf numFmtId="0" fontId="18" fillId="0" borderId="0" xfId="0" applyFont="1" applyBorder="1" applyAlignment="1" applyProtection="1">
      <alignment horizontal="justify" vertical="center"/>
      <protection hidden="1"/>
    </xf>
    <xf numFmtId="0" fontId="7" fillId="12"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48" fillId="0" borderId="0" xfId="0" applyFont="1" applyFill="1" applyBorder="1" applyAlignment="1" applyProtection="1">
      <alignment horizontal="justify" vertical="center" wrapText="1"/>
      <protection hidden="1"/>
    </xf>
    <xf numFmtId="0" fontId="34" fillId="0" borderId="0" xfId="0" applyFont="1" applyFill="1" applyBorder="1" applyAlignment="1" applyProtection="1">
      <alignment horizontal="left" vertical="center" wrapText="1"/>
      <protection hidden="1"/>
    </xf>
    <xf numFmtId="165" fontId="34" fillId="0" borderId="0" xfId="17" applyFont="1" applyFill="1" applyBorder="1" applyAlignment="1" applyProtection="1">
      <alignment horizontal="right" vertical="center" wrapText="1"/>
      <protection hidden="1"/>
    </xf>
    <xf numFmtId="0" fontId="48" fillId="0" borderId="0" xfId="0" applyFont="1" applyFill="1" applyAlignment="1" applyProtection="1">
      <alignment horizontal="justify" vertical="center" wrapText="1"/>
      <protection hidden="1"/>
    </xf>
    <xf numFmtId="0" fontId="18" fillId="2" borderId="0" xfId="0" quotePrefix="1" applyFont="1" applyFill="1" applyBorder="1" applyAlignment="1" applyProtection="1">
      <alignment horizontal="left" vertical="center" wrapText="1"/>
      <protection hidden="1"/>
    </xf>
    <xf numFmtId="4" fontId="18" fillId="2" borderId="41" xfId="0" applyNumberFormat="1" applyFont="1" applyFill="1" applyBorder="1" applyAlignment="1" applyProtection="1">
      <alignment vertical="center"/>
      <protection hidden="1"/>
    </xf>
    <xf numFmtId="4" fontId="18" fillId="23" borderId="41" xfId="0" applyNumberFormat="1" applyFont="1" applyFill="1" applyBorder="1" applyAlignment="1" applyProtection="1">
      <alignment vertical="center"/>
      <protection hidden="1"/>
    </xf>
    <xf numFmtId="4" fontId="18" fillId="0" borderId="41" xfId="0" applyNumberFormat="1" applyFont="1" applyFill="1" applyBorder="1" applyAlignment="1" applyProtection="1">
      <alignment horizontal="right" vertical="center"/>
      <protection hidden="1"/>
    </xf>
    <xf numFmtId="4" fontId="18" fillId="0" borderId="41" xfId="0" applyNumberFormat="1" applyFont="1" applyFill="1" applyBorder="1" applyAlignment="1" applyProtection="1">
      <alignment vertical="center"/>
      <protection hidden="1"/>
    </xf>
    <xf numFmtId="4" fontId="44" fillId="5" borderId="41" xfId="0" applyNumberFormat="1" applyFont="1" applyFill="1" applyBorder="1" applyAlignment="1" applyProtection="1">
      <alignment vertical="center"/>
      <protection hidden="1"/>
    </xf>
    <xf numFmtId="17" fontId="42" fillId="6" borderId="54" xfId="0" applyNumberFormat="1" applyFont="1" applyFill="1" applyBorder="1" applyAlignment="1" applyProtection="1">
      <alignment horizontal="center" vertical="center" wrapText="1"/>
      <protection hidden="1"/>
    </xf>
    <xf numFmtId="17" fontId="42" fillId="6" borderId="55" xfId="0" applyNumberFormat="1" applyFont="1" applyFill="1" applyBorder="1" applyAlignment="1" applyProtection="1">
      <alignment horizontal="center" vertical="center" wrapText="1"/>
      <protection hidden="1"/>
    </xf>
    <xf numFmtId="0" fontId="18" fillId="2" borderId="42" xfId="0" quotePrefix="1" applyFont="1" applyFill="1" applyBorder="1" applyAlignment="1" applyProtection="1">
      <alignment horizontal="left" vertical="center"/>
      <protection hidden="1"/>
    </xf>
    <xf numFmtId="4" fontId="18" fillId="23" borderId="45" xfId="0" applyNumberFormat="1" applyFont="1" applyFill="1" applyBorder="1" applyAlignment="1" applyProtection="1">
      <alignment vertical="center"/>
      <protection hidden="1"/>
    </xf>
    <xf numFmtId="4" fontId="18" fillId="2" borderId="45" xfId="0" applyNumberFormat="1" applyFont="1" applyFill="1" applyBorder="1" applyAlignment="1" applyProtection="1">
      <alignment vertical="center"/>
      <protection hidden="1"/>
    </xf>
    <xf numFmtId="0" fontId="18" fillId="2" borderId="42" xfId="0" applyFont="1" applyFill="1" applyBorder="1" applyAlignment="1" applyProtection="1">
      <alignment horizontal="left" vertical="center"/>
      <protection hidden="1"/>
    </xf>
    <xf numFmtId="0" fontId="44" fillId="5" borderId="42" xfId="0" quotePrefix="1" applyFont="1" applyFill="1" applyBorder="1" applyAlignment="1" applyProtection="1">
      <alignment horizontal="left" vertical="center" wrapText="1"/>
      <protection hidden="1"/>
    </xf>
    <xf numFmtId="4" fontId="44" fillId="5" borderId="45" xfId="0" applyNumberFormat="1" applyFont="1" applyFill="1" applyBorder="1" applyAlignment="1" applyProtection="1">
      <alignment vertical="center"/>
      <protection hidden="1"/>
    </xf>
    <xf numFmtId="0" fontId="18" fillId="2" borderId="43" xfId="0" quotePrefix="1" applyFont="1" applyFill="1" applyBorder="1" applyAlignment="1" applyProtection="1">
      <alignment horizontal="left" vertical="center" wrapText="1"/>
      <protection hidden="1"/>
    </xf>
    <xf numFmtId="4" fontId="18" fillId="2" borderId="44" xfId="0" applyNumberFormat="1" applyFont="1" applyFill="1" applyBorder="1" applyAlignment="1" applyProtection="1">
      <alignment horizontal="right" vertical="center"/>
      <protection hidden="1"/>
    </xf>
    <xf numFmtId="4" fontId="18" fillId="2" borderId="47" xfId="0" applyNumberFormat="1" applyFont="1" applyFill="1" applyBorder="1" applyAlignment="1" applyProtection="1">
      <alignment horizontal="right" vertical="center"/>
      <protection hidden="1"/>
    </xf>
    <xf numFmtId="0" fontId="40" fillId="2" borderId="0" xfId="0" applyNumberFormat="1" applyFont="1" applyFill="1" applyAlignment="1" applyProtection="1">
      <alignment horizontal="justify" vertical="center" wrapText="1"/>
      <protection hidden="1"/>
    </xf>
    <xf numFmtId="0" fontId="44" fillId="5" borderId="42" xfId="0" quotePrefix="1" applyFont="1" applyFill="1" applyBorder="1" applyAlignment="1" applyProtection="1">
      <alignment horizontal="left" vertical="center"/>
      <protection hidden="1"/>
    </xf>
    <xf numFmtId="4" fontId="19" fillId="2" borderId="41" xfId="0" applyNumberFormat="1" applyFont="1" applyFill="1" applyBorder="1" applyAlignment="1" applyProtection="1">
      <alignment vertical="center"/>
      <protection hidden="1"/>
    </xf>
    <xf numFmtId="4" fontId="19" fillId="2" borderId="45" xfId="0" applyNumberFormat="1" applyFont="1" applyFill="1" applyBorder="1" applyAlignment="1" applyProtection="1">
      <alignment vertical="center"/>
      <protection hidden="1"/>
    </xf>
    <xf numFmtId="4" fontId="44" fillId="5" borderId="41" xfId="0" applyNumberFormat="1" applyFont="1" applyFill="1" applyBorder="1" applyAlignment="1" applyProtection="1">
      <alignment horizontal="right" vertical="center"/>
      <protection hidden="1"/>
    </xf>
    <xf numFmtId="4" fontId="44" fillId="5" borderId="45" xfId="0" applyNumberFormat="1" applyFont="1" applyFill="1" applyBorder="1" applyAlignment="1" applyProtection="1">
      <alignment horizontal="right" vertical="center"/>
      <protection hidden="1"/>
    </xf>
    <xf numFmtId="0" fontId="41" fillId="15" borderId="53" xfId="0" applyFont="1" applyFill="1" applyBorder="1" applyAlignment="1" applyProtection="1">
      <alignment horizontal="center" vertical="center" wrapText="1"/>
      <protection hidden="1"/>
    </xf>
    <xf numFmtId="17" fontId="41" fillId="15" borderId="54" xfId="0" applyNumberFormat="1" applyFont="1" applyFill="1" applyBorder="1" applyAlignment="1" applyProtection="1">
      <alignment horizontal="center" vertical="center" wrapText="1"/>
      <protection hidden="1"/>
    </xf>
    <xf numFmtId="17" fontId="41" fillId="15" borderId="55" xfId="0" applyNumberFormat="1" applyFont="1" applyFill="1" applyBorder="1" applyAlignment="1" applyProtection="1">
      <alignment horizontal="center" vertical="center" wrapText="1"/>
      <protection hidden="1"/>
    </xf>
    <xf numFmtId="165" fontId="18" fillId="2" borderId="41" xfId="17" applyFont="1" applyFill="1" applyBorder="1" applyAlignment="1" applyProtection="1">
      <alignment horizontal="right" vertical="center"/>
      <protection hidden="1"/>
    </xf>
    <xf numFmtId="4" fontId="18" fillId="2" borderId="41" xfId="0" applyNumberFormat="1" applyFont="1" applyFill="1" applyBorder="1" applyAlignment="1" applyProtection="1">
      <alignment horizontal="right" vertical="center"/>
      <protection hidden="1"/>
    </xf>
    <xf numFmtId="165" fontId="18" fillId="2" borderId="45" xfId="17" applyFont="1" applyFill="1" applyBorder="1" applyAlignment="1" applyProtection="1">
      <alignment horizontal="right" vertical="center"/>
      <protection hidden="1"/>
    </xf>
    <xf numFmtId="0" fontId="19" fillId="2" borderId="42" xfId="0" applyFont="1" applyFill="1" applyBorder="1" applyAlignment="1" applyProtection="1">
      <alignment horizontal="left" vertical="center" wrapText="1"/>
      <protection hidden="1"/>
    </xf>
    <xf numFmtId="4" fontId="19" fillId="2" borderId="41" xfId="0" applyNumberFormat="1" applyFont="1" applyFill="1" applyBorder="1" applyAlignment="1" applyProtection="1">
      <alignment horizontal="right" vertical="center"/>
      <protection hidden="1"/>
    </xf>
    <xf numFmtId="4" fontId="19" fillId="2" borderId="45" xfId="0" applyNumberFormat="1" applyFont="1" applyFill="1" applyBorder="1" applyAlignment="1" applyProtection="1">
      <alignment horizontal="right" vertical="center"/>
      <protection hidden="1"/>
    </xf>
    <xf numFmtId="4" fontId="18" fillId="2" borderId="45" xfId="0" applyNumberFormat="1" applyFont="1" applyFill="1" applyBorder="1" applyAlignment="1" applyProtection="1">
      <alignment horizontal="right" vertical="center"/>
      <protection hidden="1"/>
    </xf>
    <xf numFmtId="4" fontId="18" fillId="12" borderId="41" xfId="0" applyNumberFormat="1" applyFont="1" applyFill="1" applyBorder="1" applyAlignment="1" applyProtection="1">
      <alignment horizontal="right" vertical="center"/>
      <protection hidden="1"/>
    </xf>
    <xf numFmtId="0" fontId="18" fillId="2" borderId="43" xfId="0" quotePrefix="1" applyFont="1" applyFill="1" applyBorder="1" applyAlignment="1" applyProtection="1">
      <alignment horizontal="left" vertical="center"/>
      <protection hidden="1"/>
    </xf>
    <xf numFmtId="0" fontId="48" fillId="0" borderId="0" xfId="0" applyFont="1" applyAlignment="1" applyProtection="1">
      <alignment horizontal="left" vertical="center"/>
      <protection hidden="1"/>
    </xf>
    <xf numFmtId="0" fontId="48" fillId="2" borderId="0" xfId="0" quotePrefix="1" applyFont="1" applyFill="1" applyBorder="1" applyAlignment="1" applyProtection="1">
      <alignment horizontal="left" vertical="center"/>
      <protection hidden="1"/>
    </xf>
    <xf numFmtId="0" fontId="7" fillId="12" borderId="0" xfId="0" applyFont="1" applyFill="1" applyBorder="1" applyAlignment="1" applyProtection="1">
      <alignment vertical="top"/>
      <protection hidden="1"/>
    </xf>
    <xf numFmtId="0" fontId="48" fillId="12" borderId="0" xfId="0" applyFont="1" applyFill="1" applyAlignment="1" applyProtection="1">
      <alignment vertical="top" wrapText="1"/>
      <protection hidden="1"/>
    </xf>
    <xf numFmtId="0" fontId="7" fillId="0" borderId="0" xfId="0" applyFont="1" applyAlignment="1">
      <alignment vertical="top" wrapText="1"/>
    </xf>
    <xf numFmtId="0" fontId="48" fillId="0" borderId="0" xfId="0" applyFont="1" applyBorder="1" applyAlignment="1" applyProtection="1">
      <alignment horizontal="left" vertical="top" wrapText="1"/>
      <protection hidden="1"/>
    </xf>
    <xf numFmtId="4" fontId="18" fillId="0" borderId="42" xfId="0" applyNumberFormat="1" applyFont="1" applyBorder="1" applyAlignment="1" applyProtection="1">
      <alignment vertical="center" wrapText="1"/>
      <protection hidden="1"/>
    </xf>
    <xf numFmtId="0" fontId="40" fillId="2" borderId="0" xfId="0" applyFont="1" applyFill="1" applyAlignment="1" applyProtection="1">
      <alignment horizontal="left" vertical="center"/>
      <protection hidden="1"/>
    </xf>
    <xf numFmtId="0" fontId="40" fillId="2" borderId="0" xfId="0" quotePrefix="1" applyFont="1" applyFill="1" applyAlignment="1" applyProtection="1">
      <alignment horizontal="left" vertical="center"/>
      <protection hidden="1"/>
    </xf>
    <xf numFmtId="0" fontId="18" fillId="0" borderId="0" xfId="0" applyFont="1" applyFill="1" applyAlignment="1" applyProtection="1">
      <alignment horizontal="left" vertical="center"/>
      <protection hidden="1"/>
    </xf>
    <xf numFmtId="0" fontId="41" fillId="5" borderId="72" xfId="0" quotePrefix="1" applyFont="1" applyFill="1" applyBorder="1" applyAlignment="1" applyProtection="1">
      <alignment horizontal="center" vertical="center" wrapText="1"/>
      <protection hidden="1"/>
    </xf>
    <xf numFmtId="0" fontId="42" fillId="0" borderId="0" xfId="0" applyFont="1" applyAlignment="1" applyProtection="1">
      <alignment vertical="center"/>
      <protection hidden="1"/>
    </xf>
    <xf numFmtId="0" fontId="48" fillId="2" borderId="0" xfId="0" applyFont="1" applyFill="1" applyAlignment="1" applyProtection="1">
      <alignment vertical="center"/>
      <protection hidden="1"/>
    </xf>
    <xf numFmtId="0" fontId="48" fillId="0" borderId="0" xfId="0" applyFont="1" applyBorder="1" applyAlignment="1" applyProtection="1">
      <alignment vertical="top"/>
      <protection hidden="1"/>
    </xf>
    <xf numFmtId="0" fontId="48" fillId="0" borderId="0" xfId="0" applyFont="1" applyBorder="1" applyAlignment="1" applyProtection="1">
      <alignment horizontal="left" vertical="top"/>
      <protection hidden="1"/>
    </xf>
    <xf numFmtId="37" fontId="18" fillId="12" borderId="3" xfId="23" quotePrefix="1" applyNumberFormat="1" applyFont="1" applyFill="1" applyBorder="1" applyAlignment="1" applyProtection="1">
      <alignment horizontal="left"/>
    </xf>
    <xf numFmtId="37" fontId="18" fillId="12" borderId="4" xfId="23" quotePrefix="1" applyNumberFormat="1" applyFont="1" applyFill="1" applyBorder="1" applyAlignment="1" applyProtection="1">
      <alignment horizontal="left"/>
    </xf>
    <xf numFmtId="37" fontId="18" fillId="12" borderId="12" xfId="23" applyNumberFormat="1" applyFont="1" applyFill="1" applyBorder="1" applyProtection="1"/>
    <xf numFmtId="37" fontId="18" fillId="12" borderId="4" xfId="23" applyNumberFormat="1" applyFont="1" applyFill="1" applyBorder="1" applyProtection="1"/>
    <xf numFmtId="37" fontId="18" fillId="12" borderId="12" xfId="23" applyNumberFormat="1" applyFont="1" applyFill="1" applyBorder="1" applyAlignment="1" applyProtection="1">
      <alignment horizontal="left" indent="1"/>
    </xf>
    <xf numFmtId="37" fontId="18" fillId="12" borderId="12" xfId="23" quotePrefix="1" applyNumberFormat="1" applyFont="1" applyFill="1" applyBorder="1" applyAlignment="1" applyProtection="1">
      <alignment horizontal="left"/>
    </xf>
    <xf numFmtId="37" fontId="18" fillId="12" borderId="3" xfId="23" applyNumberFormat="1" applyFont="1" applyFill="1" applyBorder="1" applyProtection="1"/>
    <xf numFmtId="37" fontId="18" fillId="12" borderId="15" xfId="23" applyNumberFormat="1" applyFont="1" applyFill="1" applyBorder="1" applyProtection="1"/>
    <xf numFmtId="4" fontId="7" fillId="26" borderId="0" xfId="21" applyNumberFormat="1" applyFill="1" applyBorder="1"/>
    <xf numFmtId="37" fontId="63" fillId="2" borderId="10" xfId="23" applyNumberFormat="1" applyFont="1" applyFill="1" applyBorder="1" applyAlignment="1" applyProtection="1">
      <alignment wrapText="1"/>
    </xf>
    <xf numFmtId="0" fontId="34" fillId="2" borderId="86" xfId="21" applyFont="1" applyFill="1" applyBorder="1" applyAlignment="1">
      <alignment horizontal="center"/>
    </xf>
    <xf numFmtId="0" fontId="7" fillId="2" borderId="87" xfId="21" applyFill="1" applyBorder="1"/>
    <xf numFmtId="0" fontId="34" fillId="2" borderId="87" xfId="21" applyFont="1" applyFill="1" applyBorder="1" applyAlignment="1">
      <alignment horizontal="center"/>
    </xf>
    <xf numFmtId="0" fontId="7" fillId="2" borderId="88" xfId="21" quotePrefix="1" applyFill="1" applyBorder="1" applyAlignment="1">
      <alignment horizontal="left"/>
    </xf>
    <xf numFmtId="37" fontId="62" fillId="25" borderId="3" xfId="23" applyNumberFormat="1" applyFont="1" applyFill="1" applyBorder="1" applyAlignment="1" applyProtection="1">
      <alignment vertical="center" wrapText="1"/>
    </xf>
    <xf numFmtId="37" fontId="62" fillId="25" borderId="4" xfId="23" applyNumberFormat="1" applyFont="1" applyFill="1" applyBorder="1" applyAlignment="1" applyProtection="1">
      <alignment vertical="center" wrapText="1"/>
    </xf>
    <xf numFmtId="37" fontId="62" fillId="25" borderId="12" xfId="23" applyNumberFormat="1" applyFont="1" applyFill="1" applyBorder="1" applyAlignment="1" applyProtection="1">
      <alignment vertical="center" wrapText="1"/>
    </xf>
    <xf numFmtId="49" fontId="63" fillId="25" borderId="16" xfId="21" applyNumberFormat="1" applyFont="1" applyFill="1" applyBorder="1" applyAlignment="1">
      <alignment horizontal="center" vertical="center" wrapText="1"/>
    </xf>
    <xf numFmtId="4" fontId="7" fillId="12" borderId="5" xfId="21" applyNumberFormat="1" applyFill="1" applyBorder="1"/>
    <xf numFmtId="4" fontId="7" fillId="12" borderId="6" xfId="21" applyNumberFormat="1" applyFill="1" applyBorder="1"/>
    <xf numFmtId="4" fontId="7" fillId="12" borderId="3" xfId="21" applyNumberFormat="1" applyFill="1" applyBorder="1"/>
    <xf numFmtId="4" fontId="7" fillId="12" borderId="7" xfId="21" applyNumberFormat="1" applyFill="1" applyBorder="1"/>
    <xf numFmtId="4" fontId="7" fillId="12" borderId="0" xfId="21" applyNumberFormat="1" applyFill="1" applyBorder="1"/>
    <xf numFmtId="4" fontId="7" fillId="12" borderId="4" xfId="21" applyNumberFormat="1" applyFill="1" applyBorder="1"/>
    <xf numFmtId="4" fontId="7" fillId="12" borderId="11" xfId="21" applyNumberFormat="1" applyFill="1" applyBorder="1"/>
    <xf numFmtId="4" fontId="7" fillId="12" borderId="13" xfId="21" applyNumberFormat="1" applyFill="1" applyBorder="1"/>
    <xf numFmtId="4" fontId="7" fillId="12" borderId="12" xfId="21" applyNumberFormat="1" applyFill="1" applyBorder="1"/>
    <xf numFmtId="167" fontId="7" fillId="12" borderId="13" xfId="21" applyNumberFormat="1" applyFill="1" applyBorder="1"/>
    <xf numFmtId="4" fontId="7" fillId="12" borderId="8" xfId="21" applyNumberFormat="1" applyFill="1" applyBorder="1"/>
    <xf numFmtId="4" fontId="7" fillId="12" borderId="9" xfId="21" applyNumberFormat="1" applyFill="1" applyBorder="1"/>
    <xf numFmtId="0" fontId="63" fillId="2" borderId="8" xfId="21" applyFont="1" applyFill="1" applyBorder="1" applyAlignment="1">
      <alignment horizontal="left" vertical="center"/>
    </xf>
    <xf numFmtId="0" fontId="63" fillId="0" borderId="9" xfId="21" applyFont="1" applyBorder="1" applyAlignment="1">
      <alignment vertical="center"/>
    </xf>
    <xf numFmtId="10" fontId="63" fillId="0" borderId="15" xfId="21" applyNumberFormat="1" applyFont="1" applyBorder="1" applyAlignment="1">
      <alignment vertical="center"/>
    </xf>
    <xf numFmtId="4" fontId="7" fillId="2" borderId="2" xfId="21" applyNumberFormat="1" applyFill="1" applyBorder="1"/>
    <xf numFmtId="4" fontId="7" fillId="2" borderId="91" xfId="21" applyNumberFormat="1" applyFill="1" applyBorder="1"/>
    <xf numFmtId="4" fontId="7" fillId="24" borderId="0" xfId="21" applyNumberFormat="1" applyFill="1" applyBorder="1"/>
    <xf numFmtId="2" fontId="7" fillId="24" borderId="0" xfId="21" applyNumberFormat="1" applyFill="1"/>
    <xf numFmtId="2" fontId="7" fillId="24" borderId="99" xfId="21" applyNumberFormat="1" applyFill="1" applyBorder="1"/>
    <xf numFmtId="4" fontId="18" fillId="0" borderId="45" xfId="0" applyNumberFormat="1" applyFont="1" applyFill="1" applyBorder="1" applyAlignment="1" applyProtection="1">
      <alignment horizontal="right" vertical="center"/>
      <protection hidden="1"/>
    </xf>
    <xf numFmtId="0" fontId="48" fillId="0" borderId="0" xfId="0" applyFont="1" applyBorder="1" applyAlignment="1" applyProtection="1">
      <alignment horizontal="left" vertical="top" wrapText="1"/>
      <protection hidden="1"/>
    </xf>
    <xf numFmtId="0" fontId="41" fillId="5" borderId="72" xfId="0" quotePrefix="1" applyFont="1" applyFill="1" applyBorder="1" applyAlignment="1" applyProtection="1">
      <alignment horizontal="center" vertical="center" wrapText="1"/>
      <protection hidden="1"/>
    </xf>
    <xf numFmtId="0" fontId="41" fillId="5" borderId="73" xfId="0" applyFont="1" applyFill="1" applyBorder="1" applyAlignment="1" applyProtection="1">
      <alignment horizontal="center" vertical="center" wrapText="1"/>
      <protection hidden="1"/>
    </xf>
    <xf numFmtId="0" fontId="66" fillId="0" borderId="0" xfId="0" applyFont="1"/>
    <xf numFmtId="0" fontId="41" fillId="5" borderId="102" xfId="0" quotePrefix="1" applyFont="1" applyFill="1" applyBorder="1" applyAlignment="1" applyProtection="1">
      <alignment horizontal="center" vertical="center" wrapText="1"/>
      <protection hidden="1"/>
    </xf>
    <xf numFmtId="165" fontId="18" fillId="12" borderId="52" xfId="17" applyFont="1" applyFill="1" applyBorder="1" applyAlignment="1" applyProtection="1">
      <alignment horizontal="right" vertical="center" wrapText="1"/>
      <protection hidden="1"/>
    </xf>
    <xf numFmtId="165" fontId="18" fillId="12" borderId="48" xfId="17" applyFont="1" applyFill="1" applyBorder="1" applyAlignment="1" applyProtection="1">
      <alignment horizontal="right" vertical="center" wrapText="1"/>
      <protection hidden="1"/>
    </xf>
    <xf numFmtId="165" fontId="18" fillId="0" borderId="41" xfId="17" applyNumberFormat="1" applyFont="1" applyFill="1" applyBorder="1" applyAlignment="1" applyProtection="1">
      <alignment horizontal="right" vertical="center" wrapText="1"/>
      <protection hidden="1"/>
    </xf>
    <xf numFmtId="165" fontId="18" fillId="0" borderId="45" xfId="17" applyNumberFormat="1" applyFont="1" applyFill="1" applyBorder="1" applyAlignment="1" applyProtection="1">
      <alignment horizontal="right" vertical="center" wrapText="1"/>
      <protection hidden="1"/>
    </xf>
    <xf numFmtId="165" fontId="18" fillId="0" borderId="41" xfId="17" applyFont="1" applyFill="1" applyBorder="1" applyAlignment="1" applyProtection="1">
      <alignment horizontal="right" vertical="center" wrapText="1"/>
      <protection hidden="1"/>
    </xf>
    <xf numFmtId="165" fontId="18" fillId="0" borderId="45" xfId="17" applyFont="1" applyFill="1" applyBorder="1" applyAlignment="1" applyProtection="1">
      <alignment horizontal="right" vertical="center" wrapText="1"/>
      <protection hidden="1"/>
    </xf>
    <xf numFmtId="166" fontId="18" fillId="0" borderId="41" xfId="17" applyNumberFormat="1" applyFont="1" applyFill="1" applyBorder="1" applyAlignment="1" applyProtection="1">
      <alignment horizontal="right" vertical="center" wrapText="1"/>
      <protection hidden="1"/>
    </xf>
    <xf numFmtId="166" fontId="18" fillId="0" borderId="45" xfId="17" applyNumberFormat="1" applyFont="1" applyFill="1" applyBorder="1" applyAlignment="1" applyProtection="1">
      <alignment horizontal="right" vertical="center" wrapText="1"/>
      <protection hidden="1"/>
    </xf>
    <xf numFmtId="2" fontId="18" fillId="0" borderId="44" xfId="17" applyNumberFormat="1" applyFont="1" applyFill="1" applyBorder="1" applyAlignment="1" applyProtection="1">
      <alignment horizontal="right" vertical="center" wrapText="1"/>
      <protection hidden="1"/>
    </xf>
    <xf numFmtId="2" fontId="18" fillId="0" borderId="47" xfId="17" applyNumberFormat="1" applyFont="1" applyFill="1" applyBorder="1" applyAlignment="1" applyProtection="1">
      <alignment horizontal="right" vertical="center" wrapText="1"/>
      <protection hidden="1"/>
    </xf>
    <xf numFmtId="165" fontId="18" fillId="0" borderId="44" xfId="17" applyFont="1" applyFill="1" applyBorder="1" applyAlignment="1" applyProtection="1">
      <alignment horizontal="right" vertical="center" wrapText="1"/>
      <protection hidden="1"/>
    </xf>
    <xf numFmtId="165" fontId="18" fillId="0" borderId="47" xfId="17" applyFont="1" applyFill="1" applyBorder="1" applyAlignment="1" applyProtection="1">
      <alignment horizontal="right" vertical="center" wrapText="1"/>
      <protection hidden="1"/>
    </xf>
    <xf numFmtId="165" fontId="19" fillId="13" borderId="41" xfId="17" applyFont="1" applyFill="1" applyBorder="1" applyAlignment="1" applyProtection="1">
      <alignment horizontal="center" vertical="center" wrapText="1"/>
      <protection hidden="1"/>
    </xf>
    <xf numFmtId="165" fontId="18" fillId="12" borderId="103" xfId="17" applyFont="1" applyFill="1" applyBorder="1" applyAlignment="1" applyProtection="1">
      <alignment horizontal="right" vertical="center" wrapText="1"/>
      <protection hidden="1"/>
    </xf>
    <xf numFmtId="165" fontId="0" fillId="0" borderId="0" xfId="0" applyNumberFormat="1"/>
    <xf numFmtId="165" fontId="69" fillId="0" borderId="41" xfId="17" applyFont="1" applyFill="1" applyBorder="1" applyAlignment="1" applyProtection="1">
      <alignment horizontal="right" vertical="center" wrapText="1"/>
      <protection hidden="1"/>
    </xf>
    <xf numFmtId="4" fontId="45" fillId="2" borderId="0" xfId="0" applyNumberFormat="1" applyFont="1" applyFill="1" applyAlignment="1" applyProtection="1">
      <alignment vertical="center"/>
      <protection hidden="1"/>
    </xf>
    <xf numFmtId="165" fontId="19" fillId="0" borderId="57" xfId="17" applyNumberFormat="1" applyFont="1" applyFill="1" applyBorder="1" applyAlignment="1" applyProtection="1">
      <alignment horizontal="center" vertical="center" wrapText="1"/>
      <protection hidden="1"/>
    </xf>
    <xf numFmtId="4" fontId="19" fillId="0" borderId="41" xfId="0" applyNumberFormat="1" applyFont="1" applyFill="1" applyBorder="1" applyAlignment="1" applyProtection="1">
      <alignment horizontal="right" vertical="center"/>
      <protection hidden="1"/>
    </xf>
    <xf numFmtId="4" fontId="19" fillId="0" borderId="45" xfId="0" applyNumberFormat="1" applyFont="1" applyFill="1" applyBorder="1" applyAlignment="1" applyProtection="1">
      <alignment horizontal="right" vertical="center"/>
      <protection hidden="1"/>
    </xf>
    <xf numFmtId="165" fontId="19" fillId="0" borderId="49" xfId="17" applyNumberFormat="1" applyFont="1" applyFill="1" applyBorder="1" applyAlignment="1" applyProtection="1">
      <alignment horizontal="center" vertical="center" wrapText="1"/>
      <protection hidden="1"/>
    </xf>
    <xf numFmtId="4" fontId="18" fillId="12" borderId="41" xfId="0" applyNumberFormat="1" applyFont="1" applyFill="1" applyBorder="1" applyAlignment="1" applyProtection="1">
      <alignment vertical="center"/>
      <protection hidden="1"/>
    </xf>
    <xf numFmtId="173" fontId="19" fillId="12" borderId="48" xfId="17" applyNumberFormat="1" applyFont="1" applyFill="1" applyBorder="1" applyAlignment="1" applyProtection="1">
      <alignment horizontal="center" vertical="center" wrapText="1"/>
      <protection hidden="1"/>
    </xf>
    <xf numFmtId="0" fontId="48" fillId="0" borderId="0" xfId="0" applyFont="1" applyBorder="1" applyAlignment="1" applyProtection="1">
      <alignment horizontal="justify" vertical="top" wrapText="1"/>
      <protection hidden="1"/>
    </xf>
    <xf numFmtId="0" fontId="48" fillId="0" borderId="0" xfId="0" applyFont="1" applyBorder="1" applyAlignment="1" applyProtection="1">
      <alignment horizontal="left" vertical="top" wrapText="1"/>
      <protection hidden="1"/>
    </xf>
    <xf numFmtId="0" fontId="41" fillId="5" borderId="72" xfId="0" quotePrefix="1" applyFont="1" applyFill="1" applyBorder="1" applyAlignment="1" applyProtection="1">
      <alignment horizontal="center" vertical="center" wrapText="1"/>
      <protection hidden="1"/>
    </xf>
    <xf numFmtId="0" fontId="41" fillId="5" borderId="72" xfId="0" quotePrefix="1" applyFont="1" applyFill="1" applyBorder="1" applyAlignment="1" applyProtection="1">
      <alignment horizontal="center" vertical="center" wrapText="1"/>
      <protection hidden="1"/>
    </xf>
    <xf numFmtId="0" fontId="67"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left" vertical="center" wrapText="1"/>
      <protection hidden="1"/>
    </xf>
    <xf numFmtId="0" fontId="41" fillId="5" borderId="104" xfId="0" quotePrefix="1" applyFont="1" applyFill="1" applyBorder="1" applyAlignment="1" applyProtection="1">
      <alignment horizontal="center" vertical="center" wrapText="1"/>
      <protection hidden="1"/>
    </xf>
    <xf numFmtId="165" fontId="18" fillId="12" borderId="68" xfId="17" applyFont="1" applyFill="1" applyBorder="1" applyAlignment="1" applyProtection="1">
      <alignment horizontal="right" vertical="center" wrapText="1"/>
      <protection hidden="1"/>
    </xf>
    <xf numFmtId="174" fontId="18" fillId="0" borderId="41" xfId="17" applyNumberFormat="1" applyFont="1" applyFill="1" applyBorder="1" applyAlignment="1" applyProtection="1">
      <alignment horizontal="right" vertical="center" wrapText="1"/>
      <protection hidden="1"/>
    </xf>
    <xf numFmtId="174" fontId="18" fillId="0" borderId="45" xfId="17" applyNumberFormat="1" applyFont="1" applyFill="1" applyBorder="1" applyAlignment="1" applyProtection="1">
      <alignment horizontal="right" vertical="center" wrapText="1"/>
      <protection hidden="1"/>
    </xf>
    <xf numFmtId="165" fontId="18" fillId="12" borderId="0" xfId="17" applyFont="1" applyFill="1" applyBorder="1" applyAlignment="1" applyProtection="1">
      <alignment horizontal="right" vertical="center" wrapText="1"/>
      <protection hidden="1"/>
    </xf>
    <xf numFmtId="9" fontId="70" fillId="0" borderId="0" xfId="0" applyNumberFormat="1" applyFont="1"/>
    <xf numFmtId="165" fontId="19" fillId="12" borderId="45" xfId="17" applyFont="1" applyFill="1" applyBorder="1" applyAlignment="1" applyProtection="1">
      <alignment horizontal="right" vertical="center" wrapText="1"/>
      <protection hidden="1"/>
    </xf>
    <xf numFmtId="2" fontId="19" fillId="0" borderId="47" xfId="0" applyNumberFormat="1" applyFont="1" applyFill="1" applyBorder="1" applyAlignment="1" applyProtection="1">
      <alignment horizontal="right" vertical="center" wrapText="1"/>
      <protection hidden="1"/>
    </xf>
    <xf numFmtId="0" fontId="48" fillId="0" borderId="0" xfId="0" applyFont="1" applyBorder="1" applyAlignment="1" applyProtection="1">
      <alignment horizontal="justify" vertical="top" wrapText="1"/>
      <protection hidden="1"/>
    </xf>
    <xf numFmtId="0" fontId="41" fillId="5" borderId="72" xfId="0" quotePrefix="1" applyFont="1" applyFill="1" applyBorder="1" applyAlignment="1" applyProtection="1">
      <alignment horizontal="center" vertical="center" wrapText="1"/>
      <protection hidden="1"/>
    </xf>
    <xf numFmtId="0" fontId="48" fillId="0" borderId="0" xfId="0" applyFont="1" applyFill="1" applyAlignment="1" applyProtection="1">
      <alignment horizontal="justify" vertical="center" wrapText="1"/>
      <protection hidden="1"/>
    </xf>
    <xf numFmtId="0" fontId="48" fillId="0" borderId="0" xfId="0" applyFont="1" applyFill="1" applyBorder="1" applyAlignment="1" applyProtection="1">
      <alignment horizontal="justify" vertical="center" wrapText="1"/>
      <protection hidden="1"/>
    </xf>
    <xf numFmtId="0" fontId="42" fillId="0" borderId="0" xfId="0" applyFont="1" applyFill="1" applyAlignment="1" applyProtection="1">
      <alignment vertical="center"/>
      <protection hidden="1"/>
    </xf>
    <xf numFmtId="4" fontId="42" fillId="0" borderId="0" xfId="0" applyNumberFormat="1" applyFont="1" applyFill="1" applyBorder="1" applyAlignment="1" applyProtection="1">
      <alignment horizontal="right" vertical="center"/>
      <protection hidden="1"/>
    </xf>
    <xf numFmtId="37" fontId="62" fillId="24" borderId="3" xfId="23" applyNumberFormat="1" applyFont="1" applyFill="1" applyBorder="1" applyAlignment="1" applyProtection="1">
      <alignment vertical="center" wrapText="1"/>
    </xf>
    <xf numFmtId="37" fontId="62" fillId="24" borderId="4" xfId="23" applyNumberFormat="1" applyFont="1" applyFill="1" applyBorder="1" applyAlignment="1" applyProtection="1">
      <alignment vertical="center" wrapText="1"/>
    </xf>
    <xf numFmtId="37" fontId="62" fillId="24" borderId="12" xfId="23" applyNumberFormat="1" applyFont="1" applyFill="1" applyBorder="1" applyAlignment="1" applyProtection="1">
      <alignment vertical="center" wrapText="1"/>
    </xf>
    <xf numFmtId="49" fontId="63" fillId="24" borderId="16" xfId="21" applyNumberFormat="1" applyFont="1" applyFill="1" applyBorder="1" applyAlignment="1">
      <alignment horizontal="center" vertical="center" wrapText="1"/>
    </xf>
    <xf numFmtId="165" fontId="0" fillId="14" borderId="2" xfId="17" applyFont="1" applyFill="1" applyBorder="1" applyAlignment="1">
      <alignment horizontal="center" vertical="center"/>
    </xf>
    <xf numFmtId="165" fontId="7" fillId="14" borderId="2" xfId="17" applyFont="1" applyFill="1" applyBorder="1" applyAlignment="1">
      <alignment horizontal="center" vertical="center"/>
    </xf>
    <xf numFmtId="165" fontId="19" fillId="0" borderId="41" xfId="17" applyFont="1" applyFill="1" applyBorder="1" applyAlignment="1" applyProtection="1">
      <alignment horizontal="center" vertical="center" wrapText="1"/>
      <protection hidden="1"/>
    </xf>
    <xf numFmtId="165" fontId="19" fillId="0" borderId="41" xfId="17" applyNumberFormat="1" applyFont="1" applyFill="1" applyBorder="1" applyAlignment="1" applyProtection="1">
      <alignment vertical="center" wrapText="1"/>
      <protection hidden="1"/>
    </xf>
    <xf numFmtId="4" fontId="18" fillId="27" borderId="41" xfId="0" applyNumberFormat="1" applyFont="1" applyFill="1" applyBorder="1" applyAlignment="1" applyProtection="1">
      <alignment vertical="center"/>
      <protection hidden="1"/>
    </xf>
    <xf numFmtId="175" fontId="15" fillId="0" borderId="0" xfId="0" applyNumberFormat="1" applyFont="1" applyAlignment="1" applyProtection="1">
      <alignment vertical="center"/>
      <protection hidden="1"/>
    </xf>
    <xf numFmtId="166" fontId="18" fillId="0" borderId="0" xfId="0" applyNumberFormat="1" applyFont="1" applyBorder="1" applyAlignment="1" applyProtection="1">
      <alignment vertical="center"/>
      <protection hidden="1"/>
    </xf>
    <xf numFmtId="0" fontId="34" fillId="0" borderId="0" xfId="0" applyFont="1" applyAlignment="1">
      <alignment horizontal="right" vertical="center"/>
    </xf>
    <xf numFmtId="0" fontId="63" fillId="0" borderId="0" xfId="0" applyFont="1" applyAlignment="1">
      <alignment horizontal="right" vertical="center"/>
    </xf>
    <xf numFmtId="165" fontId="32" fillId="0" borderId="0" xfId="17" applyFont="1" applyFill="1" applyBorder="1" applyAlignment="1">
      <alignment horizontal="center" vertical="center"/>
    </xf>
    <xf numFmtId="165" fontId="0" fillId="0" borderId="0" xfId="17" applyFont="1" applyBorder="1" applyAlignment="1">
      <alignment horizontal="center" vertical="center"/>
    </xf>
    <xf numFmtId="0" fontId="73" fillId="2" borderId="0" xfId="0" quotePrefix="1" applyFont="1" applyFill="1" applyBorder="1" applyAlignment="1" applyProtection="1">
      <alignment horizontal="left" vertical="center"/>
      <protection hidden="1"/>
    </xf>
    <xf numFmtId="0" fontId="41" fillId="5" borderId="72" xfId="0" quotePrefix="1" applyFont="1" applyFill="1" applyBorder="1" applyAlignment="1" applyProtection="1">
      <alignment horizontal="center" vertical="center" wrapText="1"/>
      <protection hidden="1"/>
    </xf>
    <xf numFmtId="0" fontId="48" fillId="0" borderId="0" xfId="0" applyFont="1" applyFill="1" applyBorder="1" applyAlignment="1" applyProtection="1">
      <alignment horizontal="justify" vertical="center" wrapText="1"/>
      <protection hidden="1"/>
    </xf>
    <xf numFmtId="0" fontId="48" fillId="0" borderId="0" xfId="0" applyFont="1" applyFill="1" applyAlignment="1" applyProtection="1">
      <alignment horizontal="justify" vertical="center" wrapText="1"/>
      <protection hidden="1"/>
    </xf>
    <xf numFmtId="168" fontId="44" fillId="2" borderId="0" xfId="24" applyFont="1" applyFill="1" applyAlignment="1" applyProtection="1">
      <alignment horizontal="center" vertical="center"/>
      <protection hidden="1"/>
    </xf>
    <xf numFmtId="0" fontId="48" fillId="0" borderId="0" xfId="0" applyFont="1" applyAlignment="1" applyProtection="1">
      <alignment horizontal="left" vertical="center" wrapText="1"/>
      <protection hidden="1"/>
    </xf>
    <xf numFmtId="168" fontId="56" fillId="2" borderId="0" xfId="24" applyFont="1" applyFill="1" applyAlignment="1" applyProtection="1">
      <alignment horizontal="center" vertical="center"/>
      <protection hidden="1"/>
    </xf>
    <xf numFmtId="168" fontId="56" fillId="2" borderId="0" xfId="24" applyFont="1" applyFill="1" applyAlignment="1" applyProtection="1">
      <alignment horizontal="center" vertical="center" wrapText="1"/>
      <protection hidden="1"/>
    </xf>
    <xf numFmtId="0" fontId="48" fillId="0" borderId="0" xfId="0" applyFont="1" applyAlignment="1" applyProtection="1">
      <alignment horizontal="justify" vertical="center" wrapText="1"/>
      <protection hidden="1"/>
    </xf>
    <xf numFmtId="0" fontId="49" fillId="18" borderId="2" xfId="0" applyFont="1" applyFill="1" applyBorder="1" applyAlignment="1">
      <alignment horizontal="center" vertical="center"/>
    </xf>
    <xf numFmtId="0" fontId="50" fillId="18" borderId="2" xfId="0" applyFont="1" applyFill="1" applyBorder="1" applyAlignment="1">
      <alignment horizontal="center" vertical="center"/>
    </xf>
    <xf numFmtId="10" fontId="32" fillId="14" borderId="0" xfId="0" applyNumberFormat="1" applyFont="1" applyFill="1" applyAlignment="1">
      <alignment vertical="center"/>
    </xf>
    <xf numFmtId="0" fontId="16" fillId="0" borderId="0" xfId="0" applyFont="1" applyAlignment="1">
      <alignment vertical="center"/>
    </xf>
    <xf numFmtId="165" fontId="19" fillId="0" borderId="41" xfId="17" applyNumberFormat="1" applyFont="1" applyFill="1" applyBorder="1" applyAlignment="1" applyProtection="1">
      <alignment horizontal="center" vertical="center" wrapText="1"/>
      <protection hidden="1"/>
    </xf>
    <xf numFmtId="176" fontId="18" fillId="0" borderId="0" xfId="0" applyNumberFormat="1" applyFont="1" applyAlignment="1" applyProtection="1">
      <alignment vertical="center"/>
      <protection hidden="1"/>
    </xf>
    <xf numFmtId="0" fontId="48" fillId="0" borderId="0" xfId="0" applyFont="1" applyBorder="1" applyAlignment="1" applyProtection="1">
      <alignment horizontal="justify" vertical="top" wrapText="1"/>
      <protection hidden="1"/>
    </xf>
    <xf numFmtId="0" fontId="48" fillId="0" borderId="0" xfId="0" applyFont="1" applyBorder="1" applyAlignment="1" applyProtection="1">
      <alignment horizontal="left" vertical="top" wrapText="1"/>
      <protection hidden="1"/>
    </xf>
    <xf numFmtId="0" fontId="48" fillId="0" borderId="0" xfId="0" applyFont="1" applyFill="1" applyBorder="1" applyAlignment="1" applyProtection="1">
      <alignment horizontal="justify" vertical="center" wrapText="1"/>
      <protection hidden="1"/>
    </xf>
    <xf numFmtId="0" fontId="48" fillId="12" borderId="0" xfId="0" applyFont="1" applyFill="1" applyAlignment="1" applyProtection="1">
      <alignment horizontal="left" vertical="top" wrapText="1"/>
      <protection hidden="1"/>
    </xf>
    <xf numFmtId="165" fontId="19" fillId="0" borderId="41" xfId="17" quotePrefix="1" applyFont="1" applyFill="1" applyBorder="1" applyAlignment="1" applyProtection="1">
      <alignment horizontal="center" vertical="center" wrapText="1"/>
      <protection hidden="1"/>
    </xf>
    <xf numFmtId="165" fontId="19" fillId="0" borderId="45" xfId="17" applyFont="1" applyFill="1" applyBorder="1" applyAlignment="1" applyProtection="1">
      <alignment horizontal="center" vertical="center" wrapText="1"/>
      <protection hidden="1"/>
    </xf>
    <xf numFmtId="4" fontId="18" fillId="2" borderId="41" xfId="0" applyNumberFormat="1" applyFont="1" applyFill="1" applyBorder="1" applyAlignment="1" applyProtection="1">
      <alignment horizontal="center" vertical="center"/>
      <protection hidden="1"/>
    </xf>
    <xf numFmtId="0" fontId="18" fillId="2" borderId="0" xfId="0" applyFont="1" applyFill="1" applyAlignment="1" applyProtection="1">
      <alignment horizontal="center" vertical="center"/>
      <protection hidden="1"/>
    </xf>
    <xf numFmtId="4" fontId="18" fillId="2" borderId="45" xfId="0" applyNumberFormat="1" applyFont="1" applyFill="1" applyBorder="1" applyAlignment="1" applyProtection="1">
      <alignment horizontal="center" vertical="center"/>
      <protection hidden="1"/>
    </xf>
    <xf numFmtId="0" fontId="74" fillId="0" borderId="0" xfId="30" applyFont="1"/>
    <xf numFmtId="0" fontId="6" fillId="0" borderId="0" xfId="30" applyFont="1"/>
    <xf numFmtId="0" fontId="6" fillId="0" borderId="0" xfId="30" applyFont="1" applyAlignment="1">
      <alignment horizontal="center"/>
    </xf>
    <xf numFmtId="0" fontId="77" fillId="0" borderId="0" xfId="30" applyFont="1"/>
    <xf numFmtId="0" fontId="78" fillId="0" borderId="0" xfId="30" applyFont="1" applyAlignment="1">
      <alignment horizontal="center"/>
    </xf>
    <xf numFmtId="0" fontId="76" fillId="0" borderId="0" xfId="30" applyFont="1"/>
    <xf numFmtId="0" fontId="79" fillId="0" borderId="2" xfId="30" applyFont="1" applyFill="1" applyBorder="1"/>
    <xf numFmtId="0" fontId="6" fillId="0" borderId="2" xfId="30" applyFont="1" applyBorder="1" applyAlignment="1">
      <alignment horizontal="center"/>
    </xf>
    <xf numFmtId="0" fontId="79" fillId="28" borderId="2" xfId="30" applyFont="1" applyFill="1" applyBorder="1"/>
    <xf numFmtId="0" fontId="79" fillId="0" borderId="2" xfId="30" applyFont="1" applyBorder="1"/>
    <xf numFmtId="0" fontId="80" fillId="0" borderId="0" xfId="30" applyFont="1"/>
    <xf numFmtId="0" fontId="79" fillId="0" borderId="0" xfId="30" applyFont="1"/>
    <xf numFmtId="0" fontId="82" fillId="0" borderId="2" xfId="30" applyFont="1" applyFill="1" applyBorder="1"/>
    <xf numFmtId="0" fontId="6" fillId="0" borderId="2" xfId="30" applyFont="1" applyFill="1" applyBorder="1" applyAlignment="1">
      <alignment horizontal="center"/>
    </xf>
    <xf numFmtId="0" fontId="6" fillId="28" borderId="2" xfId="30" applyFont="1" applyFill="1" applyBorder="1"/>
    <xf numFmtId="0" fontId="82" fillId="0" borderId="2" xfId="30" applyFont="1" applyBorder="1"/>
    <xf numFmtId="0" fontId="80" fillId="0" borderId="2" xfId="30" applyFont="1" applyFill="1" applyBorder="1" applyAlignment="1">
      <alignment horizontal="center"/>
    </xf>
    <xf numFmtId="0" fontId="6" fillId="0" borderId="2" xfId="30" applyFont="1" applyBorder="1"/>
    <xf numFmtId="0" fontId="6" fillId="0" borderId="2" xfId="30" applyFont="1" applyFill="1" applyBorder="1"/>
    <xf numFmtId="0" fontId="82" fillId="0" borderId="0" xfId="30" applyFont="1"/>
    <xf numFmtId="0" fontId="83" fillId="0" borderId="0" xfId="30" applyFont="1"/>
    <xf numFmtId="165" fontId="6" fillId="25" borderId="2" xfId="30" applyNumberFormat="1" applyFont="1" applyFill="1" applyBorder="1"/>
    <xf numFmtId="0" fontId="79" fillId="31" borderId="2" xfId="30" applyFont="1" applyFill="1" applyBorder="1"/>
    <xf numFmtId="0" fontId="6" fillId="31" borderId="2" xfId="30" applyFont="1" applyFill="1" applyBorder="1" applyAlignment="1">
      <alignment horizontal="center"/>
    </xf>
    <xf numFmtId="0" fontId="5" fillId="0" borderId="2" xfId="30" applyFont="1" applyBorder="1"/>
    <xf numFmtId="0" fontId="84" fillId="0" borderId="0" xfId="30" applyFont="1"/>
    <xf numFmtId="0" fontId="15" fillId="0" borderId="0" xfId="0" applyFont="1" applyFill="1" applyAlignment="1" applyProtection="1">
      <alignment vertical="center"/>
      <protection hidden="1"/>
    </xf>
    <xf numFmtId="4" fontId="18" fillId="0" borderId="2" xfId="0" applyNumberFormat="1" applyFont="1" applyFill="1" applyBorder="1" applyAlignment="1" applyProtection="1">
      <alignment vertical="center"/>
      <protection hidden="1"/>
    </xf>
    <xf numFmtId="10" fontId="18" fillId="2" borderId="0" xfId="25" applyNumberFormat="1" applyFont="1" applyFill="1" applyAlignment="1" applyProtection="1">
      <alignment vertical="center"/>
      <protection hidden="1"/>
    </xf>
    <xf numFmtId="0" fontId="86" fillId="2" borderId="2" xfId="0" applyFont="1" applyFill="1" applyBorder="1" applyAlignment="1" applyProtection="1">
      <alignment vertical="center"/>
      <protection hidden="1"/>
    </xf>
    <xf numFmtId="4" fontId="86" fillId="2" borderId="2" xfId="0" applyNumberFormat="1" applyFont="1" applyFill="1" applyBorder="1" applyAlignment="1" applyProtection="1">
      <alignment vertical="center"/>
      <protection hidden="1"/>
    </xf>
    <xf numFmtId="4" fontId="86" fillId="0" borderId="2" xfId="0" applyNumberFormat="1" applyFont="1" applyFill="1" applyBorder="1" applyAlignment="1" applyProtection="1">
      <alignment vertical="center"/>
      <protection hidden="1"/>
    </xf>
    <xf numFmtId="0" fontId="6" fillId="0" borderId="0" xfId="30" applyFont="1" applyFill="1" applyAlignment="1">
      <alignment horizontal="center"/>
    </xf>
    <xf numFmtId="0" fontId="6" fillId="0" borderId="0" xfId="30" applyFont="1" applyFill="1"/>
    <xf numFmtId="0" fontId="77" fillId="30" borderId="0" xfId="30" applyFont="1" applyFill="1"/>
    <xf numFmtId="165" fontId="6" fillId="24" borderId="2" xfId="30" applyNumberFormat="1" applyFont="1" applyFill="1" applyBorder="1"/>
    <xf numFmtId="0" fontId="87" fillId="14" borderId="0" xfId="30" applyFont="1" applyFill="1"/>
    <xf numFmtId="0" fontId="0" fillId="0" borderId="0" xfId="0" applyFont="1" applyFill="1"/>
    <xf numFmtId="0" fontId="0" fillId="32" borderId="0" xfId="0" applyFont="1" applyFill="1"/>
    <xf numFmtId="0" fontId="6" fillId="25" borderId="2" xfId="31" applyNumberFormat="1" applyFont="1" applyFill="1" applyBorder="1"/>
    <xf numFmtId="0" fontId="6" fillId="24" borderId="2" xfId="30" applyFont="1" applyFill="1" applyBorder="1" applyAlignment="1">
      <alignment horizontal="center"/>
    </xf>
    <xf numFmtId="0" fontId="0" fillId="14" borderId="2" xfId="0" applyFill="1" applyBorder="1" applyAlignment="1">
      <alignment vertical="center"/>
    </xf>
    <xf numFmtId="165" fontId="89" fillId="0" borderId="0" xfId="17" applyFont="1" applyFill="1" applyAlignment="1">
      <alignment horizontal="left" vertical="center"/>
    </xf>
    <xf numFmtId="0" fontId="6" fillId="25" borderId="2" xfId="30" applyFont="1" applyFill="1" applyBorder="1" applyAlignment="1">
      <alignment horizontal="center"/>
    </xf>
    <xf numFmtId="0" fontId="0" fillId="24" borderId="0" xfId="0" applyFont="1" applyFill="1"/>
    <xf numFmtId="0" fontId="6" fillId="30" borderId="2" xfId="30" applyFont="1" applyFill="1" applyBorder="1" applyAlignment="1">
      <alignment horizontal="center"/>
    </xf>
    <xf numFmtId="165" fontId="6" fillId="30" borderId="2" xfId="30" applyNumberFormat="1" applyFont="1" applyFill="1" applyBorder="1" applyAlignment="1">
      <alignment horizontal="center"/>
    </xf>
    <xf numFmtId="0" fontId="6" fillId="30" borderId="2" xfId="30" applyFont="1" applyFill="1" applyBorder="1"/>
    <xf numFmtId="165" fontId="6" fillId="0" borderId="2" xfId="30" applyNumberFormat="1" applyFont="1" applyFill="1" applyBorder="1"/>
    <xf numFmtId="4" fontId="6" fillId="25" borderId="2" xfId="30" applyNumberFormat="1" applyFont="1" applyFill="1" applyBorder="1"/>
    <xf numFmtId="4" fontId="6" fillId="25" borderId="108" xfId="30" applyNumberFormat="1" applyFont="1" applyFill="1" applyBorder="1"/>
    <xf numFmtId="0" fontId="6" fillId="25" borderId="2" xfId="30" applyFont="1" applyFill="1" applyBorder="1"/>
    <xf numFmtId="0" fontId="6" fillId="31" borderId="2" xfId="30" applyFont="1" applyFill="1" applyBorder="1"/>
    <xf numFmtId="0" fontId="0" fillId="0" borderId="2" xfId="0" applyBorder="1"/>
    <xf numFmtId="0" fontId="0" fillId="0" borderId="2" xfId="31" applyNumberFormat="1" applyFont="1" applyBorder="1"/>
    <xf numFmtId="0" fontId="0" fillId="25" borderId="2" xfId="0" applyFill="1" applyBorder="1"/>
    <xf numFmtId="165" fontId="0" fillId="25" borderId="2" xfId="0" applyNumberFormat="1" applyFill="1" applyBorder="1"/>
    <xf numFmtId="0" fontId="6" fillId="25" borderId="0" xfId="30" applyFont="1" applyFill="1"/>
    <xf numFmtId="0" fontId="6" fillId="14" borderId="2" xfId="30" applyFont="1" applyFill="1" applyBorder="1" applyAlignment="1">
      <alignment horizontal="center"/>
    </xf>
    <xf numFmtId="0" fontId="6" fillId="14" borderId="2" xfId="30" applyFont="1" applyFill="1" applyBorder="1" applyAlignment="1">
      <alignment horizontal="left"/>
    </xf>
    <xf numFmtId="0" fontId="4" fillId="0" borderId="0" xfId="30" applyFont="1"/>
    <xf numFmtId="165" fontId="18" fillId="0" borderId="0" xfId="0" applyNumberFormat="1" applyFont="1" applyBorder="1" applyAlignment="1" applyProtection="1">
      <alignment vertical="center"/>
      <protection hidden="1"/>
    </xf>
    <xf numFmtId="0" fontId="3" fillId="14" borderId="0" xfId="30" applyFont="1" applyFill="1" applyAlignment="1">
      <alignment horizontal="center"/>
    </xf>
    <xf numFmtId="165" fontId="19" fillId="0" borderId="52" xfId="17" applyFont="1" applyFill="1" applyBorder="1" applyAlignment="1" applyProtection="1">
      <alignment horizontal="right" vertical="center" wrapText="1"/>
      <protection hidden="1"/>
    </xf>
    <xf numFmtId="165" fontId="90" fillId="0" borderId="52" xfId="17" applyFont="1" applyFill="1" applyBorder="1" applyAlignment="1" applyProtection="1">
      <alignment horizontal="center" vertical="center" wrapText="1"/>
      <protection hidden="1"/>
    </xf>
    <xf numFmtId="173" fontId="90" fillId="12" borderId="48" xfId="17" applyNumberFormat="1" applyFont="1" applyFill="1" applyBorder="1" applyAlignment="1" applyProtection="1">
      <alignment horizontal="center" vertical="center" wrapText="1"/>
      <protection hidden="1"/>
    </xf>
    <xf numFmtId="0" fontId="2" fillId="0" borderId="0" xfId="30" applyFont="1"/>
    <xf numFmtId="0" fontId="2" fillId="0" borderId="0" xfId="30" applyFont="1" applyFill="1" applyAlignment="1">
      <alignment horizontal="center"/>
    </xf>
    <xf numFmtId="169" fontId="32" fillId="12" borderId="0" xfId="17" applyNumberFormat="1" applyFont="1" applyFill="1" applyBorder="1" applyAlignment="1" applyProtection="1">
      <alignment horizontal="center" vertical="center"/>
      <protection hidden="1"/>
    </xf>
    <xf numFmtId="0" fontId="1" fillId="0" borderId="0" xfId="30" applyFont="1"/>
    <xf numFmtId="165" fontId="1" fillId="0" borderId="2" xfId="30" applyNumberFormat="1" applyFont="1" applyFill="1" applyBorder="1"/>
    <xf numFmtId="165" fontId="82" fillId="0" borderId="2" xfId="30" applyNumberFormat="1" applyFont="1" applyFill="1" applyBorder="1"/>
    <xf numFmtId="0" fontId="91" fillId="0" borderId="0" xfId="0" applyFont="1"/>
    <xf numFmtId="165" fontId="6" fillId="0" borderId="0" xfId="30" applyNumberFormat="1" applyFont="1"/>
    <xf numFmtId="0" fontId="49" fillId="18" borderId="2" xfId="0" applyFont="1" applyFill="1" applyBorder="1" applyAlignment="1">
      <alignment horizontal="center" vertical="center"/>
    </xf>
    <xf numFmtId="0" fontId="50" fillId="18" borderId="2" xfId="0" applyFont="1" applyFill="1" applyBorder="1" applyAlignment="1">
      <alignment horizontal="center" vertical="center"/>
    </xf>
    <xf numFmtId="0" fontId="7" fillId="0" borderId="92" xfId="21" applyBorder="1" applyAlignment="1">
      <alignment horizontal="center"/>
    </xf>
    <xf numFmtId="0" fontId="7" fillId="0" borderId="93" xfId="21" applyBorder="1" applyAlignment="1">
      <alignment horizontal="center"/>
    </xf>
    <xf numFmtId="0" fontId="7" fillId="0" borderId="94" xfId="21" applyBorder="1" applyAlignment="1">
      <alignment horizontal="center"/>
    </xf>
    <xf numFmtId="0" fontId="7" fillId="0" borderId="95" xfId="21" applyBorder="1" applyAlignment="1">
      <alignment horizontal="center"/>
    </xf>
    <xf numFmtId="0" fontId="7" fillId="0" borderId="0" xfId="21" applyBorder="1" applyAlignment="1">
      <alignment horizontal="center"/>
    </xf>
    <xf numFmtId="0" fontId="7" fillId="0" borderId="4" xfId="21" applyBorder="1" applyAlignment="1">
      <alignment horizontal="center"/>
    </xf>
    <xf numFmtId="0" fontId="7" fillId="0" borderId="96" xfId="21" applyBorder="1" applyAlignment="1">
      <alignment horizontal="center"/>
    </xf>
    <xf numFmtId="0" fontId="7" fillId="0" borderId="97" xfId="21" applyBorder="1" applyAlignment="1">
      <alignment horizontal="center"/>
    </xf>
    <xf numFmtId="0" fontId="7" fillId="0" borderId="98" xfId="21" applyBorder="1" applyAlignment="1">
      <alignment horizontal="center"/>
    </xf>
    <xf numFmtId="0" fontId="32" fillId="2" borderId="2" xfId="21" applyFont="1" applyFill="1" applyBorder="1" applyAlignment="1">
      <alignment horizontal="center"/>
    </xf>
    <xf numFmtId="0" fontId="32" fillId="2" borderId="91" xfId="21" applyFont="1" applyFill="1" applyBorder="1" applyAlignment="1">
      <alignment horizontal="center"/>
    </xf>
    <xf numFmtId="0" fontId="7" fillId="0" borderId="100" xfId="21" applyBorder="1" applyAlignment="1">
      <alignment horizontal="center"/>
    </xf>
    <xf numFmtId="0" fontId="7" fillId="0" borderId="101" xfId="21" applyBorder="1" applyAlignment="1">
      <alignment horizontal="center"/>
    </xf>
    <xf numFmtId="0" fontId="34" fillId="24" borderId="8" xfId="21" applyFont="1" applyFill="1" applyBorder="1" applyAlignment="1">
      <alignment horizontal="center"/>
    </xf>
    <xf numFmtId="0" fontId="34" fillId="24" borderId="9" xfId="21" applyFont="1" applyFill="1" applyBorder="1" applyAlignment="1">
      <alignment horizontal="center"/>
    </xf>
    <xf numFmtId="0" fontId="34" fillId="24" borderId="15" xfId="21" applyFont="1" applyFill="1" applyBorder="1" applyAlignment="1">
      <alignment horizontal="center"/>
    </xf>
    <xf numFmtId="0" fontId="34" fillId="24" borderId="5" xfId="21" applyFont="1" applyFill="1" applyBorder="1" applyAlignment="1">
      <alignment horizontal="center" vertical="center" wrapText="1"/>
    </xf>
    <xf numFmtId="0" fontId="34" fillId="24" borderId="6" xfId="21" applyFont="1" applyFill="1" applyBorder="1" applyAlignment="1">
      <alignment horizontal="center" vertical="center" wrapText="1"/>
    </xf>
    <xf numFmtId="0" fontId="34" fillId="24" borderId="11" xfId="21" applyFont="1" applyFill="1" applyBorder="1" applyAlignment="1">
      <alignment horizontal="center" vertical="center" wrapText="1"/>
    </xf>
    <xf numFmtId="0" fontId="34" fillId="24" borderId="13" xfId="21" applyFont="1" applyFill="1" applyBorder="1" applyAlignment="1">
      <alignment horizontal="center" vertical="center" wrapText="1"/>
    </xf>
    <xf numFmtId="10" fontId="34" fillId="24" borderId="3" xfId="26" applyNumberFormat="1" applyFont="1" applyFill="1" applyBorder="1" applyAlignment="1">
      <alignment horizontal="center" vertical="center"/>
    </xf>
    <xf numFmtId="10" fontId="34" fillId="24" borderId="12" xfId="26" applyNumberFormat="1" applyFont="1" applyFill="1" applyBorder="1" applyAlignment="1">
      <alignment horizontal="center" vertical="center"/>
    </xf>
    <xf numFmtId="0" fontId="32" fillId="2" borderId="89" xfId="21" applyFont="1" applyFill="1" applyBorder="1" applyAlignment="1">
      <alignment horizontal="center"/>
    </xf>
    <xf numFmtId="0" fontId="32" fillId="2" borderId="90" xfId="21" applyFont="1" applyFill="1" applyBorder="1" applyAlignment="1">
      <alignment horizontal="center"/>
    </xf>
    <xf numFmtId="49" fontId="33" fillId="10" borderId="11" xfId="23" quotePrefix="1" applyNumberFormat="1" applyFont="1" applyFill="1" applyBorder="1" applyAlignment="1" applyProtection="1">
      <alignment horizontal="center" vertical="center" wrapText="1"/>
    </xf>
    <xf numFmtId="49" fontId="33" fillId="10" borderId="13" xfId="23" quotePrefix="1" applyNumberFormat="1" applyFont="1" applyFill="1" applyBorder="1" applyAlignment="1" applyProtection="1">
      <alignment horizontal="center" vertical="center" wrapText="1"/>
    </xf>
    <xf numFmtId="49" fontId="33" fillId="10" borderId="12" xfId="23" quotePrefix="1" applyNumberFormat="1" applyFont="1" applyFill="1" applyBorder="1" applyAlignment="1" applyProtection="1">
      <alignment horizontal="center" vertical="center" wrapText="1"/>
    </xf>
    <xf numFmtId="37" fontId="29" fillId="9" borderId="5" xfId="23" applyNumberFormat="1" applyFont="1" applyFill="1" applyBorder="1" applyAlignment="1" applyProtection="1">
      <alignment horizontal="center" vertical="center" wrapText="1"/>
    </xf>
    <xf numFmtId="37" fontId="29" fillId="9" borderId="3" xfId="23" applyNumberFormat="1" applyFont="1" applyFill="1" applyBorder="1" applyAlignment="1" applyProtection="1">
      <alignment horizontal="center" vertical="center" wrapText="1"/>
    </xf>
    <xf numFmtId="37" fontId="29" fillId="9" borderId="11" xfId="23" applyNumberFormat="1" applyFont="1" applyFill="1" applyBorder="1" applyAlignment="1" applyProtection="1">
      <alignment horizontal="center" vertical="center" wrapText="1"/>
    </xf>
    <xf numFmtId="37" fontId="29" fillId="9" borderId="12" xfId="23" applyNumberFormat="1" applyFont="1" applyFill="1" applyBorder="1" applyAlignment="1" applyProtection="1">
      <alignment horizontal="center" vertical="center" wrapText="1"/>
    </xf>
    <xf numFmtId="0" fontId="57" fillId="0" borderId="0" xfId="21" applyFont="1" applyAlignment="1">
      <alignment horizontal="justify" wrapText="1"/>
    </xf>
    <xf numFmtId="0" fontId="34" fillId="12" borderId="13" xfId="21" applyFont="1" applyFill="1" applyBorder="1" applyAlignment="1">
      <alignment horizontal="center"/>
    </xf>
    <xf numFmtId="0" fontId="58" fillId="0" borderId="0" xfId="21" applyFont="1" applyAlignment="1">
      <alignment horizontal="left" wrapText="1"/>
    </xf>
    <xf numFmtId="0" fontId="34" fillId="12" borderId="0" xfId="21" applyFont="1" applyFill="1" applyBorder="1" applyAlignment="1">
      <alignment horizontal="center"/>
    </xf>
    <xf numFmtId="0" fontId="34" fillId="25" borderId="5" xfId="21" applyFont="1" applyFill="1" applyBorder="1" applyAlignment="1">
      <alignment horizontal="center" vertical="center" wrapText="1"/>
    </xf>
    <xf numFmtId="0" fontId="34" fillId="25" borderId="6" xfId="21" applyFont="1" applyFill="1" applyBorder="1" applyAlignment="1">
      <alignment horizontal="center" vertical="center" wrapText="1"/>
    </xf>
    <xf numFmtId="0" fontId="34" fillId="25" borderId="11" xfId="21" applyFont="1" applyFill="1" applyBorder="1" applyAlignment="1">
      <alignment horizontal="center" vertical="center" wrapText="1"/>
    </xf>
    <xf numFmtId="0" fontId="34" fillId="25" borderId="13" xfId="21" applyFont="1" applyFill="1" applyBorder="1" applyAlignment="1">
      <alignment horizontal="center" vertical="center" wrapText="1"/>
    </xf>
    <xf numFmtId="10" fontId="34" fillId="25" borderId="3" xfId="26" applyNumberFormat="1" applyFont="1" applyFill="1" applyBorder="1" applyAlignment="1">
      <alignment horizontal="center" vertical="center"/>
    </xf>
    <xf numFmtId="10" fontId="34" fillId="25" borderId="12" xfId="26" applyNumberFormat="1" applyFont="1" applyFill="1" applyBorder="1" applyAlignment="1">
      <alignment horizontal="center" vertical="center"/>
    </xf>
    <xf numFmtId="0" fontId="1" fillId="0" borderId="95" xfId="30" applyFont="1" applyBorder="1" applyAlignment="1">
      <alignment horizontal="center"/>
    </xf>
    <xf numFmtId="0" fontId="1" fillId="0" borderId="96" xfId="30" applyFont="1" applyBorder="1" applyAlignment="1">
      <alignment horizontal="center"/>
    </xf>
    <xf numFmtId="0" fontId="77" fillId="0" borderId="2" xfId="30" applyFont="1" applyBorder="1" applyAlignment="1">
      <alignment horizontal="left" vertical="center"/>
    </xf>
    <xf numFmtId="0" fontId="78" fillId="0" borderId="105" xfId="30" applyFont="1" applyBorder="1" applyAlignment="1">
      <alignment horizontal="center" vertical="center"/>
    </xf>
    <xf numFmtId="0" fontId="76" fillId="0" borderId="92" xfId="30" applyFont="1" applyBorder="1" applyAlignment="1">
      <alignment horizontal="left"/>
    </xf>
    <xf numFmtId="0" fontId="76" fillId="0" borderId="93" xfId="30" applyFont="1" applyBorder="1" applyAlignment="1">
      <alignment horizontal="left"/>
    </xf>
    <xf numFmtId="0" fontId="76" fillId="0" borderId="106" xfId="30" applyFont="1" applyBorder="1" applyAlignment="1">
      <alignment horizontal="left"/>
    </xf>
    <xf numFmtId="0" fontId="76" fillId="0" borderId="96" xfId="30" applyFont="1" applyBorder="1" applyAlignment="1">
      <alignment horizontal="left"/>
    </xf>
    <xf numFmtId="0" fontId="76" fillId="0" borderId="97" xfId="30" applyFont="1" applyBorder="1" applyAlignment="1">
      <alignment horizontal="left"/>
    </xf>
    <xf numFmtId="0" fontId="76" fillId="0" borderId="107" xfId="30" applyFont="1" applyBorder="1" applyAlignment="1">
      <alignment horizontal="left"/>
    </xf>
    <xf numFmtId="0" fontId="77" fillId="0" borderId="2" xfId="30" applyFont="1" applyBorder="1" applyAlignment="1">
      <alignment horizontal="center" vertical="center"/>
    </xf>
    <xf numFmtId="0" fontId="6" fillId="0" borderId="2" xfId="30" applyFont="1" applyBorder="1" applyAlignment="1">
      <alignment horizontal="left"/>
    </xf>
    <xf numFmtId="0" fontId="6" fillId="29" borderId="2" xfId="30" applyFont="1" applyFill="1" applyBorder="1" applyAlignment="1">
      <alignment horizontal="left"/>
    </xf>
    <xf numFmtId="0" fontId="6" fillId="0" borderId="108" xfId="30" applyFont="1" applyBorder="1" applyAlignment="1">
      <alignment horizontal="left"/>
    </xf>
    <xf numFmtId="0" fontId="6" fillId="31" borderId="2" xfId="30" applyFont="1" applyFill="1" applyBorder="1" applyAlignment="1">
      <alignment horizontal="left"/>
    </xf>
    <xf numFmtId="0" fontId="6" fillId="0" borderId="105" xfId="30" applyFont="1" applyBorder="1" applyAlignment="1">
      <alignment horizontal="left"/>
    </xf>
    <xf numFmtId="0" fontId="6" fillId="0" borderId="109" xfId="30" applyFont="1" applyBorder="1" applyAlignment="1">
      <alignment horizontal="left"/>
    </xf>
    <xf numFmtId="0" fontId="6" fillId="0" borderId="110" xfId="30" applyFont="1" applyBorder="1" applyAlignment="1">
      <alignment horizontal="left"/>
    </xf>
    <xf numFmtId="0" fontId="6" fillId="28" borderId="2" xfId="30" applyFont="1" applyFill="1" applyBorder="1" applyAlignment="1">
      <alignment horizontal="left"/>
    </xf>
    <xf numFmtId="0" fontId="6" fillId="0" borderId="105" xfId="30" applyFont="1" applyBorder="1" applyAlignment="1">
      <alignment horizontal="center"/>
    </xf>
    <xf numFmtId="0" fontId="6" fillId="0" borderId="109" xfId="30" applyFont="1" applyBorder="1" applyAlignment="1">
      <alignment horizontal="center"/>
    </xf>
    <xf numFmtId="0" fontId="6" fillId="0" borderId="110" xfId="30" applyFont="1" applyBorder="1" applyAlignment="1">
      <alignment horizontal="center"/>
    </xf>
    <xf numFmtId="0" fontId="6" fillId="0" borderId="2" xfId="30" applyFont="1" applyBorder="1" applyAlignment="1">
      <alignment horizontal="center"/>
    </xf>
    <xf numFmtId="0" fontId="48" fillId="0" borderId="0" xfId="0" applyFont="1" applyBorder="1" applyAlignment="1" applyProtection="1">
      <alignment horizontal="justify" vertical="top" wrapText="1"/>
      <protection hidden="1"/>
    </xf>
    <xf numFmtId="0" fontId="71" fillId="0" borderId="0" xfId="21" applyFont="1" applyAlignment="1" applyProtection="1">
      <alignment horizontal="left" vertical="center" wrapText="1"/>
      <protection hidden="1"/>
    </xf>
    <xf numFmtId="0" fontId="46" fillId="15" borderId="59" xfId="0" applyFont="1" applyFill="1" applyBorder="1" applyAlignment="1" applyProtection="1">
      <alignment horizontal="center" vertical="center"/>
      <protection hidden="1"/>
    </xf>
    <xf numFmtId="0" fontId="46" fillId="15" borderId="60" xfId="0" applyFont="1" applyFill="1" applyBorder="1" applyAlignment="1" applyProtection="1">
      <alignment horizontal="center" vertical="center"/>
      <protection hidden="1"/>
    </xf>
    <xf numFmtId="0" fontId="46" fillId="15" borderId="61" xfId="0" applyFont="1" applyFill="1" applyBorder="1" applyAlignment="1" applyProtection="1">
      <alignment horizontal="center" vertical="center"/>
      <protection hidden="1"/>
    </xf>
    <xf numFmtId="0" fontId="48" fillId="0" borderId="0" xfId="0" applyFont="1" applyBorder="1" applyAlignment="1" applyProtection="1">
      <alignment horizontal="left" vertical="top" wrapText="1"/>
      <protection hidden="1"/>
    </xf>
    <xf numFmtId="0" fontId="20" fillId="2" borderId="0" xfId="0" applyFont="1" applyFill="1" applyBorder="1" applyAlignment="1" applyProtection="1">
      <alignment horizontal="left" vertical="center" wrapText="1"/>
      <protection hidden="1"/>
    </xf>
    <xf numFmtId="0" fontId="20" fillId="2" borderId="0" xfId="0" quotePrefix="1" applyFont="1" applyFill="1" applyBorder="1" applyAlignment="1" applyProtection="1">
      <alignment horizontal="left" vertical="center" wrapText="1"/>
      <protection hidden="1"/>
    </xf>
    <xf numFmtId="0" fontId="41" fillId="5" borderId="70" xfId="0" applyFont="1" applyFill="1" applyBorder="1" applyAlignment="1" applyProtection="1">
      <alignment horizontal="center" vertical="center" wrapText="1"/>
      <protection hidden="1"/>
    </xf>
    <xf numFmtId="0" fontId="41" fillId="5" borderId="71" xfId="0" applyFont="1" applyFill="1" applyBorder="1" applyAlignment="1" applyProtection="1">
      <alignment horizontal="center" vertical="center" wrapText="1"/>
      <protection hidden="1"/>
    </xf>
    <xf numFmtId="0" fontId="41" fillId="5" borderId="67" xfId="0" quotePrefix="1" applyFont="1" applyFill="1" applyBorder="1" applyAlignment="1" applyProtection="1">
      <alignment horizontal="center" vertical="center" wrapText="1"/>
      <protection hidden="1"/>
    </xf>
    <xf numFmtId="0" fontId="41" fillId="5" borderId="52" xfId="0" quotePrefix="1" applyFont="1" applyFill="1" applyBorder="1" applyAlignment="1" applyProtection="1">
      <alignment horizontal="center" vertical="center" wrapText="1"/>
      <protection hidden="1"/>
    </xf>
    <xf numFmtId="0" fontId="41" fillId="5" borderId="68" xfId="0" applyFont="1" applyFill="1" applyBorder="1" applyAlignment="1" applyProtection="1">
      <alignment horizontal="center" vertical="center" wrapText="1"/>
      <protection hidden="1"/>
    </xf>
    <xf numFmtId="0" fontId="41" fillId="5" borderId="69" xfId="0" applyFont="1" applyFill="1" applyBorder="1" applyAlignment="1" applyProtection="1">
      <alignment horizontal="center" vertical="center" wrapText="1"/>
      <protection hidden="1"/>
    </xf>
    <xf numFmtId="0" fontId="61" fillId="15" borderId="62" xfId="0" applyFont="1" applyFill="1" applyBorder="1" applyAlignment="1" applyProtection="1">
      <alignment horizontal="center" vertical="center" wrapText="1"/>
      <protection hidden="1"/>
    </xf>
    <xf numFmtId="0" fontId="61" fillId="15" borderId="0" xfId="0" applyFont="1" applyFill="1" applyBorder="1" applyAlignment="1" applyProtection="1">
      <alignment horizontal="center" vertical="center" wrapText="1"/>
      <protection hidden="1"/>
    </xf>
    <xf numFmtId="0" fontId="46" fillId="6" borderId="74" xfId="0" applyFont="1" applyFill="1" applyBorder="1" applyAlignment="1" applyProtection="1">
      <alignment horizontal="center" vertical="center"/>
      <protection hidden="1"/>
    </xf>
    <xf numFmtId="0" fontId="46" fillId="6" borderId="75" xfId="0" applyFont="1" applyFill="1" applyBorder="1" applyAlignment="1" applyProtection="1">
      <alignment horizontal="center" vertical="center"/>
      <protection hidden="1"/>
    </xf>
    <xf numFmtId="0" fontId="41" fillId="5" borderId="72" xfId="0" quotePrefix="1" applyFont="1" applyFill="1" applyBorder="1" applyAlignment="1" applyProtection="1">
      <alignment horizontal="center" vertical="center" wrapText="1"/>
      <protection hidden="1"/>
    </xf>
    <xf numFmtId="0" fontId="41" fillId="5" borderId="73" xfId="0" applyFont="1" applyFill="1" applyBorder="1" applyAlignment="1" applyProtection="1">
      <alignment horizontal="center" vertical="center" wrapText="1"/>
      <protection hidden="1"/>
    </xf>
    <xf numFmtId="0" fontId="48" fillId="0" borderId="0" xfId="0" applyFont="1" applyFill="1" applyBorder="1" applyAlignment="1" applyProtection="1">
      <alignment horizontal="justify" vertical="center" wrapText="1"/>
      <protection hidden="1"/>
    </xf>
    <xf numFmtId="0" fontId="48" fillId="0" borderId="0" xfId="0" applyFont="1" applyFill="1" applyAlignment="1" applyProtection="1">
      <alignment horizontal="justify" vertical="center" wrapText="1"/>
      <protection hidden="1"/>
    </xf>
    <xf numFmtId="0" fontId="48" fillId="0" borderId="0" xfId="0" applyFont="1" applyFill="1" applyAlignment="1" applyProtection="1">
      <alignment horizontal="justify" vertical="top" wrapText="1"/>
      <protection hidden="1"/>
    </xf>
    <xf numFmtId="0" fontId="61" fillId="15" borderId="59" xfId="0" applyFont="1" applyFill="1" applyBorder="1" applyAlignment="1" applyProtection="1">
      <alignment horizontal="center" vertical="center" wrapText="1"/>
      <protection hidden="1"/>
    </xf>
    <xf numFmtId="0" fontId="61" fillId="15" borderId="60" xfId="0" applyFont="1" applyFill="1" applyBorder="1" applyAlignment="1" applyProtection="1">
      <alignment horizontal="center" vertical="center" wrapText="1"/>
      <protection hidden="1"/>
    </xf>
    <xf numFmtId="0" fontId="61" fillId="15" borderId="61" xfId="0" applyFont="1" applyFill="1" applyBorder="1" applyAlignment="1" applyProtection="1">
      <alignment horizontal="center" vertical="center" wrapText="1"/>
      <protection hidden="1"/>
    </xf>
    <xf numFmtId="0" fontId="61" fillId="15" borderId="74" xfId="0" applyFont="1" applyFill="1" applyBorder="1" applyAlignment="1" applyProtection="1">
      <alignment horizontal="center" vertical="center" wrapText="1"/>
      <protection hidden="1"/>
    </xf>
    <xf numFmtId="0" fontId="61" fillId="15" borderId="75" xfId="0" applyFont="1" applyFill="1" applyBorder="1" applyAlignment="1" applyProtection="1">
      <alignment horizontal="center" vertical="center" wrapText="1"/>
      <protection hidden="1"/>
    </xf>
    <xf numFmtId="0" fontId="61" fillId="15" borderId="76" xfId="0" applyFont="1" applyFill="1" applyBorder="1" applyAlignment="1" applyProtection="1">
      <alignment horizontal="center" vertical="center" wrapText="1"/>
      <protection hidden="1"/>
    </xf>
    <xf numFmtId="0" fontId="67"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left" vertical="center" wrapText="1"/>
      <protection hidden="1"/>
    </xf>
    <xf numFmtId="0" fontId="55" fillId="15" borderId="62" xfId="0" quotePrefix="1" applyFont="1" applyFill="1" applyBorder="1" applyAlignment="1" applyProtection="1">
      <alignment horizontal="center" vertical="center" wrapText="1"/>
      <protection hidden="1"/>
    </xf>
    <xf numFmtId="0" fontId="55" fillId="15" borderId="0" xfId="0" quotePrefix="1" applyFont="1" applyFill="1" applyBorder="1" applyAlignment="1" applyProtection="1">
      <alignment horizontal="center" vertical="center" wrapText="1"/>
      <protection hidden="1"/>
    </xf>
    <xf numFmtId="0" fontId="55" fillId="15" borderId="74" xfId="0" applyFont="1" applyFill="1" applyBorder="1" applyAlignment="1" applyProtection="1">
      <alignment horizontal="center" vertical="center" wrapText="1"/>
      <protection hidden="1"/>
    </xf>
    <xf numFmtId="0" fontId="55" fillId="15" borderId="75" xfId="0" applyFont="1" applyFill="1" applyBorder="1" applyAlignment="1" applyProtection="1">
      <alignment horizontal="center" vertical="center" wrapText="1"/>
      <protection hidden="1"/>
    </xf>
    <xf numFmtId="0" fontId="55" fillId="6" borderId="77" xfId="0" applyFont="1" applyFill="1" applyBorder="1" applyAlignment="1" applyProtection="1">
      <alignment horizontal="center" vertical="center" wrapText="1"/>
      <protection hidden="1"/>
    </xf>
    <xf numFmtId="0" fontId="55" fillId="6" borderId="78" xfId="0" applyFont="1" applyFill="1" applyBorder="1" applyAlignment="1" applyProtection="1">
      <alignment horizontal="center" vertical="center" wrapText="1"/>
      <protection hidden="1"/>
    </xf>
    <xf numFmtId="0" fontId="55" fillId="6" borderId="83" xfId="0" applyFont="1" applyFill="1" applyBorder="1" applyAlignment="1" applyProtection="1">
      <alignment horizontal="center" vertical="center" wrapText="1"/>
      <protection hidden="1"/>
    </xf>
    <xf numFmtId="0" fontId="55" fillId="6" borderId="84" xfId="0" applyFont="1" applyFill="1" applyBorder="1" applyAlignment="1" applyProtection="1">
      <alignment horizontal="center" vertical="center" wrapText="1"/>
      <protection hidden="1"/>
    </xf>
    <xf numFmtId="0" fontId="41" fillId="5" borderId="80" xfId="0" applyFont="1" applyFill="1" applyBorder="1" applyAlignment="1" applyProtection="1">
      <alignment horizontal="center" vertical="center" wrapText="1"/>
      <protection hidden="1"/>
    </xf>
    <xf numFmtId="0" fontId="41" fillId="5" borderId="81" xfId="0" applyFont="1" applyFill="1" applyBorder="1" applyAlignment="1" applyProtection="1">
      <alignment horizontal="center" vertical="center" wrapText="1"/>
      <protection hidden="1"/>
    </xf>
    <xf numFmtId="0" fontId="41" fillId="5" borderId="82" xfId="0" applyFont="1" applyFill="1" applyBorder="1" applyAlignment="1" applyProtection="1">
      <alignment horizontal="center" vertical="center" wrapText="1"/>
      <protection hidden="1"/>
    </xf>
    <xf numFmtId="0" fontId="41" fillId="5" borderId="85" xfId="0" applyFont="1" applyFill="1" applyBorder="1" applyAlignment="1" applyProtection="1">
      <alignment horizontal="center" vertical="center" wrapText="1"/>
      <protection hidden="1"/>
    </xf>
    <xf numFmtId="0" fontId="41" fillId="5" borderId="57" xfId="0" applyFont="1" applyFill="1" applyBorder="1" applyAlignment="1" applyProtection="1">
      <alignment horizontal="center" vertical="center" wrapText="1"/>
      <protection hidden="1"/>
    </xf>
    <xf numFmtId="0" fontId="42" fillId="15" borderId="59" xfId="0" applyFont="1" applyFill="1" applyBorder="1" applyAlignment="1" applyProtection="1">
      <alignment horizontal="center" vertical="center" wrapText="1"/>
      <protection hidden="1"/>
    </xf>
    <xf numFmtId="0" fontId="42" fillId="15" borderId="60" xfId="0" applyFont="1" applyFill="1" applyBorder="1" applyAlignment="1" applyProtection="1">
      <alignment horizontal="center" vertical="center" wrapText="1"/>
      <protection hidden="1"/>
    </xf>
    <xf numFmtId="0" fontId="42" fillId="15" borderId="61" xfId="0" applyFont="1" applyFill="1" applyBorder="1" applyAlignment="1" applyProtection="1">
      <alignment horizontal="center" vertical="center" wrapText="1"/>
      <protection hidden="1"/>
    </xf>
    <xf numFmtId="0" fontId="42" fillId="15" borderId="74" xfId="0" applyFont="1" applyFill="1" applyBorder="1" applyAlignment="1" applyProtection="1">
      <alignment horizontal="center" vertical="center" wrapText="1"/>
      <protection hidden="1"/>
    </xf>
    <xf numFmtId="0" fontId="42" fillId="15" borderId="75" xfId="0" applyFont="1" applyFill="1" applyBorder="1" applyAlignment="1" applyProtection="1">
      <alignment horizontal="center" vertical="center" wrapText="1"/>
      <protection hidden="1"/>
    </xf>
    <xf numFmtId="0" fontId="42" fillId="15" borderId="76" xfId="0" applyFont="1" applyFill="1" applyBorder="1" applyAlignment="1" applyProtection="1">
      <alignment horizontal="center" vertical="center" wrapText="1"/>
      <protection hidden="1"/>
    </xf>
    <xf numFmtId="0" fontId="46" fillId="6" borderId="0" xfId="0" applyFont="1" applyFill="1" applyBorder="1" applyAlignment="1" applyProtection="1">
      <alignment horizontal="center" vertical="center" wrapText="1"/>
      <protection hidden="1"/>
    </xf>
    <xf numFmtId="0" fontId="48" fillId="0" borderId="0" xfId="0" applyFont="1" applyFill="1" applyBorder="1" applyAlignment="1" applyProtection="1">
      <alignment horizontal="left" vertical="center" wrapText="1"/>
      <protection hidden="1"/>
    </xf>
    <xf numFmtId="168" fontId="44" fillId="2" borderId="0" xfId="24" applyFont="1" applyFill="1" applyAlignment="1" applyProtection="1">
      <alignment horizontal="center" vertical="center"/>
      <protection hidden="1"/>
    </xf>
    <xf numFmtId="0" fontId="51" fillId="0" borderId="0" xfId="0" applyFont="1" applyFill="1" applyBorder="1" applyAlignment="1" applyProtection="1">
      <alignment horizontal="center" vertical="center" wrapText="1"/>
      <protection hidden="1"/>
    </xf>
    <xf numFmtId="0" fontId="40" fillId="12" borderId="0" xfId="0" applyFont="1" applyFill="1" applyAlignment="1" applyProtection="1">
      <alignment horizontal="fill" vertical="center" wrapText="1"/>
      <protection hidden="1"/>
    </xf>
    <xf numFmtId="0" fontId="18" fillId="12" borderId="0" xfId="0" applyFont="1" applyFill="1" applyAlignment="1" applyProtection="1">
      <alignment vertical="center" wrapText="1"/>
      <protection hidden="1"/>
    </xf>
    <xf numFmtId="0" fontId="40" fillId="22" borderId="0" xfId="0" applyFont="1" applyFill="1" applyAlignment="1" applyProtection="1">
      <alignment horizontal="left" vertical="center" wrapText="1"/>
      <protection hidden="1"/>
    </xf>
    <xf numFmtId="0" fontId="40" fillId="0" borderId="79" xfId="0" applyFont="1" applyFill="1" applyBorder="1" applyAlignment="1" applyProtection="1">
      <alignment horizontal="left" vertical="center" wrapText="1"/>
      <protection hidden="1"/>
    </xf>
    <xf numFmtId="0" fontId="48" fillId="12" borderId="0" xfId="0" applyFont="1" applyFill="1" applyAlignment="1" applyProtection="1">
      <alignment horizontal="left" vertical="top" wrapText="1"/>
      <protection hidden="1"/>
    </xf>
    <xf numFmtId="0" fontId="48" fillId="2" borderId="0" xfId="0" quotePrefix="1" applyFont="1" applyFill="1" applyBorder="1" applyAlignment="1" applyProtection="1">
      <alignment horizontal="left" vertical="center" wrapText="1"/>
      <protection hidden="1"/>
    </xf>
    <xf numFmtId="0" fontId="48" fillId="2" borderId="0" xfId="0" applyNumberFormat="1" applyFont="1" applyFill="1" applyAlignment="1" applyProtection="1">
      <alignment horizontal="justify" vertical="center" wrapText="1"/>
      <protection hidden="1"/>
    </xf>
    <xf numFmtId="0" fontId="48" fillId="0" borderId="0" xfId="0" applyFont="1" applyAlignment="1" applyProtection="1">
      <alignment horizontal="left" vertical="center" wrapText="1"/>
      <protection hidden="1"/>
    </xf>
    <xf numFmtId="168" fontId="56" fillId="2" borderId="0" xfId="24" applyFont="1" applyFill="1" applyAlignment="1" applyProtection="1">
      <alignment horizontal="center" vertical="center"/>
      <protection hidden="1"/>
    </xf>
    <xf numFmtId="168" fontId="56" fillId="2" borderId="0" xfId="24" applyFont="1" applyFill="1" applyAlignment="1" applyProtection="1">
      <alignment horizontal="center" vertical="center" wrapText="1"/>
      <protection hidden="1"/>
    </xf>
    <xf numFmtId="0" fontId="48"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685447</xdr:colOff>
      <xdr:row>15</xdr:row>
      <xdr:rowOff>124419</xdr:rowOff>
    </xdr:from>
    <xdr:to>
      <xdr:col>16</xdr:col>
      <xdr:colOff>484518</xdr:colOff>
      <xdr:row>18</xdr:row>
      <xdr:rowOff>2611</xdr:rowOff>
    </xdr:to>
    <xdr:sp macro="" textlink="">
      <xdr:nvSpPr>
        <xdr:cNvPr id="2" name="Flecha derecha 1"/>
        <xdr:cNvSpPr/>
      </xdr:nvSpPr>
      <xdr:spPr>
        <a:xfrm rot="19929311">
          <a:off x="14928123" y="3407743"/>
          <a:ext cx="4673630" cy="4496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15</xdr:col>
      <xdr:colOff>31750</xdr:colOff>
      <xdr:row>0</xdr:row>
      <xdr:rowOff>158750</xdr:rowOff>
    </xdr:from>
    <xdr:to>
      <xdr:col>16</xdr:col>
      <xdr:colOff>1981880</xdr:colOff>
      <xdr:row>1</xdr:row>
      <xdr:rowOff>206345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showGridLines="0" topLeftCell="A15" zoomScale="115" zoomScaleNormal="115" workbookViewId="0">
      <selection activeCell="C31" sqref="C31"/>
    </sheetView>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4">
      <c r="B1" s="505" t="s">
        <v>377</v>
      </c>
      <c r="C1" s="506">
        <v>490</v>
      </c>
    </row>
    <row r="2" spans="2:4">
      <c r="B2" s="505" t="s">
        <v>378</v>
      </c>
      <c r="C2" s="506">
        <v>469</v>
      </c>
    </row>
    <row r="3" spans="2:4">
      <c r="B3" s="505" t="s">
        <v>360</v>
      </c>
      <c r="C3" s="506">
        <v>930</v>
      </c>
    </row>
    <row r="4" spans="2:4" hidden="1" outlineLevel="1">
      <c r="B4" s="505" t="s">
        <v>361</v>
      </c>
      <c r="C4" s="506">
        <v>1109.5455419999998</v>
      </c>
    </row>
    <row r="5" spans="2:4" hidden="1" outlineLevel="1">
      <c r="B5" s="505" t="s">
        <v>362</v>
      </c>
      <c r="C5" s="506">
        <v>529.41173003999995</v>
      </c>
    </row>
    <row r="6" spans="2:4" collapsed="1">
      <c r="B6" s="505" t="s">
        <v>366</v>
      </c>
      <c r="C6" s="506">
        <v>965.24</v>
      </c>
    </row>
    <row r="7" spans="2:4">
      <c r="B7" s="505" t="s">
        <v>368</v>
      </c>
      <c r="C7" s="506">
        <v>1021.31</v>
      </c>
    </row>
    <row r="8" spans="2:4">
      <c r="B8" s="505" t="s">
        <v>367</v>
      </c>
      <c r="C8" s="506">
        <v>639.51</v>
      </c>
    </row>
    <row r="9" spans="2:4">
      <c r="B9" s="505" t="s">
        <v>393</v>
      </c>
      <c r="C9" s="506">
        <v>597.75187500000004</v>
      </c>
    </row>
    <row r="10" spans="2:4">
      <c r="B10" s="505" t="s">
        <v>380</v>
      </c>
      <c r="C10" s="506">
        <v>135</v>
      </c>
    </row>
    <row r="11" spans="2:4">
      <c r="B11" s="505" t="s">
        <v>381</v>
      </c>
      <c r="C11" s="506">
        <v>152</v>
      </c>
    </row>
    <row r="12" spans="2:4">
      <c r="B12" s="505" t="s">
        <v>382</v>
      </c>
      <c r="C12" s="506">
        <v>148</v>
      </c>
    </row>
    <row r="13" spans="2:4">
      <c r="B13" s="505" t="s">
        <v>383</v>
      </c>
      <c r="C13" s="506">
        <v>177</v>
      </c>
    </row>
    <row r="14" spans="2:4">
      <c r="B14" s="504" t="s">
        <v>394</v>
      </c>
      <c r="C14" s="519">
        <v>5.7500000000000002E-2</v>
      </c>
    </row>
    <row r="15" spans="2:4">
      <c r="B15" s="504" t="s">
        <v>657</v>
      </c>
      <c r="C15" s="519">
        <v>4.0899999999999999E-2</v>
      </c>
      <c r="D15" s="520"/>
    </row>
    <row r="16" spans="2:4">
      <c r="B16" s="504" t="s">
        <v>683</v>
      </c>
      <c r="C16" s="519">
        <v>3.1800000000000002E-2</v>
      </c>
      <c r="D16" s="520"/>
    </row>
    <row r="17" spans="2:12" s="150" customFormat="1">
      <c r="B17" s="606" t="str">
        <f>+'COMBUSTIBLES '!A1</f>
        <v>9 DE MARZO 2019</v>
      </c>
      <c r="C17" s="157" t="s">
        <v>277</v>
      </c>
      <c r="E17" s="606" t="s">
        <v>8</v>
      </c>
      <c r="F17" s="606"/>
      <c r="G17" s="606"/>
    </row>
    <row r="18" spans="2:12" s="150" customFormat="1">
      <c r="B18" s="606"/>
      <c r="C18" s="158" t="s">
        <v>178</v>
      </c>
      <c r="D18" s="159"/>
      <c r="E18" s="607" t="s">
        <v>178</v>
      </c>
      <c r="F18" s="607"/>
      <c r="G18" s="607"/>
    </row>
    <row r="19" spans="2:12" s="150" customFormat="1">
      <c r="B19" s="606"/>
      <c r="C19" s="160" t="s">
        <v>182</v>
      </c>
      <c r="D19" s="159"/>
      <c r="E19" s="160" t="s">
        <v>179</v>
      </c>
      <c r="F19" s="160" t="s">
        <v>180</v>
      </c>
      <c r="G19" s="160" t="s">
        <v>181</v>
      </c>
      <c r="I19" s="150">
        <f>1555*1.0244</f>
        <v>1592.942</v>
      </c>
    </row>
    <row r="20" spans="2:12" ht="15">
      <c r="B20" s="154" t="s">
        <v>25</v>
      </c>
      <c r="C20" s="497">
        <f>$C$1*(1+$C$15)*(1+$C$16)</f>
        <v>526.26030379999997</v>
      </c>
      <c r="D20" s="152"/>
      <c r="E20" s="155">
        <v>5078.7700000000004</v>
      </c>
      <c r="F20" s="155">
        <v>1900</v>
      </c>
      <c r="G20" s="155">
        <v>1900</v>
      </c>
      <c r="H20" s="312"/>
      <c r="I20" s="307"/>
      <c r="J20" s="307"/>
      <c r="K20" s="307"/>
      <c r="L20" s="307"/>
    </row>
    <row r="21" spans="2:12" ht="15">
      <c r="B21" s="154" t="s">
        <v>190</v>
      </c>
      <c r="C21" s="497">
        <f>+C20</f>
        <v>526.26030379999997</v>
      </c>
      <c r="D21" s="152"/>
      <c r="E21" s="155">
        <f t="shared" ref="E21:G22" si="0">+E20</f>
        <v>5078.7700000000004</v>
      </c>
      <c r="F21" s="155">
        <f t="shared" si="0"/>
        <v>1900</v>
      </c>
      <c r="G21" s="155">
        <f t="shared" si="0"/>
        <v>1900</v>
      </c>
      <c r="H21" s="312">
        <f>+C21*16%</f>
        <v>84.201648607999999</v>
      </c>
      <c r="I21" s="307">
        <f>+H21*92%</f>
        <v>77.465516719359997</v>
      </c>
      <c r="J21" s="307"/>
      <c r="K21" s="307"/>
      <c r="L21" s="307"/>
    </row>
    <row r="22" spans="2:12" ht="15">
      <c r="B22" s="154" t="s">
        <v>191</v>
      </c>
      <c r="C22" s="497">
        <f>+C21</f>
        <v>526.26030379999997</v>
      </c>
      <c r="D22" s="152"/>
      <c r="E22" s="155">
        <f t="shared" si="0"/>
        <v>5078.7700000000004</v>
      </c>
      <c r="F22" s="155">
        <f t="shared" si="0"/>
        <v>1900</v>
      </c>
      <c r="G22" s="155">
        <f t="shared" si="0"/>
        <v>1900</v>
      </c>
      <c r="H22" s="312">
        <f>+C22*16%</f>
        <v>84.201648607999999</v>
      </c>
      <c r="I22" s="307">
        <f>+H22*92%</f>
        <v>77.465516719359997</v>
      </c>
      <c r="J22" s="307"/>
      <c r="K22" s="307"/>
      <c r="L22" s="307"/>
    </row>
    <row r="23" spans="2:12" ht="15">
      <c r="B23" s="154" t="s">
        <v>10</v>
      </c>
      <c r="C23" s="497">
        <f>$C$3*(1+$C$15)*(1+$C$16)</f>
        <v>998.82057659999998</v>
      </c>
      <c r="D23" s="152"/>
      <c r="E23" s="155">
        <v>7107.81</v>
      </c>
      <c r="F23" s="155" t="s">
        <v>160</v>
      </c>
      <c r="G23" s="155" t="s">
        <v>160</v>
      </c>
      <c r="H23" s="312">
        <f>+C23*90%</f>
        <v>898.93851893999999</v>
      </c>
      <c r="I23" s="307">
        <f>+C23*92%</f>
        <v>918.91493047200004</v>
      </c>
      <c r="J23" s="307"/>
      <c r="K23" s="307"/>
      <c r="L23" s="307"/>
    </row>
    <row r="24" spans="2:12" ht="15">
      <c r="B24" s="154" t="s">
        <v>364</v>
      </c>
      <c r="C24" s="497">
        <f>$C$6*(1+$C$15)*(1+$C$16)</f>
        <v>1036.6683584488001</v>
      </c>
      <c r="D24" s="152"/>
      <c r="E24" s="507"/>
      <c r="F24" s="507"/>
      <c r="G24" s="507"/>
      <c r="H24" s="312"/>
      <c r="I24" s="307"/>
      <c r="J24" s="307"/>
      <c r="K24" s="307"/>
      <c r="L24" s="307"/>
    </row>
    <row r="25" spans="2:12" ht="15">
      <c r="B25" s="154" t="s">
        <v>369</v>
      </c>
      <c r="C25" s="497">
        <f>$C$7*(1+$C$15)*(1+$C$16)</f>
        <v>1096.8875732121999</v>
      </c>
      <c r="D25" s="574" t="s">
        <v>659</v>
      </c>
      <c r="E25" s="507"/>
      <c r="F25" s="507"/>
      <c r="G25" s="507"/>
      <c r="H25" s="312"/>
      <c r="I25" s="307"/>
      <c r="J25" s="307"/>
      <c r="K25" s="307"/>
      <c r="L25" s="307"/>
    </row>
    <row r="26" spans="2:12" ht="6.75" customHeight="1">
      <c r="C26" s="152"/>
      <c r="D26" s="152"/>
      <c r="E26" s="152"/>
      <c r="F26" s="152"/>
      <c r="G26" s="152"/>
      <c r="H26" s="307"/>
      <c r="I26" s="307"/>
      <c r="J26" s="307"/>
      <c r="K26" s="307"/>
      <c r="L26" s="307"/>
    </row>
    <row r="27" spans="2:12" ht="15">
      <c r="B27" s="154" t="s">
        <v>173</v>
      </c>
      <c r="C27" s="497">
        <f>$C$2*(1+$C$15)*(1+$C$16)</f>
        <v>503.70629078000002</v>
      </c>
      <c r="D27" s="152"/>
      <c r="E27" s="155">
        <v>5024.59</v>
      </c>
      <c r="F27" s="155">
        <v>1900</v>
      </c>
      <c r="G27" s="155">
        <v>3400</v>
      </c>
      <c r="H27" s="312"/>
      <c r="I27" s="307"/>
      <c r="J27" s="307"/>
      <c r="K27" s="307"/>
      <c r="L27" s="307"/>
    </row>
    <row r="28" spans="2:12">
      <c r="B28" s="154" t="s">
        <v>174</v>
      </c>
      <c r="C28" s="498">
        <f>+C27</f>
        <v>503.70629078000002</v>
      </c>
      <c r="D28" s="152"/>
      <c r="E28" s="155">
        <f t="shared" ref="E28:G31" si="1">+E27</f>
        <v>5024.59</v>
      </c>
      <c r="F28" s="155">
        <f t="shared" si="1"/>
        <v>1900</v>
      </c>
      <c r="G28" s="155">
        <f t="shared" si="1"/>
        <v>3400</v>
      </c>
      <c r="H28" s="307"/>
      <c r="I28" s="307"/>
      <c r="J28" s="307"/>
      <c r="K28" s="307"/>
      <c r="L28" s="307"/>
    </row>
    <row r="29" spans="2:12">
      <c r="B29" s="154" t="s">
        <v>175</v>
      </c>
      <c r="C29" s="498">
        <f>+C28</f>
        <v>503.70629078000002</v>
      </c>
      <c r="D29" s="152"/>
      <c r="E29" s="155">
        <f t="shared" si="1"/>
        <v>5024.59</v>
      </c>
      <c r="F29" s="155">
        <f t="shared" si="1"/>
        <v>1900</v>
      </c>
      <c r="G29" s="155">
        <f t="shared" si="1"/>
        <v>3400</v>
      </c>
      <c r="J29" s="307"/>
      <c r="K29" s="307"/>
      <c r="L29" s="307"/>
    </row>
    <row r="30" spans="2:12">
      <c r="B30" s="154" t="s">
        <v>176</v>
      </c>
      <c r="C30" s="498">
        <f>+C29</f>
        <v>503.70629078000002</v>
      </c>
      <c r="D30" s="152"/>
      <c r="E30" s="155">
        <f t="shared" si="1"/>
        <v>5024.59</v>
      </c>
      <c r="F30" s="155">
        <f t="shared" si="1"/>
        <v>1900</v>
      </c>
      <c r="G30" s="155">
        <f t="shared" si="1"/>
        <v>3400</v>
      </c>
      <c r="H30" s="307">
        <f>+C30*98%</f>
        <v>493.63216496440003</v>
      </c>
      <c r="I30" s="307">
        <f>+C30*92%</f>
        <v>463.40978751760002</v>
      </c>
    </row>
    <row r="31" spans="2:12">
      <c r="B31" s="154" t="s">
        <v>177</v>
      </c>
      <c r="C31" s="498">
        <f>+C30</f>
        <v>503.70629078000002</v>
      </c>
      <c r="D31" s="152"/>
      <c r="E31" s="155">
        <f t="shared" si="1"/>
        <v>5024.59</v>
      </c>
      <c r="F31" s="155">
        <f t="shared" si="1"/>
        <v>1900</v>
      </c>
      <c r="G31" s="155">
        <f t="shared" si="1"/>
        <v>3400</v>
      </c>
      <c r="H31" s="307">
        <f>+C29*0.96</f>
        <v>483.55803914879999</v>
      </c>
      <c r="I31" s="307">
        <f>+C31*90%</f>
        <v>453.33566170200004</v>
      </c>
    </row>
    <row r="32" spans="2:12">
      <c r="B32" s="154" t="s">
        <v>312</v>
      </c>
      <c r="C32" s="498">
        <f>C27</f>
        <v>503.70629078000002</v>
      </c>
    </row>
    <row r="33" spans="2:7">
      <c r="B33" s="154" t="s">
        <v>363</v>
      </c>
      <c r="C33" s="498">
        <f>$C$9*(1+$C$15)*(1+$C$16)</f>
        <v>641.9858843561625</v>
      </c>
    </row>
    <row r="34" spans="2:7">
      <c r="B34" s="154" t="s">
        <v>365</v>
      </c>
      <c r="C34" s="497">
        <f>$C$8*(1+$C$15)*(1+$C$16)</f>
        <v>686.83413649620002</v>
      </c>
    </row>
    <row r="36" spans="2:7">
      <c r="B36" s="154" t="s">
        <v>192</v>
      </c>
      <c r="C36" s="156" t="s">
        <v>11</v>
      </c>
      <c r="D36" s="152"/>
      <c r="E36" s="155"/>
      <c r="F36" s="155"/>
      <c r="G36" s="155"/>
    </row>
    <row r="37" spans="2:7">
      <c r="B37" s="154" t="s">
        <v>193</v>
      </c>
      <c r="C37" s="156" t="s">
        <v>11</v>
      </c>
      <c r="D37" s="152"/>
      <c r="E37" s="155"/>
      <c r="F37" s="155"/>
      <c r="G37" s="155"/>
    </row>
    <row r="39" spans="2:7">
      <c r="B39" s="154" t="s">
        <v>280</v>
      </c>
      <c r="C39" s="155">
        <v>0.19</v>
      </c>
    </row>
    <row r="40" spans="2:7">
      <c r="C40" s="308"/>
    </row>
    <row r="41" spans="2:7">
      <c r="B41" s="504" t="s">
        <v>390</v>
      </c>
      <c r="C41" s="519">
        <f>+C15+0.01</f>
        <v>5.0900000000000001E-2</v>
      </c>
    </row>
    <row r="42" spans="2:7">
      <c r="B42" s="504"/>
      <c r="C42" s="519">
        <f>+C16+0.01</f>
        <v>4.1800000000000004E-2</v>
      </c>
    </row>
    <row r="43" spans="2:7">
      <c r="B43" s="606" t="str">
        <f>B17</f>
        <v>9 DE MARZO 2019</v>
      </c>
      <c r="C43" s="517" t="s">
        <v>379</v>
      </c>
    </row>
    <row r="44" spans="2:7">
      <c r="B44" s="606"/>
      <c r="C44" s="518" t="s">
        <v>178</v>
      </c>
    </row>
    <row r="45" spans="2:7">
      <c r="B45" s="606"/>
      <c r="C45" s="160" t="s">
        <v>182</v>
      </c>
    </row>
    <row r="46" spans="2:7">
      <c r="B46" s="154" t="s">
        <v>384</v>
      </c>
      <c r="C46" s="573">
        <f>ROUND($C$10*(1+$C$41)*(1+C42),0)</f>
        <v>148</v>
      </c>
    </row>
    <row r="47" spans="2:7">
      <c r="B47" s="154" t="s">
        <v>18</v>
      </c>
      <c r="C47" s="573">
        <f>ROUND($C$11*(1+$C$41)*(1+C42),0)</f>
        <v>166</v>
      </c>
    </row>
    <row r="48" spans="2:7">
      <c r="B48" s="154" t="s">
        <v>385</v>
      </c>
      <c r="C48" s="573">
        <f>ROUND($C$12*(1+$C$41)*(1+C42),0)</f>
        <v>162</v>
      </c>
    </row>
    <row r="49" spans="2:3">
      <c r="B49" s="154" t="s">
        <v>386</v>
      </c>
      <c r="C49" s="573">
        <f>ROUND($C$13*(1+$C$41)*(1+C42),0)</f>
        <v>194</v>
      </c>
    </row>
  </sheetData>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election activeCell="H10" sqref="H10"/>
    </sheetView>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722" t="s">
        <v>13</v>
      </c>
      <c r="C1" s="722"/>
      <c r="D1" s="722"/>
      <c r="E1" s="722"/>
      <c r="F1" s="722"/>
    </row>
    <row r="2" spans="2:6" s="66" customFormat="1" ht="20.25" customHeight="1">
      <c r="B2" s="722" t="s">
        <v>217</v>
      </c>
      <c r="C2" s="722"/>
      <c r="D2" s="722"/>
      <c r="E2" s="722"/>
      <c r="F2" s="722"/>
    </row>
    <row r="3" spans="2:6" s="66" customFormat="1" ht="20.25">
      <c r="B3" s="722" t="s">
        <v>14</v>
      </c>
      <c r="C3" s="722"/>
      <c r="D3" s="722"/>
      <c r="E3" s="722"/>
      <c r="F3" s="722"/>
    </row>
    <row r="4" spans="2:6" ht="15">
      <c r="B4" s="32"/>
      <c r="C4" s="32"/>
      <c r="D4" s="32"/>
      <c r="E4" s="32"/>
    </row>
    <row r="5" spans="2:6" ht="15.75" thickBot="1">
      <c r="B5" s="54"/>
    </row>
    <row r="6" spans="2:6" ht="45" customHeight="1" thickTop="1">
      <c r="B6" s="109" t="s">
        <v>15</v>
      </c>
      <c r="C6" s="110" t="s">
        <v>16</v>
      </c>
      <c r="D6" s="110" t="s">
        <v>17</v>
      </c>
      <c r="E6" s="110" t="s">
        <v>18</v>
      </c>
      <c r="F6" s="111" t="s">
        <v>211</v>
      </c>
    </row>
    <row r="7" spans="2:6" ht="30" customHeight="1" thickBot="1">
      <c r="B7" s="129"/>
      <c r="C7" s="81" t="str">
        <f>+'COMBUSTIBLES '!B6</f>
        <v>9 DE MARZO 2019</v>
      </c>
      <c r="D7" s="81" t="str">
        <f>'GASOLINA EXTRA OXIGENADA'!B6</f>
        <v>9 DE MARZO 2019</v>
      </c>
      <c r="E7" s="81" t="str">
        <f>+D7</f>
        <v>9 DE MARZO 2019</v>
      </c>
      <c r="F7" s="82" t="str">
        <f>+E7</f>
        <v>9 DE MARZO 2019</v>
      </c>
    </row>
    <row r="8" spans="2:6" ht="27" customHeight="1" thickTop="1">
      <c r="B8" s="126" t="s">
        <v>19</v>
      </c>
      <c r="C8" s="127">
        <f>'COMBUSTIBLES '!B7</f>
        <v>4923.01</v>
      </c>
      <c r="D8" s="127">
        <f>'COMBUSTIBLES '!D7</f>
        <v>5935</v>
      </c>
      <c r="E8" s="127">
        <f>'COMBUSTIBLES '!E7</f>
        <v>5015.57</v>
      </c>
      <c r="F8" s="128">
        <f>+BIODIESEL!F10</f>
        <v>5222.42</v>
      </c>
    </row>
    <row r="9" spans="2:6" ht="27" customHeight="1">
      <c r="B9" s="397" t="s">
        <v>244</v>
      </c>
      <c r="C9" s="113" t="s">
        <v>60</v>
      </c>
      <c r="D9" s="113" t="str">
        <f>+C9</f>
        <v>(*****)</v>
      </c>
      <c r="E9" s="113" t="str">
        <f>+C9</f>
        <v>(*****)</v>
      </c>
      <c r="F9" s="114" t="str">
        <f>+D9</f>
        <v>(*****)</v>
      </c>
    </row>
    <row r="10" spans="2:6" ht="27" customHeight="1">
      <c r="B10" s="112" t="s">
        <v>308</v>
      </c>
      <c r="C10" s="113">
        <f>+'COMBUSTIBLES '!B8</f>
        <v>7.9001000000000001</v>
      </c>
      <c r="D10" s="113">
        <f>+C10</f>
        <v>7.9001000000000001</v>
      </c>
      <c r="E10" s="113">
        <f>+'COMBUSTIBLES '!E8</f>
        <v>7.9001000000000001</v>
      </c>
      <c r="F10" s="114">
        <f>+BIODIESEL!F14</f>
        <v>7.9001000000000001</v>
      </c>
    </row>
    <row r="11" spans="2:6" ht="27" customHeight="1">
      <c r="B11" s="115" t="s">
        <v>245</v>
      </c>
      <c r="C11" s="113">
        <f>'COMBUSTIBLES '!B10</f>
        <v>71.510000000000005</v>
      </c>
      <c r="D11" s="113">
        <f>'COMBUSTIBLES '!B10</f>
        <v>71.510000000000005</v>
      </c>
      <c r="E11" s="113">
        <f>'COMBUSTIBLES '!E10</f>
        <v>71.510000000000005</v>
      </c>
      <c r="F11" s="114">
        <f>+E11</f>
        <v>71.510000000000005</v>
      </c>
    </row>
    <row r="12" spans="2:6" ht="27" customHeight="1">
      <c r="B12" s="112" t="s">
        <v>391</v>
      </c>
      <c r="C12" s="113">
        <f>Variables!C24</f>
        <v>1036.6683584488001</v>
      </c>
      <c r="D12" s="113">
        <f>Variables!C25</f>
        <v>1096.8875732121999</v>
      </c>
      <c r="E12" s="113">
        <f>Variables!C34</f>
        <v>686.83413649620002</v>
      </c>
      <c r="F12" s="114">
        <f>E12*96%</f>
        <v>659.36077103635205</v>
      </c>
    </row>
    <row r="13" spans="2:6" s="317" customFormat="1" ht="27" customHeight="1">
      <c r="B13" s="112" t="s">
        <v>283</v>
      </c>
      <c r="C13" s="116"/>
      <c r="D13" s="116"/>
      <c r="E13" s="116"/>
      <c r="F13" s="117"/>
    </row>
    <row r="14" spans="2:6" s="317" customFormat="1" ht="27" customHeight="1">
      <c r="B14" s="112" t="s">
        <v>376</v>
      </c>
      <c r="C14" s="116">
        <f>'COMBUSTIBLES '!B13</f>
        <v>148</v>
      </c>
      <c r="D14" s="116">
        <f>'COMBUSTIBLES '!C13</f>
        <v>148</v>
      </c>
      <c r="E14" s="116">
        <f>'COMBUSTIBLES '!E13</f>
        <v>166</v>
      </c>
      <c r="F14" s="117">
        <f>BIODIESEL!F13</f>
        <v>159.36000000000001</v>
      </c>
    </row>
    <row r="15" spans="2:6" ht="44.25" customHeight="1">
      <c r="B15" s="118" t="s">
        <v>23</v>
      </c>
      <c r="C15" s="119">
        <f>SUM(C8:C14)</f>
        <v>6187.0884584488003</v>
      </c>
      <c r="D15" s="119">
        <f>SUM(D8:D14)</f>
        <v>7259.2976732121997</v>
      </c>
      <c r="E15" s="119">
        <f>SUM(E8:E14)</f>
        <v>5947.8142364961996</v>
      </c>
      <c r="F15" s="120">
        <f>SUM(F8:F14)</f>
        <v>6120.550871036352</v>
      </c>
    </row>
    <row r="16" spans="2:6" ht="32.25" customHeight="1">
      <c r="B16" s="112" t="s">
        <v>4</v>
      </c>
      <c r="C16" s="121" t="s">
        <v>12</v>
      </c>
      <c r="D16" s="113"/>
      <c r="E16" s="121" t="str">
        <f>+C16</f>
        <v>(**)</v>
      </c>
      <c r="F16" s="122" t="str">
        <f>+E16</f>
        <v>(**)</v>
      </c>
    </row>
    <row r="17" spans="2:7" s="55" customFormat="1" ht="29.25" customHeight="1">
      <c r="B17" s="148" t="s">
        <v>249</v>
      </c>
      <c r="C17" s="121" t="s">
        <v>22</v>
      </c>
      <c r="D17" s="121" t="str">
        <f>+C17</f>
        <v>(***)</v>
      </c>
      <c r="E17" s="121" t="str">
        <f>+D17</f>
        <v>(***)</v>
      </c>
      <c r="F17" s="122" t="str">
        <f>+E17</f>
        <v>(***)</v>
      </c>
    </row>
    <row r="18" spans="2:7" s="317" customFormat="1" ht="30" customHeight="1" thickBot="1">
      <c r="B18" s="123" t="s">
        <v>216</v>
      </c>
      <c r="C18" s="124" t="s">
        <v>231</v>
      </c>
      <c r="D18" s="124" t="str">
        <f>+C18</f>
        <v>(****)</v>
      </c>
      <c r="E18" s="124" t="str">
        <f>+D18</f>
        <v>(****)</v>
      </c>
      <c r="F18" s="125" t="str">
        <f>+E18</f>
        <v>(****)</v>
      </c>
    </row>
    <row r="19" spans="2:7" ht="15" thickTop="1"/>
    <row r="20" spans="2:7" s="108" customFormat="1" ht="40.5" customHeight="1">
      <c r="B20" s="723" t="s">
        <v>243</v>
      </c>
      <c r="C20" s="723"/>
      <c r="D20" s="723"/>
      <c r="E20" s="723"/>
    </row>
    <row r="21" spans="2:7" s="108" customFormat="1" ht="30.75" customHeight="1">
      <c r="B21" s="692" t="s">
        <v>292</v>
      </c>
      <c r="C21" s="692"/>
      <c r="D21" s="692"/>
      <c r="E21" s="692"/>
    </row>
    <row r="22" spans="2:7" s="108" customFormat="1" ht="5.25" customHeight="1">
      <c r="B22" s="352"/>
      <c r="C22" s="352"/>
      <c r="D22" s="352"/>
      <c r="E22" s="352"/>
    </row>
    <row r="23" spans="2:7" s="108" customFormat="1" ht="17.25" customHeight="1">
      <c r="B23" s="723" t="s">
        <v>246</v>
      </c>
      <c r="C23" s="723"/>
      <c r="D23" s="723"/>
      <c r="E23" s="723"/>
    </row>
    <row r="24" spans="2:7" s="108" customFormat="1" ht="3.75" customHeight="1">
      <c r="B24" s="318"/>
      <c r="C24" s="318"/>
      <c r="D24" s="318"/>
      <c r="E24" s="318"/>
    </row>
    <row r="25" spans="2:7" s="108" customFormat="1" ht="17.25" customHeight="1">
      <c r="B25" s="723" t="s">
        <v>265</v>
      </c>
      <c r="C25" s="723"/>
      <c r="D25" s="723"/>
      <c r="E25" s="723"/>
    </row>
    <row r="26" spans="2:7" s="108" customFormat="1" ht="8.25" customHeight="1">
      <c r="B26" s="318"/>
      <c r="C26" s="318"/>
      <c r="D26" s="318"/>
      <c r="E26" s="318"/>
    </row>
    <row r="27" spans="2:7" s="108" customFormat="1" ht="25.5" customHeight="1">
      <c r="B27" s="723" t="s">
        <v>247</v>
      </c>
      <c r="C27" s="723"/>
      <c r="D27" s="723"/>
      <c r="E27" s="723"/>
    </row>
    <row r="28" spans="2:7" ht="7.5" customHeight="1">
      <c r="B28" s="320"/>
      <c r="C28" s="320"/>
      <c r="D28" s="320"/>
      <c r="E28" s="320"/>
    </row>
    <row r="29" spans="2:7" s="317" customFormat="1" ht="45.75" customHeight="1">
      <c r="B29" s="672" t="s">
        <v>355</v>
      </c>
      <c r="C29" s="672"/>
      <c r="D29" s="672"/>
      <c r="E29" s="672"/>
    </row>
    <row r="30" spans="2:7" s="317" customFormat="1" ht="8.25" customHeight="1">
      <c r="B30" s="320"/>
      <c r="C30" s="320"/>
      <c r="D30" s="320"/>
      <c r="E30" s="320"/>
    </row>
    <row r="31" spans="2:7" ht="39.75" customHeight="1">
      <c r="B31" s="672" t="s">
        <v>310</v>
      </c>
      <c r="C31" s="672"/>
      <c r="D31" s="672"/>
      <c r="E31" s="672"/>
      <c r="F31" s="672"/>
      <c r="G31" s="672"/>
    </row>
    <row r="32" spans="2:7" ht="9.75" customHeight="1"/>
    <row r="33" spans="2:6">
      <c r="B33" s="692" t="s">
        <v>309</v>
      </c>
      <c r="C33" s="692"/>
      <c r="D33" s="692"/>
      <c r="E33" s="692"/>
    </row>
    <row r="35" spans="2:6">
      <c r="B35" s="692" t="s">
        <v>392</v>
      </c>
      <c r="C35" s="692"/>
      <c r="D35" s="692"/>
      <c r="E35" s="692"/>
    </row>
    <row r="36" spans="2:6" s="317" customFormat="1">
      <c r="B36" s="525"/>
      <c r="C36" s="525"/>
      <c r="D36" s="525"/>
      <c r="E36" s="525"/>
    </row>
    <row r="37" spans="2:6" ht="86.25" customHeight="1">
      <c r="B37" s="673" t="s">
        <v>351</v>
      </c>
      <c r="C37" s="673"/>
      <c r="D37" s="673"/>
      <c r="E37" s="673"/>
      <c r="F37" s="673"/>
    </row>
    <row r="42" spans="2:6">
      <c r="B42" s="672"/>
      <c r="C42" s="672"/>
      <c r="D42" s="672"/>
      <c r="E42" s="672"/>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6"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724" t="s">
        <v>213</v>
      </c>
      <c r="D1" s="724"/>
      <c r="E1" s="724"/>
      <c r="F1" s="724"/>
      <c r="G1" s="724"/>
      <c r="H1" s="724"/>
    </row>
    <row r="2" spans="3:10" ht="15">
      <c r="C2" s="724" t="s">
        <v>33</v>
      </c>
      <c r="D2" s="724"/>
      <c r="E2" s="724"/>
      <c r="F2" s="724"/>
      <c r="G2" s="724"/>
      <c r="H2" s="724"/>
    </row>
    <row r="3" spans="3:10" ht="15">
      <c r="C3" s="724" t="s">
        <v>14</v>
      </c>
      <c r="D3" s="724"/>
      <c r="E3" s="724"/>
      <c r="F3" s="724"/>
      <c r="G3" s="724"/>
      <c r="H3" s="724"/>
    </row>
    <row r="4" spans="3:10" ht="24.75" customHeight="1" thickBot="1">
      <c r="C4" s="315" t="str">
        <f>'SAN-ANDRES + GENERACION'!C7</f>
        <v>9 DE MARZO 2019</v>
      </c>
      <c r="D4" s="36"/>
      <c r="E4" s="37"/>
      <c r="F4" s="725"/>
      <c r="G4" s="725"/>
      <c r="H4" s="491"/>
      <c r="I4" s="491"/>
    </row>
    <row r="5" spans="3:10" ht="45" customHeight="1" thickTop="1">
      <c r="C5" s="131" t="s">
        <v>15</v>
      </c>
      <c r="D5" s="362" t="s">
        <v>218</v>
      </c>
      <c r="E5" s="362" t="s">
        <v>272</v>
      </c>
      <c r="F5" s="362" t="s">
        <v>352</v>
      </c>
      <c r="I5" s="362" t="s">
        <v>273</v>
      </c>
      <c r="J5" s="362" t="s">
        <v>274</v>
      </c>
    </row>
    <row r="6" spans="3:10" ht="22.5" customHeight="1">
      <c r="C6" s="364" t="s">
        <v>19</v>
      </c>
      <c r="D6" s="357">
        <f>'COMBUSTIBLES '!E7</f>
        <v>5015.57</v>
      </c>
      <c r="E6" s="357">
        <f>+D6</f>
        <v>5015.57</v>
      </c>
      <c r="F6" s="357">
        <f>F30</f>
        <v>4012.4560000000001</v>
      </c>
      <c r="I6" s="357">
        <f>+BIODIESEL!B7*4%+(F6)*96%</f>
        <v>4259.4277599999996</v>
      </c>
      <c r="J6" s="357">
        <f>+BIODIESEL!B7*2%+(F6)*98%</f>
        <v>4135.9418800000003</v>
      </c>
    </row>
    <row r="7" spans="3:10" ht="22.5" customHeight="1">
      <c r="C7" s="367" t="str">
        <f>+'GASOLINA CORRIENTE OXIGENADA'!A11</f>
        <v>Impuesto Nacional a la Gasolina y al ACPM</v>
      </c>
      <c r="D7" s="360">
        <f>Variables!C32</f>
        <v>503.70629078000002</v>
      </c>
      <c r="E7" s="360">
        <f>Variables!C33</f>
        <v>641.9858843561625</v>
      </c>
      <c r="F7" s="360">
        <f>+E7</f>
        <v>641.9858843561625</v>
      </c>
      <c r="G7" s="90"/>
      <c r="H7" s="90"/>
      <c r="I7" s="360">
        <f>ROUND(F7*96%,2)</f>
        <v>616.30999999999995</v>
      </c>
      <c r="J7" s="360">
        <f>ROUND(E7*98%,2)</f>
        <v>629.15</v>
      </c>
    </row>
    <row r="8" spans="3:10" ht="22.5" customHeight="1">
      <c r="C8" s="367" t="str">
        <f>+'GASOLINA CORRIENTE OXIGENADA'!A12</f>
        <v>Impuesto sobre las Ventas</v>
      </c>
      <c r="D8" s="529" t="str">
        <f>'COMBUSTIBLES '!E12</f>
        <v>(3)</v>
      </c>
      <c r="E8" s="529" t="str">
        <f>'COMBUSTIBLES '!E12</f>
        <v>(3)</v>
      </c>
      <c r="F8" s="529" t="str">
        <f>+E8</f>
        <v>(3)</v>
      </c>
      <c r="G8" s="530"/>
      <c r="H8" s="530"/>
      <c r="I8" s="529" t="str">
        <f>+F8</f>
        <v>(3)</v>
      </c>
      <c r="J8" s="529" t="str">
        <f>+I8</f>
        <v>(3)</v>
      </c>
    </row>
    <row r="9" spans="3:10" ht="22.5" customHeight="1">
      <c r="C9" s="367" t="str">
        <f>+'GASOLINA CORRIENTE OXIGENADA'!A13</f>
        <v>Impuesto al carbono</v>
      </c>
      <c r="D9" s="357">
        <f>'COMBUSTIBLES '!E13</f>
        <v>166</v>
      </c>
      <c r="E9" s="357">
        <f>'COMBUSTIBLES '!E13</f>
        <v>166</v>
      </c>
      <c r="F9" s="357">
        <f>'COMBUSTIBLES '!E13</f>
        <v>166</v>
      </c>
      <c r="I9" s="357">
        <f>ROUND(F9*96%,2)</f>
        <v>159.36000000000001</v>
      </c>
      <c r="J9" s="357">
        <f>ROUND(E9*98%,2)</f>
        <v>162.68</v>
      </c>
    </row>
    <row r="10" spans="3:10" ht="22.5" customHeight="1">
      <c r="C10" s="364" t="s">
        <v>248</v>
      </c>
      <c r="D10" s="359" t="str">
        <f>+BIODIESEL!G15</f>
        <v>(*)</v>
      </c>
      <c r="E10" s="359" t="str">
        <f>+D10</f>
        <v>(*)</v>
      </c>
      <c r="F10" s="359" t="str">
        <f>+E10</f>
        <v>(*)</v>
      </c>
      <c r="I10" s="359" t="s">
        <v>11</v>
      </c>
      <c r="J10" s="359" t="str">
        <f>+I10</f>
        <v>(*)</v>
      </c>
    </row>
    <row r="11" spans="3:10" ht="22.5" customHeight="1">
      <c r="C11" s="115" t="s">
        <v>245</v>
      </c>
      <c r="D11" s="360">
        <f>'COMBUSTIBLES '!E10</f>
        <v>71.510000000000005</v>
      </c>
      <c r="E11" s="360">
        <f>+D11</f>
        <v>71.510000000000005</v>
      </c>
      <c r="F11" s="360">
        <f>+E11</f>
        <v>71.510000000000005</v>
      </c>
      <c r="I11" s="360">
        <f>+F11</f>
        <v>71.510000000000005</v>
      </c>
      <c r="J11" s="360">
        <f>+I11</f>
        <v>71.510000000000005</v>
      </c>
    </row>
    <row r="12" spans="3:10" ht="22.5" customHeight="1">
      <c r="C12" s="368" t="s">
        <v>221</v>
      </c>
      <c r="D12" s="361">
        <f>SUM(D6:D11)</f>
        <v>5756.7862907799999</v>
      </c>
      <c r="E12" s="361">
        <f>SUM(E6:E11)</f>
        <v>5895.0658843561623</v>
      </c>
      <c r="F12" s="361">
        <f>SUM(F6:F11)</f>
        <v>4891.9518843561627</v>
      </c>
      <c r="I12" s="361">
        <f>SUM(I6:I11)</f>
        <v>5106.6077599999999</v>
      </c>
      <c r="J12" s="361">
        <f>SUM(J6:J11)</f>
        <v>4999.2818800000005</v>
      </c>
    </row>
    <row r="13" spans="3:10" ht="22.5" customHeight="1" thickBot="1">
      <c r="C13" s="370" t="s">
        <v>8</v>
      </c>
      <c r="D13" s="371">
        <f>'COMBUSTIBLES '!E16</f>
        <v>301.48</v>
      </c>
      <c r="E13" s="371"/>
      <c r="F13" s="371"/>
      <c r="I13" s="371"/>
      <c r="J13" s="371"/>
    </row>
    <row r="14" spans="3:10" ht="12" customHeight="1" thickTop="1">
      <c r="C14" s="356"/>
      <c r="D14" s="34"/>
      <c r="E14" s="34"/>
      <c r="F14" s="492"/>
      <c r="G14" s="492"/>
      <c r="H14" s="492"/>
      <c r="I14" s="491"/>
    </row>
    <row r="15" spans="3:10" ht="18.75" customHeight="1">
      <c r="C15" s="731" t="s">
        <v>266</v>
      </c>
      <c r="D15" s="731"/>
      <c r="E15" s="731"/>
      <c r="F15" s="731"/>
      <c r="G15" s="731"/>
      <c r="H15" s="731"/>
    </row>
    <row r="16" spans="3:10" ht="49.5" customHeight="1">
      <c r="C16" s="732" t="s">
        <v>268</v>
      </c>
      <c r="D16" s="732"/>
      <c r="E16" s="732"/>
      <c r="F16" s="732"/>
      <c r="G16" s="732"/>
      <c r="H16" s="732"/>
    </row>
    <row r="17" spans="3:10" ht="34.5" customHeight="1">
      <c r="C17" s="672" t="s">
        <v>310</v>
      </c>
      <c r="D17" s="672"/>
      <c r="E17" s="672"/>
      <c r="F17" s="672"/>
      <c r="G17" s="672"/>
      <c r="H17" s="672"/>
    </row>
    <row r="18" spans="3:10">
      <c r="C18" s="672" t="s">
        <v>353</v>
      </c>
      <c r="D18" s="672"/>
      <c r="E18" s="672"/>
      <c r="F18" s="672"/>
      <c r="G18" s="672"/>
      <c r="H18" s="672"/>
    </row>
    <row r="19" spans="3:10" ht="28.5" customHeight="1">
      <c r="C19" s="373"/>
      <c r="D19" s="373"/>
      <c r="E19" s="373"/>
      <c r="F19" s="373"/>
      <c r="G19" s="373"/>
      <c r="H19" s="373"/>
    </row>
    <row r="20" spans="3:10">
      <c r="C20" s="677" t="s">
        <v>397</v>
      </c>
      <c r="D20" s="677"/>
      <c r="E20" s="677"/>
      <c r="F20" s="677"/>
      <c r="G20" s="677"/>
      <c r="H20" s="677"/>
      <c r="I20" s="677"/>
      <c r="J20" s="5" t="s">
        <v>161</v>
      </c>
    </row>
    <row r="21" spans="3:10">
      <c r="C21" s="677" t="s">
        <v>395</v>
      </c>
      <c r="D21" s="677"/>
      <c r="E21" s="677"/>
      <c r="F21" s="677"/>
      <c r="G21" s="677"/>
      <c r="H21" s="677"/>
      <c r="I21" s="677"/>
    </row>
    <row r="22" spans="3:10">
      <c r="C22" s="677" t="s">
        <v>396</v>
      </c>
      <c r="D22" s="677"/>
      <c r="E22" s="677"/>
      <c r="F22" s="677"/>
      <c r="G22" s="677"/>
      <c r="H22" s="677"/>
      <c r="I22" s="677"/>
    </row>
    <row r="23" spans="3:10">
      <c r="C23" s="524"/>
      <c r="D23" s="524"/>
      <c r="E23" s="524"/>
      <c r="F23" s="524"/>
      <c r="G23" s="524"/>
      <c r="H23" s="524"/>
      <c r="I23" s="524"/>
    </row>
    <row r="24" spans="3:10">
      <c r="C24" s="524"/>
      <c r="D24" s="524"/>
      <c r="E24" s="524"/>
      <c r="F24" s="524"/>
      <c r="G24" s="524"/>
      <c r="H24" s="524"/>
      <c r="I24" s="524"/>
    </row>
    <row r="25" spans="3:10" ht="15">
      <c r="C25" s="724" t="s">
        <v>45</v>
      </c>
      <c r="D25" s="724"/>
      <c r="E25" s="724"/>
      <c r="F25" s="724"/>
      <c r="G25" s="724"/>
      <c r="H25" s="724"/>
      <c r="J25" s="5" t="s">
        <v>161</v>
      </c>
    </row>
    <row r="26" spans="3:10" ht="15">
      <c r="C26" s="724" t="s">
        <v>37</v>
      </c>
      <c r="D26" s="724"/>
      <c r="E26" s="724"/>
      <c r="F26" s="724"/>
      <c r="G26" s="724"/>
      <c r="H26" s="724"/>
    </row>
    <row r="27" spans="3:10" ht="15">
      <c r="C27" s="724" t="s">
        <v>14</v>
      </c>
      <c r="D27" s="724"/>
      <c r="E27" s="724"/>
      <c r="F27" s="724"/>
      <c r="G27" s="724"/>
      <c r="H27" s="724"/>
    </row>
    <row r="28" spans="3:10" ht="15.75" thickBot="1">
      <c r="C28" s="315" t="str">
        <f>+C4</f>
        <v>9 DE MARZO 2019</v>
      </c>
      <c r="D28" s="36"/>
      <c r="E28" s="37"/>
      <c r="F28"/>
    </row>
    <row r="29" spans="3:10" ht="45" customHeight="1" thickTop="1">
      <c r="C29" s="131" t="s">
        <v>15</v>
      </c>
      <c r="D29" s="362" t="str">
        <f>+D5</f>
        <v xml:space="preserve">DIESEL MARINO </v>
      </c>
      <c r="E29" s="362" t="str">
        <f>+E5</f>
        <v>DIESEL MARINO CON CUPO (ART 174 LEY 1607/12)</v>
      </c>
      <c r="F29" s="362" t="str">
        <f>+F5</f>
        <v>DIESEL MARINO CON CUPO (ART 174 LEY 1607/12) CON DESCUENTO****</v>
      </c>
      <c r="G29" s="362" t="s">
        <v>315</v>
      </c>
      <c r="H29" s="362" t="s">
        <v>316</v>
      </c>
    </row>
    <row r="30" spans="3:10" ht="23.25" customHeight="1">
      <c r="C30" s="364" t="s">
        <v>19</v>
      </c>
      <c r="D30" s="357">
        <f>+D6</f>
        <v>5015.57</v>
      </c>
      <c r="E30" s="357">
        <f>+D30</f>
        <v>5015.57</v>
      </c>
      <c r="F30" s="365">
        <f>+D30*80%</f>
        <v>4012.4560000000001</v>
      </c>
      <c r="G30" s="358">
        <v>1903.2</v>
      </c>
      <c r="H30" s="365">
        <v>1280.03</v>
      </c>
    </row>
    <row r="31" spans="3:10" ht="23.25" customHeight="1">
      <c r="C31" s="367" t="str">
        <f>+C7</f>
        <v>Impuesto Nacional a la Gasolina y al ACPM</v>
      </c>
      <c r="D31" s="360">
        <f>'SAN-ANDRES + GENERACION'!E12</f>
        <v>686.83413649620002</v>
      </c>
      <c r="E31" s="360">
        <f>D31</f>
        <v>686.83413649620002</v>
      </c>
      <c r="F31" s="132">
        <f>E31</f>
        <v>686.83413649620002</v>
      </c>
      <c r="G31" s="471">
        <f>+D31</f>
        <v>686.83413649620002</v>
      </c>
      <c r="H31" s="366">
        <f>+F31</f>
        <v>686.83413649620002</v>
      </c>
    </row>
    <row r="32" spans="3:10" ht="23.25" customHeight="1">
      <c r="C32" s="367" t="str">
        <f t="shared" ref="C32:F33" si="0">+C8</f>
        <v>Impuesto sobre las Ventas</v>
      </c>
      <c r="D32" s="357"/>
      <c r="E32" s="357"/>
      <c r="F32" s="366"/>
      <c r="G32" s="471"/>
      <c r="H32" s="366"/>
    </row>
    <row r="33" spans="1:9" ht="23.25" customHeight="1">
      <c r="C33" s="367" t="str">
        <f t="shared" si="0"/>
        <v>Impuesto al carbono</v>
      </c>
      <c r="D33" s="357">
        <f t="shared" si="0"/>
        <v>166</v>
      </c>
      <c r="E33" s="357">
        <f t="shared" si="0"/>
        <v>166</v>
      </c>
      <c r="F33" s="366">
        <f t="shared" si="0"/>
        <v>166</v>
      </c>
      <c r="G33" s="471"/>
      <c r="H33" s="366"/>
    </row>
    <row r="34" spans="1:9" ht="23.25" customHeight="1">
      <c r="C34" s="364" t="s">
        <v>21</v>
      </c>
      <c r="D34" s="360" t="str">
        <f>+D10</f>
        <v>(*)</v>
      </c>
      <c r="E34" s="360" t="str">
        <f>+D34</f>
        <v>(*)</v>
      </c>
      <c r="F34" s="132" t="str">
        <f>+E34</f>
        <v>(*)</v>
      </c>
      <c r="G34" s="360" t="str">
        <f>+F34</f>
        <v>(*)</v>
      </c>
      <c r="H34" s="132" t="str">
        <f>+G34</f>
        <v>(*)</v>
      </c>
    </row>
    <row r="35" spans="1:9" ht="23.25" customHeight="1">
      <c r="C35" s="115" t="s">
        <v>245</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5939.9141364961997</v>
      </c>
      <c r="E36" s="361">
        <f>SUM(E30:E35)</f>
        <v>5939.9141364961997</v>
      </c>
      <c r="F36" s="369">
        <f>SUM(F30:F35)</f>
        <v>4936.8001364962001</v>
      </c>
      <c r="G36" s="361">
        <f>SUM(G30:G35)</f>
        <v>2661.5441364962003</v>
      </c>
      <c r="H36" s="369">
        <f>SUM(H30:H35)</f>
        <v>2038.3741364962</v>
      </c>
    </row>
    <row r="37" spans="1:9" ht="23.25" customHeight="1">
      <c r="C37" s="133" t="s">
        <v>249</v>
      </c>
      <c r="D37" s="113" t="s">
        <v>11</v>
      </c>
      <c r="E37" s="113" t="str">
        <f>+D37</f>
        <v>(*)</v>
      </c>
      <c r="F37" s="114" t="str">
        <f>E37</f>
        <v>(*)</v>
      </c>
      <c r="G37" s="113" t="str">
        <f>+F37</f>
        <v>(*)</v>
      </c>
      <c r="H37" s="114" t="str">
        <f>G37</f>
        <v>(*)</v>
      </c>
    </row>
    <row r="38" spans="1:9" ht="23.25" customHeight="1">
      <c r="C38" s="133" t="s">
        <v>251</v>
      </c>
      <c r="D38" s="113" t="s">
        <v>12</v>
      </c>
      <c r="E38" s="113" t="str">
        <f>+D38</f>
        <v>(**)</v>
      </c>
      <c r="F38" s="114" t="str">
        <f>E38</f>
        <v>(**)</v>
      </c>
      <c r="G38" s="113" t="str">
        <f>+F38</f>
        <v>(**)</v>
      </c>
      <c r="H38" s="114" t="str">
        <f>G38</f>
        <v>(**)</v>
      </c>
      <c r="I38" s="40"/>
    </row>
    <row r="39" spans="1:9" ht="23.25" customHeight="1">
      <c r="C39" s="368" t="s">
        <v>39</v>
      </c>
      <c r="D39" s="361">
        <f>SUM(D36:D38)</f>
        <v>5939.9141364961997</v>
      </c>
      <c r="E39" s="361">
        <f>SUM(E36:E38)</f>
        <v>5939.9141364961997</v>
      </c>
      <c r="F39" s="369">
        <f>SUM(F36:F38)</f>
        <v>4936.8001364962001</v>
      </c>
      <c r="G39" s="361">
        <f>SUM(G36:G38)</f>
        <v>2661.5441364962003</v>
      </c>
      <c r="H39" s="369">
        <f>SUM(H36:H38)</f>
        <v>2038.3741364962</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723" t="s">
        <v>267</v>
      </c>
      <c r="D42" s="723"/>
      <c r="E42" s="723"/>
      <c r="F42" s="723"/>
    </row>
    <row r="43" spans="1:9" ht="18" customHeight="1">
      <c r="C43" s="723" t="s">
        <v>250</v>
      </c>
      <c r="D43" s="723"/>
      <c r="E43" s="723"/>
      <c r="F43" s="723"/>
      <c r="G43" s="723"/>
      <c r="H43" s="723"/>
    </row>
    <row r="44" spans="1:9" ht="65.25" customHeight="1">
      <c r="C44" s="723" t="s">
        <v>317</v>
      </c>
      <c r="D44" s="723"/>
      <c r="E44" s="723"/>
      <c r="F44" s="723"/>
      <c r="G44" s="723"/>
      <c r="H44" s="723"/>
    </row>
    <row r="45" spans="1:9" ht="15" customHeight="1">
      <c r="C45" s="672" t="s">
        <v>353</v>
      </c>
      <c r="D45" s="672"/>
      <c r="E45" s="672"/>
      <c r="F45" s="672"/>
      <c r="G45" s="672"/>
      <c r="H45" s="672"/>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9 DE MARZO 2019</v>
      </c>
      <c r="D51" s="36"/>
      <c r="E51" s="37"/>
      <c r="F51"/>
    </row>
    <row r="52" spans="3:10" ht="29.25" thickTop="1">
      <c r="C52" s="131" t="s">
        <v>15</v>
      </c>
      <c r="D52" s="362" t="s">
        <v>254</v>
      </c>
      <c r="E52" s="362" t="s">
        <v>275</v>
      </c>
      <c r="F52" s="363" t="s">
        <v>276</v>
      </c>
    </row>
    <row r="53" spans="3:10" ht="26.25" customHeight="1">
      <c r="C53" s="364" t="s">
        <v>255</v>
      </c>
      <c r="D53" s="357">
        <f>+BIODIESEL!E10</f>
        <v>5119</v>
      </c>
      <c r="E53" s="357">
        <f>+D53</f>
        <v>5119</v>
      </c>
      <c r="F53" s="365">
        <f>+BIODIESEL!B7*2%+('COMBUSTIBLES '!E7*77%)*98%</f>
        <v>3988.4841219999998</v>
      </c>
      <c r="G53" s="466"/>
      <c r="J53" s="40"/>
    </row>
    <row r="54" spans="3:10" ht="26.25" customHeight="1">
      <c r="C54" s="364" t="str">
        <f>+C31</f>
        <v>Impuesto Nacional a la Gasolina y al ACPM</v>
      </c>
      <c r="D54" s="360">
        <f>+D7*98%</f>
        <v>493.63216496440003</v>
      </c>
      <c r="E54" s="360">
        <f>+J7</f>
        <v>629.15</v>
      </c>
      <c r="F54" s="132">
        <f>E54</f>
        <v>629.15</v>
      </c>
      <c r="G54" s="40"/>
    </row>
    <row r="55" spans="3:10" ht="26.25" customHeight="1">
      <c r="C55" s="364" t="str">
        <f>+C32</f>
        <v>Impuesto sobre las Ventas</v>
      </c>
      <c r="D55" s="529" t="str">
        <f>+'COMBUSTIBLES '!C12</f>
        <v>(3)</v>
      </c>
      <c r="E55" s="529" t="str">
        <f>+D55</f>
        <v>(3)</v>
      </c>
      <c r="F55" s="531" t="str">
        <f>+E55</f>
        <v>(3)</v>
      </c>
      <c r="G55" s="40"/>
    </row>
    <row r="56" spans="3:10" ht="26.25" customHeight="1">
      <c r="C56" s="364" t="str">
        <f>+C33</f>
        <v>Impuesto al carbono</v>
      </c>
      <c r="D56" s="357">
        <f>+D9*98%</f>
        <v>162.68</v>
      </c>
      <c r="E56" s="357">
        <f>+E33*98%</f>
        <v>162.68</v>
      </c>
      <c r="F56" s="366">
        <f>E56</f>
        <v>162.68</v>
      </c>
      <c r="G56" s="40"/>
    </row>
    <row r="57" spans="3:10" ht="26.25" customHeight="1">
      <c r="C57" s="364" t="s">
        <v>252</v>
      </c>
      <c r="D57" s="501">
        <f>+'TARIFAS DE TRANSPORTE'!BB41+'TARIFAS DE TRANSPORTE'!BA81</f>
        <v>502.53160801604031</v>
      </c>
      <c r="E57" s="360">
        <f>+D57</f>
        <v>502.53160801604031</v>
      </c>
      <c r="F57" s="132">
        <f>+E57</f>
        <v>502.53160801604031</v>
      </c>
    </row>
    <row r="58" spans="3:10" ht="26.25" customHeight="1">
      <c r="C58" s="364" t="s">
        <v>240</v>
      </c>
      <c r="D58" s="501">
        <v>20.85</v>
      </c>
      <c r="E58" s="360">
        <f>+D58</f>
        <v>20.85</v>
      </c>
      <c r="F58" s="132">
        <f>+E58</f>
        <v>20.85</v>
      </c>
    </row>
    <row r="59" spans="3:10" ht="26.25" customHeight="1">
      <c r="C59" s="115" t="s">
        <v>245</v>
      </c>
      <c r="D59" s="357">
        <f>D35</f>
        <v>71.510000000000005</v>
      </c>
      <c r="E59" s="357">
        <f>E35</f>
        <v>71.510000000000005</v>
      </c>
      <c r="F59" s="366">
        <f>F35</f>
        <v>71.510000000000005</v>
      </c>
    </row>
    <row r="60" spans="3:10" ht="26.25" customHeight="1">
      <c r="C60" s="364" t="s">
        <v>36</v>
      </c>
      <c r="D60" s="375">
        <f>SUM(D53:D59)</f>
        <v>6370.2037729804406</v>
      </c>
      <c r="E60" s="375">
        <f>SUM(E53:E59)</f>
        <v>6505.7216080160406</v>
      </c>
      <c r="F60" s="376">
        <f>SUM(F53:F59)</f>
        <v>5375.2057300160404</v>
      </c>
      <c r="I60" s="40"/>
    </row>
    <row r="61" spans="3:10" ht="36.950000000000003" customHeight="1">
      <c r="C61" s="368" t="s">
        <v>43</v>
      </c>
      <c r="D61" s="377">
        <f>SUM(D60:D60)</f>
        <v>6370.2037729804406</v>
      </c>
      <c r="E61" s="377">
        <f>SUM(E60:E60)</f>
        <v>6505.7216080160406</v>
      </c>
      <c r="F61" s="378">
        <f>SUM(F60:F60)</f>
        <v>5375.2057300160404</v>
      </c>
    </row>
    <row r="62" spans="3:10" ht="36.950000000000003" customHeight="1" thickBot="1">
      <c r="C62" s="370" t="s">
        <v>55</v>
      </c>
      <c r="D62" s="371">
        <f>D40</f>
        <v>301.48</v>
      </c>
      <c r="E62" s="371"/>
      <c r="F62" s="372"/>
    </row>
    <row r="63" spans="3:10" ht="18.75" customHeight="1" thickTop="1">
      <c r="C63" s="726" t="s">
        <v>161</v>
      </c>
      <c r="D63" s="727"/>
      <c r="E63" s="727"/>
      <c r="F63" s="90"/>
    </row>
    <row r="64" spans="3:10" ht="18.75" customHeight="1">
      <c r="C64" s="394" t="s">
        <v>253</v>
      </c>
      <c r="D64" s="395"/>
      <c r="E64" s="395"/>
    </row>
    <row r="65" spans="3:9" ht="18.75" customHeight="1">
      <c r="C65" s="730" t="s">
        <v>387</v>
      </c>
      <c r="D65" s="730"/>
      <c r="E65" s="730"/>
      <c r="F65" s="730"/>
    </row>
    <row r="66" spans="3:9" ht="18.75" customHeight="1">
      <c r="C66" s="526"/>
      <c r="D66" s="526"/>
      <c r="E66" s="526"/>
      <c r="F66" s="526"/>
    </row>
    <row r="67" spans="3:9" ht="18.75" customHeight="1">
      <c r="C67" s="677" t="s">
        <v>397</v>
      </c>
      <c r="D67" s="677"/>
      <c r="E67" s="677"/>
      <c r="F67" s="677"/>
      <c r="G67" s="677"/>
      <c r="H67" s="677"/>
      <c r="I67" s="677"/>
    </row>
    <row r="68" spans="3:9" ht="18.75" customHeight="1">
      <c r="C68" s="677" t="s">
        <v>395</v>
      </c>
      <c r="D68" s="677"/>
      <c r="E68" s="677"/>
      <c r="F68" s="677"/>
      <c r="G68" s="677"/>
      <c r="H68" s="677"/>
      <c r="I68" s="677"/>
    </row>
    <row r="69" spans="3:9" ht="18.75" customHeight="1">
      <c r="C69" s="677" t="s">
        <v>396</v>
      </c>
      <c r="D69" s="677"/>
      <c r="E69" s="677"/>
      <c r="F69" s="677"/>
      <c r="G69" s="677"/>
      <c r="H69" s="677"/>
      <c r="I69" s="677"/>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9 DE MARZO 2019</v>
      </c>
      <c r="D74" s="36"/>
      <c r="E74" s="37"/>
      <c r="F74"/>
    </row>
    <row r="75" spans="3:9" ht="45" hidden="1" customHeight="1" thickTop="1">
      <c r="C75" s="58" t="s">
        <v>15</v>
      </c>
      <c r="D75" s="314" t="s">
        <v>218</v>
      </c>
      <c r="E75" s="59" t="s">
        <v>219</v>
      </c>
      <c r="F75" s="59" t="s">
        <v>220</v>
      </c>
      <c r="G75"/>
    </row>
    <row r="76" spans="3:9" ht="27.75" hidden="1" customHeight="1">
      <c r="C76" s="321" t="s">
        <v>19</v>
      </c>
      <c r="D76" s="322">
        <f>+D6</f>
        <v>5015.57</v>
      </c>
      <c r="E76" s="323">
        <f>+D76</f>
        <v>5015.57</v>
      </c>
      <c r="F76" s="323">
        <f>+D76*77%</f>
        <v>3861.9888999999998</v>
      </c>
      <c r="G76"/>
    </row>
    <row r="77" spans="3:9" ht="27.75" hidden="1" customHeight="1">
      <c r="C77" s="321" t="s">
        <v>34</v>
      </c>
      <c r="D77" s="322" t="e">
        <f>#REF!</f>
        <v>#REF!</v>
      </c>
      <c r="E77" s="323" t="e">
        <f>D77</f>
        <v>#REF!</v>
      </c>
      <c r="F77" s="323" t="e">
        <f>E77</f>
        <v>#REF!</v>
      </c>
      <c r="G77"/>
    </row>
    <row r="78" spans="3:9" ht="27.75" hidden="1" customHeight="1">
      <c r="C78" s="324" t="s">
        <v>20</v>
      </c>
      <c r="D78" s="322">
        <f>+D7</f>
        <v>503.70629078000002</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729" t="s">
        <v>194</v>
      </c>
      <c r="D84" s="729"/>
      <c r="E84" s="729"/>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9 DE MARZO 2019</v>
      </c>
      <c r="D89" s="50"/>
    </row>
    <row r="90" spans="1:7" ht="28.5" hidden="1" customHeight="1" thickTop="1">
      <c r="A90" s="51"/>
      <c r="B90" s="51"/>
      <c r="C90" s="58" t="s">
        <v>15</v>
      </c>
      <c r="D90" s="59" t="s">
        <v>54</v>
      </c>
    </row>
    <row r="91" spans="1:7" hidden="1">
      <c r="C91" s="321" t="s">
        <v>19</v>
      </c>
      <c r="D91" s="323">
        <f>+D6</f>
        <v>5015.57</v>
      </c>
    </row>
    <row r="92" spans="1:7" hidden="1">
      <c r="C92" s="321" t="s">
        <v>34</v>
      </c>
      <c r="D92" s="323" t="e">
        <f>#REF!</f>
        <v>#REF!</v>
      </c>
    </row>
    <row r="93" spans="1:7" hidden="1">
      <c r="C93" s="321" t="s">
        <v>20</v>
      </c>
      <c r="D93" s="323">
        <f>D78</f>
        <v>503.70629078000002</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728" t="s">
        <v>59</v>
      </c>
      <c r="D99" s="728"/>
    </row>
    <row r="100" spans="3:9" hidden="1"/>
    <row r="101" spans="3:9" hidden="1"/>
    <row r="102" spans="3:9" hidden="1"/>
    <row r="103" spans="3:9" hidden="1"/>
    <row r="104" spans="3:9" hidden="1"/>
    <row r="105" spans="3:9" hidden="1"/>
    <row r="106" spans="3:9" hidden="1"/>
    <row r="108" spans="3:9" ht="19.5" hidden="1" customHeight="1" outlineLevel="1">
      <c r="C108" s="311" t="s">
        <v>654</v>
      </c>
      <c r="D108" s="311" t="s">
        <v>207</v>
      </c>
      <c r="E108" s="311" t="s">
        <v>208</v>
      </c>
      <c r="F108" s="311" t="s">
        <v>209</v>
      </c>
    </row>
    <row r="109" spans="3:9" ht="19.5" hidden="1" customHeight="1" outlineLevel="1">
      <c r="C109" s="309" t="s">
        <v>210</v>
      </c>
      <c r="D109" s="310">
        <f>+E6</f>
        <v>5015.57</v>
      </c>
      <c r="E109" s="310">
        <f>+F6</f>
        <v>4012.4560000000001</v>
      </c>
      <c r="F109" s="559">
        <f>+D109-E109</f>
        <v>1003.1139999999996</v>
      </c>
      <c r="I109" s="560"/>
    </row>
    <row r="110" spans="3:9" ht="19.5" hidden="1" customHeight="1" outlineLevel="1">
      <c r="C110" s="309" t="s">
        <v>211</v>
      </c>
      <c r="D110" s="309">
        <f>+BIODIESEL!F10</f>
        <v>5222.42</v>
      </c>
      <c r="E110" s="310">
        <f>+I6</f>
        <v>4259.4277599999996</v>
      </c>
      <c r="F110" s="559">
        <f>+D110-E110</f>
        <v>962.99224000000049</v>
      </c>
      <c r="I110" s="560"/>
    </row>
    <row r="111" spans="3:9" ht="20.25" hidden="1" customHeight="1" outlineLevel="1">
      <c r="C111" s="309" t="s">
        <v>214</v>
      </c>
      <c r="D111" s="309">
        <f>+BIODIESEL!E10</f>
        <v>5119</v>
      </c>
      <c r="E111" s="310">
        <f>+J6</f>
        <v>4135.9418800000003</v>
      </c>
      <c r="F111" s="559">
        <f>+D111-E111</f>
        <v>983.05811999999969</v>
      </c>
      <c r="I111" s="560"/>
    </row>
    <row r="112" spans="3:9" ht="19.5" hidden="1" customHeight="1" outlineLevel="1">
      <c r="C112" s="561" t="s">
        <v>653</v>
      </c>
      <c r="D112" s="562">
        <f>+E6</f>
        <v>5015.57</v>
      </c>
      <c r="E112" s="562">
        <f>+D112*77%</f>
        <v>3861.9888999999998</v>
      </c>
      <c r="F112" s="563">
        <f>+D112-E112</f>
        <v>1153.5810999999999</v>
      </c>
      <c r="I112" s="560"/>
    </row>
    <row r="113" spans="3:9" ht="19.5" hidden="1" customHeight="1" outlineLevel="1">
      <c r="C113" s="561" t="s">
        <v>652</v>
      </c>
      <c r="D113" s="562">
        <f>D53</f>
        <v>5119</v>
      </c>
      <c r="E113" s="562">
        <f>F53</f>
        <v>3988.4841219999998</v>
      </c>
      <c r="F113" s="563">
        <f>+D113-E113</f>
        <v>1130.5158780000002</v>
      </c>
      <c r="I113" s="560"/>
    </row>
    <row r="114" spans="3:9" collapsed="1"/>
    <row r="117" spans="3:9" ht="93.75" customHeight="1">
      <c r="C117" s="673" t="s">
        <v>351</v>
      </c>
      <c r="D117" s="673"/>
      <c r="E117" s="673"/>
      <c r="F117" s="673"/>
      <c r="G117" s="673"/>
    </row>
  </sheetData>
  <sheetProtection password="C712" sheet="1" objects="1" scenarios="1"/>
  <mergeCells count="26">
    <mergeCell ref="C68:I68"/>
    <mergeCell ref="C20:I20"/>
    <mergeCell ref="C21:I21"/>
    <mergeCell ref="C22:I22"/>
    <mergeCell ref="C43:H43"/>
    <mergeCell ref="C1:H1"/>
    <mergeCell ref="C2:H2"/>
    <mergeCell ref="C3:H3"/>
    <mergeCell ref="C15:H15"/>
    <mergeCell ref="C16:H1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s>
  <phoneticPr fontId="16"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zoomScale="80" zoomScaleNormal="80" zoomScaleSheetLayoutView="40" workbookViewId="0">
      <selection activeCell="J11" sqref="J11"/>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734" t="s">
        <v>31</v>
      </c>
      <c r="B1" s="734"/>
      <c r="C1" s="734"/>
      <c r="D1" s="734"/>
      <c r="E1" s="734"/>
      <c r="F1" s="734"/>
      <c r="G1" s="514"/>
    </row>
    <row r="2" spans="1:13" s="20" customFormat="1" ht="56.25" customHeight="1">
      <c r="A2" s="735" t="s">
        <v>372</v>
      </c>
      <c r="B2" s="735"/>
      <c r="C2" s="735"/>
      <c r="D2" s="735"/>
      <c r="E2" s="735"/>
      <c r="F2" s="735"/>
      <c r="G2" s="515"/>
      <c r="I2" s="558"/>
      <c r="M2" s="502"/>
    </row>
    <row r="3" spans="1:13" ht="24.75" customHeight="1">
      <c r="A3" s="724" t="s">
        <v>24</v>
      </c>
      <c r="B3" s="724"/>
      <c r="C3" s="724"/>
      <c r="D3" s="724"/>
      <c r="E3" s="724"/>
      <c r="F3" s="724"/>
      <c r="G3" s="512"/>
      <c r="K3" s="197"/>
    </row>
    <row r="4" spans="1:13" ht="15">
      <c r="A4" s="32"/>
    </row>
    <row r="5" spans="1:13" ht="15.75" thickBot="1">
      <c r="A5" s="29" t="str">
        <f>+'COMBUSTIBLES '!A1</f>
        <v>9 DE MARZO 2019</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278</v>
      </c>
      <c r="F6" s="380" t="s">
        <v>164</v>
      </c>
      <c r="G6" s="380" t="s">
        <v>359</v>
      </c>
      <c r="H6" s="380" t="s">
        <v>279</v>
      </c>
      <c r="I6" s="380" t="s">
        <v>314</v>
      </c>
      <c r="J6" s="381" t="s">
        <v>313</v>
      </c>
    </row>
    <row r="7" spans="1:13" ht="27.75" customHeight="1">
      <c r="A7" s="130" t="s">
        <v>257</v>
      </c>
      <c r="B7" s="359">
        <v>6573.277396154821</v>
      </c>
      <c r="C7" s="359">
        <v>5151.5</v>
      </c>
      <c r="D7" s="359">
        <v>6400.7659640300717</v>
      </c>
      <c r="E7" s="359">
        <v>6647.4785961548214</v>
      </c>
      <c r="F7" s="359">
        <v>5117.2636246235679</v>
      </c>
      <c r="G7" s="359">
        <v>5419.7625549540617</v>
      </c>
      <c r="H7" s="444">
        <v>6400.7659640300717</v>
      </c>
      <c r="I7" s="359">
        <f>+D7</f>
        <v>6400.7659640300717</v>
      </c>
      <c r="J7" s="444">
        <f>+D7</f>
        <v>6400.7659640300717</v>
      </c>
    </row>
    <row r="8" spans="1:13" ht="27.75" customHeight="1">
      <c r="A8" s="367" t="s">
        <v>69</v>
      </c>
      <c r="B8" s="382">
        <v>0</v>
      </c>
      <c r="C8" s="383">
        <f>+BIODIESEL!B7</f>
        <v>10186.75</v>
      </c>
      <c r="D8" s="382">
        <v>0</v>
      </c>
      <c r="E8" s="382">
        <f>+C8</f>
        <v>10186.75</v>
      </c>
      <c r="F8" s="382">
        <v>0</v>
      </c>
      <c r="G8" s="382">
        <v>0</v>
      </c>
      <c r="H8" s="384">
        <f>+E8</f>
        <v>10186.75</v>
      </c>
      <c r="I8" s="359">
        <f>+D8</f>
        <v>0</v>
      </c>
      <c r="J8" s="444">
        <f>+D8</f>
        <v>0</v>
      </c>
    </row>
    <row r="9" spans="1:13" ht="35.25" customHeight="1">
      <c r="A9" s="385" t="s">
        <v>162</v>
      </c>
      <c r="B9" s="386">
        <f t="shared" ref="B9:H9" si="0">+B8*B5+B7*(1-B5)</f>
        <v>6573.277396154821</v>
      </c>
      <c r="C9" s="386">
        <f t="shared" si="0"/>
        <v>5352.91</v>
      </c>
      <c r="D9" s="386">
        <f t="shared" si="0"/>
        <v>6400.7659640300717</v>
      </c>
      <c r="E9" s="386">
        <f>(E8*E5)+E7*(1-E5)+0.01</f>
        <v>6718.274024231725</v>
      </c>
      <c r="F9" s="386">
        <f t="shared" si="0"/>
        <v>5117.2636246235679</v>
      </c>
      <c r="G9" s="386">
        <f t="shared" si="0"/>
        <v>5419.7625549540617</v>
      </c>
      <c r="H9" s="387">
        <f t="shared" si="0"/>
        <v>6476.4856447494694</v>
      </c>
      <c r="I9" s="468">
        <f>+D9</f>
        <v>6400.7659640300717</v>
      </c>
      <c r="J9" s="469">
        <f>+D9</f>
        <v>6400.7659640300717</v>
      </c>
    </row>
    <row r="10" spans="1:13" ht="27.75" customHeight="1">
      <c r="A10" s="367" t="s">
        <v>67</v>
      </c>
      <c r="B10" s="383">
        <f>+'COMBUSTIBLES '!E8</f>
        <v>7.9001000000000001</v>
      </c>
      <c r="C10" s="383">
        <f>+BIODIESEL!F14</f>
        <v>7.9001000000000001</v>
      </c>
      <c r="D10" s="383">
        <f>+'COMBUSTIBLES '!E8</f>
        <v>7.9001000000000001</v>
      </c>
      <c r="E10" s="383">
        <f>+BIODIESEL!E14</f>
        <v>7.9001000000000001</v>
      </c>
      <c r="F10" s="383">
        <f>'COMBUSTIBLES '!E8</f>
        <v>7.9001000000000001</v>
      </c>
      <c r="G10" s="383">
        <f>E10</f>
        <v>7.9001000000000001</v>
      </c>
      <c r="H10" s="388">
        <f>+BIODIESEL!E14</f>
        <v>7.9001000000000001</v>
      </c>
      <c r="I10" s="359">
        <v>0</v>
      </c>
      <c r="J10" s="444">
        <v>0</v>
      </c>
    </row>
    <row r="11" spans="1:13" ht="27.75" customHeight="1">
      <c r="A11" s="367" t="s">
        <v>196</v>
      </c>
      <c r="B11" s="359">
        <v>19.649999999999999</v>
      </c>
      <c r="C11" s="383">
        <f>+B11</f>
        <v>19.649999999999999</v>
      </c>
      <c r="D11" s="383">
        <f>+B11</f>
        <v>19.649999999999999</v>
      </c>
      <c r="E11" s="383">
        <f>+B11</f>
        <v>19.649999999999999</v>
      </c>
      <c r="F11" s="383">
        <f>+B11</f>
        <v>19.649999999999999</v>
      </c>
      <c r="G11" s="383">
        <f>+C11</f>
        <v>19.649999999999999</v>
      </c>
      <c r="H11" s="388">
        <f>+B11</f>
        <v>19.649999999999999</v>
      </c>
      <c r="I11" s="359">
        <f>+D11</f>
        <v>19.649999999999999</v>
      </c>
      <c r="J11" s="444">
        <f>+D11</f>
        <v>19.649999999999999</v>
      </c>
    </row>
    <row r="12" spans="1:13" ht="27.75" customHeight="1">
      <c r="A12" s="115" t="s">
        <v>245</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+D12</f>
        <v>71.510000000000005</v>
      </c>
      <c r="J12" s="444">
        <f>+D12</f>
        <v>71.510000000000005</v>
      </c>
    </row>
    <row r="13" spans="1:13" ht="27.75" customHeight="1">
      <c r="A13" s="367" t="str">
        <f>+'COMBUSTIBLES '!A11</f>
        <v>Impuesto Nacional a la Gasolina y al ACPM</v>
      </c>
      <c r="B13" s="383">
        <f>+'COMBUSTIBLES '!E11</f>
        <v>503.71</v>
      </c>
      <c r="C13" s="383">
        <f>+BIODIESEL!F11</f>
        <v>483.56</v>
      </c>
      <c r="D13" s="383">
        <f>+'COMBUSTIBLES '!E11</f>
        <v>503.71</v>
      </c>
      <c r="E13" s="383">
        <f>+BIODIESEL!E11</f>
        <v>493.63</v>
      </c>
      <c r="F13" s="383">
        <f>+'COMBUSTIBLES '!E11</f>
        <v>503.71</v>
      </c>
      <c r="G13" s="383">
        <f>+F13</f>
        <v>503.71</v>
      </c>
      <c r="H13" s="388">
        <f>+BIODIESEL!E11</f>
        <v>493.63</v>
      </c>
      <c r="I13" s="359">
        <f>'DIESEL MARINO '!D7</f>
        <v>503.70629078000002</v>
      </c>
      <c r="J13" s="444">
        <f>+'DIESEL MARINO '!F7</f>
        <v>641.9858843561625</v>
      </c>
    </row>
    <row r="14" spans="1:13" ht="27.75" customHeight="1">
      <c r="A14" s="367" t="s">
        <v>283</v>
      </c>
      <c r="B14" s="529" t="str">
        <f>+'COMBUSTIBLES '!C12</f>
        <v>(3)</v>
      </c>
      <c r="C14" s="529">
        <f>+C9*19%</f>
        <v>1017.0529</v>
      </c>
      <c r="D14" s="529" t="str">
        <f>+B14</f>
        <v>(3)</v>
      </c>
      <c r="E14" s="529" t="str">
        <f>+D14</f>
        <v>(3)</v>
      </c>
      <c r="F14" s="529" t="str">
        <f>+D14</f>
        <v>(3)</v>
      </c>
      <c r="G14" s="529" t="str">
        <f>+E14</f>
        <v>(3)</v>
      </c>
      <c r="H14" s="531" t="str">
        <f>+F14</f>
        <v>(3)</v>
      </c>
      <c r="I14" s="529" t="str">
        <f>+G14</f>
        <v>(3)</v>
      </c>
      <c r="J14" s="114" t="str">
        <f>+H14</f>
        <v>(3)</v>
      </c>
    </row>
    <row r="15" spans="1:13" ht="27.75" customHeight="1">
      <c r="A15" s="317" t="s">
        <v>376</v>
      </c>
      <c r="B15" s="383">
        <f>+'COMBUSTIBLES '!E13</f>
        <v>166</v>
      </c>
      <c r="C15" s="383"/>
      <c r="D15" s="383">
        <f>+B15</f>
        <v>166</v>
      </c>
      <c r="E15" s="383">
        <f>+BIODIESEL!E13</f>
        <v>162.68</v>
      </c>
      <c r="F15" s="383"/>
      <c r="G15" s="383"/>
      <c r="H15" s="388">
        <f>+E15</f>
        <v>162.68</v>
      </c>
      <c r="I15" s="359">
        <f>+D15</f>
        <v>166</v>
      </c>
      <c r="J15" s="444">
        <f>+I15</f>
        <v>166</v>
      </c>
      <c r="L15" s="522"/>
    </row>
    <row r="16" spans="1:13" ht="27.75" customHeight="1">
      <c r="A16" s="367" t="s">
        <v>259</v>
      </c>
      <c r="B16" s="389" t="s">
        <v>22</v>
      </c>
      <c r="C16" s="383" t="s">
        <v>22</v>
      </c>
      <c r="D16" s="383" t="str">
        <f t="shared" ref="D16:G17" si="1">+C16</f>
        <v>(***)</v>
      </c>
      <c r="E16" s="383" t="str">
        <f t="shared" si="1"/>
        <v>(***)</v>
      </c>
      <c r="F16" s="383" t="str">
        <f t="shared" si="1"/>
        <v>(***)</v>
      </c>
      <c r="G16" s="383" t="str">
        <f t="shared" si="1"/>
        <v>(***)</v>
      </c>
      <c r="H16" s="388" t="str">
        <f>+F16</f>
        <v>(***)</v>
      </c>
      <c r="I16" s="359" t="str">
        <f>+D16</f>
        <v>(***)</v>
      </c>
      <c r="J16" s="444" t="s">
        <v>22</v>
      </c>
    </row>
    <row r="17" spans="1:10" ht="27.75" customHeight="1">
      <c r="A17" s="367" t="s">
        <v>258</v>
      </c>
      <c r="B17" s="383" t="s">
        <v>231</v>
      </c>
      <c r="C17" s="383" t="str">
        <f>+B17</f>
        <v>(****)</v>
      </c>
      <c r="D17" s="383" t="str">
        <f t="shared" si="1"/>
        <v>(****)</v>
      </c>
      <c r="E17" s="383" t="str">
        <f t="shared" si="1"/>
        <v>(****)</v>
      </c>
      <c r="F17" s="383" t="str">
        <f t="shared" si="1"/>
        <v>(****)</v>
      </c>
      <c r="G17" s="383" t="str">
        <f t="shared" si="1"/>
        <v>(****)</v>
      </c>
      <c r="H17" s="388" t="str">
        <f>+F17</f>
        <v>(****)</v>
      </c>
      <c r="I17" s="359" t="str">
        <f>+D17</f>
        <v>(****)</v>
      </c>
      <c r="J17" s="444" t="s">
        <v>231</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08" t="s">
        <v>373</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736" t="s">
        <v>256</v>
      </c>
      <c r="B28" s="736"/>
      <c r="C28" s="736"/>
      <c r="D28" s="736"/>
      <c r="E28" s="736"/>
      <c r="F28" s="736"/>
      <c r="G28" s="516"/>
    </row>
    <row r="29" spans="1:10" s="23" customFormat="1" ht="8.25" customHeight="1">
      <c r="A29" s="21"/>
      <c r="B29" s="22"/>
      <c r="C29" s="22"/>
    </row>
    <row r="30" spans="1:10" s="23" customFormat="1" ht="30.75" customHeight="1">
      <c r="A30" s="736" t="s">
        <v>261</v>
      </c>
      <c r="B30" s="736"/>
      <c r="C30" s="736"/>
      <c r="D30" s="736"/>
      <c r="E30" s="736"/>
      <c r="F30" s="736"/>
      <c r="G30" s="516"/>
    </row>
    <row r="31" spans="1:10" s="23" customFormat="1" ht="5.25" customHeight="1">
      <c r="A31" s="21"/>
      <c r="B31" s="22"/>
      <c r="C31" s="22"/>
    </row>
    <row r="32" spans="1:10" s="23" customFormat="1" ht="38.25" customHeight="1">
      <c r="A32" s="733" t="s">
        <v>226</v>
      </c>
      <c r="B32" s="733"/>
      <c r="C32" s="733"/>
      <c r="D32" s="733"/>
      <c r="E32" s="733"/>
      <c r="F32" s="733"/>
      <c r="G32" s="513"/>
    </row>
    <row r="33" spans="1:7" s="23" customFormat="1" ht="15">
      <c r="A33" s="21" t="s">
        <v>161</v>
      </c>
      <c r="B33" s="22"/>
      <c r="C33" s="22"/>
    </row>
    <row r="34" spans="1:7" s="23" customFormat="1">
      <c r="A34" s="677" t="s">
        <v>397</v>
      </c>
      <c r="B34" s="677"/>
      <c r="C34" s="677"/>
      <c r="D34" s="677"/>
      <c r="E34" s="677"/>
      <c r="F34" s="677"/>
      <c r="G34" s="677"/>
    </row>
    <row r="35" spans="1:7">
      <c r="A35" s="677" t="s">
        <v>395</v>
      </c>
      <c r="B35" s="677"/>
      <c r="C35" s="677"/>
      <c r="D35" s="677"/>
      <c r="E35" s="677"/>
      <c r="F35" s="677"/>
      <c r="G35" s="677"/>
    </row>
    <row r="36" spans="1:7">
      <c r="A36" s="677" t="s">
        <v>396</v>
      </c>
      <c r="B36" s="677"/>
      <c r="C36" s="677"/>
      <c r="D36" s="677"/>
      <c r="E36" s="677"/>
      <c r="F36" s="677"/>
      <c r="G36" s="677"/>
    </row>
  </sheetData>
  <sheetProtection password="C712" sheet="1" objects="1" scenarios="1"/>
  <mergeCells count="9">
    <mergeCell ref="A34:G34"/>
    <mergeCell ref="A35:G35"/>
    <mergeCell ref="A36:G36"/>
    <mergeCell ref="A32:F32"/>
    <mergeCell ref="A1:F1"/>
    <mergeCell ref="A2:F2"/>
    <mergeCell ref="A3:F3"/>
    <mergeCell ref="A28:F28"/>
    <mergeCell ref="A30:F30"/>
  </mergeCells>
  <phoneticPr fontId="16"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showGridLines="0" zoomScaleNormal="100" zoomScaleSheetLayoutView="40" workbookViewId="0">
      <pane xSplit="26" ySplit="4" topLeftCell="BA48" activePane="bottomRight" state="frozen"/>
      <selection activeCell="C12" sqref="C12"/>
      <selection pane="topRight" activeCell="C12" sqref="C12"/>
      <selection pane="bottomLeft" activeCell="C12" sqref="C12"/>
      <selection pane="bottomRight" activeCell="BH65" sqref="BH65"/>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61" ht="15.75" thickBot="1">
      <c r="A1" s="200"/>
      <c r="B1" s="201"/>
      <c r="C1" s="201"/>
      <c r="D1" s="201"/>
      <c r="E1" s="201"/>
      <c r="F1" s="201"/>
      <c r="G1" s="201"/>
      <c r="H1" s="201"/>
      <c r="I1" s="202"/>
      <c r="J1" s="202"/>
      <c r="K1" s="203"/>
      <c r="L1" s="203"/>
      <c r="M1" s="203"/>
      <c r="N1" s="203"/>
      <c r="O1" s="203"/>
      <c r="P1" s="203"/>
      <c r="Q1" s="203"/>
      <c r="AA1" s="640" t="s">
        <v>70</v>
      </c>
      <c r="AB1" s="640"/>
      <c r="AC1" s="640"/>
      <c r="AD1" s="640" t="s">
        <v>71</v>
      </c>
      <c r="AE1" s="640"/>
      <c r="AF1" s="640"/>
      <c r="AG1" s="640" t="s">
        <v>170</v>
      </c>
      <c r="AH1" s="640"/>
      <c r="AI1" s="640"/>
      <c r="AJ1" s="640" t="s">
        <v>197</v>
      </c>
      <c r="AK1" s="640"/>
      <c r="AL1" s="640"/>
      <c r="AM1" s="201"/>
      <c r="AN1" s="642" t="s">
        <v>287</v>
      </c>
      <c r="AO1" s="642"/>
      <c r="AP1" s="642"/>
      <c r="AQ1" s="201"/>
      <c r="AR1" s="621" t="s">
        <v>354</v>
      </c>
      <c r="AS1" s="622"/>
      <c r="AT1" s="623"/>
      <c r="AU1" s="621" t="s">
        <v>356</v>
      </c>
      <c r="AV1" s="622"/>
      <c r="AW1" s="623"/>
      <c r="AX1" s="621" t="s">
        <v>370</v>
      </c>
      <c r="AY1" s="622"/>
      <c r="AZ1" s="623"/>
      <c r="BA1" s="621" t="s">
        <v>388</v>
      </c>
      <c r="BB1" s="622"/>
      <c r="BC1" s="623"/>
      <c r="BD1" s="621" t="s">
        <v>658</v>
      </c>
      <c r="BE1" s="622"/>
      <c r="BF1" s="623"/>
      <c r="BG1" s="621" t="s">
        <v>681</v>
      </c>
      <c r="BH1" s="622"/>
      <c r="BI1" s="623"/>
    </row>
    <row r="2" spans="1:61" ht="15" customHeight="1">
      <c r="A2" s="635" t="s">
        <v>72</v>
      </c>
      <c r="B2" s="636"/>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43" t="s">
        <v>75</v>
      </c>
      <c r="AO2" s="644"/>
      <c r="AP2" s="647">
        <v>0.03</v>
      </c>
      <c r="AQ2" s="493"/>
      <c r="AR2" s="624" t="s">
        <v>75</v>
      </c>
      <c r="AS2" s="625"/>
      <c r="AT2" s="628">
        <v>0.03</v>
      </c>
      <c r="AU2" s="624" t="s">
        <v>75</v>
      </c>
      <c r="AV2" s="625"/>
      <c r="AW2" s="628">
        <v>0.03</v>
      </c>
      <c r="AX2" s="624" t="s">
        <v>75</v>
      </c>
      <c r="AY2" s="625"/>
      <c r="AZ2" s="628">
        <v>0.03</v>
      </c>
      <c r="BA2" s="624" t="s">
        <v>75</v>
      </c>
      <c r="BB2" s="625"/>
      <c r="BC2" s="628">
        <v>0.03</v>
      </c>
      <c r="BD2" s="624" t="s">
        <v>75</v>
      </c>
      <c r="BE2" s="625"/>
      <c r="BF2" s="628">
        <v>0.03</v>
      </c>
      <c r="BG2" s="624" t="s">
        <v>75</v>
      </c>
      <c r="BH2" s="625"/>
      <c r="BI2" s="628">
        <v>0.03</v>
      </c>
    </row>
    <row r="3" spans="1:61" ht="55.5" customHeight="1" thickBot="1">
      <c r="A3" s="637"/>
      <c r="B3" s="638"/>
      <c r="C3" s="632" t="s">
        <v>76</v>
      </c>
      <c r="D3" s="633"/>
      <c r="E3" s="634"/>
      <c r="F3" s="632" t="s">
        <v>77</v>
      </c>
      <c r="G3" s="633"/>
      <c r="H3" s="634"/>
      <c r="I3" s="632" t="s">
        <v>78</v>
      </c>
      <c r="J3" s="633"/>
      <c r="K3" s="634"/>
      <c r="L3" s="632" t="s">
        <v>79</v>
      </c>
      <c r="M3" s="633"/>
      <c r="N3" s="634"/>
      <c r="O3" s="632" t="s">
        <v>80</v>
      </c>
      <c r="P3" s="633"/>
      <c r="Q3" s="634"/>
      <c r="R3" s="632" t="s">
        <v>81</v>
      </c>
      <c r="S3" s="633"/>
      <c r="T3" s="634"/>
      <c r="U3" s="632" t="s">
        <v>82</v>
      </c>
      <c r="V3" s="633"/>
      <c r="W3" s="634"/>
      <c r="X3" s="632" t="s">
        <v>83</v>
      </c>
      <c r="Y3" s="633"/>
      <c r="Z3" s="634"/>
      <c r="AA3" s="632"/>
      <c r="AB3" s="633"/>
      <c r="AC3" s="634"/>
      <c r="AD3" s="632"/>
      <c r="AE3" s="633"/>
      <c r="AF3" s="634"/>
      <c r="AG3" s="632"/>
      <c r="AH3" s="633"/>
      <c r="AI3" s="634"/>
      <c r="AJ3" s="632"/>
      <c r="AK3" s="633"/>
      <c r="AL3" s="634"/>
      <c r="AM3" s="421"/>
      <c r="AN3" s="645"/>
      <c r="AO3" s="646"/>
      <c r="AP3" s="648"/>
      <c r="AQ3" s="494"/>
      <c r="AR3" s="626"/>
      <c r="AS3" s="627"/>
      <c r="AT3" s="629"/>
      <c r="AU3" s="626"/>
      <c r="AV3" s="627"/>
      <c r="AW3" s="629"/>
      <c r="AX3" s="626"/>
      <c r="AY3" s="627"/>
      <c r="AZ3" s="629"/>
      <c r="BA3" s="626"/>
      <c r="BB3" s="627"/>
      <c r="BC3" s="629"/>
      <c r="BD3" s="626"/>
      <c r="BE3" s="627"/>
      <c r="BF3" s="629"/>
      <c r="BG3" s="626"/>
      <c r="BH3" s="627"/>
      <c r="BI3" s="629"/>
    </row>
    <row r="4" spans="1:61"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198</v>
      </c>
      <c r="AH4" s="215" t="s">
        <v>85</v>
      </c>
      <c r="AI4" s="214" t="s">
        <v>86</v>
      </c>
      <c r="AJ4" s="214" t="s">
        <v>212</v>
      </c>
      <c r="AK4" s="215" t="s">
        <v>85</v>
      </c>
      <c r="AL4" s="214" t="s">
        <v>86</v>
      </c>
      <c r="AM4" s="422"/>
      <c r="AN4" s="423" t="s">
        <v>288</v>
      </c>
      <c r="AO4" s="423" t="s">
        <v>85</v>
      </c>
      <c r="AP4" s="423" t="s">
        <v>86</v>
      </c>
      <c r="AQ4" s="495"/>
      <c r="AR4" s="496" t="s">
        <v>288</v>
      </c>
      <c r="AS4" s="496" t="s">
        <v>85</v>
      </c>
      <c r="AT4" s="496" t="s">
        <v>86</v>
      </c>
      <c r="AU4" s="496" t="s">
        <v>288</v>
      </c>
      <c r="AV4" s="496" t="s">
        <v>85</v>
      </c>
      <c r="AW4" s="496" t="s">
        <v>86</v>
      </c>
      <c r="AX4" s="496" t="s">
        <v>288</v>
      </c>
      <c r="AY4" s="496" t="s">
        <v>85</v>
      </c>
      <c r="AZ4" s="496" t="s">
        <v>86</v>
      </c>
      <c r="BA4" s="496" t="s">
        <v>288</v>
      </c>
      <c r="BB4" s="496" t="s">
        <v>85</v>
      </c>
      <c r="BC4" s="496" t="s">
        <v>86</v>
      </c>
      <c r="BD4" s="496" t="s">
        <v>288</v>
      </c>
      <c r="BE4" s="496" t="s">
        <v>85</v>
      </c>
      <c r="BF4" s="496" t="s">
        <v>86</v>
      </c>
      <c r="BG4" s="496" t="s">
        <v>288</v>
      </c>
      <c r="BH4" s="496" t="s">
        <v>85</v>
      </c>
      <c r="BI4" s="496" t="s">
        <v>86</v>
      </c>
    </row>
    <row r="5" spans="1:61"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c r="BD5" s="166"/>
      <c r="BE5" s="170"/>
      <c r="BF5" s="167"/>
      <c r="BG5" s="166"/>
      <c r="BH5" s="170"/>
      <c r="BI5" s="167"/>
    </row>
    <row r="6" spans="1:61"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c r="BD6" s="173"/>
      <c r="BE6" s="177"/>
      <c r="BF6" s="174"/>
      <c r="BG6" s="173"/>
      <c r="BH6" s="177"/>
      <c r="BI6" s="174"/>
    </row>
    <row r="7" spans="1:61"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AO7*(1+$AT$2)</f>
        <v>71.784951901800014</v>
      </c>
      <c r="AT7" s="426">
        <f>AP7*(1+$AT$2)</f>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0">AY7*(1+$BC$2)</f>
        <v>78.441355136798236</v>
      </c>
      <c r="BC7" s="426">
        <f t="shared" ref="BC7:BC38" si="1">AZ7*(1+$BC$2)</f>
        <v>3294.5369157455261</v>
      </c>
      <c r="BD7" s="424">
        <f t="shared" ref="BD7:BD38" si="2">BA7*(1+$BF$2)</f>
        <v>80.794595790902179</v>
      </c>
      <c r="BE7" s="425">
        <f t="shared" ref="BE7:BE38" si="3">BB7*(1+$BF$2)</f>
        <v>80.794595790902179</v>
      </c>
      <c r="BF7" s="426">
        <f t="shared" ref="BF7:BF38" si="4">BC7*(1+$BF$2)</f>
        <v>3393.3730232178918</v>
      </c>
      <c r="BG7" s="424">
        <f t="shared" ref="BG7:BG61" si="5">BD7*(1+$BF$2)</f>
        <v>83.218433664629245</v>
      </c>
      <c r="BH7" s="425">
        <f t="shared" ref="BH7:BH61" si="6">BE7*(1+$BF$2)</f>
        <v>83.218433664629245</v>
      </c>
      <c r="BI7" s="426">
        <f t="shared" ref="BI7:BI61" si="7">BF7*(1+$BF$2)</f>
        <v>3495.1742139144285</v>
      </c>
    </row>
    <row r="8" spans="1:61"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8">AD8*(1+$AI$2)</f>
        <v>65.693399999999997</v>
      </c>
      <c r="AH8" s="177">
        <f t="shared" si="8"/>
        <v>65.693399999999997</v>
      </c>
      <c r="AI8" s="174">
        <f>AH8*42</f>
        <v>2759.1228000000001</v>
      </c>
      <c r="AJ8" s="173">
        <f t="shared" ref="AJ8:AK20" si="9">AG8*(1+$AI$2)</f>
        <v>67.664202000000003</v>
      </c>
      <c r="AK8" s="177">
        <f t="shared" si="9"/>
        <v>67.664202000000003</v>
      </c>
      <c r="AL8" s="174">
        <f>AK8*42</f>
        <v>2841.8964840000003</v>
      </c>
      <c r="AM8" s="407" t="s">
        <v>95</v>
      </c>
      <c r="AN8" s="427">
        <v>69.694128060000011</v>
      </c>
      <c r="AO8" s="428">
        <v>69.694128060000011</v>
      </c>
      <c r="AP8" s="429">
        <v>2927.1533785200004</v>
      </c>
      <c r="AQ8" s="407" t="s">
        <v>95</v>
      </c>
      <c r="AR8" s="427">
        <f t="shared" ref="AR8:AR61" si="10">AN8*(1+$AT$2)</f>
        <v>71.784951901800014</v>
      </c>
      <c r="AS8" s="428">
        <f t="shared" ref="AS8:AS61" si="11">AO8*(1+$AT$2)</f>
        <v>71.784951901800014</v>
      </c>
      <c r="AT8" s="429">
        <f t="shared" ref="AT8:AT61" si="12">AP8*(1+$AT$2)</f>
        <v>3014.9679798756006</v>
      </c>
      <c r="AU8" s="427">
        <f t="shared" ref="AU8:AU61" si="13">AR8*(1+$AW$2)</f>
        <v>73.938500458854023</v>
      </c>
      <c r="AV8" s="428">
        <f t="shared" ref="AV8:AV61" si="14">AS8*(1+$AW$2)</f>
        <v>73.938500458854023</v>
      </c>
      <c r="AW8" s="429">
        <f t="shared" ref="AW8:AW61" si="15">AT8*(1+$AW$2)</f>
        <v>3105.4170192718689</v>
      </c>
      <c r="AX8" s="427">
        <f t="shared" ref="AX8:AX61" si="16">AU8*(1+$AZ$2)</f>
        <v>76.156655472619647</v>
      </c>
      <c r="AY8" s="428">
        <f t="shared" ref="AY8:AY61" si="17">AV8*(1+$AZ$2)</f>
        <v>76.156655472619647</v>
      </c>
      <c r="AZ8" s="429">
        <f t="shared" ref="AZ8:AZ61" si="18">AW8*(1+$AZ$2)</f>
        <v>3198.5795298500252</v>
      </c>
      <c r="BA8" s="427">
        <f t="shared" ref="BA8:BA38" si="19">AX8*(1+$BC$2)</f>
        <v>78.441355136798236</v>
      </c>
      <c r="BB8" s="428">
        <f t="shared" si="0"/>
        <v>78.441355136798236</v>
      </c>
      <c r="BC8" s="429">
        <f t="shared" si="1"/>
        <v>3294.5369157455261</v>
      </c>
      <c r="BD8" s="427">
        <f t="shared" si="2"/>
        <v>80.794595790902179</v>
      </c>
      <c r="BE8" s="428">
        <f t="shared" si="3"/>
        <v>80.794595790902179</v>
      </c>
      <c r="BF8" s="429">
        <f t="shared" si="4"/>
        <v>3393.3730232178918</v>
      </c>
      <c r="BG8" s="427">
        <f t="shared" si="5"/>
        <v>83.218433664629245</v>
      </c>
      <c r="BH8" s="428">
        <f t="shared" si="6"/>
        <v>83.218433664629245</v>
      </c>
      <c r="BI8" s="429">
        <f t="shared" si="7"/>
        <v>3495.1742139144285</v>
      </c>
    </row>
    <row r="9" spans="1:61"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20">AE9*42</f>
        <v>3924.4800000000005</v>
      </c>
      <c r="AG9" s="222">
        <f t="shared" si="8"/>
        <v>96.243200000000016</v>
      </c>
      <c r="AH9" s="225">
        <f t="shared" si="8"/>
        <v>96.243200000000016</v>
      </c>
      <c r="AI9" s="223">
        <f t="shared" ref="AI9:AI59" si="21">AH9*42</f>
        <v>4042.2144000000008</v>
      </c>
      <c r="AJ9" s="222">
        <f t="shared" si="9"/>
        <v>99.130496000000022</v>
      </c>
      <c r="AK9" s="225">
        <f t="shared" si="9"/>
        <v>99.130496000000022</v>
      </c>
      <c r="AL9" s="223">
        <f t="shared" ref="AL9:AL57" si="22">AK9*42</f>
        <v>4163.4808320000011</v>
      </c>
      <c r="AM9" s="408" t="s">
        <v>96</v>
      </c>
      <c r="AN9" s="430">
        <v>102.10441088000003</v>
      </c>
      <c r="AO9" s="431">
        <v>102.10441088000003</v>
      </c>
      <c r="AP9" s="432">
        <v>4288.3852569600012</v>
      </c>
      <c r="AQ9" s="408" t="s">
        <v>96</v>
      </c>
      <c r="AR9" s="430">
        <f t="shared" si="10"/>
        <v>105.16754320640004</v>
      </c>
      <c r="AS9" s="431">
        <f t="shared" si="11"/>
        <v>105.16754320640004</v>
      </c>
      <c r="AT9" s="432">
        <f t="shared" si="12"/>
        <v>4417.0368146688015</v>
      </c>
      <c r="AU9" s="430">
        <f t="shared" si="13"/>
        <v>108.32256950259205</v>
      </c>
      <c r="AV9" s="431">
        <f t="shared" si="14"/>
        <v>108.32256950259205</v>
      </c>
      <c r="AW9" s="432">
        <f t="shared" si="15"/>
        <v>4549.5479191088652</v>
      </c>
      <c r="AX9" s="430">
        <f t="shared" si="16"/>
        <v>111.57224658766981</v>
      </c>
      <c r="AY9" s="431">
        <f t="shared" si="17"/>
        <v>111.57224658766981</v>
      </c>
      <c r="AZ9" s="432">
        <f t="shared" si="18"/>
        <v>4686.0343566821311</v>
      </c>
      <c r="BA9" s="430">
        <f t="shared" si="19"/>
        <v>114.91941398529991</v>
      </c>
      <c r="BB9" s="431">
        <f t="shared" si="0"/>
        <v>114.91941398529991</v>
      </c>
      <c r="BC9" s="432">
        <f t="shared" si="1"/>
        <v>4826.6153873825951</v>
      </c>
      <c r="BD9" s="430">
        <f t="shared" si="2"/>
        <v>118.36699640485891</v>
      </c>
      <c r="BE9" s="431">
        <f t="shared" si="3"/>
        <v>118.36699640485891</v>
      </c>
      <c r="BF9" s="432">
        <f t="shared" si="4"/>
        <v>4971.4138490040732</v>
      </c>
      <c r="BG9" s="430">
        <f t="shared" si="5"/>
        <v>121.91800629700468</v>
      </c>
      <c r="BH9" s="431">
        <f t="shared" si="6"/>
        <v>121.91800629700468</v>
      </c>
      <c r="BI9" s="432">
        <f t="shared" si="7"/>
        <v>5120.5562644741958</v>
      </c>
    </row>
    <row r="10" spans="1:61"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20"/>
        <v>2388.54</v>
      </c>
      <c r="AG10" s="173">
        <f t="shared" si="8"/>
        <v>58.576099999999997</v>
      </c>
      <c r="AH10" s="177">
        <f t="shared" si="8"/>
        <v>58.576099999999997</v>
      </c>
      <c r="AI10" s="174">
        <f t="shared" si="21"/>
        <v>2460.1961999999999</v>
      </c>
      <c r="AJ10" s="173">
        <f t="shared" si="9"/>
        <v>60.333382999999998</v>
      </c>
      <c r="AK10" s="177">
        <f t="shared" si="9"/>
        <v>60.333382999999998</v>
      </c>
      <c r="AL10" s="174">
        <f t="shared" si="22"/>
        <v>2534.002086</v>
      </c>
      <c r="AM10" s="409" t="s">
        <v>97</v>
      </c>
      <c r="AN10" s="427">
        <v>62.143384490000003</v>
      </c>
      <c r="AO10" s="428">
        <v>62.143384490000003</v>
      </c>
      <c r="AP10" s="429">
        <v>2610.0221485800002</v>
      </c>
      <c r="AQ10" s="409" t="s">
        <v>97</v>
      </c>
      <c r="AR10" s="427">
        <f t="shared" si="10"/>
        <v>64.007686024700007</v>
      </c>
      <c r="AS10" s="428">
        <f t="shared" si="11"/>
        <v>64.007686024700007</v>
      </c>
      <c r="AT10" s="429">
        <f t="shared" si="12"/>
        <v>2688.3228130374005</v>
      </c>
      <c r="AU10" s="427">
        <f t="shared" si="13"/>
        <v>65.927916605441013</v>
      </c>
      <c r="AV10" s="428">
        <f t="shared" si="14"/>
        <v>65.927916605441013</v>
      </c>
      <c r="AW10" s="429">
        <f t="shared" si="15"/>
        <v>2768.9724974285227</v>
      </c>
      <c r="AX10" s="427">
        <f t="shared" si="16"/>
        <v>67.905754103604238</v>
      </c>
      <c r="AY10" s="428">
        <f t="shared" si="17"/>
        <v>67.905754103604238</v>
      </c>
      <c r="AZ10" s="429">
        <f t="shared" si="18"/>
        <v>2852.0416723513786</v>
      </c>
      <c r="BA10" s="427">
        <f t="shared" si="19"/>
        <v>69.942926726712372</v>
      </c>
      <c r="BB10" s="428">
        <f t="shared" si="0"/>
        <v>69.942926726712372</v>
      </c>
      <c r="BC10" s="429">
        <f t="shared" si="1"/>
        <v>2937.6029225219199</v>
      </c>
      <c r="BD10" s="427">
        <f t="shared" si="2"/>
        <v>72.041214528513748</v>
      </c>
      <c r="BE10" s="428">
        <f t="shared" si="3"/>
        <v>72.041214528513748</v>
      </c>
      <c r="BF10" s="429">
        <f t="shared" si="4"/>
        <v>3025.7310101975777</v>
      </c>
      <c r="BG10" s="427">
        <f t="shared" si="5"/>
        <v>74.202450964369163</v>
      </c>
      <c r="BH10" s="428">
        <f t="shared" si="6"/>
        <v>74.202450964369163</v>
      </c>
      <c r="BI10" s="429">
        <f t="shared" si="7"/>
        <v>3116.5029405035052</v>
      </c>
    </row>
    <row r="11" spans="1:61"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20"/>
        <v>2388.54</v>
      </c>
      <c r="AG11" s="222">
        <f t="shared" si="8"/>
        <v>58.576099999999997</v>
      </c>
      <c r="AH11" s="225">
        <f t="shared" si="8"/>
        <v>58.576099999999997</v>
      </c>
      <c r="AI11" s="223">
        <f t="shared" si="21"/>
        <v>2460.1961999999999</v>
      </c>
      <c r="AJ11" s="222">
        <f t="shared" si="9"/>
        <v>60.333382999999998</v>
      </c>
      <c r="AK11" s="225">
        <f t="shared" si="9"/>
        <v>60.333382999999998</v>
      </c>
      <c r="AL11" s="223">
        <f t="shared" si="22"/>
        <v>2534.002086</v>
      </c>
      <c r="AM11" s="408" t="s">
        <v>98</v>
      </c>
      <c r="AN11" s="430">
        <v>62.143384490000003</v>
      </c>
      <c r="AO11" s="431">
        <v>62.143384490000003</v>
      </c>
      <c r="AP11" s="432">
        <v>2610.0221485800002</v>
      </c>
      <c r="AQ11" s="408" t="s">
        <v>98</v>
      </c>
      <c r="AR11" s="430">
        <f t="shared" si="10"/>
        <v>64.007686024700007</v>
      </c>
      <c r="AS11" s="431">
        <f t="shared" si="11"/>
        <v>64.007686024700007</v>
      </c>
      <c r="AT11" s="432">
        <f t="shared" si="12"/>
        <v>2688.3228130374005</v>
      </c>
      <c r="AU11" s="430">
        <f t="shared" si="13"/>
        <v>65.927916605441013</v>
      </c>
      <c r="AV11" s="431">
        <f t="shared" si="14"/>
        <v>65.927916605441013</v>
      </c>
      <c r="AW11" s="432">
        <f t="shared" si="15"/>
        <v>2768.9724974285227</v>
      </c>
      <c r="AX11" s="430">
        <f t="shared" si="16"/>
        <v>67.905754103604238</v>
      </c>
      <c r="AY11" s="431">
        <f t="shared" si="17"/>
        <v>67.905754103604238</v>
      </c>
      <c r="AZ11" s="432">
        <f t="shared" si="18"/>
        <v>2852.0416723513786</v>
      </c>
      <c r="BA11" s="430">
        <f t="shared" si="19"/>
        <v>69.942926726712372</v>
      </c>
      <c r="BB11" s="431">
        <f t="shared" si="0"/>
        <v>69.942926726712372</v>
      </c>
      <c r="BC11" s="432">
        <f t="shared" si="1"/>
        <v>2937.6029225219199</v>
      </c>
      <c r="BD11" s="430">
        <f t="shared" si="2"/>
        <v>72.041214528513748</v>
      </c>
      <c r="BE11" s="431">
        <f t="shared" si="3"/>
        <v>72.041214528513748</v>
      </c>
      <c r="BF11" s="432">
        <f t="shared" si="4"/>
        <v>3025.7310101975777</v>
      </c>
      <c r="BG11" s="430">
        <f t="shared" si="5"/>
        <v>74.202450964369163</v>
      </c>
      <c r="BH11" s="431">
        <f t="shared" si="6"/>
        <v>74.202450964369163</v>
      </c>
      <c r="BI11" s="432">
        <f t="shared" si="7"/>
        <v>3116.5029405035052</v>
      </c>
    </row>
    <row r="12" spans="1:61"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20"/>
        <v>3121.4399999999996</v>
      </c>
      <c r="AG12" s="173">
        <f t="shared" si="8"/>
        <v>76.549599999999998</v>
      </c>
      <c r="AH12" s="177">
        <f t="shared" si="8"/>
        <v>76.549599999999998</v>
      </c>
      <c r="AI12" s="174">
        <f t="shared" si="21"/>
        <v>3215.0832</v>
      </c>
      <c r="AJ12" s="173">
        <f t="shared" si="9"/>
        <v>78.846087999999995</v>
      </c>
      <c r="AK12" s="177">
        <f t="shared" si="9"/>
        <v>78.846087999999995</v>
      </c>
      <c r="AL12" s="174">
        <f t="shared" si="22"/>
        <v>3311.5356959999999</v>
      </c>
      <c r="AM12" s="409" t="s">
        <v>99</v>
      </c>
      <c r="AN12" s="427">
        <v>81.211470640000002</v>
      </c>
      <c r="AO12" s="428">
        <v>81.211470640000002</v>
      </c>
      <c r="AP12" s="429">
        <v>3410.8817668800002</v>
      </c>
      <c r="AQ12" s="409" t="s">
        <v>99</v>
      </c>
      <c r="AR12" s="427">
        <f t="shared" si="10"/>
        <v>83.647814759200003</v>
      </c>
      <c r="AS12" s="428">
        <f t="shared" si="11"/>
        <v>83.647814759200003</v>
      </c>
      <c r="AT12" s="429">
        <f t="shared" si="12"/>
        <v>3513.2082198864005</v>
      </c>
      <c r="AU12" s="427">
        <f t="shared" si="13"/>
        <v>86.157249201976001</v>
      </c>
      <c r="AV12" s="428">
        <f t="shared" si="14"/>
        <v>86.157249201976001</v>
      </c>
      <c r="AW12" s="429">
        <f t="shared" si="15"/>
        <v>3618.6044664829924</v>
      </c>
      <c r="AX12" s="427">
        <f t="shared" si="16"/>
        <v>88.741966678035283</v>
      </c>
      <c r="AY12" s="428">
        <f t="shared" si="17"/>
        <v>88.741966678035283</v>
      </c>
      <c r="AZ12" s="429">
        <f t="shared" si="18"/>
        <v>3727.1626004774821</v>
      </c>
      <c r="BA12" s="427">
        <f t="shared" si="19"/>
        <v>91.404225678376349</v>
      </c>
      <c r="BB12" s="428">
        <f t="shared" si="0"/>
        <v>91.404225678376349</v>
      </c>
      <c r="BC12" s="429">
        <f t="shared" si="1"/>
        <v>3838.9774784918068</v>
      </c>
      <c r="BD12" s="427">
        <f t="shared" si="2"/>
        <v>94.14635244872764</v>
      </c>
      <c r="BE12" s="428">
        <f t="shared" si="3"/>
        <v>94.14635244872764</v>
      </c>
      <c r="BF12" s="429">
        <f t="shared" si="4"/>
        <v>3954.1468028465611</v>
      </c>
      <c r="BG12" s="427">
        <f t="shared" si="5"/>
        <v>96.970743022189467</v>
      </c>
      <c r="BH12" s="428">
        <f t="shared" si="6"/>
        <v>96.970743022189467</v>
      </c>
      <c r="BI12" s="429">
        <f t="shared" si="7"/>
        <v>4072.7712069319582</v>
      </c>
    </row>
    <row r="13" spans="1:61"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20"/>
        <v>5346.5999999999995</v>
      </c>
      <c r="AG13" s="173">
        <f t="shared" si="8"/>
        <v>131.119</v>
      </c>
      <c r="AH13" s="177">
        <f t="shared" si="8"/>
        <v>131.119</v>
      </c>
      <c r="AI13" s="174">
        <f t="shared" si="21"/>
        <v>5506.9979999999996</v>
      </c>
      <c r="AJ13" s="173">
        <f t="shared" si="9"/>
        <v>135.05257</v>
      </c>
      <c r="AK13" s="177">
        <f t="shared" si="9"/>
        <v>135.05257</v>
      </c>
      <c r="AL13" s="174">
        <f t="shared" si="22"/>
        <v>5672.2079400000002</v>
      </c>
      <c r="AM13" s="409" t="s">
        <v>100</v>
      </c>
      <c r="AN13" s="427">
        <v>139.10414710000001</v>
      </c>
      <c r="AO13" s="428">
        <v>139.10414710000001</v>
      </c>
      <c r="AP13" s="429">
        <v>5842.3741782000006</v>
      </c>
      <c r="AQ13" s="409" t="s">
        <v>100</v>
      </c>
      <c r="AR13" s="427">
        <f t="shared" si="10"/>
        <v>143.27727151300002</v>
      </c>
      <c r="AS13" s="428">
        <f t="shared" si="11"/>
        <v>143.27727151300002</v>
      </c>
      <c r="AT13" s="429">
        <f t="shared" si="12"/>
        <v>6017.645403546001</v>
      </c>
      <c r="AU13" s="427">
        <f t="shared" si="13"/>
        <v>147.57558965839002</v>
      </c>
      <c r="AV13" s="428">
        <f t="shared" si="14"/>
        <v>147.57558965839002</v>
      </c>
      <c r="AW13" s="429">
        <f t="shared" si="15"/>
        <v>6198.1747656523812</v>
      </c>
      <c r="AX13" s="427">
        <f t="shared" si="16"/>
        <v>152.00285734814173</v>
      </c>
      <c r="AY13" s="428">
        <f t="shared" si="17"/>
        <v>152.00285734814173</v>
      </c>
      <c r="AZ13" s="429">
        <f t="shared" si="18"/>
        <v>6384.1200086219524</v>
      </c>
      <c r="BA13" s="427">
        <f t="shared" si="19"/>
        <v>156.56294306858598</v>
      </c>
      <c r="BB13" s="428">
        <f t="shared" si="0"/>
        <v>156.56294306858598</v>
      </c>
      <c r="BC13" s="429">
        <f t="shared" si="1"/>
        <v>6575.6436088806113</v>
      </c>
      <c r="BD13" s="427">
        <f t="shared" si="2"/>
        <v>161.25983136064357</v>
      </c>
      <c r="BE13" s="428">
        <f t="shared" si="3"/>
        <v>161.25983136064357</v>
      </c>
      <c r="BF13" s="429">
        <f t="shared" si="4"/>
        <v>6772.9129171470295</v>
      </c>
      <c r="BG13" s="427">
        <f t="shared" si="5"/>
        <v>166.0976263014629</v>
      </c>
      <c r="BH13" s="428">
        <f t="shared" si="6"/>
        <v>166.0976263014629</v>
      </c>
      <c r="BI13" s="429">
        <f t="shared" si="7"/>
        <v>6976.1003046614405</v>
      </c>
    </row>
    <row r="14" spans="1:61"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20"/>
        <v>3981.6</v>
      </c>
      <c r="AG14" s="233">
        <f t="shared" si="8"/>
        <v>97.644000000000005</v>
      </c>
      <c r="AH14" s="225">
        <f t="shared" si="8"/>
        <v>97.644000000000005</v>
      </c>
      <c r="AI14" s="234">
        <f t="shared" si="21"/>
        <v>4101.0480000000007</v>
      </c>
      <c r="AJ14" s="233">
        <f t="shared" si="9"/>
        <v>100.57332000000001</v>
      </c>
      <c r="AK14" s="225">
        <f t="shared" si="9"/>
        <v>100.57332000000001</v>
      </c>
      <c r="AL14" s="234">
        <f>AK14*42</f>
        <v>4224.0794400000004</v>
      </c>
      <c r="AM14" s="409" t="s">
        <v>101</v>
      </c>
      <c r="AN14" s="427">
        <v>103.59051960000001</v>
      </c>
      <c r="AO14" s="428">
        <v>103.59051960000001</v>
      </c>
      <c r="AP14" s="429">
        <v>4350.8018232000004</v>
      </c>
      <c r="AQ14" s="409" t="s">
        <v>101</v>
      </c>
      <c r="AR14" s="427">
        <f t="shared" si="10"/>
        <v>106.69823518800001</v>
      </c>
      <c r="AS14" s="428">
        <f t="shared" si="11"/>
        <v>106.69823518800001</v>
      </c>
      <c r="AT14" s="429">
        <f t="shared" si="12"/>
        <v>4481.3258778960007</v>
      </c>
      <c r="AU14" s="427">
        <f t="shared" si="13"/>
        <v>109.89918224364001</v>
      </c>
      <c r="AV14" s="428">
        <f t="shared" si="14"/>
        <v>109.89918224364001</v>
      </c>
      <c r="AW14" s="429">
        <f t="shared" si="15"/>
        <v>4615.7656542328805</v>
      </c>
      <c r="AX14" s="427">
        <f t="shared" si="16"/>
        <v>113.19615771094922</v>
      </c>
      <c r="AY14" s="428">
        <f t="shared" si="17"/>
        <v>113.19615771094922</v>
      </c>
      <c r="AZ14" s="429">
        <f t="shared" si="18"/>
        <v>4754.2386238598674</v>
      </c>
      <c r="BA14" s="427">
        <f t="shared" si="19"/>
        <v>116.5920424422777</v>
      </c>
      <c r="BB14" s="428">
        <f t="shared" si="0"/>
        <v>116.5920424422777</v>
      </c>
      <c r="BC14" s="429">
        <f t="shared" si="1"/>
        <v>4896.8657825756636</v>
      </c>
      <c r="BD14" s="427">
        <f t="shared" si="2"/>
        <v>120.08980371554604</v>
      </c>
      <c r="BE14" s="428">
        <f t="shared" si="3"/>
        <v>120.08980371554604</v>
      </c>
      <c r="BF14" s="429">
        <f t="shared" si="4"/>
        <v>5043.7717560529336</v>
      </c>
      <c r="BG14" s="427">
        <f t="shared" si="5"/>
        <v>123.69249782701243</v>
      </c>
      <c r="BH14" s="428">
        <f t="shared" si="6"/>
        <v>123.69249782701243</v>
      </c>
      <c r="BI14" s="429">
        <f t="shared" si="7"/>
        <v>5195.0849087345214</v>
      </c>
    </row>
    <row r="15" spans="1:61"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20"/>
        <v>3121.4399999999996</v>
      </c>
      <c r="AG15" s="173">
        <f t="shared" si="8"/>
        <v>76.549599999999998</v>
      </c>
      <c r="AH15" s="177">
        <f t="shared" si="8"/>
        <v>76.549599999999998</v>
      </c>
      <c r="AI15" s="174">
        <f t="shared" si="21"/>
        <v>3215.0832</v>
      </c>
      <c r="AJ15" s="173">
        <f t="shared" si="9"/>
        <v>78.846087999999995</v>
      </c>
      <c r="AK15" s="177">
        <f t="shared" si="9"/>
        <v>78.846087999999995</v>
      </c>
      <c r="AL15" s="174">
        <f t="shared" si="22"/>
        <v>3311.5356959999999</v>
      </c>
      <c r="AM15" s="410" t="s">
        <v>284</v>
      </c>
      <c r="AN15" s="430">
        <v>0.45629000000000003</v>
      </c>
      <c r="AO15" s="431">
        <v>104.04680960000002</v>
      </c>
      <c r="AP15" s="432">
        <v>4369.9660032000002</v>
      </c>
      <c r="AQ15" s="410" t="s">
        <v>284</v>
      </c>
      <c r="AR15" s="430">
        <f t="shared" si="10"/>
        <v>0.46997870000000003</v>
      </c>
      <c r="AS15" s="431">
        <f t="shared" si="11"/>
        <v>107.16821388800003</v>
      </c>
      <c r="AT15" s="432">
        <f t="shared" si="12"/>
        <v>4501.0649832960007</v>
      </c>
      <c r="AU15" s="430">
        <f t="shared" si="13"/>
        <v>0.48407806100000006</v>
      </c>
      <c r="AV15" s="431">
        <f t="shared" si="14"/>
        <v>110.38326030464003</v>
      </c>
      <c r="AW15" s="432">
        <f t="shared" si="15"/>
        <v>4636.0969327948806</v>
      </c>
      <c r="AX15" s="430">
        <f t="shared" si="16"/>
        <v>0.49860040283000007</v>
      </c>
      <c r="AY15" s="431">
        <f t="shared" si="17"/>
        <v>113.69475811377923</v>
      </c>
      <c r="AZ15" s="432">
        <f t="shared" si="18"/>
        <v>4775.1798407787273</v>
      </c>
      <c r="BA15" s="430">
        <f t="shared" si="19"/>
        <v>0.51355841491490006</v>
      </c>
      <c r="BB15" s="431">
        <f t="shared" si="0"/>
        <v>117.10560085719261</v>
      </c>
      <c r="BC15" s="432">
        <f t="shared" si="1"/>
        <v>4918.4352360020894</v>
      </c>
      <c r="BD15" s="430">
        <f t="shared" si="2"/>
        <v>0.52896516736234711</v>
      </c>
      <c r="BE15" s="431">
        <f t="shared" si="3"/>
        <v>120.6187688829084</v>
      </c>
      <c r="BF15" s="432">
        <f t="shared" si="4"/>
        <v>5065.9882930821523</v>
      </c>
      <c r="BG15" s="430">
        <f t="shared" si="5"/>
        <v>0.54483412238321749</v>
      </c>
      <c r="BH15" s="431">
        <f t="shared" si="6"/>
        <v>124.23733194939565</v>
      </c>
      <c r="BI15" s="432">
        <f t="shared" si="7"/>
        <v>5217.9679418746173</v>
      </c>
    </row>
    <row r="16" spans="1:61"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20"/>
        <v>6046.74</v>
      </c>
      <c r="AG16" s="173">
        <f t="shared" si="8"/>
        <v>148.28909999999999</v>
      </c>
      <c r="AH16" s="177">
        <f t="shared" si="8"/>
        <v>148.28909999999999</v>
      </c>
      <c r="AI16" s="174">
        <f t="shared" si="21"/>
        <v>6228.1421999999993</v>
      </c>
      <c r="AJ16" s="173">
        <f t="shared" si="9"/>
        <v>152.737773</v>
      </c>
      <c r="AK16" s="177">
        <f t="shared" si="9"/>
        <v>152.737773</v>
      </c>
      <c r="AL16" s="174">
        <f>AK16*42</f>
        <v>6414.9864660000003</v>
      </c>
      <c r="AM16" s="409" t="s">
        <v>99</v>
      </c>
      <c r="AN16" s="427">
        <v>81.211470640000002</v>
      </c>
      <c r="AO16" s="428">
        <v>81.211470640000002</v>
      </c>
      <c r="AP16" s="429">
        <v>3410.8817668800002</v>
      </c>
      <c r="AQ16" s="409" t="s">
        <v>99</v>
      </c>
      <c r="AR16" s="427">
        <f t="shared" si="10"/>
        <v>83.647814759200003</v>
      </c>
      <c r="AS16" s="428">
        <f t="shared" si="11"/>
        <v>83.647814759200003</v>
      </c>
      <c r="AT16" s="429">
        <f t="shared" si="12"/>
        <v>3513.2082198864005</v>
      </c>
      <c r="AU16" s="427">
        <f t="shared" si="13"/>
        <v>86.157249201976001</v>
      </c>
      <c r="AV16" s="428">
        <f t="shared" si="14"/>
        <v>86.157249201976001</v>
      </c>
      <c r="AW16" s="429">
        <f t="shared" si="15"/>
        <v>3618.6044664829924</v>
      </c>
      <c r="AX16" s="427">
        <f t="shared" si="16"/>
        <v>88.741966678035283</v>
      </c>
      <c r="AY16" s="428">
        <f t="shared" si="17"/>
        <v>88.741966678035283</v>
      </c>
      <c r="AZ16" s="429">
        <f t="shared" si="18"/>
        <v>3727.1626004774821</v>
      </c>
      <c r="BA16" s="427">
        <f t="shared" si="19"/>
        <v>91.404225678376349</v>
      </c>
      <c r="BB16" s="428">
        <f t="shared" si="0"/>
        <v>91.404225678376349</v>
      </c>
      <c r="BC16" s="429">
        <f t="shared" si="1"/>
        <v>3838.9774784918068</v>
      </c>
      <c r="BD16" s="427">
        <f t="shared" si="2"/>
        <v>94.14635244872764</v>
      </c>
      <c r="BE16" s="428">
        <f t="shared" si="3"/>
        <v>94.14635244872764</v>
      </c>
      <c r="BF16" s="429">
        <f t="shared" si="4"/>
        <v>3954.1468028465611</v>
      </c>
      <c r="BG16" s="427">
        <f t="shared" si="5"/>
        <v>96.970743022189467</v>
      </c>
      <c r="BH16" s="428">
        <f t="shared" si="6"/>
        <v>96.970743022189467</v>
      </c>
      <c r="BI16" s="429">
        <f t="shared" si="7"/>
        <v>4072.7712069319582</v>
      </c>
    </row>
    <row r="17" spans="1:61"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20"/>
        <v>13382.88</v>
      </c>
      <c r="AG17" s="222">
        <f t="shared" si="8"/>
        <v>179.9101</v>
      </c>
      <c r="AH17" s="225">
        <f t="shared" si="8"/>
        <v>328.19920000000002</v>
      </c>
      <c r="AI17" s="223">
        <f>AH17*42</f>
        <v>13784.366400000001</v>
      </c>
      <c r="AJ17" s="222">
        <f t="shared" si="9"/>
        <v>185.30740299999999</v>
      </c>
      <c r="AK17" s="225">
        <f t="shared" si="9"/>
        <v>338.04517600000003</v>
      </c>
      <c r="AL17" s="223">
        <f t="shared" si="22"/>
        <v>14197.897392000001</v>
      </c>
      <c r="AM17" s="409" t="s">
        <v>102</v>
      </c>
      <c r="AN17" s="427">
        <v>157.31990619000001</v>
      </c>
      <c r="AO17" s="428">
        <v>157.31990619000001</v>
      </c>
      <c r="AP17" s="429">
        <v>6607.4360599800002</v>
      </c>
      <c r="AQ17" s="409" t="s">
        <v>102</v>
      </c>
      <c r="AR17" s="427">
        <f t="shared" si="10"/>
        <v>162.03950337570001</v>
      </c>
      <c r="AS17" s="428">
        <f t="shared" si="11"/>
        <v>162.03950337570001</v>
      </c>
      <c r="AT17" s="429">
        <f t="shared" si="12"/>
        <v>6805.6591417794007</v>
      </c>
      <c r="AU17" s="427">
        <f t="shared" si="13"/>
        <v>166.900688476971</v>
      </c>
      <c r="AV17" s="428">
        <f t="shared" si="14"/>
        <v>166.900688476971</v>
      </c>
      <c r="AW17" s="429">
        <f t="shared" si="15"/>
        <v>7009.8289160327831</v>
      </c>
      <c r="AX17" s="427">
        <f t="shared" si="16"/>
        <v>171.90770913128014</v>
      </c>
      <c r="AY17" s="428">
        <f t="shared" si="17"/>
        <v>171.90770913128014</v>
      </c>
      <c r="AZ17" s="429">
        <f t="shared" si="18"/>
        <v>7220.1237835137672</v>
      </c>
      <c r="BA17" s="427">
        <f t="shared" si="19"/>
        <v>177.06494040521855</v>
      </c>
      <c r="BB17" s="428">
        <f t="shared" si="0"/>
        <v>177.06494040521855</v>
      </c>
      <c r="BC17" s="429">
        <f t="shared" si="1"/>
        <v>7436.7274970191802</v>
      </c>
      <c r="BD17" s="427">
        <f t="shared" si="2"/>
        <v>182.3768886173751</v>
      </c>
      <c r="BE17" s="428">
        <f t="shared" si="3"/>
        <v>182.3768886173751</v>
      </c>
      <c r="BF17" s="429">
        <f t="shared" si="4"/>
        <v>7659.8293219297557</v>
      </c>
      <c r="BG17" s="427">
        <f t="shared" si="5"/>
        <v>187.84819527589636</v>
      </c>
      <c r="BH17" s="428">
        <f t="shared" si="6"/>
        <v>187.84819527589636</v>
      </c>
      <c r="BI17" s="429">
        <f t="shared" si="7"/>
        <v>7889.6242015876487</v>
      </c>
    </row>
    <row r="18" spans="1:61"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20"/>
        <v>3121.4399999999996</v>
      </c>
      <c r="AG18" s="173">
        <f t="shared" si="8"/>
        <v>76.549599999999998</v>
      </c>
      <c r="AH18" s="177">
        <f t="shared" si="8"/>
        <v>76.549599999999998</v>
      </c>
      <c r="AI18" s="174">
        <f t="shared" si="21"/>
        <v>3215.0832</v>
      </c>
      <c r="AJ18" s="173">
        <f t="shared" si="9"/>
        <v>78.846087999999995</v>
      </c>
      <c r="AK18" s="177">
        <f t="shared" si="9"/>
        <v>78.846087999999995</v>
      </c>
      <c r="AL18" s="174">
        <f t="shared" si="22"/>
        <v>3311.5356959999999</v>
      </c>
      <c r="AM18" s="411" t="s">
        <v>103</v>
      </c>
      <c r="AN18" s="430">
        <v>190.86662508999999</v>
      </c>
      <c r="AO18" s="431">
        <v>348.18653128000005</v>
      </c>
      <c r="AP18" s="432">
        <v>14623.83431376</v>
      </c>
      <c r="AQ18" s="411" t="s">
        <v>103</v>
      </c>
      <c r="AR18" s="430">
        <f t="shared" si="10"/>
        <v>196.59262384269999</v>
      </c>
      <c r="AS18" s="431">
        <f t="shared" si="11"/>
        <v>358.63212721840006</v>
      </c>
      <c r="AT18" s="432">
        <f t="shared" si="12"/>
        <v>15062.549343172801</v>
      </c>
      <c r="AU18" s="430">
        <f t="shared" si="13"/>
        <v>202.49040255798099</v>
      </c>
      <c r="AV18" s="431">
        <f t="shared" si="14"/>
        <v>369.39109103495207</v>
      </c>
      <c r="AW18" s="432">
        <f t="shared" si="15"/>
        <v>15514.425823467986</v>
      </c>
      <c r="AX18" s="430">
        <f t="shared" si="16"/>
        <v>208.56511463472043</v>
      </c>
      <c r="AY18" s="431">
        <f t="shared" si="17"/>
        <v>380.47282376600066</v>
      </c>
      <c r="AZ18" s="432">
        <f t="shared" si="18"/>
        <v>15979.858598172026</v>
      </c>
      <c r="BA18" s="430">
        <f t="shared" si="19"/>
        <v>214.82206807376204</v>
      </c>
      <c r="BB18" s="431">
        <f t="shared" si="0"/>
        <v>391.8870084789807</v>
      </c>
      <c r="BC18" s="432">
        <f t="shared" si="1"/>
        <v>16459.254356117188</v>
      </c>
      <c r="BD18" s="430">
        <f t="shared" si="2"/>
        <v>221.26673011597489</v>
      </c>
      <c r="BE18" s="431">
        <f t="shared" si="3"/>
        <v>403.64361873335014</v>
      </c>
      <c r="BF18" s="432">
        <f t="shared" si="4"/>
        <v>16953.031986800703</v>
      </c>
      <c r="BG18" s="430">
        <f t="shared" si="5"/>
        <v>227.90473201945414</v>
      </c>
      <c r="BH18" s="431">
        <f t="shared" si="6"/>
        <v>415.75292729535067</v>
      </c>
      <c r="BI18" s="432">
        <f t="shared" si="7"/>
        <v>17461.622946404725</v>
      </c>
    </row>
    <row r="19" spans="1:61"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20"/>
        <v>6046.74</v>
      </c>
      <c r="AG19" s="173">
        <f t="shared" si="8"/>
        <v>148.28909999999999</v>
      </c>
      <c r="AH19" s="177">
        <f t="shared" si="8"/>
        <v>148.28909999999999</v>
      </c>
      <c r="AI19" s="174">
        <f t="shared" si="21"/>
        <v>6228.1421999999993</v>
      </c>
      <c r="AJ19" s="173">
        <f t="shared" si="9"/>
        <v>152.737773</v>
      </c>
      <c r="AK19" s="177">
        <f t="shared" si="9"/>
        <v>152.737773</v>
      </c>
      <c r="AL19" s="174">
        <f t="shared" si="22"/>
        <v>6414.9864660000003</v>
      </c>
      <c r="AM19" s="409" t="s">
        <v>99</v>
      </c>
      <c r="AN19" s="427">
        <v>81.211470640000002</v>
      </c>
      <c r="AO19" s="428">
        <v>81.211470640000002</v>
      </c>
      <c r="AP19" s="429">
        <v>3410.8817668800002</v>
      </c>
      <c r="AQ19" s="409" t="s">
        <v>99</v>
      </c>
      <c r="AR19" s="427">
        <f t="shared" si="10"/>
        <v>83.647814759200003</v>
      </c>
      <c r="AS19" s="428">
        <f t="shared" si="11"/>
        <v>83.647814759200003</v>
      </c>
      <c r="AT19" s="429">
        <f t="shared" si="12"/>
        <v>3513.2082198864005</v>
      </c>
      <c r="AU19" s="427">
        <f t="shared" si="13"/>
        <v>86.157249201976001</v>
      </c>
      <c r="AV19" s="428">
        <f t="shared" si="14"/>
        <v>86.157249201976001</v>
      </c>
      <c r="AW19" s="429">
        <f t="shared" si="15"/>
        <v>3618.6044664829924</v>
      </c>
      <c r="AX19" s="427">
        <f t="shared" si="16"/>
        <v>88.741966678035283</v>
      </c>
      <c r="AY19" s="428">
        <f t="shared" si="17"/>
        <v>88.741966678035283</v>
      </c>
      <c r="AZ19" s="429">
        <f t="shared" si="18"/>
        <v>3727.1626004774821</v>
      </c>
      <c r="BA19" s="427">
        <f t="shared" si="19"/>
        <v>91.404225678376349</v>
      </c>
      <c r="BB19" s="428">
        <f t="shared" si="0"/>
        <v>91.404225678376349</v>
      </c>
      <c r="BC19" s="429">
        <f t="shared" si="1"/>
        <v>3838.9774784918068</v>
      </c>
      <c r="BD19" s="427">
        <f t="shared" si="2"/>
        <v>94.14635244872764</v>
      </c>
      <c r="BE19" s="428">
        <f t="shared" si="3"/>
        <v>94.14635244872764</v>
      </c>
      <c r="BF19" s="429">
        <f t="shared" si="4"/>
        <v>3954.1468028465611</v>
      </c>
      <c r="BG19" s="427">
        <f t="shared" si="5"/>
        <v>96.970743022189467</v>
      </c>
      <c r="BH19" s="428">
        <f t="shared" si="6"/>
        <v>96.970743022189467</v>
      </c>
      <c r="BI19" s="429">
        <f t="shared" si="7"/>
        <v>4072.7712069319582</v>
      </c>
    </row>
    <row r="20" spans="1:61"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20"/>
        <v>7302.54</v>
      </c>
      <c r="AG20" s="180">
        <f t="shared" si="8"/>
        <v>30.797000000000001</v>
      </c>
      <c r="AH20" s="177">
        <f t="shared" si="8"/>
        <v>179.08610000000002</v>
      </c>
      <c r="AI20" s="181">
        <f t="shared" si="21"/>
        <v>7521.6162000000004</v>
      </c>
      <c r="AJ20" s="180">
        <f t="shared" si="9"/>
        <v>31.72091</v>
      </c>
      <c r="AK20" s="177">
        <f t="shared" si="9"/>
        <v>184.45868300000001</v>
      </c>
      <c r="AL20" s="181">
        <f>AK20*42</f>
        <v>7747.2646860000004</v>
      </c>
      <c r="AM20" s="409" t="s">
        <v>102</v>
      </c>
      <c r="AN20" s="427">
        <v>157.31990619000001</v>
      </c>
      <c r="AO20" s="428">
        <v>157.31990619000001</v>
      </c>
      <c r="AP20" s="429">
        <v>6607.4360599800002</v>
      </c>
      <c r="AQ20" s="409" t="s">
        <v>102</v>
      </c>
      <c r="AR20" s="427">
        <f t="shared" si="10"/>
        <v>162.03950337570001</v>
      </c>
      <c r="AS20" s="428">
        <f t="shared" si="11"/>
        <v>162.03950337570001</v>
      </c>
      <c r="AT20" s="429">
        <f t="shared" si="12"/>
        <v>6805.6591417794007</v>
      </c>
      <c r="AU20" s="427">
        <f t="shared" si="13"/>
        <v>166.900688476971</v>
      </c>
      <c r="AV20" s="428">
        <f t="shared" si="14"/>
        <v>166.900688476971</v>
      </c>
      <c r="AW20" s="429">
        <f t="shared" si="15"/>
        <v>7009.8289160327831</v>
      </c>
      <c r="AX20" s="427">
        <f t="shared" si="16"/>
        <v>171.90770913128014</v>
      </c>
      <c r="AY20" s="428">
        <f t="shared" si="17"/>
        <v>171.90770913128014</v>
      </c>
      <c r="AZ20" s="429">
        <f t="shared" si="18"/>
        <v>7220.1237835137672</v>
      </c>
      <c r="BA20" s="427">
        <f t="shared" si="19"/>
        <v>177.06494040521855</v>
      </c>
      <c r="BB20" s="428">
        <f t="shared" si="0"/>
        <v>177.06494040521855</v>
      </c>
      <c r="BC20" s="429">
        <f t="shared" si="1"/>
        <v>7436.7274970191802</v>
      </c>
      <c r="BD20" s="427">
        <f t="shared" si="2"/>
        <v>182.3768886173751</v>
      </c>
      <c r="BE20" s="428">
        <f t="shared" si="3"/>
        <v>182.3768886173751</v>
      </c>
      <c r="BF20" s="429">
        <f t="shared" si="4"/>
        <v>7659.8293219297557</v>
      </c>
      <c r="BG20" s="427">
        <f t="shared" si="5"/>
        <v>187.84819527589636</v>
      </c>
      <c r="BH20" s="428">
        <f t="shared" si="6"/>
        <v>187.84819527589636</v>
      </c>
      <c r="BI20" s="429">
        <f t="shared" si="7"/>
        <v>7889.6242015876487</v>
      </c>
    </row>
    <row r="21" spans="1:61"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20"/>
        <v>8321.8799999999992</v>
      </c>
      <c r="AG21" s="173">
        <f>AD21*(1+$AI$2)-0.01</f>
        <v>55.785100000000007</v>
      </c>
      <c r="AH21" s="177">
        <f t="shared" si="8"/>
        <v>204.08419999999998</v>
      </c>
      <c r="AI21" s="174">
        <f t="shared" si="21"/>
        <v>8571.536399999999</v>
      </c>
      <c r="AJ21" s="173">
        <f>AG21*(1+$AI$2)-0.01</f>
        <v>57.448653000000007</v>
      </c>
      <c r="AK21" s="177">
        <f>AH21*(1+$AI$2)-0.02</f>
        <v>210.18672599999996</v>
      </c>
      <c r="AL21" s="174">
        <f t="shared" si="22"/>
        <v>8827.8424919999979</v>
      </c>
      <c r="AM21" s="409" t="s">
        <v>104</v>
      </c>
      <c r="AN21" s="427">
        <v>32.672537300000002</v>
      </c>
      <c r="AO21" s="428">
        <v>189.99244349</v>
      </c>
      <c r="AP21" s="429">
        <v>7979.6826265800009</v>
      </c>
      <c r="AQ21" s="409" t="s">
        <v>104</v>
      </c>
      <c r="AR21" s="427">
        <f t="shared" si="10"/>
        <v>33.652713419000001</v>
      </c>
      <c r="AS21" s="428">
        <f t="shared" si="11"/>
        <v>195.69221679470002</v>
      </c>
      <c r="AT21" s="429">
        <f t="shared" si="12"/>
        <v>8219.0731053774016</v>
      </c>
      <c r="AU21" s="427">
        <f t="shared" si="13"/>
        <v>34.662294821570001</v>
      </c>
      <c r="AV21" s="428">
        <f t="shared" si="14"/>
        <v>201.56298329854101</v>
      </c>
      <c r="AW21" s="429">
        <f t="shared" si="15"/>
        <v>8465.6452985387241</v>
      </c>
      <c r="AX21" s="427">
        <f t="shared" si="16"/>
        <v>35.702163666217103</v>
      </c>
      <c r="AY21" s="428">
        <f t="shared" si="17"/>
        <v>207.60987279749725</v>
      </c>
      <c r="AZ21" s="429">
        <f t="shared" si="18"/>
        <v>8719.6146574948853</v>
      </c>
      <c r="BA21" s="427">
        <f t="shared" si="19"/>
        <v>36.773228576203614</v>
      </c>
      <c r="BB21" s="428">
        <f t="shared" si="0"/>
        <v>213.83816898142217</v>
      </c>
      <c r="BC21" s="429">
        <f t="shared" si="1"/>
        <v>8981.2030972197317</v>
      </c>
      <c r="BD21" s="427">
        <f t="shared" si="2"/>
        <v>37.876425433489722</v>
      </c>
      <c r="BE21" s="428">
        <f t="shared" si="3"/>
        <v>220.25331405086484</v>
      </c>
      <c r="BF21" s="429">
        <f t="shared" si="4"/>
        <v>9250.639190136324</v>
      </c>
      <c r="BG21" s="427">
        <f t="shared" si="5"/>
        <v>39.012718196494411</v>
      </c>
      <c r="BH21" s="428">
        <f t="shared" si="6"/>
        <v>226.86091347239079</v>
      </c>
      <c r="BI21" s="429">
        <f t="shared" si="7"/>
        <v>9528.1583658404143</v>
      </c>
    </row>
    <row r="22" spans="1:61"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20"/>
        <v>12530.279999999999</v>
      </c>
      <c r="AG22" s="173">
        <f t="shared" si="8"/>
        <v>103.206</v>
      </c>
      <c r="AH22" s="177">
        <f t="shared" si="8"/>
        <v>307.29019999999997</v>
      </c>
      <c r="AI22" s="174">
        <f t="shared" si="21"/>
        <v>12906.188399999999</v>
      </c>
      <c r="AJ22" s="173">
        <f t="shared" ref="AJ22:AK35" si="23">AG22*(1+$AI$2)</f>
        <v>106.30218000000001</v>
      </c>
      <c r="AK22" s="177">
        <f>AH22*(1+$AI$2)-0.02</f>
        <v>316.48890599999999</v>
      </c>
      <c r="AL22" s="174">
        <f t="shared" si="22"/>
        <v>13292.534051999999</v>
      </c>
      <c r="AM22" s="409" t="s">
        <v>105</v>
      </c>
      <c r="AN22" s="427">
        <v>59.172112590000012</v>
      </c>
      <c r="AO22" s="428">
        <v>216.49232777999998</v>
      </c>
      <c r="AP22" s="429">
        <v>9092.6777667599981</v>
      </c>
      <c r="AQ22" s="409" t="s">
        <v>105</v>
      </c>
      <c r="AR22" s="427">
        <f t="shared" si="10"/>
        <v>60.947275967700016</v>
      </c>
      <c r="AS22" s="428">
        <f t="shared" si="11"/>
        <v>222.98709761339998</v>
      </c>
      <c r="AT22" s="429">
        <f t="shared" si="12"/>
        <v>9365.4580997627982</v>
      </c>
      <c r="AU22" s="427">
        <f t="shared" si="13"/>
        <v>62.775694246731021</v>
      </c>
      <c r="AV22" s="428">
        <f t="shared" si="14"/>
        <v>229.67671054180198</v>
      </c>
      <c r="AW22" s="429">
        <f t="shared" si="15"/>
        <v>9646.4218427556825</v>
      </c>
      <c r="AX22" s="427">
        <f t="shared" si="16"/>
        <v>64.658965074132951</v>
      </c>
      <c r="AY22" s="428">
        <f t="shared" si="17"/>
        <v>236.56701185805605</v>
      </c>
      <c r="AZ22" s="429">
        <f t="shared" si="18"/>
        <v>9935.8144980383531</v>
      </c>
      <c r="BA22" s="427">
        <f t="shared" si="19"/>
        <v>66.598734026356937</v>
      </c>
      <c r="BB22" s="428">
        <f t="shared" si="0"/>
        <v>243.66402221379775</v>
      </c>
      <c r="BC22" s="429">
        <f t="shared" si="1"/>
        <v>10233.888932979504</v>
      </c>
      <c r="BD22" s="427">
        <f t="shared" si="2"/>
        <v>68.596696047147645</v>
      </c>
      <c r="BE22" s="428">
        <f t="shared" si="3"/>
        <v>250.97394288021169</v>
      </c>
      <c r="BF22" s="429">
        <f t="shared" si="4"/>
        <v>10540.905600968888</v>
      </c>
      <c r="BG22" s="427">
        <f t="shared" si="5"/>
        <v>70.654596928562071</v>
      </c>
      <c r="BH22" s="428">
        <f t="shared" si="6"/>
        <v>258.50316116661804</v>
      </c>
      <c r="BI22" s="429">
        <f t="shared" si="7"/>
        <v>10857.132768997955</v>
      </c>
    </row>
    <row r="23" spans="1:61"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20"/>
        <v>13382.88</v>
      </c>
      <c r="AG23" s="173">
        <f t="shared" si="8"/>
        <v>20.909000000000002</v>
      </c>
      <c r="AH23" s="177">
        <f t="shared" si="8"/>
        <v>328.19920000000002</v>
      </c>
      <c r="AI23" s="174">
        <f t="shared" si="21"/>
        <v>13784.366400000001</v>
      </c>
      <c r="AJ23" s="173">
        <f>AG23*(1+$AI$2)+0.03</f>
        <v>21.566270000000003</v>
      </c>
      <c r="AK23" s="177">
        <f>AH23*(1+$AI$2)</f>
        <v>338.04517600000003</v>
      </c>
      <c r="AL23" s="174">
        <f t="shared" si="22"/>
        <v>14197.897392000001</v>
      </c>
      <c r="AM23" s="409" t="s">
        <v>106</v>
      </c>
      <c r="AN23" s="427">
        <v>109.49124540000001</v>
      </c>
      <c r="AO23" s="428">
        <v>325.98357318000001</v>
      </c>
      <c r="AP23" s="429">
        <v>13691.31007356</v>
      </c>
      <c r="AQ23" s="409" t="s">
        <v>106</v>
      </c>
      <c r="AR23" s="427">
        <f t="shared" si="10"/>
        <v>112.77598276200001</v>
      </c>
      <c r="AS23" s="428">
        <f t="shared" si="11"/>
        <v>335.76308037540002</v>
      </c>
      <c r="AT23" s="429">
        <f t="shared" si="12"/>
        <v>14102.049375766801</v>
      </c>
      <c r="AU23" s="427">
        <f t="shared" si="13"/>
        <v>116.15926224486002</v>
      </c>
      <c r="AV23" s="428">
        <f t="shared" si="14"/>
        <v>345.83597278666201</v>
      </c>
      <c r="AW23" s="429">
        <f t="shared" si="15"/>
        <v>14525.110857039805</v>
      </c>
      <c r="AX23" s="427">
        <f t="shared" si="16"/>
        <v>119.64404011220581</v>
      </c>
      <c r="AY23" s="428">
        <f t="shared" si="17"/>
        <v>356.21105197026191</v>
      </c>
      <c r="AZ23" s="429">
        <f t="shared" si="18"/>
        <v>14960.864182751</v>
      </c>
      <c r="BA23" s="427">
        <f t="shared" si="19"/>
        <v>123.233361315572</v>
      </c>
      <c r="BB23" s="428">
        <f t="shared" si="0"/>
        <v>366.89738352936979</v>
      </c>
      <c r="BC23" s="429">
        <f t="shared" si="1"/>
        <v>15409.69010823353</v>
      </c>
      <c r="BD23" s="427">
        <f t="shared" si="2"/>
        <v>126.93036215503916</v>
      </c>
      <c r="BE23" s="428">
        <f t="shared" si="3"/>
        <v>377.9043050352509</v>
      </c>
      <c r="BF23" s="429">
        <f t="shared" si="4"/>
        <v>15871.980811480536</v>
      </c>
      <c r="BG23" s="427">
        <f t="shared" si="5"/>
        <v>130.73827301969035</v>
      </c>
      <c r="BH23" s="428">
        <f t="shared" si="6"/>
        <v>389.24143418630842</v>
      </c>
      <c r="BI23" s="429">
        <f t="shared" si="7"/>
        <v>16348.140235824952</v>
      </c>
    </row>
    <row r="24" spans="1:61"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20"/>
        <v>0</v>
      </c>
      <c r="AG24" s="222">
        <f t="shared" si="8"/>
        <v>0</v>
      </c>
      <c r="AH24" s="225">
        <f t="shared" si="8"/>
        <v>0</v>
      </c>
      <c r="AI24" s="223">
        <f t="shared" si="21"/>
        <v>0</v>
      </c>
      <c r="AJ24" s="222">
        <f t="shared" si="23"/>
        <v>0</v>
      </c>
      <c r="AK24" s="225">
        <f t="shared" si="23"/>
        <v>0</v>
      </c>
      <c r="AL24" s="223">
        <f t="shared" si="22"/>
        <v>0</v>
      </c>
      <c r="AM24" s="409" t="s">
        <v>107</v>
      </c>
      <c r="AN24" s="427">
        <v>22.213258100000004</v>
      </c>
      <c r="AO24" s="428">
        <v>348.18653128000005</v>
      </c>
      <c r="AP24" s="429">
        <v>14623.83431376</v>
      </c>
      <c r="AQ24" s="409" t="s">
        <v>107</v>
      </c>
      <c r="AR24" s="427">
        <f t="shared" si="10"/>
        <v>22.879655843000005</v>
      </c>
      <c r="AS24" s="428">
        <f t="shared" si="11"/>
        <v>358.63212721840006</v>
      </c>
      <c r="AT24" s="429">
        <f t="shared" si="12"/>
        <v>15062.549343172801</v>
      </c>
      <c r="AU24" s="427">
        <f t="shared" si="13"/>
        <v>23.566045518290007</v>
      </c>
      <c r="AV24" s="428">
        <f t="shared" si="14"/>
        <v>369.39109103495207</v>
      </c>
      <c r="AW24" s="429">
        <f t="shared" si="15"/>
        <v>15514.425823467986</v>
      </c>
      <c r="AX24" s="427">
        <f t="shared" si="16"/>
        <v>24.273026883838707</v>
      </c>
      <c r="AY24" s="428">
        <f t="shared" si="17"/>
        <v>380.47282376600066</v>
      </c>
      <c r="AZ24" s="429">
        <f t="shared" si="18"/>
        <v>15979.858598172026</v>
      </c>
      <c r="BA24" s="427">
        <f t="shared" si="19"/>
        <v>25.001217690353869</v>
      </c>
      <c r="BB24" s="428">
        <f t="shared" si="0"/>
        <v>391.8870084789807</v>
      </c>
      <c r="BC24" s="429">
        <f t="shared" si="1"/>
        <v>16459.254356117188</v>
      </c>
      <c r="BD24" s="427">
        <f t="shared" si="2"/>
        <v>25.751254221064485</v>
      </c>
      <c r="BE24" s="428">
        <f t="shared" si="3"/>
        <v>403.64361873335014</v>
      </c>
      <c r="BF24" s="429">
        <f t="shared" si="4"/>
        <v>16953.031986800703</v>
      </c>
      <c r="BG24" s="427">
        <f t="shared" si="5"/>
        <v>26.523791847696419</v>
      </c>
      <c r="BH24" s="428">
        <f t="shared" si="6"/>
        <v>415.75292729535067</v>
      </c>
      <c r="BI24" s="429">
        <f t="shared" si="7"/>
        <v>17461.622946404725</v>
      </c>
    </row>
    <row r="25" spans="1:61"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20"/>
        <v>3121.4399999999996</v>
      </c>
      <c r="AG25" s="173">
        <f t="shared" si="8"/>
        <v>76.549599999999998</v>
      </c>
      <c r="AH25" s="177">
        <f t="shared" si="8"/>
        <v>76.549599999999998</v>
      </c>
      <c r="AI25" s="174">
        <f t="shared" si="21"/>
        <v>3215.0832</v>
      </c>
      <c r="AJ25" s="173">
        <f t="shared" si="23"/>
        <v>78.846087999999995</v>
      </c>
      <c r="AK25" s="177">
        <f t="shared" si="23"/>
        <v>78.846087999999995</v>
      </c>
      <c r="AL25" s="174">
        <f t="shared" si="22"/>
        <v>3311.5356959999999</v>
      </c>
      <c r="AM25" s="411" t="s">
        <v>108</v>
      </c>
      <c r="AN25" s="430">
        <v>0</v>
      </c>
      <c r="AO25" s="431">
        <v>0</v>
      </c>
      <c r="AP25" s="432">
        <v>0</v>
      </c>
      <c r="AQ25" s="411" t="s">
        <v>108</v>
      </c>
      <c r="AR25" s="430">
        <f t="shared" si="10"/>
        <v>0</v>
      </c>
      <c r="AS25" s="431">
        <f t="shared" si="11"/>
        <v>0</v>
      </c>
      <c r="AT25" s="432">
        <f t="shared" si="12"/>
        <v>0</v>
      </c>
      <c r="AU25" s="430">
        <f t="shared" si="13"/>
        <v>0</v>
      </c>
      <c r="AV25" s="431">
        <f t="shared" si="14"/>
        <v>0</v>
      </c>
      <c r="AW25" s="432">
        <f t="shared" si="15"/>
        <v>0</v>
      </c>
      <c r="AX25" s="430">
        <f t="shared" si="16"/>
        <v>0</v>
      </c>
      <c r="AY25" s="431">
        <f t="shared" si="17"/>
        <v>0</v>
      </c>
      <c r="AZ25" s="432">
        <f t="shared" si="18"/>
        <v>0</v>
      </c>
      <c r="BA25" s="430">
        <f t="shared" si="19"/>
        <v>0</v>
      </c>
      <c r="BB25" s="431">
        <f t="shared" si="0"/>
        <v>0</v>
      </c>
      <c r="BC25" s="432">
        <f t="shared" si="1"/>
        <v>0</v>
      </c>
      <c r="BD25" s="430">
        <f t="shared" si="2"/>
        <v>0</v>
      </c>
      <c r="BE25" s="431">
        <f t="shared" si="3"/>
        <v>0</v>
      </c>
      <c r="BF25" s="432">
        <f t="shared" si="4"/>
        <v>0</v>
      </c>
      <c r="BG25" s="430">
        <f t="shared" si="5"/>
        <v>0</v>
      </c>
      <c r="BH25" s="431">
        <f t="shared" si="6"/>
        <v>0</v>
      </c>
      <c r="BI25" s="432">
        <f t="shared" si="7"/>
        <v>0</v>
      </c>
    </row>
    <row r="26" spans="1:61"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20"/>
        <v>6046.74</v>
      </c>
      <c r="AG26" s="173">
        <f t="shared" si="8"/>
        <v>148.28909999999999</v>
      </c>
      <c r="AH26" s="177">
        <f t="shared" si="8"/>
        <v>148.28909999999999</v>
      </c>
      <c r="AI26" s="174">
        <f t="shared" si="21"/>
        <v>6228.1421999999993</v>
      </c>
      <c r="AJ26" s="173">
        <f t="shared" si="23"/>
        <v>152.737773</v>
      </c>
      <c r="AK26" s="177">
        <f t="shared" si="23"/>
        <v>152.737773</v>
      </c>
      <c r="AL26" s="174">
        <f t="shared" si="22"/>
        <v>6414.9864660000003</v>
      </c>
      <c r="AM26" s="409" t="s">
        <v>99</v>
      </c>
      <c r="AN26" s="427">
        <v>81.211470640000002</v>
      </c>
      <c r="AO26" s="428">
        <v>81.211470640000002</v>
      </c>
      <c r="AP26" s="429">
        <v>3410.8817668800002</v>
      </c>
      <c r="AQ26" s="409" t="s">
        <v>99</v>
      </c>
      <c r="AR26" s="427">
        <f t="shared" si="10"/>
        <v>83.647814759200003</v>
      </c>
      <c r="AS26" s="428">
        <f t="shared" si="11"/>
        <v>83.647814759200003</v>
      </c>
      <c r="AT26" s="429">
        <f t="shared" si="12"/>
        <v>3513.2082198864005</v>
      </c>
      <c r="AU26" s="427">
        <f t="shared" si="13"/>
        <v>86.157249201976001</v>
      </c>
      <c r="AV26" s="428">
        <f t="shared" si="14"/>
        <v>86.157249201976001</v>
      </c>
      <c r="AW26" s="429">
        <f t="shared" si="15"/>
        <v>3618.6044664829924</v>
      </c>
      <c r="AX26" s="427">
        <f t="shared" si="16"/>
        <v>88.741966678035283</v>
      </c>
      <c r="AY26" s="428">
        <f t="shared" si="17"/>
        <v>88.741966678035283</v>
      </c>
      <c r="AZ26" s="429">
        <f t="shared" si="18"/>
        <v>3727.1626004774821</v>
      </c>
      <c r="BA26" s="427">
        <f t="shared" si="19"/>
        <v>91.404225678376349</v>
      </c>
      <c r="BB26" s="428">
        <f t="shared" si="0"/>
        <v>91.404225678376349</v>
      </c>
      <c r="BC26" s="429">
        <f t="shared" si="1"/>
        <v>3838.9774784918068</v>
      </c>
      <c r="BD26" s="427">
        <f t="shared" si="2"/>
        <v>94.14635244872764</v>
      </c>
      <c r="BE26" s="428">
        <f t="shared" si="3"/>
        <v>94.14635244872764</v>
      </c>
      <c r="BF26" s="429">
        <f t="shared" si="4"/>
        <v>3954.1468028465611</v>
      </c>
      <c r="BG26" s="427">
        <f t="shared" si="5"/>
        <v>96.970743022189467</v>
      </c>
      <c r="BH26" s="428">
        <f t="shared" si="6"/>
        <v>96.970743022189467</v>
      </c>
      <c r="BI26" s="429">
        <f t="shared" si="7"/>
        <v>4072.7712069319582</v>
      </c>
    </row>
    <row r="27" spans="1:61"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20"/>
        <v>7302.54</v>
      </c>
      <c r="AG27" s="180">
        <f t="shared" si="8"/>
        <v>30.797000000000001</v>
      </c>
      <c r="AH27" s="177">
        <f t="shared" si="8"/>
        <v>179.08610000000002</v>
      </c>
      <c r="AI27" s="181">
        <f t="shared" si="21"/>
        <v>7521.6162000000004</v>
      </c>
      <c r="AJ27" s="180">
        <f t="shared" si="23"/>
        <v>31.72091</v>
      </c>
      <c r="AK27" s="177">
        <f t="shared" si="23"/>
        <v>184.45868300000001</v>
      </c>
      <c r="AL27" s="181">
        <f t="shared" si="22"/>
        <v>7747.2646860000004</v>
      </c>
      <c r="AM27" s="409" t="s">
        <v>102</v>
      </c>
      <c r="AN27" s="427">
        <v>157.31990619000001</v>
      </c>
      <c r="AO27" s="428">
        <v>157.31990619000001</v>
      </c>
      <c r="AP27" s="429">
        <v>6607.4360599800002</v>
      </c>
      <c r="AQ27" s="409" t="s">
        <v>102</v>
      </c>
      <c r="AR27" s="427">
        <f t="shared" si="10"/>
        <v>162.03950337570001</v>
      </c>
      <c r="AS27" s="428">
        <f t="shared" si="11"/>
        <v>162.03950337570001</v>
      </c>
      <c r="AT27" s="429">
        <f t="shared" si="12"/>
        <v>6805.6591417794007</v>
      </c>
      <c r="AU27" s="427">
        <f t="shared" si="13"/>
        <v>166.900688476971</v>
      </c>
      <c r="AV27" s="428">
        <f t="shared" si="14"/>
        <v>166.900688476971</v>
      </c>
      <c r="AW27" s="429">
        <f t="shared" si="15"/>
        <v>7009.8289160327831</v>
      </c>
      <c r="AX27" s="427">
        <f t="shared" si="16"/>
        <v>171.90770913128014</v>
      </c>
      <c r="AY27" s="428">
        <f t="shared" si="17"/>
        <v>171.90770913128014</v>
      </c>
      <c r="AZ27" s="429">
        <f t="shared" si="18"/>
        <v>7220.1237835137672</v>
      </c>
      <c r="BA27" s="427">
        <f t="shared" si="19"/>
        <v>177.06494040521855</v>
      </c>
      <c r="BB27" s="428">
        <f t="shared" si="0"/>
        <v>177.06494040521855</v>
      </c>
      <c r="BC27" s="429">
        <f t="shared" si="1"/>
        <v>7436.7274970191802</v>
      </c>
      <c r="BD27" s="427">
        <f t="shared" si="2"/>
        <v>182.3768886173751</v>
      </c>
      <c r="BE27" s="428">
        <f t="shared" si="3"/>
        <v>182.3768886173751</v>
      </c>
      <c r="BF27" s="429">
        <f t="shared" si="4"/>
        <v>7659.8293219297557</v>
      </c>
      <c r="BG27" s="427">
        <f t="shared" si="5"/>
        <v>187.84819527589636</v>
      </c>
      <c r="BH27" s="428">
        <f t="shared" si="6"/>
        <v>187.84819527589636</v>
      </c>
      <c r="BI27" s="429">
        <f t="shared" si="7"/>
        <v>7889.6242015876487</v>
      </c>
    </row>
    <row r="28" spans="1:61"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20"/>
        <v>8321.8799999999992</v>
      </c>
      <c r="AG28" s="173">
        <f>AD28*(1+$AI$2)-0.01</f>
        <v>55.785100000000007</v>
      </c>
      <c r="AH28" s="177">
        <f t="shared" si="8"/>
        <v>204.08419999999998</v>
      </c>
      <c r="AI28" s="174">
        <f t="shared" si="21"/>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10"/>
        <v>33.652713419000001</v>
      </c>
      <c r="AS28" s="428">
        <f t="shared" si="11"/>
        <v>195.69221679470002</v>
      </c>
      <c r="AT28" s="429">
        <f t="shared" si="12"/>
        <v>8219.0731053774016</v>
      </c>
      <c r="AU28" s="427">
        <f t="shared" si="13"/>
        <v>34.662294821570001</v>
      </c>
      <c r="AV28" s="428">
        <f t="shared" si="14"/>
        <v>201.56298329854101</v>
      </c>
      <c r="AW28" s="429">
        <f t="shared" si="15"/>
        <v>8465.6452985387241</v>
      </c>
      <c r="AX28" s="427">
        <f t="shared" si="16"/>
        <v>35.702163666217103</v>
      </c>
      <c r="AY28" s="428">
        <f t="shared" si="17"/>
        <v>207.60987279749725</v>
      </c>
      <c r="AZ28" s="429">
        <f t="shared" si="18"/>
        <v>8719.6146574948853</v>
      </c>
      <c r="BA28" s="427">
        <f t="shared" si="19"/>
        <v>36.773228576203614</v>
      </c>
      <c r="BB28" s="428">
        <f t="shared" si="0"/>
        <v>213.83816898142217</v>
      </c>
      <c r="BC28" s="429">
        <f t="shared" si="1"/>
        <v>8981.2030972197317</v>
      </c>
      <c r="BD28" s="427">
        <f t="shared" si="2"/>
        <v>37.876425433489722</v>
      </c>
      <c r="BE28" s="428">
        <f t="shared" si="3"/>
        <v>220.25331405086484</v>
      </c>
      <c r="BF28" s="429">
        <f t="shared" si="4"/>
        <v>9250.639190136324</v>
      </c>
      <c r="BG28" s="427">
        <f t="shared" si="5"/>
        <v>39.012718196494411</v>
      </c>
      <c r="BH28" s="428">
        <f t="shared" si="6"/>
        <v>226.86091347239079</v>
      </c>
      <c r="BI28" s="429">
        <f t="shared" si="7"/>
        <v>9528.1583658404143</v>
      </c>
    </row>
    <row r="29" spans="1:61"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20"/>
        <v>9247.14</v>
      </c>
      <c r="AG29" s="180">
        <f>AD29*(1+$AI$2)+0.01</f>
        <v>22.700900000000004</v>
      </c>
      <c r="AH29" s="177">
        <f t="shared" si="8"/>
        <v>226.77509999999998</v>
      </c>
      <c r="AI29" s="181">
        <f t="shared" si="21"/>
        <v>9524.5541999999987</v>
      </c>
      <c r="AJ29" s="180">
        <f>AG29*(1+$AI$2)+0.01</f>
        <v>23.391927000000006</v>
      </c>
      <c r="AK29" s="177">
        <f t="shared" si="23"/>
        <v>233.57835299999999</v>
      </c>
      <c r="AL29" s="181">
        <f t="shared" si="22"/>
        <v>9810.2908260000004</v>
      </c>
      <c r="AM29" s="409" t="s">
        <v>105</v>
      </c>
      <c r="AN29" s="427">
        <v>59.172112590000012</v>
      </c>
      <c r="AO29" s="428">
        <v>216.49232777999998</v>
      </c>
      <c r="AP29" s="429">
        <v>9092.6777667599981</v>
      </c>
      <c r="AQ29" s="409" t="s">
        <v>105</v>
      </c>
      <c r="AR29" s="427">
        <f t="shared" si="10"/>
        <v>60.947275967700016</v>
      </c>
      <c r="AS29" s="428">
        <f t="shared" si="11"/>
        <v>222.98709761339998</v>
      </c>
      <c r="AT29" s="429">
        <f t="shared" si="12"/>
        <v>9365.4580997627982</v>
      </c>
      <c r="AU29" s="427">
        <f t="shared" si="13"/>
        <v>62.775694246731021</v>
      </c>
      <c r="AV29" s="428">
        <f t="shared" si="14"/>
        <v>229.67671054180198</v>
      </c>
      <c r="AW29" s="429">
        <f t="shared" si="15"/>
        <v>9646.4218427556825</v>
      </c>
      <c r="AX29" s="427">
        <f t="shared" si="16"/>
        <v>64.658965074132951</v>
      </c>
      <c r="AY29" s="428">
        <f t="shared" si="17"/>
        <v>236.56701185805605</v>
      </c>
      <c r="AZ29" s="429">
        <f t="shared" si="18"/>
        <v>9935.8144980383531</v>
      </c>
      <c r="BA29" s="427">
        <f t="shared" si="19"/>
        <v>66.598734026356937</v>
      </c>
      <c r="BB29" s="428">
        <f t="shared" si="0"/>
        <v>243.66402221379775</v>
      </c>
      <c r="BC29" s="429">
        <f t="shared" si="1"/>
        <v>10233.888932979504</v>
      </c>
      <c r="BD29" s="427">
        <f t="shared" si="2"/>
        <v>68.596696047147645</v>
      </c>
      <c r="BE29" s="428">
        <f t="shared" si="3"/>
        <v>250.97394288021169</v>
      </c>
      <c r="BF29" s="429">
        <f t="shared" si="4"/>
        <v>10540.905600968888</v>
      </c>
      <c r="BG29" s="427">
        <f t="shared" si="5"/>
        <v>70.654596928562071</v>
      </c>
      <c r="BH29" s="428">
        <f t="shared" si="6"/>
        <v>258.50316116661804</v>
      </c>
      <c r="BI29" s="429">
        <f t="shared" si="7"/>
        <v>10857.132768997955</v>
      </c>
    </row>
    <row r="30" spans="1:61"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20"/>
        <v>11450.04</v>
      </c>
      <c r="AG30" s="173">
        <f>AD30*(1+$AI$2)+0.01</f>
        <v>76.724400000000017</v>
      </c>
      <c r="AH30" s="177">
        <f t="shared" si="8"/>
        <v>280.79860000000002</v>
      </c>
      <c r="AI30" s="174">
        <f t="shared" si="21"/>
        <v>11793.541200000001</v>
      </c>
      <c r="AJ30" s="173">
        <f t="shared" ref="AJ30:AJ35" si="24">AG30*(1+$AI$2)</f>
        <v>79.026132000000018</v>
      </c>
      <c r="AK30" s="177">
        <f>AH30*(1+$AI$2)-0.01</f>
        <v>289.21255800000006</v>
      </c>
      <c r="AL30" s="174">
        <f t="shared" si="22"/>
        <v>12146.927436000002</v>
      </c>
      <c r="AM30" s="409" t="s">
        <v>109</v>
      </c>
      <c r="AN30" s="427">
        <v>24.093684810000006</v>
      </c>
      <c r="AO30" s="428">
        <v>240.58570359000001</v>
      </c>
      <c r="AP30" s="429">
        <v>10104.59955078</v>
      </c>
      <c r="AQ30" s="409" t="s">
        <v>109</v>
      </c>
      <c r="AR30" s="427">
        <f t="shared" si="10"/>
        <v>24.816495354300006</v>
      </c>
      <c r="AS30" s="428">
        <f t="shared" si="11"/>
        <v>247.8032746977</v>
      </c>
      <c r="AT30" s="429">
        <f t="shared" si="12"/>
        <v>10407.737537303399</v>
      </c>
      <c r="AU30" s="427">
        <f t="shared" si="13"/>
        <v>25.560990214929006</v>
      </c>
      <c r="AV30" s="428">
        <f t="shared" si="14"/>
        <v>255.23737293863101</v>
      </c>
      <c r="AW30" s="429">
        <f t="shared" si="15"/>
        <v>10719.969663422502</v>
      </c>
      <c r="AX30" s="427">
        <f t="shared" si="16"/>
        <v>26.327819921376879</v>
      </c>
      <c r="AY30" s="428">
        <f t="shared" si="17"/>
        <v>262.89449412678994</v>
      </c>
      <c r="AZ30" s="429">
        <f t="shared" si="18"/>
        <v>11041.568753325177</v>
      </c>
      <c r="BA30" s="427">
        <f t="shared" si="19"/>
        <v>27.117654519018185</v>
      </c>
      <c r="BB30" s="428">
        <f t="shared" si="0"/>
        <v>270.78132895059366</v>
      </c>
      <c r="BC30" s="429">
        <f t="shared" si="1"/>
        <v>11372.815815924932</v>
      </c>
      <c r="BD30" s="427">
        <f t="shared" si="2"/>
        <v>27.931184154588731</v>
      </c>
      <c r="BE30" s="428">
        <f t="shared" si="3"/>
        <v>278.9047688191115</v>
      </c>
      <c r="BF30" s="429">
        <f t="shared" si="4"/>
        <v>11714.000290402681</v>
      </c>
      <c r="BG30" s="427">
        <f t="shared" si="5"/>
        <v>28.769119679226392</v>
      </c>
      <c r="BH30" s="428">
        <f t="shared" si="6"/>
        <v>287.27191188368482</v>
      </c>
      <c r="BI30" s="429">
        <f t="shared" si="7"/>
        <v>12065.420299114761</v>
      </c>
    </row>
    <row r="31" spans="1:61"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20"/>
        <v>14407.259999999998</v>
      </c>
      <c r="AG31" s="222">
        <f t="shared" si="8"/>
        <v>72.522300000000001</v>
      </c>
      <c r="AH31" s="225">
        <f t="shared" si="8"/>
        <v>353.32089999999999</v>
      </c>
      <c r="AI31" s="223">
        <f t="shared" si="21"/>
        <v>14839.477800000001</v>
      </c>
      <c r="AJ31" s="222">
        <f t="shared" si="24"/>
        <v>74.697969000000001</v>
      </c>
      <c r="AK31" s="225">
        <f>AH31*(1+$AI$2)-0.01</f>
        <v>363.910527</v>
      </c>
      <c r="AL31" s="223">
        <f t="shared" si="22"/>
        <v>15284.242134</v>
      </c>
      <c r="AM31" s="409" t="s">
        <v>110</v>
      </c>
      <c r="AN31" s="427">
        <v>81.396915960000015</v>
      </c>
      <c r="AO31" s="428">
        <v>297.88893474000008</v>
      </c>
      <c r="AP31" s="429">
        <v>12511.335259080002</v>
      </c>
      <c r="AQ31" s="409" t="s">
        <v>110</v>
      </c>
      <c r="AR31" s="427">
        <f t="shared" si="10"/>
        <v>83.83882343880002</v>
      </c>
      <c r="AS31" s="428">
        <f t="shared" si="11"/>
        <v>306.82560278220006</v>
      </c>
      <c r="AT31" s="429">
        <f t="shared" si="12"/>
        <v>12886.675316852403</v>
      </c>
      <c r="AU31" s="427">
        <f t="shared" si="13"/>
        <v>86.353988141964024</v>
      </c>
      <c r="AV31" s="428">
        <f t="shared" si="14"/>
        <v>316.0303708656661</v>
      </c>
      <c r="AW31" s="429">
        <f t="shared" si="15"/>
        <v>13273.275576357975</v>
      </c>
      <c r="AX31" s="427">
        <f t="shared" si="16"/>
        <v>88.944607786222946</v>
      </c>
      <c r="AY31" s="428">
        <f t="shared" si="17"/>
        <v>325.51128199163611</v>
      </c>
      <c r="AZ31" s="429">
        <f t="shared" si="18"/>
        <v>13671.473843648715</v>
      </c>
      <c r="BA31" s="427">
        <f t="shared" si="19"/>
        <v>91.612946019809641</v>
      </c>
      <c r="BB31" s="428">
        <f t="shared" si="0"/>
        <v>335.27662045138521</v>
      </c>
      <c r="BC31" s="429">
        <f t="shared" si="1"/>
        <v>14081.618058958176</v>
      </c>
      <c r="BD31" s="427">
        <f t="shared" si="2"/>
        <v>94.361334400403933</v>
      </c>
      <c r="BE31" s="428">
        <f t="shared" si="3"/>
        <v>345.33491906492679</v>
      </c>
      <c r="BF31" s="429">
        <f t="shared" si="4"/>
        <v>14504.066600726923</v>
      </c>
      <c r="BG31" s="427">
        <f t="shared" si="5"/>
        <v>97.192174432416053</v>
      </c>
      <c r="BH31" s="428">
        <f t="shared" si="6"/>
        <v>355.6949666368746</v>
      </c>
      <c r="BI31" s="429">
        <f t="shared" si="7"/>
        <v>14939.188598748731</v>
      </c>
    </row>
    <row r="32" spans="1:61"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20"/>
        <v>3121.4399999999996</v>
      </c>
      <c r="AG32" s="166">
        <f t="shared" si="8"/>
        <v>76.549599999999998</v>
      </c>
      <c r="AH32" s="170">
        <f t="shared" si="8"/>
        <v>76.549599999999998</v>
      </c>
      <c r="AI32" s="167">
        <f t="shared" si="21"/>
        <v>3215.0832</v>
      </c>
      <c r="AJ32" s="166">
        <f t="shared" si="24"/>
        <v>78.846087999999995</v>
      </c>
      <c r="AK32" s="170">
        <f t="shared" si="23"/>
        <v>78.846087999999995</v>
      </c>
      <c r="AL32" s="167">
        <f t="shared" si="22"/>
        <v>3311.5356959999999</v>
      </c>
      <c r="AM32" s="408" t="s">
        <v>111</v>
      </c>
      <c r="AN32" s="430">
        <v>76.938908069999997</v>
      </c>
      <c r="AO32" s="431">
        <v>374.82784280999999</v>
      </c>
      <c r="AP32" s="432">
        <v>15742.76939802</v>
      </c>
      <c r="AQ32" s="408" t="s">
        <v>111</v>
      </c>
      <c r="AR32" s="430">
        <f t="shared" si="10"/>
        <v>79.247075312099994</v>
      </c>
      <c r="AS32" s="431">
        <f t="shared" si="11"/>
        <v>386.07267809429999</v>
      </c>
      <c r="AT32" s="432">
        <f t="shared" si="12"/>
        <v>16215.052479960601</v>
      </c>
      <c r="AU32" s="430">
        <f t="shared" si="13"/>
        <v>81.624487571462993</v>
      </c>
      <c r="AV32" s="431">
        <f t="shared" si="14"/>
        <v>397.65485843712901</v>
      </c>
      <c r="AW32" s="432">
        <f t="shared" si="15"/>
        <v>16701.504054359419</v>
      </c>
      <c r="AX32" s="430">
        <f t="shared" si="16"/>
        <v>84.073222198606885</v>
      </c>
      <c r="AY32" s="431">
        <f t="shared" si="17"/>
        <v>409.58450419024291</v>
      </c>
      <c r="AZ32" s="432">
        <f t="shared" si="18"/>
        <v>17202.549175990203</v>
      </c>
      <c r="BA32" s="430">
        <f t="shared" si="19"/>
        <v>86.59541886456509</v>
      </c>
      <c r="BB32" s="431">
        <f t="shared" si="0"/>
        <v>421.87203931595019</v>
      </c>
      <c r="BC32" s="432">
        <f t="shared" si="1"/>
        <v>17718.625651269911</v>
      </c>
      <c r="BD32" s="430">
        <f t="shared" si="2"/>
        <v>89.19328143050204</v>
      </c>
      <c r="BE32" s="431">
        <f t="shared" si="3"/>
        <v>434.52820049542873</v>
      </c>
      <c r="BF32" s="432">
        <f t="shared" si="4"/>
        <v>18250.184420808007</v>
      </c>
      <c r="BG32" s="430">
        <f t="shared" si="5"/>
        <v>91.869079873417107</v>
      </c>
      <c r="BH32" s="431">
        <f t="shared" si="6"/>
        <v>447.56404651029163</v>
      </c>
      <c r="BI32" s="432">
        <f t="shared" si="7"/>
        <v>18797.689953432247</v>
      </c>
    </row>
    <row r="33" spans="1:61"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20"/>
        <v>6046.74</v>
      </c>
      <c r="AG33" s="173">
        <f t="shared" si="8"/>
        <v>148.28909999999999</v>
      </c>
      <c r="AH33" s="177">
        <f t="shared" si="8"/>
        <v>148.28909999999999</v>
      </c>
      <c r="AI33" s="174">
        <f t="shared" si="21"/>
        <v>6228.1421999999993</v>
      </c>
      <c r="AJ33" s="173">
        <f t="shared" si="24"/>
        <v>152.737773</v>
      </c>
      <c r="AK33" s="177">
        <f t="shared" si="23"/>
        <v>152.737773</v>
      </c>
      <c r="AL33" s="174">
        <f t="shared" si="22"/>
        <v>6414.9864660000003</v>
      </c>
      <c r="AM33" s="412" t="s">
        <v>99</v>
      </c>
      <c r="AN33" s="424">
        <v>81.211470640000002</v>
      </c>
      <c r="AO33" s="425">
        <v>81.211470640000002</v>
      </c>
      <c r="AP33" s="426">
        <v>3410.8817668800002</v>
      </c>
      <c r="AQ33" s="412" t="s">
        <v>99</v>
      </c>
      <c r="AR33" s="424">
        <f t="shared" si="10"/>
        <v>83.647814759200003</v>
      </c>
      <c r="AS33" s="425">
        <f t="shared" si="11"/>
        <v>83.647814759200003</v>
      </c>
      <c r="AT33" s="426">
        <f t="shared" si="12"/>
        <v>3513.2082198864005</v>
      </c>
      <c r="AU33" s="424">
        <f t="shared" si="13"/>
        <v>86.157249201976001</v>
      </c>
      <c r="AV33" s="425">
        <f t="shared" si="14"/>
        <v>86.157249201976001</v>
      </c>
      <c r="AW33" s="426">
        <f t="shared" si="15"/>
        <v>3618.6044664829924</v>
      </c>
      <c r="AX33" s="424">
        <f t="shared" si="16"/>
        <v>88.741966678035283</v>
      </c>
      <c r="AY33" s="425">
        <f t="shared" si="17"/>
        <v>88.741966678035283</v>
      </c>
      <c r="AZ33" s="426">
        <f t="shared" si="18"/>
        <v>3727.1626004774821</v>
      </c>
      <c r="BA33" s="424">
        <f t="shared" si="19"/>
        <v>91.404225678376349</v>
      </c>
      <c r="BB33" s="425">
        <f t="shared" si="0"/>
        <v>91.404225678376349</v>
      </c>
      <c r="BC33" s="426">
        <f t="shared" si="1"/>
        <v>3838.9774784918068</v>
      </c>
      <c r="BD33" s="424">
        <f t="shared" si="2"/>
        <v>94.14635244872764</v>
      </c>
      <c r="BE33" s="425">
        <f t="shared" si="3"/>
        <v>94.14635244872764</v>
      </c>
      <c r="BF33" s="426">
        <f t="shared" si="4"/>
        <v>3954.1468028465611</v>
      </c>
      <c r="BG33" s="424">
        <f t="shared" si="5"/>
        <v>96.970743022189467</v>
      </c>
      <c r="BH33" s="425">
        <f t="shared" si="6"/>
        <v>96.970743022189467</v>
      </c>
      <c r="BI33" s="426">
        <f t="shared" si="7"/>
        <v>4072.7712069319582</v>
      </c>
    </row>
    <row r="34" spans="1:61"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20"/>
        <v>12140.1</v>
      </c>
      <c r="AG34" s="180">
        <f t="shared" si="8"/>
        <v>15.553000000000001</v>
      </c>
      <c r="AH34" s="177">
        <f t="shared" si="8"/>
        <v>297.72149999999999</v>
      </c>
      <c r="AI34" s="181">
        <f t="shared" si="21"/>
        <v>12504.303</v>
      </c>
      <c r="AJ34" s="180">
        <f t="shared" si="24"/>
        <v>16.019590000000001</v>
      </c>
      <c r="AK34" s="177">
        <f t="shared" si="23"/>
        <v>306.65314499999999</v>
      </c>
      <c r="AL34" s="181">
        <f t="shared" si="22"/>
        <v>12879.43209</v>
      </c>
      <c r="AM34" s="409" t="s">
        <v>102</v>
      </c>
      <c r="AN34" s="427">
        <v>157.31990619000001</v>
      </c>
      <c r="AO34" s="428">
        <v>157.31990619000001</v>
      </c>
      <c r="AP34" s="429">
        <v>6607.4360599800002</v>
      </c>
      <c r="AQ34" s="409" t="s">
        <v>102</v>
      </c>
      <c r="AR34" s="427">
        <f t="shared" si="10"/>
        <v>162.03950337570001</v>
      </c>
      <c r="AS34" s="428">
        <f t="shared" si="11"/>
        <v>162.03950337570001</v>
      </c>
      <c r="AT34" s="429">
        <f t="shared" si="12"/>
        <v>6805.6591417794007</v>
      </c>
      <c r="AU34" s="427">
        <f t="shared" si="13"/>
        <v>166.900688476971</v>
      </c>
      <c r="AV34" s="428">
        <f t="shared" si="14"/>
        <v>166.900688476971</v>
      </c>
      <c r="AW34" s="429">
        <f t="shared" si="15"/>
        <v>7009.8289160327831</v>
      </c>
      <c r="AX34" s="427">
        <f t="shared" si="16"/>
        <v>171.90770913128014</v>
      </c>
      <c r="AY34" s="428">
        <f t="shared" si="17"/>
        <v>171.90770913128014</v>
      </c>
      <c r="AZ34" s="429">
        <f t="shared" si="18"/>
        <v>7220.1237835137672</v>
      </c>
      <c r="BA34" s="427">
        <f t="shared" si="19"/>
        <v>177.06494040521855</v>
      </c>
      <c r="BB34" s="428">
        <f t="shared" si="0"/>
        <v>177.06494040521855</v>
      </c>
      <c r="BC34" s="429">
        <f t="shared" si="1"/>
        <v>7436.7274970191802</v>
      </c>
      <c r="BD34" s="427">
        <f t="shared" si="2"/>
        <v>182.3768886173751</v>
      </c>
      <c r="BE34" s="428">
        <f t="shared" si="3"/>
        <v>182.3768886173751</v>
      </c>
      <c r="BF34" s="429">
        <f t="shared" si="4"/>
        <v>7659.8293219297557</v>
      </c>
      <c r="BG34" s="427">
        <f t="shared" si="5"/>
        <v>187.84819527589636</v>
      </c>
      <c r="BH34" s="428">
        <f t="shared" si="6"/>
        <v>187.84819527589636</v>
      </c>
      <c r="BI34" s="429">
        <f t="shared" si="7"/>
        <v>7889.6242015876487</v>
      </c>
    </row>
    <row r="35" spans="1:61"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20"/>
        <v>11505.9</v>
      </c>
      <c r="AG35" s="173">
        <f t="shared" si="8"/>
        <v>133.8794</v>
      </c>
      <c r="AH35" s="177">
        <f t="shared" si="8"/>
        <v>282.16849999999999</v>
      </c>
      <c r="AI35" s="174">
        <f t="shared" si="21"/>
        <v>11851.076999999999</v>
      </c>
      <c r="AJ35" s="173">
        <f t="shared" si="24"/>
        <v>137.895782</v>
      </c>
      <c r="AK35" s="177">
        <f t="shared" si="23"/>
        <v>290.633555</v>
      </c>
      <c r="AL35" s="174">
        <f t="shared" si="22"/>
        <v>12206.60931</v>
      </c>
      <c r="AM35" s="409" t="s">
        <v>112</v>
      </c>
      <c r="AN35" s="427">
        <v>16.500177700000002</v>
      </c>
      <c r="AO35" s="428">
        <v>315.85273934999998</v>
      </c>
      <c r="AP35" s="429">
        <v>13265.8150527</v>
      </c>
      <c r="AQ35" s="409" t="s">
        <v>112</v>
      </c>
      <c r="AR35" s="427">
        <f t="shared" si="10"/>
        <v>16.995183031000003</v>
      </c>
      <c r="AS35" s="428">
        <f t="shared" si="11"/>
        <v>325.32832153049998</v>
      </c>
      <c r="AT35" s="429">
        <f t="shared" si="12"/>
        <v>13663.789504281</v>
      </c>
      <c r="AU35" s="427">
        <f t="shared" si="13"/>
        <v>17.505038521930004</v>
      </c>
      <c r="AV35" s="428">
        <f t="shared" si="14"/>
        <v>335.08817117641496</v>
      </c>
      <c r="AW35" s="429">
        <f t="shared" si="15"/>
        <v>14073.703189409431</v>
      </c>
      <c r="AX35" s="427">
        <f t="shared" si="16"/>
        <v>18.030189677587906</v>
      </c>
      <c r="AY35" s="428">
        <f t="shared" si="17"/>
        <v>345.1408163117074</v>
      </c>
      <c r="AZ35" s="429">
        <f t="shared" si="18"/>
        <v>14495.914285091714</v>
      </c>
      <c r="BA35" s="427">
        <f t="shared" si="19"/>
        <v>18.571095367915543</v>
      </c>
      <c r="BB35" s="428">
        <f t="shared" si="0"/>
        <v>355.49504080105862</v>
      </c>
      <c r="BC35" s="429">
        <f t="shared" si="1"/>
        <v>14930.791713644467</v>
      </c>
      <c r="BD35" s="427">
        <f t="shared" si="2"/>
        <v>19.128228228953009</v>
      </c>
      <c r="BE35" s="428">
        <f t="shared" si="3"/>
        <v>366.15989202509041</v>
      </c>
      <c r="BF35" s="429">
        <f t="shared" si="4"/>
        <v>15378.715465053801</v>
      </c>
      <c r="BG35" s="427">
        <f t="shared" si="5"/>
        <v>19.7020750758216</v>
      </c>
      <c r="BH35" s="428">
        <f t="shared" si="6"/>
        <v>377.14468878584313</v>
      </c>
      <c r="BI35" s="429">
        <f t="shared" si="7"/>
        <v>15840.076929005416</v>
      </c>
    </row>
    <row r="36" spans="1:61"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20"/>
        <v>10618.02</v>
      </c>
      <c r="AG36" s="173">
        <f>AD36*(1+$AI$2)-0.01</f>
        <v>112.09520000000001</v>
      </c>
      <c r="AH36" s="177">
        <f>AE36*(1+$AI$2)</f>
        <v>260.39429999999999</v>
      </c>
      <c r="AI36" s="174">
        <f t="shared" si="21"/>
        <v>10936.560599999999</v>
      </c>
      <c r="AJ36" s="173">
        <f>AG36*(1+$AI$2)-0.01</f>
        <v>115.44805600000001</v>
      </c>
      <c r="AK36" s="177">
        <f>AH36*(1+$AI$2)-0.02</f>
        <v>268.18612899999999</v>
      </c>
      <c r="AL36" s="174">
        <f t="shared" si="22"/>
        <v>11263.817418000001</v>
      </c>
      <c r="AM36" s="409" t="s">
        <v>113</v>
      </c>
      <c r="AN36" s="427">
        <v>142.03265546</v>
      </c>
      <c r="AO36" s="428">
        <v>299.35256164999998</v>
      </c>
      <c r="AP36" s="429">
        <v>12572.8075893</v>
      </c>
      <c r="AQ36" s="409" t="s">
        <v>113</v>
      </c>
      <c r="AR36" s="427">
        <f t="shared" si="10"/>
        <v>146.29363512380002</v>
      </c>
      <c r="AS36" s="428">
        <f t="shared" si="11"/>
        <v>308.33313849949997</v>
      </c>
      <c r="AT36" s="429">
        <f t="shared" si="12"/>
        <v>12949.991816979002</v>
      </c>
      <c r="AU36" s="427">
        <f t="shared" si="13"/>
        <v>150.68244417751401</v>
      </c>
      <c r="AV36" s="428">
        <f t="shared" si="14"/>
        <v>317.58313265448498</v>
      </c>
      <c r="AW36" s="429">
        <f t="shared" si="15"/>
        <v>13338.491571488372</v>
      </c>
      <c r="AX36" s="427">
        <f t="shared" si="16"/>
        <v>155.20291750283943</v>
      </c>
      <c r="AY36" s="428">
        <f t="shared" si="17"/>
        <v>327.11062663411957</v>
      </c>
      <c r="AZ36" s="429">
        <f t="shared" si="18"/>
        <v>13738.646318633024</v>
      </c>
      <c r="BA36" s="427">
        <f t="shared" si="19"/>
        <v>159.85900502792461</v>
      </c>
      <c r="BB36" s="428">
        <f t="shared" si="0"/>
        <v>336.92394543314316</v>
      </c>
      <c r="BC36" s="429">
        <f t="shared" si="1"/>
        <v>14150.805708192014</v>
      </c>
      <c r="BD36" s="427">
        <f t="shared" si="2"/>
        <v>164.65477517876235</v>
      </c>
      <c r="BE36" s="428">
        <f t="shared" si="3"/>
        <v>347.03166379613748</v>
      </c>
      <c r="BF36" s="429">
        <f t="shared" si="4"/>
        <v>14575.329879437775</v>
      </c>
      <c r="BG36" s="427">
        <f t="shared" si="5"/>
        <v>169.59441843412523</v>
      </c>
      <c r="BH36" s="428">
        <f t="shared" si="6"/>
        <v>357.44261371002159</v>
      </c>
      <c r="BI36" s="429">
        <f t="shared" si="7"/>
        <v>15012.589775820908</v>
      </c>
    </row>
    <row r="37" spans="1:61"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20"/>
        <v>13098.54</v>
      </c>
      <c r="AG37" s="173">
        <f t="shared" si="8"/>
        <v>39.057600000000001</v>
      </c>
      <c r="AH37" s="177">
        <f t="shared" si="8"/>
        <v>321.22610000000003</v>
      </c>
      <c r="AI37" s="174">
        <f t="shared" si="21"/>
        <v>13491.496200000001</v>
      </c>
      <c r="AJ37" s="173">
        <f t="shared" ref="AJ37:AK47" si="25">AG37*(1+$AI$2)</f>
        <v>40.229328000000002</v>
      </c>
      <c r="AK37" s="177">
        <f>AH37*(1+$AI$2)</f>
        <v>330.86288300000007</v>
      </c>
      <c r="AL37" s="174">
        <f t="shared" si="22"/>
        <v>13896.241086000004</v>
      </c>
      <c r="AM37" s="409" t="s">
        <v>114</v>
      </c>
      <c r="AN37" s="427">
        <v>118.91149768000001</v>
      </c>
      <c r="AO37" s="428">
        <v>276.23171287000002</v>
      </c>
      <c r="AP37" s="429">
        <v>11601.731940540001</v>
      </c>
      <c r="AQ37" s="409" t="s">
        <v>114</v>
      </c>
      <c r="AR37" s="427">
        <f t="shared" si="10"/>
        <v>122.47884261040001</v>
      </c>
      <c r="AS37" s="428">
        <f t="shared" si="11"/>
        <v>284.51866425610001</v>
      </c>
      <c r="AT37" s="429">
        <f t="shared" si="12"/>
        <v>11949.783898756201</v>
      </c>
      <c r="AU37" s="427">
        <f t="shared" si="13"/>
        <v>126.15320788871202</v>
      </c>
      <c r="AV37" s="428">
        <f t="shared" si="14"/>
        <v>293.05422418378299</v>
      </c>
      <c r="AW37" s="429">
        <f t="shared" si="15"/>
        <v>12308.277415718887</v>
      </c>
      <c r="AX37" s="427">
        <f t="shared" si="16"/>
        <v>129.93780412537339</v>
      </c>
      <c r="AY37" s="428">
        <f t="shared" si="17"/>
        <v>301.84585090929647</v>
      </c>
      <c r="AZ37" s="429">
        <f t="shared" si="18"/>
        <v>12677.525738190454</v>
      </c>
      <c r="BA37" s="427">
        <f t="shared" si="19"/>
        <v>133.83593824913459</v>
      </c>
      <c r="BB37" s="428">
        <f t="shared" si="0"/>
        <v>310.90122643657537</v>
      </c>
      <c r="BC37" s="429">
        <f t="shared" si="1"/>
        <v>13057.851510336168</v>
      </c>
      <c r="BD37" s="427">
        <f t="shared" si="2"/>
        <v>137.85101639660863</v>
      </c>
      <c r="BE37" s="428">
        <f t="shared" si="3"/>
        <v>320.22826322967262</v>
      </c>
      <c r="BF37" s="429">
        <f t="shared" si="4"/>
        <v>13449.587055646252</v>
      </c>
      <c r="BG37" s="427">
        <f t="shared" si="5"/>
        <v>141.98654688850689</v>
      </c>
      <c r="BH37" s="428">
        <f t="shared" si="6"/>
        <v>329.83511112656282</v>
      </c>
      <c r="BI37" s="429">
        <f t="shared" si="7"/>
        <v>13853.074667315641</v>
      </c>
    </row>
    <row r="38" spans="1:61"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20"/>
        <v>14136.779999999999</v>
      </c>
      <c r="AG38" s="180">
        <f t="shared" si="8"/>
        <v>25.461600000000001</v>
      </c>
      <c r="AH38" s="177">
        <f t="shared" si="8"/>
        <v>346.68770000000001</v>
      </c>
      <c r="AI38" s="181">
        <f t="shared" si="21"/>
        <v>14560.883400000001</v>
      </c>
      <c r="AJ38" s="180">
        <f t="shared" si="25"/>
        <v>26.225448</v>
      </c>
      <c r="AK38" s="177">
        <f t="shared" si="25"/>
        <v>357.08833100000004</v>
      </c>
      <c r="AL38" s="181">
        <f t="shared" si="22"/>
        <v>14997.709902000002</v>
      </c>
      <c r="AM38" s="409" t="s">
        <v>115</v>
      </c>
      <c r="AN38" s="427">
        <v>41.435889570000022</v>
      </c>
      <c r="AO38" s="428">
        <v>340.78845122000001</v>
      </c>
      <c r="AP38" s="429">
        <v>14313.114951240001</v>
      </c>
      <c r="AQ38" s="409" t="s">
        <v>115</v>
      </c>
      <c r="AR38" s="427">
        <f t="shared" si="10"/>
        <v>42.678966257100022</v>
      </c>
      <c r="AS38" s="428">
        <f t="shared" si="11"/>
        <v>351.01210475660002</v>
      </c>
      <c r="AT38" s="429">
        <f t="shared" si="12"/>
        <v>14742.508399777202</v>
      </c>
      <c r="AU38" s="427">
        <f t="shared" si="13"/>
        <v>43.959335244813026</v>
      </c>
      <c r="AV38" s="428">
        <f t="shared" si="14"/>
        <v>361.54246789929806</v>
      </c>
      <c r="AW38" s="429">
        <f t="shared" si="15"/>
        <v>15184.783651770518</v>
      </c>
      <c r="AX38" s="427">
        <f t="shared" si="16"/>
        <v>45.278115302157417</v>
      </c>
      <c r="AY38" s="428">
        <f t="shared" si="17"/>
        <v>372.38874193627703</v>
      </c>
      <c r="AZ38" s="429">
        <f t="shared" si="18"/>
        <v>15640.327161323634</v>
      </c>
      <c r="BA38" s="427">
        <f t="shared" si="19"/>
        <v>46.636458761222144</v>
      </c>
      <c r="BB38" s="428">
        <f t="shared" si="0"/>
        <v>383.56040419436533</v>
      </c>
      <c r="BC38" s="429">
        <f t="shared" si="1"/>
        <v>16109.536976163343</v>
      </c>
      <c r="BD38" s="427">
        <f t="shared" si="2"/>
        <v>48.035552524058808</v>
      </c>
      <c r="BE38" s="428">
        <f t="shared" si="3"/>
        <v>395.06721632019628</v>
      </c>
      <c r="BF38" s="429">
        <f t="shared" si="4"/>
        <v>16592.823085448243</v>
      </c>
      <c r="BG38" s="427">
        <f t="shared" si="5"/>
        <v>49.476619099780571</v>
      </c>
      <c r="BH38" s="428">
        <f t="shared" si="6"/>
        <v>406.91923280980217</v>
      </c>
      <c r="BI38" s="429">
        <f t="shared" si="7"/>
        <v>17090.60777801169</v>
      </c>
    </row>
    <row r="39" spans="1:61"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20"/>
        <v>14641.2</v>
      </c>
      <c r="AG39" s="180">
        <f t="shared" si="8"/>
        <v>12.3703</v>
      </c>
      <c r="AH39" s="177">
        <f t="shared" si="8"/>
        <v>359.05800000000005</v>
      </c>
      <c r="AI39" s="181">
        <f t="shared" si="21"/>
        <v>15080.436000000002</v>
      </c>
      <c r="AJ39" s="180">
        <f t="shared" si="25"/>
        <v>12.741409000000001</v>
      </c>
      <c r="AK39" s="177">
        <f t="shared" si="25"/>
        <v>369.82974000000007</v>
      </c>
      <c r="AL39" s="181">
        <f t="shared" si="22"/>
        <v>15532.849080000004</v>
      </c>
      <c r="AM39" s="409" t="s">
        <v>116</v>
      </c>
      <c r="AN39" s="427">
        <v>27.012211440000002</v>
      </c>
      <c r="AO39" s="428">
        <v>367.80098093000004</v>
      </c>
      <c r="AP39" s="429">
        <v>15447.641199060003</v>
      </c>
      <c r="AQ39" s="409" t="s">
        <v>116</v>
      </c>
      <c r="AR39" s="427">
        <f t="shared" si="10"/>
        <v>27.822577783200003</v>
      </c>
      <c r="AS39" s="428">
        <f t="shared" si="11"/>
        <v>378.83501035790005</v>
      </c>
      <c r="AT39" s="429">
        <f t="shared" si="12"/>
        <v>15911.070435031803</v>
      </c>
      <c r="AU39" s="427">
        <f t="shared" si="13"/>
        <v>28.657255116696003</v>
      </c>
      <c r="AV39" s="428">
        <f t="shared" si="14"/>
        <v>390.20006066863704</v>
      </c>
      <c r="AW39" s="429">
        <f t="shared" si="15"/>
        <v>16388.402548082759</v>
      </c>
      <c r="AX39" s="427">
        <f t="shared" si="16"/>
        <v>29.516972770196883</v>
      </c>
      <c r="AY39" s="428">
        <f t="shared" si="17"/>
        <v>401.90606248869614</v>
      </c>
      <c r="AZ39" s="429">
        <f t="shared" si="18"/>
        <v>16880.054624525241</v>
      </c>
      <c r="BA39" s="427">
        <f t="shared" ref="BA39:BA61" si="26">AX39*(1+$BC$2)</f>
        <v>30.402481953302789</v>
      </c>
      <c r="BB39" s="428">
        <f t="shared" ref="BB39:BB61" si="27">AY39*(1+$BC$2)</f>
        <v>413.96324436335703</v>
      </c>
      <c r="BC39" s="429">
        <f t="shared" ref="BC39:BC61" si="28">AZ39*(1+$BC$2)</f>
        <v>17386.456263261</v>
      </c>
      <c r="BD39" s="427">
        <f t="shared" ref="BD39:BD61" si="29">BA39*(1+$BF$2)</f>
        <v>31.314556411901872</v>
      </c>
      <c r="BE39" s="428">
        <f t="shared" ref="BE39:BE61" si="30">BB39*(1+$BF$2)</f>
        <v>426.38214169425777</v>
      </c>
      <c r="BF39" s="429">
        <f t="shared" ref="BF39:BF61" si="31">BC39*(1+$BF$2)</f>
        <v>17908.049951158831</v>
      </c>
      <c r="BG39" s="427">
        <f t="shared" si="5"/>
        <v>32.253993104258932</v>
      </c>
      <c r="BH39" s="428">
        <f t="shared" si="6"/>
        <v>439.17360594508551</v>
      </c>
      <c r="BI39" s="429">
        <f t="shared" si="7"/>
        <v>18445.291449693595</v>
      </c>
    </row>
    <row r="40" spans="1:61"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20"/>
        <v>14690.759999999998</v>
      </c>
      <c r="AG40" s="173">
        <f t="shared" si="8"/>
        <v>39.0473</v>
      </c>
      <c r="AH40" s="177">
        <f t="shared" si="8"/>
        <v>360.27339999999998</v>
      </c>
      <c r="AI40" s="174">
        <f t="shared" si="21"/>
        <v>15131.4828</v>
      </c>
      <c r="AJ40" s="173">
        <f t="shared" si="25"/>
        <v>40.218719</v>
      </c>
      <c r="AK40" s="441">
        <f t="shared" si="25"/>
        <v>371.08160199999998</v>
      </c>
      <c r="AL40" s="174">
        <f t="shared" si="22"/>
        <v>15585.427283999999</v>
      </c>
      <c r="AM40" s="409" t="s">
        <v>117</v>
      </c>
      <c r="AN40" s="427">
        <v>13.123651270000002</v>
      </c>
      <c r="AO40" s="428">
        <v>380.92463220000008</v>
      </c>
      <c r="AP40" s="429">
        <v>15998.834552400003</v>
      </c>
      <c r="AQ40" s="409" t="s">
        <v>117</v>
      </c>
      <c r="AR40" s="427">
        <f t="shared" si="10"/>
        <v>13.517360808100001</v>
      </c>
      <c r="AS40" s="428">
        <f t="shared" si="11"/>
        <v>392.35237116600007</v>
      </c>
      <c r="AT40" s="429">
        <f t="shared" si="12"/>
        <v>16478.799588972004</v>
      </c>
      <c r="AU40" s="427">
        <f t="shared" si="13"/>
        <v>13.922881632343001</v>
      </c>
      <c r="AV40" s="428">
        <f t="shared" si="14"/>
        <v>404.12294230098007</v>
      </c>
      <c r="AW40" s="429">
        <f t="shared" si="15"/>
        <v>16973.163576641164</v>
      </c>
      <c r="AX40" s="427">
        <f t="shared" si="16"/>
        <v>14.340568081313291</v>
      </c>
      <c r="AY40" s="428">
        <f t="shared" si="17"/>
        <v>416.24663057000947</v>
      </c>
      <c r="AZ40" s="429">
        <f t="shared" si="18"/>
        <v>17482.358483940399</v>
      </c>
      <c r="BA40" s="427">
        <f t="shared" si="26"/>
        <v>14.77078512375269</v>
      </c>
      <c r="BB40" s="428">
        <f t="shared" si="27"/>
        <v>428.73402948710975</v>
      </c>
      <c r="BC40" s="429">
        <f t="shared" si="28"/>
        <v>18006.829238458613</v>
      </c>
      <c r="BD40" s="427">
        <f t="shared" si="29"/>
        <v>15.213908677465271</v>
      </c>
      <c r="BE40" s="428">
        <f t="shared" si="30"/>
        <v>441.59605037172304</v>
      </c>
      <c r="BF40" s="429">
        <f t="shared" si="31"/>
        <v>18547.034115612372</v>
      </c>
      <c r="BG40" s="427">
        <f t="shared" si="5"/>
        <v>15.670325937789229</v>
      </c>
      <c r="BH40" s="428">
        <f t="shared" si="6"/>
        <v>454.84393188287476</v>
      </c>
      <c r="BI40" s="429">
        <f t="shared" si="7"/>
        <v>19103.445139080744</v>
      </c>
    </row>
    <row r="41" spans="1:61"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20"/>
        <v>0</v>
      </c>
      <c r="AG41" s="173">
        <f t="shared" si="8"/>
        <v>0</v>
      </c>
      <c r="AH41" s="177">
        <f t="shared" si="8"/>
        <v>0</v>
      </c>
      <c r="AI41" s="174">
        <f t="shared" si="21"/>
        <v>0</v>
      </c>
      <c r="AJ41" s="173">
        <f t="shared" si="25"/>
        <v>0</v>
      </c>
      <c r="AK41" s="177">
        <f t="shared" si="25"/>
        <v>0</v>
      </c>
      <c r="AL41" s="174">
        <f t="shared" si="22"/>
        <v>0</v>
      </c>
      <c r="AM41" s="409" t="s">
        <v>118</v>
      </c>
      <c r="AN41" s="427">
        <v>41.425280569999998</v>
      </c>
      <c r="AO41" s="441">
        <v>382.21405005999998</v>
      </c>
      <c r="AP41" s="429">
        <v>16052.99010252</v>
      </c>
      <c r="AQ41" s="409" t="s">
        <v>118</v>
      </c>
      <c r="AR41" s="427">
        <f t="shared" si="10"/>
        <v>42.668038987099997</v>
      </c>
      <c r="AS41" s="441">
        <f t="shared" si="11"/>
        <v>393.6804715618</v>
      </c>
      <c r="AT41" s="429">
        <f t="shared" si="12"/>
        <v>16534.5798055956</v>
      </c>
      <c r="AU41" s="427">
        <f t="shared" si="13"/>
        <v>43.948080156712997</v>
      </c>
      <c r="AV41" s="441">
        <f t="shared" si="14"/>
        <v>405.49088570865399</v>
      </c>
      <c r="AW41" s="429">
        <f t="shared" si="15"/>
        <v>17030.61719976347</v>
      </c>
      <c r="AX41" s="427">
        <f t="shared" si="16"/>
        <v>45.266522561414391</v>
      </c>
      <c r="AY41" s="441">
        <f>AV41*(1+$AZ$2)</f>
        <v>417.65561227991361</v>
      </c>
      <c r="AZ41" s="429">
        <f t="shared" si="18"/>
        <v>17541.535715756374</v>
      </c>
      <c r="BA41" s="427">
        <f t="shared" si="26"/>
        <v>46.624518238256826</v>
      </c>
      <c r="BB41" s="441">
        <f t="shared" si="27"/>
        <v>430.18528064831105</v>
      </c>
      <c r="BC41" s="429">
        <f t="shared" si="28"/>
        <v>18067.781787229065</v>
      </c>
      <c r="BD41" s="427">
        <f t="shared" si="29"/>
        <v>48.023253785404535</v>
      </c>
      <c r="BE41" s="441">
        <f t="shared" si="30"/>
        <v>443.09083906776038</v>
      </c>
      <c r="BF41" s="429">
        <f t="shared" si="31"/>
        <v>18609.815240845939</v>
      </c>
      <c r="BG41" s="427">
        <f t="shared" si="5"/>
        <v>49.463951398966671</v>
      </c>
      <c r="BH41" s="441">
        <f t="shared" si="6"/>
        <v>456.3835642397932</v>
      </c>
      <c r="BI41" s="429">
        <f t="shared" si="7"/>
        <v>19168.109698071319</v>
      </c>
    </row>
    <row r="42" spans="1:61"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20"/>
        <v>16795.38</v>
      </c>
      <c r="AG42" s="173">
        <f t="shared" si="8"/>
        <v>51.613300000000002</v>
      </c>
      <c r="AH42" s="177">
        <f t="shared" si="8"/>
        <v>411.88670000000002</v>
      </c>
      <c r="AI42" s="174">
        <f t="shared" si="21"/>
        <v>17299.241399999999</v>
      </c>
      <c r="AJ42" s="173">
        <f>AG42*(1+$AI$2)+0.01</f>
        <v>53.171699000000004</v>
      </c>
      <c r="AK42" s="177">
        <f>AH42*(1+$AI$2)+0.01</f>
        <v>424.25330100000002</v>
      </c>
      <c r="AL42" s="174">
        <f t="shared" si="22"/>
        <v>17818.638642000002</v>
      </c>
      <c r="AM42" s="409" t="s">
        <v>119</v>
      </c>
      <c r="AN42" s="427">
        <v>0</v>
      </c>
      <c r="AO42" s="428">
        <v>0</v>
      </c>
      <c r="AP42" s="429">
        <v>0</v>
      </c>
      <c r="AQ42" s="409" t="s">
        <v>119</v>
      </c>
      <c r="AR42" s="427">
        <f t="shared" si="10"/>
        <v>0</v>
      </c>
      <c r="AS42" s="428">
        <f t="shared" si="11"/>
        <v>0</v>
      </c>
      <c r="AT42" s="429">
        <f t="shared" si="12"/>
        <v>0</v>
      </c>
      <c r="AU42" s="427">
        <f t="shared" si="13"/>
        <v>0</v>
      </c>
      <c r="AV42" s="428">
        <f t="shared" si="14"/>
        <v>0</v>
      </c>
      <c r="AW42" s="429">
        <f t="shared" si="15"/>
        <v>0</v>
      </c>
      <c r="AX42" s="427">
        <f t="shared" si="16"/>
        <v>0</v>
      </c>
      <c r="AY42" s="428">
        <f t="shared" si="17"/>
        <v>0</v>
      </c>
      <c r="AZ42" s="429">
        <f t="shared" si="18"/>
        <v>0</v>
      </c>
      <c r="BA42" s="427">
        <f t="shared" si="26"/>
        <v>0</v>
      </c>
      <c r="BB42" s="428">
        <f t="shared" si="27"/>
        <v>0</v>
      </c>
      <c r="BC42" s="429">
        <f t="shared" si="28"/>
        <v>0</v>
      </c>
      <c r="BD42" s="427">
        <f t="shared" si="29"/>
        <v>0</v>
      </c>
      <c r="BE42" s="428">
        <f t="shared" si="30"/>
        <v>0</v>
      </c>
      <c r="BF42" s="429">
        <f t="shared" si="31"/>
        <v>0</v>
      </c>
      <c r="BG42" s="427">
        <f t="shared" si="5"/>
        <v>0</v>
      </c>
      <c r="BH42" s="428">
        <f t="shared" si="6"/>
        <v>0</v>
      </c>
      <c r="BI42" s="429">
        <f t="shared" si="7"/>
        <v>0</v>
      </c>
    </row>
    <row r="43" spans="1:61"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20"/>
        <v>18900.84</v>
      </c>
      <c r="AG43" s="173">
        <f t="shared" si="8"/>
        <v>51.613300000000002</v>
      </c>
      <c r="AH43" s="177">
        <f t="shared" si="8"/>
        <v>463.5206</v>
      </c>
      <c r="AI43" s="174">
        <f t="shared" si="21"/>
        <v>19467.8652</v>
      </c>
      <c r="AJ43" s="173">
        <f>AG43*(1+$AI$2)+0.01</f>
        <v>53.171699000000004</v>
      </c>
      <c r="AK43" s="177">
        <f>AH43*(1+$AI$2)</f>
        <v>477.42621800000001</v>
      </c>
      <c r="AL43" s="174">
        <f t="shared" si="22"/>
        <v>20051.901156</v>
      </c>
      <c r="AM43" s="409" t="s">
        <v>120</v>
      </c>
      <c r="AN43" s="427">
        <v>54.766849970000003</v>
      </c>
      <c r="AO43" s="428">
        <v>436.98090003000004</v>
      </c>
      <c r="AP43" s="429">
        <v>18353.197801260001</v>
      </c>
      <c r="AQ43" s="409" t="s">
        <v>120</v>
      </c>
      <c r="AR43" s="427">
        <f t="shared" si="10"/>
        <v>56.409855469100002</v>
      </c>
      <c r="AS43" s="428">
        <f t="shared" si="11"/>
        <v>450.09032703090008</v>
      </c>
      <c r="AT43" s="429">
        <f t="shared" si="12"/>
        <v>18903.793735297801</v>
      </c>
      <c r="AU43" s="427">
        <f t="shared" si="13"/>
        <v>58.102151133173003</v>
      </c>
      <c r="AV43" s="428">
        <f t="shared" si="14"/>
        <v>463.59303684182709</v>
      </c>
      <c r="AW43" s="429">
        <f t="shared" si="15"/>
        <v>19470.907547356735</v>
      </c>
      <c r="AX43" s="427">
        <f t="shared" si="16"/>
        <v>59.845215667168198</v>
      </c>
      <c r="AY43" s="428">
        <f t="shared" si="17"/>
        <v>477.50082794708192</v>
      </c>
      <c r="AZ43" s="429">
        <f t="shared" si="18"/>
        <v>20055.034773777439</v>
      </c>
      <c r="BA43" s="427">
        <f t="shared" si="26"/>
        <v>61.640572137183248</v>
      </c>
      <c r="BB43" s="428">
        <f t="shared" si="27"/>
        <v>491.82585278549436</v>
      </c>
      <c r="BC43" s="429">
        <f t="shared" si="28"/>
        <v>20656.685816990765</v>
      </c>
      <c r="BD43" s="427">
        <f t="shared" si="29"/>
        <v>63.48978930129875</v>
      </c>
      <c r="BE43" s="428">
        <f t="shared" si="30"/>
        <v>506.58062836905918</v>
      </c>
      <c r="BF43" s="429">
        <f t="shared" si="31"/>
        <v>21276.386391500488</v>
      </c>
      <c r="BG43" s="427">
        <f t="shared" si="5"/>
        <v>65.394482980337713</v>
      </c>
      <c r="BH43" s="428">
        <f t="shared" si="6"/>
        <v>521.77804722013093</v>
      </c>
      <c r="BI43" s="429">
        <f t="shared" si="7"/>
        <v>21914.677983245503</v>
      </c>
    </row>
    <row r="44" spans="1:61"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20"/>
        <v>16796.22</v>
      </c>
      <c r="AG44" s="222">
        <f t="shared" si="8"/>
        <v>411.90730000000002</v>
      </c>
      <c r="AH44" s="225">
        <f t="shared" si="8"/>
        <v>411.90730000000002</v>
      </c>
      <c r="AI44" s="223">
        <f t="shared" si="21"/>
        <v>17300.106599999999</v>
      </c>
      <c r="AJ44" s="222">
        <f>AG44*(1+$AI$2)</f>
        <v>424.26451900000001</v>
      </c>
      <c r="AK44" s="225">
        <f>AH44*(1+$AI$2)</f>
        <v>424.26451900000001</v>
      </c>
      <c r="AL44" s="223">
        <f t="shared" si="22"/>
        <v>17819.109798000001</v>
      </c>
      <c r="AM44" s="409" t="s">
        <v>121</v>
      </c>
      <c r="AN44" s="427">
        <v>54.766849970000003</v>
      </c>
      <c r="AO44" s="428">
        <v>491.74900454000004</v>
      </c>
      <c r="AP44" s="429">
        <v>20653.458190680001</v>
      </c>
      <c r="AQ44" s="409" t="s">
        <v>121</v>
      </c>
      <c r="AR44" s="427">
        <f t="shared" si="10"/>
        <v>56.409855469100002</v>
      </c>
      <c r="AS44" s="428">
        <f t="shared" si="11"/>
        <v>506.50147467620008</v>
      </c>
      <c r="AT44" s="429">
        <f t="shared" si="12"/>
        <v>21273.061936400401</v>
      </c>
      <c r="AU44" s="427">
        <f t="shared" si="13"/>
        <v>58.102151133173003</v>
      </c>
      <c r="AV44" s="428">
        <f t="shared" si="14"/>
        <v>521.69651891648607</v>
      </c>
      <c r="AW44" s="429">
        <f t="shared" si="15"/>
        <v>21911.253794492415</v>
      </c>
      <c r="AX44" s="427">
        <f t="shared" si="16"/>
        <v>59.845215667168198</v>
      </c>
      <c r="AY44" s="428">
        <f t="shared" si="17"/>
        <v>537.34741448398063</v>
      </c>
      <c r="AZ44" s="429">
        <f t="shared" si="18"/>
        <v>22568.591408327189</v>
      </c>
      <c r="BA44" s="427">
        <f t="shared" si="26"/>
        <v>61.640572137183248</v>
      </c>
      <c r="BB44" s="428">
        <f t="shared" si="27"/>
        <v>553.4678369185001</v>
      </c>
      <c r="BC44" s="429">
        <f t="shared" si="28"/>
        <v>23245.649150577006</v>
      </c>
      <c r="BD44" s="427">
        <f t="shared" si="29"/>
        <v>63.48978930129875</v>
      </c>
      <c r="BE44" s="428">
        <f t="shared" si="30"/>
        <v>570.07187202605508</v>
      </c>
      <c r="BF44" s="429">
        <f t="shared" si="31"/>
        <v>23943.018625094319</v>
      </c>
      <c r="BG44" s="427">
        <f t="shared" si="5"/>
        <v>65.394482980337713</v>
      </c>
      <c r="BH44" s="428">
        <f t="shared" si="6"/>
        <v>587.17402818683672</v>
      </c>
      <c r="BI44" s="429">
        <f t="shared" si="7"/>
        <v>24661.309183847148</v>
      </c>
    </row>
    <row r="45" spans="1:61"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20"/>
        <v>3121.4399999999996</v>
      </c>
      <c r="AG45" s="166">
        <f t="shared" si="8"/>
        <v>76.549599999999998</v>
      </c>
      <c r="AH45" s="170">
        <f t="shared" si="8"/>
        <v>76.549599999999998</v>
      </c>
      <c r="AI45" s="167">
        <f t="shared" si="21"/>
        <v>3215.0832</v>
      </c>
      <c r="AJ45" s="166">
        <f t="shared" si="25"/>
        <v>78.846087999999995</v>
      </c>
      <c r="AK45" s="170">
        <f t="shared" si="25"/>
        <v>78.846087999999995</v>
      </c>
      <c r="AL45" s="167">
        <f t="shared" si="22"/>
        <v>3311.5356959999999</v>
      </c>
      <c r="AM45" s="408" t="s">
        <v>122</v>
      </c>
      <c r="AN45" s="430">
        <v>436.99245457000001</v>
      </c>
      <c r="AO45" s="431">
        <v>436.99245457000001</v>
      </c>
      <c r="AP45" s="432">
        <v>18353.683091940002</v>
      </c>
      <c r="AQ45" s="408" t="s">
        <v>122</v>
      </c>
      <c r="AR45" s="430">
        <f t="shared" si="10"/>
        <v>450.10222820710004</v>
      </c>
      <c r="AS45" s="431">
        <f t="shared" si="11"/>
        <v>450.10222820710004</v>
      </c>
      <c r="AT45" s="432">
        <f t="shared" si="12"/>
        <v>18904.293584698204</v>
      </c>
      <c r="AU45" s="430">
        <f t="shared" si="13"/>
        <v>463.60529505331306</v>
      </c>
      <c r="AV45" s="431">
        <f t="shared" si="14"/>
        <v>463.60529505331306</v>
      </c>
      <c r="AW45" s="432">
        <f t="shared" si="15"/>
        <v>19471.42239223915</v>
      </c>
      <c r="AX45" s="430">
        <f t="shared" si="16"/>
        <v>477.51345390491247</v>
      </c>
      <c r="AY45" s="431">
        <f t="shared" si="17"/>
        <v>477.51345390491247</v>
      </c>
      <c r="AZ45" s="432">
        <f t="shared" si="18"/>
        <v>20055.565064006325</v>
      </c>
      <c r="BA45" s="430">
        <f t="shared" si="26"/>
        <v>491.83885752205987</v>
      </c>
      <c r="BB45" s="431">
        <f t="shared" si="27"/>
        <v>491.83885752205987</v>
      </c>
      <c r="BC45" s="432">
        <f t="shared" si="28"/>
        <v>20657.232015926515</v>
      </c>
      <c r="BD45" s="430">
        <f t="shared" si="29"/>
        <v>506.59402324772168</v>
      </c>
      <c r="BE45" s="431">
        <f t="shared" si="30"/>
        <v>506.59402324772168</v>
      </c>
      <c r="BF45" s="432">
        <f t="shared" si="31"/>
        <v>21276.94897640431</v>
      </c>
      <c r="BG45" s="430">
        <f t="shared" si="5"/>
        <v>521.79184394515335</v>
      </c>
      <c r="BH45" s="431">
        <f t="shared" si="6"/>
        <v>521.79184394515335</v>
      </c>
      <c r="BI45" s="432">
        <f t="shared" si="7"/>
        <v>21915.257445696439</v>
      </c>
    </row>
    <row r="46" spans="1:61"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20"/>
        <v>6046.74</v>
      </c>
      <c r="AG46" s="173">
        <f t="shared" si="8"/>
        <v>148.28909999999999</v>
      </c>
      <c r="AH46" s="177">
        <f t="shared" si="8"/>
        <v>148.28909999999999</v>
      </c>
      <c r="AI46" s="174">
        <f t="shared" si="21"/>
        <v>6228.1421999999993</v>
      </c>
      <c r="AJ46" s="173">
        <f t="shared" si="25"/>
        <v>152.737773</v>
      </c>
      <c r="AK46" s="177">
        <f t="shared" si="25"/>
        <v>152.737773</v>
      </c>
      <c r="AL46" s="174">
        <f t="shared" si="22"/>
        <v>6414.9864660000003</v>
      </c>
      <c r="AM46" s="409" t="s">
        <v>99</v>
      </c>
      <c r="AN46" s="424">
        <v>81.211470640000002</v>
      </c>
      <c r="AO46" s="425">
        <v>81.211470640000002</v>
      </c>
      <c r="AP46" s="426">
        <v>3410.8817668800002</v>
      </c>
      <c r="AQ46" s="409" t="s">
        <v>99</v>
      </c>
      <c r="AR46" s="424">
        <f t="shared" si="10"/>
        <v>83.647814759200003</v>
      </c>
      <c r="AS46" s="425">
        <f t="shared" si="11"/>
        <v>83.647814759200003</v>
      </c>
      <c r="AT46" s="426">
        <f t="shared" si="12"/>
        <v>3513.2082198864005</v>
      </c>
      <c r="AU46" s="424">
        <f t="shared" si="13"/>
        <v>86.157249201976001</v>
      </c>
      <c r="AV46" s="425">
        <f t="shared" si="14"/>
        <v>86.157249201976001</v>
      </c>
      <c r="AW46" s="426">
        <f t="shared" si="15"/>
        <v>3618.6044664829924</v>
      </c>
      <c r="AX46" s="424">
        <f t="shared" si="16"/>
        <v>88.741966678035283</v>
      </c>
      <c r="AY46" s="425">
        <f t="shared" si="17"/>
        <v>88.741966678035283</v>
      </c>
      <c r="AZ46" s="426">
        <f t="shared" si="18"/>
        <v>3727.1626004774821</v>
      </c>
      <c r="BA46" s="424">
        <f t="shared" si="26"/>
        <v>91.404225678376349</v>
      </c>
      <c r="BB46" s="425">
        <f t="shared" si="27"/>
        <v>91.404225678376349</v>
      </c>
      <c r="BC46" s="426">
        <f t="shared" si="28"/>
        <v>3838.9774784918068</v>
      </c>
      <c r="BD46" s="424">
        <f t="shared" si="29"/>
        <v>94.14635244872764</v>
      </c>
      <c r="BE46" s="425">
        <f t="shared" si="30"/>
        <v>94.14635244872764</v>
      </c>
      <c r="BF46" s="426">
        <f t="shared" si="31"/>
        <v>3954.1468028465611</v>
      </c>
      <c r="BG46" s="424">
        <f t="shared" si="5"/>
        <v>96.970743022189467</v>
      </c>
      <c r="BH46" s="425">
        <f t="shared" si="6"/>
        <v>96.970743022189467</v>
      </c>
      <c r="BI46" s="426">
        <f t="shared" si="7"/>
        <v>4072.7712069319582</v>
      </c>
    </row>
    <row r="47" spans="1:61"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20"/>
        <v>7302.54</v>
      </c>
      <c r="AG47" s="180">
        <f t="shared" si="8"/>
        <v>30.797000000000001</v>
      </c>
      <c r="AH47" s="177">
        <f t="shared" si="8"/>
        <v>179.08610000000002</v>
      </c>
      <c r="AI47" s="181">
        <f t="shared" si="21"/>
        <v>7521.6162000000004</v>
      </c>
      <c r="AJ47" s="180">
        <f t="shared" si="25"/>
        <v>31.72091</v>
      </c>
      <c r="AK47" s="177">
        <f t="shared" si="25"/>
        <v>184.45868300000001</v>
      </c>
      <c r="AL47" s="181">
        <f t="shared" si="22"/>
        <v>7747.2646860000004</v>
      </c>
      <c r="AM47" s="409" t="s">
        <v>102</v>
      </c>
      <c r="AN47" s="427">
        <v>157.31990619000001</v>
      </c>
      <c r="AO47" s="428">
        <v>157.31990619000001</v>
      </c>
      <c r="AP47" s="429">
        <v>6607.4360599800002</v>
      </c>
      <c r="AQ47" s="409" t="s">
        <v>102</v>
      </c>
      <c r="AR47" s="427">
        <f t="shared" si="10"/>
        <v>162.03950337570001</v>
      </c>
      <c r="AS47" s="428">
        <f t="shared" si="11"/>
        <v>162.03950337570001</v>
      </c>
      <c r="AT47" s="429">
        <f t="shared" si="12"/>
        <v>6805.6591417794007</v>
      </c>
      <c r="AU47" s="427">
        <f t="shared" si="13"/>
        <v>166.900688476971</v>
      </c>
      <c r="AV47" s="428">
        <f t="shared" si="14"/>
        <v>166.900688476971</v>
      </c>
      <c r="AW47" s="429">
        <f t="shared" si="15"/>
        <v>7009.8289160327831</v>
      </c>
      <c r="AX47" s="427">
        <f t="shared" si="16"/>
        <v>171.90770913128014</v>
      </c>
      <c r="AY47" s="428">
        <f t="shared" si="17"/>
        <v>171.90770913128014</v>
      </c>
      <c r="AZ47" s="429">
        <f t="shared" si="18"/>
        <v>7220.1237835137672</v>
      </c>
      <c r="BA47" s="427">
        <f t="shared" si="26"/>
        <v>177.06494040521855</v>
      </c>
      <c r="BB47" s="428">
        <f t="shared" si="27"/>
        <v>177.06494040521855</v>
      </c>
      <c r="BC47" s="429">
        <f t="shared" si="28"/>
        <v>7436.7274970191802</v>
      </c>
      <c r="BD47" s="427">
        <f t="shared" si="29"/>
        <v>182.3768886173751</v>
      </c>
      <c r="BE47" s="428">
        <f t="shared" si="30"/>
        <v>182.3768886173751</v>
      </c>
      <c r="BF47" s="429">
        <f t="shared" si="31"/>
        <v>7659.8293219297557</v>
      </c>
      <c r="BG47" s="427">
        <f t="shared" si="5"/>
        <v>187.84819527589636</v>
      </c>
      <c r="BH47" s="428">
        <f t="shared" si="6"/>
        <v>187.84819527589636</v>
      </c>
      <c r="BI47" s="429">
        <f t="shared" si="7"/>
        <v>7889.6242015876487</v>
      </c>
    </row>
    <row r="48" spans="1:61"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20"/>
        <v>8321.8799999999992</v>
      </c>
      <c r="AG48" s="173">
        <f>AD48*(1+$AI$2)-0.01</f>
        <v>55.785100000000007</v>
      </c>
      <c r="AH48" s="177">
        <f>AE48*(1+$AI$2)</f>
        <v>204.08419999999998</v>
      </c>
      <c r="AI48" s="174">
        <f t="shared" si="21"/>
        <v>8571.536399999999</v>
      </c>
      <c r="AJ48" s="173">
        <f>AG48*(1+$AI$2)-0.01</f>
        <v>57.448653000000007</v>
      </c>
      <c r="AK48" s="177">
        <f>AH48*(1+$AI$2)-0.02</f>
        <v>210.18672599999996</v>
      </c>
      <c r="AL48" s="174">
        <f t="shared" si="22"/>
        <v>8827.8424919999979</v>
      </c>
      <c r="AM48" s="409" t="s">
        <v>104</v>
      </c>
      <c r="AN48" s="427">
        <v>32.672537300000002</v>
      </c>
      <c r="AO48" s="428">
        <v>189.99244349</v>
      </c>
      <c r="AP48" s="429">
        <v>7979.6826265800009</v>
      </c>
      <c r="AQ48" s="409" t="s">
        <v>104</v>
      </c>
      <c r="AR48" s="427">
        <f t="shared" si="10"/>
        <v>33.652713419000001</v>
      </c>
      <c r="AS48" s="428">
        <f t="shared" si="11"/>
        <v>195.69221679470002</v>
      </c>
      <c r="AT48" s="429">
        <f t="shared" si="12"/>
        <v>8219.0731053774016</v>
      </c>
      <c r="AU48" s="427">
        <f t="shared" si="13"/>
        <v>34.662294821570001</v>
      </c>
      <c r="AV48" s="428">
        <f t="shared" si="14"/>
        <v>201.56298329854101</v>
      </c>
      <c r="AW48" s="429">
        <f t="shared" si="15"/>
        <v>8465.6452985387241</v>
      </c>
      <c r="AX48" s="427">
        <f t="shared" si="16"/>
        <v>35.702163666217103</v>
      </c>
      <c r="AY48" s="428">
        <f t="shared" si="17"/>
        <v>207.60987279749725</v>
      </c>
      <c r="AZ48" s="429">
        <f t="shared" si="18"/>
        <v>8719.6146574948853</v>
      </c>
      <c r="BA48" s="427">
        <f t="shared" si="26"/>
        <v>36.773228576203614</v>
      </c>
      <c r="BB48" s="428">
        <f t="shared" si="27"/>
        <v>213.83816898142217</v>
      </c>
      <c r="BC48" s="429">
        <f t="shared" si="28"/>
        <v>8981.2030972197317</v>
      </c>
      <c r="BD48" s="427">
        <f t="shared" si="29"/>
        <v>37.876425433489722</v>
      </c>
      <c r="BE48" s="428">
        <f t="shared" si="30"/>
        <v>220.25331405086484</v>
      </c>
      <c r="BF48" s="429">
        <f t="shared" si="31"/>
        <v>9250.639190136324</v>
      </c>
      <c r="BG48" s="427">
        <f t="shared" si="5"/>
        <v>39.012718196494411</v>
      </c>
      <c r="BH48" s="428">
        <f t="shared" si="6"/>
        <v>226.86091347239079</v>
      </c>
      <c r="BI48" s="429">
        <f t="shared" si="7"/>
        <v>9528.1583658404143</v>
      </c>
    </row>
    <row r="49" spans="1:61"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20"/>
        <v>13098.12</v>
      </c>
      <c r="AG49" s="173">
        <f>AD49*(1+$AI$2)+0.01</f>
        <v>117.14160000000001</v>
      </c>
      <c r="AH49" s="177">
        <f>AH48+AG49</f>
        <v>321.22579999999999</v>
      </c>
      <c r="AI49" s="174">
        <f t="shared" si="21"/>
        <v>13491.4836</v>
      </c>
      <c r="AJ49" s="173">
        <f>AG49*(1+$AI$2)+0.02</f>
        <v>120.67584800000002</v>
      </c>
      <c r="AK49" s="177">
        <f>AK48+AJ49</f>
        <v>330.862574</v>
      </c>
      <c r="AL49" s="174">
        <f t="shared" si="22"/>
        <v>13896.228107999999</v>
      </c>
      <c r="AM49" s="409" t="s">
        <v>105</v>
      </c>
      <c r="AN49" s="427">
        <v>59.172112590000012</v>
      </c>
      <c r="AO49" s="428">
        <v>216.49232777999998</v>
      </c>
      <c r="AP49" s="429">
        <v>9092.6777667599981</v>
      </c>
      <c r="AQ49" s="409" t="s">
        <v>105</v>
      </c>
      <c r="AR49" s="427">
        <f t="shared" si="10"/>
        <v>60.947275967700016</v>
      </c>
      <c r="AS49" s="428">
        <f t="shared" si="11"/>
        <v>222.98709761339998</v>
      </c>
      <c r="AT49" s="429">
        <f t="shared" si="12"/>
        <v>9365.4580997627982</v>
      </c>
      <c r="AU49" s="427">
        <f t="shared" si="13"/>
        <v>62.775694246731021</v>
      </c>
      <c r="AV49" s="428">
        <f t="shared" si="14"/>
        <v>229.67671054180198</v>
      </c>
      <c r="AW49" s="429">
        <f t="shared" si="15"/>
        <v>9646.4218427556825</v>
      </c>
      <c r="AX49" s="427">
        <f t="shared" si="16"/>
        <v>64.658965074132951</v>
      </c>
      <c r="AY49" s="428">
        <f t="shared" si="17"/>
        <v>236.56701185805605</v>
      </c>
      <c r="AZ49" s="429">
        <f t="shared" si="18"/>
        <v>9935.8144980383531</v>
      </c>
      <c r="BA49" s="427">
        <f t="shared" si="26"/>
        <v>66.598734026356937</v>
      </c>
      <c r="BB49" s="428">
        <f t="shared" si="27"/>
        <v>243.66402221379775</v>
      </c>
      <c r="BC49" s="429">
        <f t="shared" si="28"/>
        <v>10233.888932979504</v>
      </c>
      <c r="BD49" s="427">
        <f t="shared" si="29"/>
        <v>68.596696047147645</v>
      </c>
      <c r="BE49" s="428">
        <f t="shared" si="30"/>
        <v>250.97394288021169</v>
      </c>
      <c r="BF49" s="429">
        <f t="shared" si="31"/>
        <v>10540.905600968888</v>
      </c>
      <c r="BG49" s="427">
        <f t="shared" si="5"/>
        <v>70.654596928562071</v>
      </c>
      <c r="BH49" s="428">
        <f t="shared" si="6"/>
        <v>258.50316116661804</v>
      </c>
      <c r="BI49" s="429">
        <f t="shared" si="7"/>
        <v>10857.132768997955</v>
      </c>
    </row>
    <row r="50" spans="1:61"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20"/>
        <v>13098.12</v>
      </c>
      <c r="AG50" s="222">
        <f>AD50*(1+$AI$2)+0.01</f>
        <v>117.14160000000001</v>
      </c>
      <c r="AH50" s="225">
        <f>AH48+AG50</f>
        <v>321.22579999999999</v>
      </c>
      <c r="AI50" s="223">
        <f t="shared" si="21"/>
        <v>13491.4836</v>
      </c>
      <c r="AJ50" s="222">
        <f>AG50*(1+$AI$2)+0.02</f>
        <v>120.67584800000002</v>
      </c>
      <c r="AK50" s="225">
        <f>AK48+AJ50</f>
        <v>330.862574</v>
      </c>
      <c r="AL50" s="223">
        <f t="shared" si="22"/>
        <v>13896.228107999999</v>
      </c>
      <c r="AM50" s="409" t="s">
        <v>123</v>
      </c>
      <c r="AN50" s="427">
        <v>124.29612344000002</v>
      </c>
      <c r="AO50" s="428">
        <v>340.78845122000001</v>
      </c>
      <c r="AP50" s="429">
        <v>14313.114951239999</v>
      </c>
      <c r="AQ50" s="409" t="s">
        <v>123</v>
      </c>
      <c r="AR50" s="427">
        <f t="shared" si="10"/>
        <v>128.02500714320001</v>
      </c>
      <c r="AS50" s="428">
        <f t="shared" si="11"/>
        <v>351.01210475660002</v>
      </c>
      <c r="AT50" s="429">
        <f t="shared" si="12"/>
        <v>14742.5083997772</v>
      </c>
      <c r="AU50" s="427">
        <f t="shared" si="13"/>
        <v>131.86575735749602</v>
      </c>
      <c r="AV50" s="428">
        <f t="shared" si="14"/>
        <v>361.54246789929806</v>
      </c>
      <c r="AW50" s="429">
        <f t="shared" si="15"/>
        <v>15184.783651770516</v>
      </c>
      <c r="AX50" s="427">
        <f t="shared" si="16"/>
        <v>135.8217300782209</v>
      </c>
      <c r="AY50" s="428">
        <f t="shared" si="17"/>
        <v>372.38874193627703</v>
      </c>
      <c r="AZ50" s="429">
        <f t="shared" si="18"/>
        <v>15640.327161323632</v>
      </c>
      <c r="BA50" s="427">
        <f t="shared" si="26"/>
        <v>139.89638198056753</v>
      </c>
      <c r="BB50" s="428">
        <f t="shared" si="27"/>
        <v>383.56040419436533</v>
      </c>
      <c r="BC50" s="429">
        <f t="shared" si="28"/>
        <v>16109.536976163341</v>
      </c>
      <c r="BD50" s="427">
        <f t="shared" si="29"/>
        <v>144.09327343998456</v>
      </c>
      <c r="BE50" s="428">
        <f t="shared" si="30"/>
        <v>395.06721632019628</v>
      </c>
      <c r="BF50" s="429">
        <f t="shared" si="31"/>
        <v>16592.823085448243</v>
      </c>
      <c r="BG50" s="427">
        <f t="shared" si="5"/>
        <v>148.4160716431841</v>
      </c>
      <c r="BH50" s="428">
        <f t="shared" si="6"/>
        <v>406.91923280980217</v>
      </c>
      <c r="BI50" s="429">
        <f t="shared" si="7"/>
        <v>17090.60777801169</v>
      </c>
    </row>
    <row r="51" spans="1:61"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20"/>
        <v>3121.4399999999996</v>
      </c>
      <c r="AG51" s="166">
        <f t="shared" ref="AG51:AH54" si="32">AD51*(1+$AI$2)</f>
        <v>76.549599999999998</v>
      </c>
      <c r="AH51" s="170">
        <f t="shared" si="32"/>
        <v>76.549599999999998</v>
      </c>
      <c r="AI51" s="167">
        <f t="shared" si="21"/>
        <v>3215.0832</v>
      </c>
      <c r="AJ51" s="166">
        <f t="shared" ref="AJ51:AK53" si="33">AG51*(1+$AI$2)</f>
        <v>78.846087999999995</v>
      </c>
      <c r="AK51" s="170">
        <f t="shared" si="33"/>
        <v>78.846087999999995</v>
      </c>
      <c r="AL51" s="167">
        <f t="shared" si="22"/>
        <v>3311.5356959999999</v>
      </c>
      <c r="AM51" s="408" t="s">
        <v>124</v>
      </c>
      <c r="AN51" s="430">
        <v>124.29612344000002</v>
      </c>
      <c r="AO51" s="433">
        <v>340.78845122000001</v>
      </c>
      <c r="AP51" s="432">
        <v>14313.114951239999</v>
      </c>
      <c r="AQ51" s="408" t="s">
        <v>124</v>
      </c>
      <c r="AR51" s="430">
        <f t="shared" si="10"/>
        <v>128.02500714320001</v>
      </c>
      <c r="AS51" s="433">
        <f t="shared" si="11"/>
        <v>351.01210475660002</v>
      </c>
      <c r="AT51" s="432">
        <f t="shared" si="12"/>
        <v>14742.5083997772</v>
      </c>
      <c r="AU51" s="430">
        <f t="shared" si="13"/>
        <v>131.86575735749602</v>
      </c>
      <c r="AV51" s="433">
        <f t="shared" si="14"/>
        <v>361.54246789929806</v>
      </c>
      <c r="AW51" s="432">
        <f t="shared" si="15"/>
        <v>15184.783651770516</v>
      </c>
      <c r="AX51" s="430">
        <f t="shared" si="16"/>
        <v>135.8217300782209</v>
      </c>
      <c r="AY51" s="433">
        <f t="shared" si="17"/>
        <v>372.38874193627703</v>
      </c>
      <c r="AZ51" s="432">
        <f t="shared" si="18"/>
        <v>15640.327161323632</v>
      </c>
      <c r="BA51" s="430">
        <f t="shared" si="26"/>
        <v>139.89638198056753</v>
      </c>
      <c r="BB51" s="433">
        <f t="shared" si="27"/>
        <v>383.56040419436533</v>
      </c>
      <c r="BC51" s="432">
        <f t="shared" si="28"/>
        <v>16109.536976163341</v>
      </c>
      <c r="BD51" s="430">
        <f t="shared" si="29"/>
        <v>144.09327343998456</v>
      </c>
      <c r="BE51" s="433">
        <f t="shared" si="30"/>
        <v>395.06721632019628</v>
      </c>
      <c r="BF51" s="432">
        <f t="shared" si="31"/>
        <v>16592.823085448243</v>
      </c>
      <c r="BG51" s="430">
        <f t="shared" si="5"/>
        <v>148.4160716431841</v>
      </c>
      <c r="BH51" s="433">
        <f t="shared" si="6"/>
        <v>406.91923280980217</v>
      </c>
      <c r="BI51" s="432">
        <f t="shared" si="7"/>
        <v>17090.60777801169</v>
      </c>
    </row>
    <row r="52" spans="1:61"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20"/>
        <v>6046.74</v>
      </c>
      <c r="AG52" s="173">
        <f t="shared" si="32"/>
        <v>148.28909999999999</v>
      </c>
      <c r="AH52" s="177">
        <f t="shared" si="32"/>
        <v>148.28909999999999</v>
      </c>
      <c r="AI52" s="174">
        <f t="shared" si="21"/>
        <v>6228.1421999999993</v>
      </c>
      <c r="AJ52" s="173">
        <f t="shared" si="33"/>
        <v>152.737773</v>
      </c>
      <c r="AK52" s="177">
        <f t="shared" si="33"/>
        <v>152.737773</v>
      </c>
      <c r="AL52" s="174">
        <f t="shared" si="22"/>
        <v>6414.9864660000003</v>
      </c>
      <c r="AM52" s="412" t="s">
        <v>99</v>
      </c>
      <c r="AN52" s="424">
        <v>81.211470640000002</v>
      </c>
      <c r="AO52" s="425">
        <v>81.211470640000002</v>
      </c>
      <c r="AP52" s="426">
        <v>3410.8817668800002</v>
      </c>
      <c r="AQ52" s="412" t="s">
        <v>99</v>
      </c>
      <c r="AR52" s="424">
        <f t="shared" si="10"/>
        <v>83.647814759200003</v>
      </c>
      <c r="AS52" s="425">
        <f t="shared" si="11"/>
        <v>83.647814759200003</v>
      </c>
      <c r="AT52" s="426">
        <f t="shared" si="12"/>
        <v>3513.2082198864005</v>
      </c>
      <c r="AU52" s="424">
        <f t="shared" si="13"/>
        <v>86.157249201976001</v>
      </c>
      <c r="AV52" s="425">
        <f t="shared" si="14"/>
        <v>86.157249201976001</v>
      </c>
      <c r="AW52" s="426">
        <f t="shared" si="15"/>
        <v>3618.6044664829924</v>
      </c>
      <c r="AX52" s="424">
        <f t="shared" si="16"/>
        <v>88.741966678035283</v>
      </c>
      <c r="AY52" s="425">
        <f t="shared" si="17"/>
        <v>88.741966678035283</v>
      </c>
      <c r="AZ52" s="426">
        <f t="shared" si="18"/>
        <v>3727.1626004774821</v>
      </c>
      <c r="BA52" s="424">
        <f t="shared" si="26"/>
        <v>91.404225678376349</v>
      </c>
      <c r="BB52" s="425">
        <f t="shared" si="27"/>
        <v>91.404225678376349</v>
      </c>
      <c r="BC52" s="426">
        <f t="shared" si="28"/>
        <v>3838.9774784918068</v>
      </c>
      <c r="BD52" s="424">
        <f t="shared" si="29"/>
        <v>94.14635244872764</v>
      </c>
      <c r="BE52" s="425">
        <f t="shared" si="30"/>
        <v>94.14635244872764</v>
      </c>
      <c r="BF52" s="426">
        <f t="shared" si="31"/>
        <v>3954.1468028465611</v>
      </c>
      <c r="BG52" s="424">
        <f t="shared" si="5"/>
        <v>96.970743022189467</v>
      </c>
      <c r="BH52" s="425">
        <f t="shared" si="6"/>
        <v>96.970743022189467</v>
      </c>
      <c r="BI52" s="426">
        <f t="shared" si="7"/>
        <v>4072.7712069319582</v>
      </c>
    </row>
    <row r="53" spans="1:61"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20"/>
        <v>7302.54</v>
      </c>
      <c r="AG53" s="180">
        <f t="shared" si="32"/>
        <v>30.797000000000001</v>
      </c>
      <c r="AH53" s="177">
        <f t="shared" si="32"/>
        <v>179.08610000000002</v>
      </c>
      <c r="AI53" s="181">
        <f t="shared" si="21"/>
        <v>7521.6162000000004</v>
      </c>
      <c r="AJ53" s="180">
        <f t="shared" si="33"/>
        <v>31.72091</v>
      </c>
      <c r="AK53" s="177">
        <f t="shared" si="33"/>
        <v>184.45868300000001</v>
      </c>
      <c r="AL53" s="181">
        <f t="shared" si="22"/>
        <v>7747.2646860000004</v>
      </c>
      <c r="AM53" s="409" t="s">
        <v>102</v>
      </c>
      <c r="AN53" s="427">
        <v>157.31990619000001</v>
      </c>
      <c r="AO53" s="428">
        <v>157.31990619000001</v>
      </c>
      <c r="AP53" s="429">
        <v>6607.4360599800002</v>
      </c>
      <c r="AQ53" s="409" t="s">
        <v>102</v>
      </c>
      <c r="AR53" s="427">
        <f t="shared" si="10"/>
        <v>162.03950337570001</v>
      </c>
      <c r="AS53" s="428">
        <f t="shared" si="11"/>
        <v>162.03950337570001</v>
      </c>
      <c r="AT53" s="429">
        <f t="shared" si="12"/>
        <v>6805.6591417794007</v>
      </c>
      <c r="AU53" s="427">
        <f t="shared" si="13"/>
        <v>166.900688476971</v>
      </c>
      <c r="AV53" s="428">
        <f t="shared" si="14"/>
        <v>166.900688476971</v>
      </c>
      <c r="AW53" s="429">
        <f t="shared" si="15"/>
        <v>7009.8289160327831</v>
      </c>
      <c r="AX53" s="427">
        <f t="shared" si="16"/>
        <v>171.90770913128014</v>
      </c>
      <c r="AY53" s="428">
        <f t="shared" si="17"/>
        <v>171.90770913128014</v>
      </c>
      <c r="AZ53" s="429">
        <f t="shared" si="18"/>
        <v>7220.1237835137672</v>
      </c>
      <c r="BA53" s="427">
        <f t="shared" si="26"/>
        <v>177.06494040521855</v>
      </c>
      <c r="BB53" s="428">
        <f t="shared" si="27"/>
        <v>177.06494040521855</v>
      </c>
      <c r="BC53" s="429">
        <f t="shared" si="28"/>
        <v>7436.7274970191802</v>
      </c>
      <c r="BD53" s="427">
        <f t="shared" si="29"/>
        <v>182.3768886173751</v>
      </c>
      <c r="BE53" s="428">
        <f t="shared" si="30"/>
        <v>182.3768886173751</v>
      </c>
      <c r="BF53" s="429">
        <f t="shared" si="31"/>
        <v>7659.8293219297557</v>
      </c>
      <c r="BG53" s="427">
        <f t="shared" si="5"/>
        <v>187.84819527589636</v>
      </c>
      <c r="BH53" s="428">
        <f t="shared" si="6"/>
        <v>187.84819527589636</v>
      </c>
      <c r="BI53" s="429">
        <f t="shared" si="7"/>
        <v>7889.6242015876487</v>
      </c>
    </row>
    <row r="54" spans="1:61"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20"/>
        <v>8321.8799999999992</v>
      </c>
      <c r="AG54" s="173">
        <f>AD54*(1+$AI$2)-0.01</f>
        <v>55.785100000000007</v>
      </c>
      <c r="AH54" s="177">
        <f t="shared" si="32"/>
        <v>204.08419999999998</v>
      </c>
      <c r="AI54" s="174">
        <f t="shared" si="21"/>
        <v>8571.536399999999</v>
      </c>
      <c r="AJ54" s="173">
        <f>AG54*(1+$AI$2)-0.01</f>
        <v>57.448653000000007</v>
      </c>
      <c r="AK54" s="177">
        <f>AH54*(1+$AI$2)-0.02</f>
        <v>210.18672599999996</v>
      </c>
      <c r="AL54" s="174">
        <f t="shared" si="22"/>
        <v>8827.8424919999979</v>
      </c>
      <c r="AM54" s="409" t="s">
        <v>104</v>
      </c>
      <c r="AN54" s="427">
        <v>32.672537300000002</v>
      </c>
      <c r="AO54" s="428">
        <v>189.99244349</v>
      </c>
      <c r="AP54" s="429">
        <v>7979.6826265800009</v>
      </c>
      <c r="AQ54" s="409" t="s">
        <v>104</v>
      </c>
      <c r="AR54" s="427">
        <f t="shared" si="10"/>
        <v>33.652713419000001</v>
      </c>
      <c r="AS54" s="428">
        <f t="shared" si="11"/>
        <v>195.69221679470002</v>
      </c>
      <c r="AT54" s="429">
        <f t="shared" si="12"/>
        <v>8219.0731053774016</v>
      </c>
      <c r="AU54" s="427">
        <f t="shared" si="13"/>
        <v>34.662294821570001</v>
      </c>
      <c r="AV54" s="428">
        <f t="shared" si="14"/>
        <v>201.56298329854101</v>
      </c>
      <c r="AW54" s="429">
        <f t="shared" si="15"/>
        <v>8465.6452985387241</v>
      </c>
      <c r="AX54" s="427">
        <f t="shared" si="16"/>
        <v>35.702163666217103</v>
      </c>
      <c r="AY54" s="428">
        <f t="shared" si="17"/>
        <v>207.60987279749725</v>
      </c>
      <c r="AZ54" s="429">
        <f t="shared" si="18"/>
        <v>8719.6146574948853</v>
      </c>
      <c r="BA54" s="427">
        <f t="shared" si="26"/>
        <v>36.773228576203614</v>
      </c>
      <c r="BB54" s="428">
        <f t="shared" si="27"/>
        <v>213.83816898142217</v>
      </c>
      <c r="BC54" s="429">
        <f t="shared" si="28"/>
        <v>8981.2030972197317</v>
      </c>
      <c r="BD54" s="427">
        <f t="shared" si="29"/>
        <v>37.876425433489722</v>
      </c>
      <c r="BE54" s="428">
        <f t="shared" si="30"/>
        <v>220.25331405086484</v>
      </c>
      <c r="BF54" s="429">
        <f t="shared" si="31"/>
        <v>9250.639190136324</v>
      </c>
      <c r="BG54" s="427">
        <f t="shared" si="5"/>
        <v>39.012718196494411</v>
      </c>
      <c r="BH54" s="428">
        <f t="shared" si="6"/>
        <v>226.86091347239079</v>
      </c>
      <c r="BI54" s="429">
        <f t="shared" si="7"/>
        <v>9528.1583658404143</v>
      </c>
    </row>
    <row r="55" spans="1:61"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21"/>
        <v>11704.7364</v>
      </c>
      <c r="AJ55" s="222">
        <f>AG55*(1+$AI$2)</f>
        <v>76.837999999999994</v>
      </c>
      <c r="AK55" s="225">
        <f>AK54+AJ55</f>
        <v>287.02472599999999</v>
      </c>
      <c r="AL55" s="223">
        <f t="shared" si="22"/>
        <v>12055.038492</v>
      </c>
      <c r="AM55" s="409" t="s">
        <v>105</v>
      </c>
      <c r="AN55" s="427">
        <v>59.172112590000012</v>
      </c>
      <c r="AO55" s="428">
        <v>216.49232777999998</v>
      </c>
      <c r="AP55" s="429">
        <v>9092.6777667599981</v>
      </c>
      <c r="AQ55" s="409" t="s">
        <v>105</v>
      </c>
      <c r="AR55" s="427">
        <f t="shared" si="10"/>
        <v>60.947275967700016</v>
      </c>
      <c r="AS55" s="428">
        <f t="shared" si="11"/>
        <v>222.98709761339998</v>
      </c>
      <c r="AT55" s="429">
        <f t="shared" si="12"/>
        <v>9365.4580997627982</v>
      </c>
      <c r="AU55" s="427">
        <f t="shared" si="13"/>
        <v>62.775694246731021</v>
      </c>
      <c r="AV55" s="428">
        <f t="shared" si="14"/>
        <v>229.67671054180198</v>
      </c>
      <c r="AW55" s="429">
        <f t="shared" si="15"/>
        <v>9646.4218427556825</v>
      </c>
      <c r="AX55" s="427">
        <f t="shared" si="16"/>
        <v>64.658965074132951</v>
      </c>
      <c r="AY55" s="428">
        <f t="shared" si="17"/>
        <v>236.56701185805605</v>
      </c>
      <c r="AZ55" s="429">
        <f t="shared" si="18"/>
        <v>9935.8144980383531</v>
      </c>
      <c r="BA55" s="427">
        <f t="shared" si="26"/>
        <v>66.598734026356937</v>
      </c>
      <c r="BB55" s="428">
        <f t="shared" si="27"/>
        <v>243.66402221379775</v>
      </c>
      <c r="BC55" s="429">
        <f t="shared" si="28"/>
        <v>10233.888932979504</v>
      </c>
      <c r="BD55" s="427">
        <f t="shared" si="29"/>
        <v>68.596696047147645</v>
      </c>
      <c r="BE55" s="428">
        <f t="shared" si="30"/>
        <v>250.97394288021169</v>
      </c>
      <c r="BF55" s="429">
        <f t="shared" si="31"/>
        <v>10540.905600968888</v>
      </c>
      <c r="BG55" s="427">
        <f t="shared" si="5"/>
        <v>70.654596928562071</v>
      </c>
      <c r="BH55" s="428">
        <f t="shared" si="6"/>
        <v>258.50316116661804</v>
      </c>
      <c r="BI55" s="429">
        <f t="shared" si="7"/>
        <v>10857.132768997955</v>
      </c>
    </row>
    <row r="56" spans="1:61"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21"/>
        <v>3215.0832</v>
      </c>
      <c r="AJ56" s="166">
        <f t="shared" ref="AJ56:AK59" si="34">AG56*(1+$AI$2)</f>
        <v>78.846087999999995</v>
      </c>
      <c r="AK56" s="170">
        <f t="shared" si="34"/>
        <v>78.846087999999995</v>
      </c>
      <c r="AL56" s="167">
        <f t="shared" si="22"/>
        <v>3311.5356959999999</v>
      </c>
      <c r="AM56" s="409" t="s">
        <v>184</v>
      </c>
      <c r="AN56" s="430">
        <v>53.436400000000006</v>
      </c>
      <c r="AO56" s="431">
        <v>269.92872777999997</v>
      </c>
      <c r="AP56" s="432">
        <v>11337.006566759999</v>
      </c>
      <c r="AQ56" s="409" t="s">
        <v>184</v>
      </c>
      <c r="AR56" s="430">
        <f t="shared" si="10"/>
        <v>55.03949200000001</v>
      </c>
      <c r="AS56" s="431">
        <f t="shared" si="11"/>
        <v>278.02658961340001</v>
      </c>
      <c r="AT56" s="432">
        <f t="shared" si="12"/>
        <v>11677.116763762799</v>
      </c>
      <c r="AU56" s="430">
        <f t="shared" si="13"/>
        <v>56.690676760000009</v>
      </c>
      <c r="AV56" s="431">
        <f t="shared" si="14"/>
        <v>286.36738730180201</v>
      </c>
      <c r="AW56" s="432">
        <f t="shared" si="15"/>
        <v>12027.430266675683</v>
      </c>
      <c r="AX56" s="430">
        <f t="shared" si="16"/>
        <v>58.39139706280001</v>
      </c>
      <c r="AY56" s="431">
        <f t="shared" si="17"/>
        <v>294.95840892085607</v>
      </c>
      <c r="AZ56" s="432">
        <f t="shared" si="18"/>
        <v>12388.253174675954</v>
      </c>
      <c r="BA56" s="430">
        <f t="shared" si="26"/>
        <v>60.143138974684014</v>
      </c>
      <c r="BB56" s="431">
        <f t="shared" si="27"/>
        <v>303.80716118848176</v>
      </c>
      <c r="BC56" s="432">
        <f t="shared" si="28"/>
        <v>12759.900769916234</v>
      </c>
      <c r="BD56" s="430">
        <f t="shared" si="29"/>
        <v>61.947433143924535</v>
      </c>
      <c r="BE56" s="431">
        <f t="shared" si="30"/>
        <v>312.92137602413624</v>
      </c>
      <c r="BF56" s="432">
        <f t="shared" si="31"/>
        <v>13142.697793013722</v>
      </c>
      <c r="BG56" s="430">
        <f t="shared" si="5"/>
        <v>63.80585613824227</v>
      </c>
      <c r="BH56" s="431">
        <f t="shared" si="6"/>
        <v>322.30901730486033</v>
      </c>
      <c r="BI56" s="432">
        <f t="shared" si="7"/>
        <v>13536.978726804135</v>
      </c>
    </row>
    <row r="57" spans="1:61"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21"/>
        <v>6228.1421999999993</v>
      </c>
      <c r="AJ57" s="173">
        <f t="shared" si="34"/>
        <v>152.737773</v>
      </c>
      <c r="AK57" s="177">
        <f t="shared" si="34"/>
        <v>152.737773</v>
      </c>
      <c r="AL57" s="174">
        <f t="shared" si="22"/>
        <v>6414.9864660000003</v>
      </c>
      <c r="AM57" s="412" t="s">
        <v>99</v>
      </c>
      <c r="AN57" s="424">
        <v>81.211470640000002</v>
      </c>
      <c r="AO57" s="425">
        <v>81.211470640000002</v>
      </c>
      <c r="AP57" s="426">
        <v>3410.8817668800002</v>
      </c>
      <c r="AQ57" s="412" t="s">
        <v>99</v>
      </c>
      <c r="AR57" s="424">
        <f t="shared" si="10"/>
        <v>83.647814759200003</v>
      </c>
      <c r="AS57" s="425">
        <f t="shared" si="11"/>
        <v>83.647814759200003</v>
      </c>
      <c r="AT57" s="426">
        <f t="shared" si="12"/>
        <v>3513.2082198864005</v>
      </c>
      <c r="AU57" s="424">
        <f t="shared" si="13"/>
        <v>86.157249201976001</v>
      </c>
      <c r="AV57" s="425">
        <f t="shared" si="14"/>
        <v>86.157249201976001</v>
      </c>
      <c r="AW57" s="426">
        <f t="shared" si="15"/>
        <v>3618.6044664829924</v>
      </c>
      <c r="AX57" s="424">
        <f t="shared" si="16"/>
        <v>88.741966678035283</v>
      </c>
      <c r="AY57" s="425">
        <f t="shared" si="17"/>
        <v>88.741966678035283</v>
      </c>
      <c r="AZ57" s="426">
        <f t="shared" si="18"/>
        <v>3727.1626004774821</v>
      </c>
      <c r="BA57" s="424">
        <f t="shared" si="26"/>
        <v>91.404225678376349</v>
      </c>
      <c r="BB57" s="425">
        <f t="shared" si="27"/>
        <v>91.404225678376349</v>
      </c>
      <c r="BC57" s="426">
        <f t="shared" si="28"/>
        <v>3838.9774784918068</v>
      </c>
      <c r="BD57" s="424">
        <f t="shared" si="29"/>
        <v>94.14635244872764</v>
      </c>
      <c r="BE57" s="425">
        <f t="shared" si="30"/>
        <v>94.14635244872764</v>
      </c>
      <c r="BF57" s="426">
        <f t="shared" si="31"/>
        <v>3954.1468028465611</v>
      </c>
      <c r="BG57" s="424">
        <f t="shared" si="5"/>
        <v>96.970743022189467</v>
      </c>
      <c r="BH57" s="425">
        <f t="shared" si="6"/>
        <v>96.970743022189467</v>
      </c>
      <c r="BI57" s="426">
        <f t="shared" si="7"/>
        <v>4072.7712069319582</v>
      </c>
    </row>
    <row r="58" spans="1:61" ht="14.25">
      <c r="A58" s="240"/>
      <c r="B58" s="227" t="s">
        <v>199</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34"/>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10"/>
        <v>162.03950337570001</v>
      </c>
      <c r="AS58" s="428">
        <f t="shared" si="11"/>
        <v>162.03950337570001</v>
      </c>
      <c r="AT58" s="429">
        <f t="shared" si="12"/>
        <v>6805.6591417794007</v>
      </c>
      <c r="AU58" s="427">
        <f t="shared" si="13"/>
        <v>166.900688476971</v>
      </c>
      <c r="AV58" s="428">
        <f t="shared" si="14"/>
        <v>166.900688476971</v>
      </c>
      <c r="AW58" s="429">
        <f t="shared" si="15"/>
        <v>7009.8289160327831</v>
      </c>
      <c r="AX58" s="427">
        <f t="shared" si="16"/>
        <v>171.90770913128014</v>
      </c>
      <c r="AY58" s="428">
        <f t="shared" si="17"/>
        <v>171.90770913128014</v>
      </c>
      <c r="AZ58" s="429">
        <f t="shared" si="18"/>
        <v>7220.1237835137672</v>
      </c>
      <c r="BA58" s="427">
        <f t="shared" si="26"/>
        <v>177.06494040521855</v>
      </c>
      <c r="BB58" s="428">
        <f t="shared" si="27"/>
        <v>177.06494040521855</v>
      </c>
      <c r="BC58" s="429">
        <f t="shared" si="28"/>
        <v>7436.7274970191802</v>
      </c>
      <c r="BD58" s="427">
        <f t="shared" si="29"/>
        <v>182.3768886173751</v>
      </c>
      <c r="BE58" s="428">
        <f t="shared" si="30"/>
        <v>182.3768886173751</v>
      </c>
      <c r="BF58" s="429">
        <f t="shared" si="31"/>
        <v>7659.8293219297557</v>
      </c>
      <c r="BG58" s="427">
        <f t="shared" si="5"/>
        <v>187.84819527589636</v>
      </c>
      <c r="BH58" s="428">
        <f t="shared" si="6"/>
        <v>187.84819527589636</v>
      </c>
      <c r="BI58" s="429">
        <f t="shared" si="7"/>
        <v>7889.6242015876487</v>
      </c>
    </row>
    <row r="59" spans="1:61" ht="15" thickBot="1">
      <c r="A59" s="219"/>
      <c r="B59" s="239" t="s">
        <v>200</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21"/>
        <v>19748.760227464882</v>
      </c>
      <c r="AJ59" s="222">
        <f t="shared" si="34"/>
        <v>211.8092</v>
      </c>
      <c r="AK59" s="225">
        <f>+AK58+AJ59</f>
        <v>484.314834149734</v>
      </c>
      <c r="AL59" s="223">
        <f>AK59*42</f>
        <v>20341.223034288829</v>
      </c>
      <c r="AM59" s="409" t="s">
        <v>199</v>
      </c>
      <c r="AN59" s="427">
        <v>127.0617238937528</v>
      </c>
      <c r="AO59" s="428">
        <v>284.38163008375284</v>
      </c>
      <c r="AP59" s="429">
        <v>11944.028463517619</v>
      </c>
      <c r="AQ59" s="409" t="s">
        <v>199</v>
      </c>
      <c r="AR59" s="427">
        <f t="shared" si="10"/>
        <v>130.87357561056538</v>
      </c>
      <c r="AS59" s="428">
        <f t="shared" si="11"/>
        <v>292.91307898626542</v>
      </c>
      <c r="AT59" s="429">
        <f t="shared" si="12"/>
        <v>12302.349317423148</v>
      </c>
      <c r="AU59" s="427">
        <f t="shared" si="13"/>
        <v>134.79978287888235</v>
      </c>
      <c r="AV59" s="428">
        <f t="shared" si="14"/>
        <v>301.70047135585338</v>
      </c>
      <c r="AW59" s="429">
        <f t="shared" si="15"/>
        <v>12671.419796945844</v>
      </c>
      <c r="AX59" s="427">
        <f t="shared" si="16"/>
        <v>138.84377636524883</v>
      </c>
      <c r="AY59" s="428">
        <f t="shared" si="17"/>
        <v>310.75148549652897</v>
      </c>
      <c r="AZ59" s="429">
        <f t="shared" si="18"/>
        <v>13051.56239085422</v>
      </c>
      <c r="BA59" s="427">
        <f t="shared" si="26"/>
        <v>143.0090896562063</v>
      </c>
      <c r="BB59" s="428">
        <f t="shared" si="27"/>
        <v>320.07403006142482</v>
      </c>
      <c r="BC59" s="429">
        <f t="shared" si="28"/>
        <v>13443.109262579846</v>
      </c>
      <c r="BD59" s="427">
        <f t="shared" si="29"/>
        <v>147.29936234589249</v>
      </c>
      <c r="BE59" s="428">
        <f t="shared" si="30"/>
        <v>329.67625096326759</v>
      </c>
      <c r="BF59" s="429">
        <f t="shared" si="31"/>
        <v>13846.402540457242</v>
      </c>
      <c r="BG59" s="427">
        <f t="shared" si="5"/>
        <v>151.71834321626926</v>
      </c>
      <c r="BH59" s="428">
        <f t="shared" si="6"/>
        <v>339.56653849216565</v>
      </c>
      <c r="BI59" s="429">
        <f t="shared" si="7"/>
        <v>14261.794616670959</v>
      </c>
    </row>
    <row r="60" spans="1:61" ht="15" thickBot="1">
      <c r="A60" s="182" t="s">
        <v>125</v>
      </c>
      <c r="B60" s="182"/>
      <c r="C60" s="182"/>
      <c r="D60" s="182"/>
      <c r="E60" s="182"/>
      <c r="F60" s="247"/>
      <c r="G60" s="247"/>
      <c r="H60" s="247"/>
      <c r="I60" s="247"/>
      <c r="J60" s="247"/>
      <c r="K60" s="247"/>
      <c r="L60" s="247"/>
      <c r="M60" s="247"/>
      <c r="N60" s="247"/>
      <c r="O60" s="247"/>
      <c r="P60" s="247"/>
      <c r="Q60" s="247"/>
      <c r="AE60" s="203"/>
      <c r="AF60" s="203"/>
      <c r="AM60" s="408" t="s">
        <v>200</v>
      </c>
      <c r="AN60" s="430">
        <v>218.163476</v>
      </c>
      <c r="AO60" s="431">
        <v>502.54510608375284</v>
      </c>
      <c r="AP60" s="432">
        <v>21106.89445551762</v>
      </c>
      <c r="AQ60" s="408" t="s">
        <v>200</v>
      </c>
      <c r="AR60" s="430">
        <f t="shared" si="10"/>
        <v>224.70838028</v>
      </c>
      <c r="AS60" s="431">
        <f t="shared" si="11"/>
        <v>517.62145926626545</v>
      </c>
      <c r="AT60" s="432">
        <f t="shared" si="12"/>
        <v>21740.101289183149</v>
      </c>
      <c r="AU60" s="430">
        <f t="shared" si="13"/>
        <v>231.44963168840002</v>
      </c>
      <c r="AV60" s="431">
        <f t="shared" si="14"/>
        <v>533.15010304425346</v>
      </c>
      <c r="AW60" s="432">
        <f t="shared" si="15"/>
        <v>22392.304327858645</v>
      </c>
      <c r="AX60" s="430">
        <f t="shared" si="16"/>
        <v>238.39312063905203</v>
      </c>
      <c r="AY60" s="431">
        <f t="shared" si="17"/>
        <v>549.14460613558106</v>
      </c>
      <c r="AZ60" s="432">
        <f t="shared" si="18"/>
        <v>23064.073457694405</v>
      </c>
      <c r="BA60" s="430">
        <f t="shared" si="26"/>
        <v>245.5449142582236</v>
      </c>
      <c r="BB60" s="431">
        <f t="shared" si="27"/>
        <v>565.61894431964845</v>
      </c>
      <c r="BC60" s="432">
        <f t="shared" si="28"/>
        <v>23755.995661425237</v>
      </c>
      <c r="BD60" s="430">
        <f t="shared" si="29"/>
        <v>252.91126168597032</v>
      </c>
      <c r="BE60" s="431">
        <f t="shared" si="30"/>
        <v>582.58751264923796</v>
      </c>
      <c r="BF60" s="432">
        <f t="shared" si="31"/>
        <v>24468.675531267996</v>
      </c>
      <c r="BG60" s="430">
        <f t="shared" si="5"/>
        <v>260.49859953654942</v>
      </c>
      <c r="BH60" s="431">
        <f t="shared" si="6"/>
        <v>600.06513802871507</v>
      </c>
      <c r="BI60" s="432">
        <f t="shared" si="7"/>
        <v>25202.735797206038</v>
      </c>
    </row>
    <row r="61" spans="1:61"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285</v>
      </c>
      <c r="AN61" s="434">
        <v>43.568999999999996</v>
      </c>
      <c r="AO61" s="435">
        <v>43.568999999999996</v>
      </c>
      <c r="AP61" s="432">
        <v>1829.8979999999999</v>
      </c>
      <c r="AQ61" s="413" t="s">
        <v>285</v>
      </c>
      <c r="AR61" s="434">
        <f t="shared" si="10"/>
        <v>44.876069999999999</v>
      </c>
      <c r="AS61" s="435">
        <f t="shared" si="11"/>
        <v>44.876069999999999</v>
      </c>
      <c r="AT61" s="432">
        <f t="shared" si="12"/>
        <v>1884.79494</v>
      </c>
      <c r="AU61" s="434">
        <f t="shared" si="13"/>
        <v>46.222352100000002</v>
      </c>
      <c r="AV61" s="435">
        <f t="shared" si="14"/>
        <v>46.222352100000002</v>
      </c>
      <c r="AW61" s="432">
        <f t="shared" si="15"/>
        <v>1941.3387882</v>
      </c>
      <c r="AX61" s="434">
        <f t="shared" si="16"/>
        <v>47.609022663000005</v>
      </c>
      <c r="AY61" s="435">
        <f t="shared" si="17"/>
        <v>47.609022663000005</v>
      </c>
      <c r="AZ61" s="432">
        <f t="shared" si="18"/>
        <v>1999.5789518460001</v>
      </c>
      <c r="BA61" s="434">
        <f t="shared" si="26"/>
        <v>49.037293342890003</v>
      </c>
      <c r="BB61" s="435">
        <f t="shared" si="27"/>
        <v>49.037293342890003</v>
      </c>
      <c r="BC61" s="432">
        <f t="shared" si="28"/>
        <v>2059.5663204013804</v>
      </c>
      <c r="BD61" s="434">
        <f t="shared" si="29"/>
        <v>50.508412143176706</v>
      </c>
      <c r="BE61" s="435">
        <f t="shared" si="30"/>
        <v>50.508412143176706</v>
      </c>
      <c r="BF61" s="432">
        <f t="shared" si="31"/>
        <v>2121.3533100134218</v>
      </c>
      <c r="BG61" s="434">
        <f t="shared" si="5"/>
        <v>52.023664507472006</v>
      </c>
      <c r="BH61" s="435">
        <f t="shared" si="6"/>
        <v>52.023664507472006</v>
      </c>
      <c r="BI61" s="432">
        <f t="shared" si="7"/>
        <v>2184.9939093138246</v>
      </c>
    </row>
    <row r="62" spans="1:61"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61"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61"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61" ht="15" thickBot="1">
      <c r="A65" s="249" t="s">
        <v>201</v>
      </c>
      <c r="B65" s="249"/>
      <c r="C65" s="249"/>
      <c r="D65" s="249"/>
      <c r="E65" s="249"/>
      <c r="F65" s="248"/>
      <c r="G65" s="248"/>
      <c r="H65" s="248"/>
      <c r="I65" s="203"/>
      <c r="J65" s="203"/>
      <c r="K65" s="203"/>
      <c r="L65" s="203"/>
      <c r="M65" s="203"/>
      <c r="N65" s="203"/>
      <c r="O65" s="203"/>
      <c r="P65" s="203"/>
      <c r="Q65" s="203"/>
      <c r="AE65" s="203"/>
      <c r="AF65" s="203"/>
      <c r="AM65" s="186"/>
      <c r="AQ65" s="186"/>
    </row>
    <row r="66" spans="1:61"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202</v>
      </c>
      <c r="AL66" s="256">
        <v>3.73E-2</v>
      </c>
      <c r="AM66" s="187"/>
      <c r="AQ66" s="187"/>
    </row>
    <row r="67" spans="1:61"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203</v>
      </c>
      <c r="AK67" s="266"/>
      <c r="AL67" s="265"/>
      <c r="AM67" s="249"/>
      <c r="AQ67" s="249"/>
    </row>
    <row r="68" spans="1:61"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61"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203</v>
      </c>
      <c r="AK69" s="272"/>
      <c r="AL69" s="271"/>
      <c r="AM69" s="414"/>
      <c r="AQ69" s="414"/>
    </row>
    <row r="70" spans="1:61"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61"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286</v>
      </c>
      <c r="AN71" s="436" t="s">
        <v>289</v>
      </c>
      <c r="AO71" s="437"/>
      <c r="AP71" s="438">
        <v>2.4400000000000002E-2</v>
      </c>
      <c r="AQ71" s="415" t="s">
        <v>286</v>
      </c>
      <c r="AR71" s="436" t="s">
        <v>357</v>
      </c>
      <c r="AS71" s="437"/>
      <c r="AT71" s="438">
        <v>1.9400000000000001E-2</v>
      </c>
      <c r="AU71" s="436" t="s">
        <v>358</v>
      </c>
      <c r="AV71" s="437"/>
      <c r="AW71" s="438">
        <v>3.6600000000000001E-2</v>
      </c>
      <c r="AX71" s="436" t="s">
        <v>371</v>
      </c>
      <c r="AY71" s="437"/>
      <c r="AZ71" s="438">
        <v>6.7699999999999996E-2</v>
      </c>
      <c r="BA71" s="436" t="s">
        <v>389</v>
      </c>
      <c r="BB71" s="437"/>
      <c r="BC71" s="438">
        <v>5.7500000000000002E-2</v>
      </c>
      <c r="BD71" s="436" t="s">
        <v>389</v>
      </c>
      <c r="BE71" s="437"/>
      <c r="BF71" s="438">
        <v>5.7500000000000002E-2</v>
      </c>
      <c r="BG71" s="436" t="s">
        <v>389</v>
      </c>
      <c r="BH71" s="437"/>
      <c r="BI71" s="438">
        <v>5.7500000000000002E-2</v>
      </c>
    </row>
    <row r="72" spans="1:61"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630" t="s">
        <v>290</v>
      </c>
      <c r="AO72" s="630"/>
      <c r="AP72" s="631"/>
      <c r="AQ72" s="416" t="s">
        <v>132</v>
      </c>
      <c r="AR72" s="630" t="s">
        <v>290</v>
      </c>
      <c r="AS72" s="630"/>
      <c r="AT72" s="631"/>
      <c r="AU72" s="630" t="s">
        <v>290</v>
      </c>
      <c r="AV72" s="630"/>
      <c r="AW72" s="631"/>
      <c r="AX72" s="630" t="s">
        <v>290</v>
      </c>
      <c r="AY72" s="630"/>
      <c r="AZ72" s="631"/>
      <c r="BA72" s="630" t="s">
        <v>290</v>
      </c>
      <c r="BB72" s="630"/>
      <c r="BC72" s="631"/>
      <c r="BD72" s="630" t="s">
        <v>290</v>
      </c>
      <c r="BE72" s="630"/>
      <c r="BF72" s="631"/>
      <c r="BG72" s="630" t="s">
        <v>290</v>
      </c>
      <c r="BH72" s="630"/>
      <c r="BI72" s="631"/>
    </row>
    <row r="73" spans="1:61"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AO73*(1+$AT$71)</f>
        <v>523.19828523346041</v>
      </c>
      <c r="AT73" s="439">
        <f>AP73*(1+$AT$71)</f>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 t="shared" ref="BA73:BF73" si="35">AX73*(1+$BC$71)</f>
        <v>612.36045236803716</v>
      </c>
      <c r="BB73" s="439">
        <f t="shared" si="35"/>
        <v>612.36045236803716</v>
      </c>
      <c r="BC73" s="439">
        <f t="shared" si="35"/>
        <v>25719.138999457562</v>
      </c>
      <c r="BD73" s="439">
        <f t="shared" si="35"/>
        <v>647.57117837919941</v>
      </c>
      <c r="BE73" s="439">
        <f t="shared" si="35"/>
        <v>647.57117837919941</v>
      </c>
      <c r="BF73" s="439">
        <f t="shared" si="35"/>
        <v>27197.989491926375</v>
      </c>
      <c r="BG73" s="439">
        <f t="shared" ref="BG73" si="36">BD73*(1+$BC$71)</f>
        <v>684.80652113600343</v>
      </c>
      <c r="BH73" s="439">
        <f t="shared" ref="BH73" si="37">BE73*(1+$BC$71)</f>
        <v>684.80652113600343</v>
      </c>
      <c r="BI73" s="439">
        <f t="shared" ref="BI73" si="38">BF73*(1+$BC$71)</f>
        <v>28761.873887712143</v>
      </c>
    </row>
    <row r="74" spans="1:61"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203</v>
      </c>
      <c r="AK74" s="290"/>
      <c r="AL74" s="291"/>
      <c r="AM74" s="417" t="s">
        <v>143</v>
      </c>
      <c r="AN74" s="617" t="s">
        <v>291</v>
      </c>
      <c r="AO74" s="617"/>
      <c r="AP74" s="618"/>
      <c r="AQ74" s="417" t="s">
        <v>143</v>
      </c>
      <c r="AR74" s="617"/>
      <c r="AS74" s="617"/>
      <c r="AT74" s="618"/>
      <c r="AU74" s="617"/>
      <c r="AV74" s="617"/>
      <c r="AW74" s="618"/>
      <c r="AX74" s="617"/>
      <c r="AY74" s="617"/>
      <c r="AZ74" s="618"/>
      <c r="BA74" s="617"/>
      <c r="BB74" s="617"/>
      <c r="BC74" s="618"/>
      <c r="BD74" s="617"/>
      <c r="BE74" s="617"/>
      <c r="BF74" s="618"/>
      <c r="BG74" s="617"/>
      <c r="BH74" s="617"/>
      <c r="BI74" s="618"/>
    </row>
    <row r="75" spans="1:61"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AO75*(1+$AT$71)</f>
        <v>515.66591074082214</v>
      </c>
      <c r="AT75" s="439">
        <f>AP75*(1+$AT$71)</f>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 t="shared" ref="BA75:BF75" si="39">AX75*(1+$BC$71)</f>
        <v>603.5444291089791</v>
      </c>
      <c r="BB75" s="439">
        <f t="shared" si="39"/>
        <v>603.5444291089791</v>
      </c>
      <c r="BC75" s="439">
        <f t="shared" si="39"/>
        <v>25348.866022577124</v>
      </c>
      <c r="BD75" s="439">
        <f t="shared" si="39"/>
        <v>638.2482337827455</v>
      </c>
      <c r="BE75" s="439">
        <f t="shared" si="39"/>
        <v>638.2482337827455</v>
      </c>
      <c r="BF75" s="439">
        <f t="shared" si="39"/>
        <v>26806.425818875312</v>
      </c>
      <c r="BG75" s="439">
        <f t="shared" ref="BG75" si="40">BD75*(1+$BC$71)</f>
        <v>674.94750722525339</v>
      </c>
      <c r="BH75" s="439">
        <f t="shared" ref="BH75" si="41">BE75*(1+$BC$71)</f>
        <v>674.94750722525339</v>
      </c>
      <c r="BI75" s="439">
        <f t="shared" ref="BI75" si="42">BF75*(1+$BC$71)</f>
        <v>28347.795303460643</v>
      </c>
    </row>
    <row r="76" spans="1:61"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608"/>
      <c r="AO76" s="609"/>
      <c r="AP76" s="610"/>
      <c r="AQ76" s="417" t="s">
        <v>143</v>
      </c>
      <c r="AR76" s="608"/>
      <c r="AS76" s="609"/>
      <c r="AT76" s="610"/>
      <c r="AU76" s="608"/>
      <c r="AV76" s="609"/>
      <c r="AW76" s="610"/>
      <c r="AX76" s="608"/>
      <c r="AY76" s="609"/>
      <c r="AZ76" s="610"/>
      <c r="BA76" s="608"/>
      <c r="BB76" s="609"/>
      <c r="BC76" s="610"/>
      <c r="BD76" s="608"/>
      <c r="BE76" s="609"/>
      <c r="BF76" s="610"/>
      <c r="BG76" s="608"/>
      <c r="BH76" s="609"/>
      <c r="BI76" s="610"/>
    </row>
    <row r="77" spans="1:61">
      <c r="A77" s="302" t="s">
        <v>153</v>
      </c>
      <c r="B77" s="203"/>
      <c r="C77" s="203"/>
      <c r="D77" s="203"/>
      <c r="E77" s="203"/>
      <c r="F77" s="274"/>
      <c r="G77" s="203"/>
      <c r="H77" s="203"/>
      <c r="I77" s="203"/>
      <c r="J77" s="203"/>
      <c r="K77" s="203"/>
      <c r="L77" s="203"/>
      <c r="M77" s="203"/>
      <c r="N77" s="203"/>
      <c r="O77" s="203"/>
      <c r="P77" s="203"/>
      <c r="Q77" s="203"/>
      <c r="AM77" s="418" t="s">
        <v>146</v>
      </c>
      <c r="AN77" s="611"/>
      <c r="AO77" s="612"/>
      <c r="AP77" s="613"/>
      <c r="AQ77" s="418" t="s">
        <v>146</v>
      </c>
      <c r="AR77" s="611"/>
      <c r="AS77" s="612"/>
      <c r="AT77" s="613"/>
      <c r="AU77" s="611"/>
      <c r="AV77" s="612"/>
      <c r="AW77" s="613"/>
      <c r="AX77" s="611"/>
      <c r="AY77" s="612"/>
      <c r="AZ77" s="613"/>
      <c r="BA77" s="611"/>
      <c r="BB77" s="612"/>
      <c r="BC77" s="613"/>
      <c r="BD77" s="611"/>
      <c r="BE77" s="612"/>
      <c r="BF77" s="613"/>
      <c r="BG77" s="611"/>
      <c r="BH77" s="612"/>
      <c r="BI77" s="613"/>
    </row>
    <row r="78" spans="1:61">
      <c r="A78" s="302" t="s">
        <v>154</v>
      </c>
      <c r="B78" s="203"/>
      <c r="C78" s="203"/>
      <c r="D78" s="203"/>
      <c r="E78" s="203"/>
      <c r="F78" s="274"/>
      <c r="G78" s="203"/>
      <c r="H78" s="203"/>
      <c r="I78" s="203"/>
      <c r="J78" s="203"/>
      <c r="K78" s="203"/>
      <c r="L78" s="303"/>
      <c r="M78" s="203"/>
      <c r="N78" s="203"/>
      <c r="O78" s="304"/>
      <c r="P78" s="203"/>
      <c r="Q78" s="203"/>
      <c r="AC78" s="305"/>
      <c r="AM78" s="417" t="s">
        <v>149</v>
      </c>
      <c r="AN78" s="614"/>
      <c r="AO78" s="615"/>
      <c r="AP78" s="616"/>
      <c r="AQ78" s="417" t="s">
        <v>149</v>
      </c>
      <c r="AR78" s="614"/>
      <c r="AS78" s="615"/>
      <c r="AT78" s="616"/>
      <c r="AU78" s="614"/>
      <c r="AV78" s="615"/>
      <c r="AW78" s="616"/>
      <c r="AX78" s="614"/>
      <c r="AY78" s="615"/>
      <c r="AZ78" s="616"/>
      <c r="BA78" s="614"/>
      <c r="BB78" s="615"/>
      <c r="BC78" s="616"/>
      <c r="BD78" s="614"/>
      <c r="BE78" s="615"/>
      <c r="BF78" s="616"/>
      <c r="BG78" s="614"/>
      <c r="BH78" s="615"/>
      <c r="BI78" s="616"/>
    </row>
    <row r="79" spans="1:61">
      <c r="A79" s="299"/>
      <c r="B79" s="203"/>
      <c r="C79" s="203"/>
      <c r="D79" s="203"/>
      <c r="E79" s="203"/>
      <c r="F79" s="203"/>
      <c r="G79" s="203"/>
      <c r="H79" s="203"/>
      <c r="I79" s="203"/>
      <c r="J79" s="203"/>
      <c r="K79" s="203"/>
      <c r="L79" s="203"/>
      <c r="M79" s="203"/>
      <c r="N79" s="203"/>
      <c r="O79" s="203"/>
      <c r="P79" s="203"/>
      <c r="Q79" s="203"/>
      <c r="AC79" s="283"/>
      <c r="AM79" s="417" t="s">
        <v>132</v>
      </c>
      <c r="AN79" s="617" t="s">
        <v>291</v>
      </c>
      <c r="AO79" s="617"/>
      <c r="AP79" s="618"/>
      <c r="AQ79" s="417" t="s">
        <v>132</v>
      </c>
      <c r="AR79" s="617"/>
      <c r="AS79" s="617"/>
      <c r="AT79" s="618"/>
      <c r="AU79" s="617"/>
      <c r="AV79" s="617"/>
      <c r="AW79" s="618"/>
      <c r="AX79" s="617"/>
      <c r="AY79" s="617"/>
      <c r="AZ79" s="618"/>
      <c r="BA79" s="617"/>
      <c r="BB79" s="617"/>
      <c r="BC79" s="618"/>
      <c r="BD79" s="617"/>
      <c r="BE79" s="617"/>
      <c r="BF79" s="618"/>
      <c r="BG79" s="617"/>
      <c r="BH79" s="617"/>
      <c r="BI79" s="618"/>
    </row>
    <row r="80" spans="1:61">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AO80*(1+$AT$71)</f>
        <v>451.44141111600402</v>
      </c>
      <c r="AT80" s="439">
        <f>AP80*(1+$AT$71)</f>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 t="shared" ref="BA80:BF80" si="43">AX80*(1+$BC$71)</f>
        <v>528.37494795172472</v>
      </c>
      <c r="BB80" s="439">
        <f t="shared" si="43"/>
        <v>528.37494795172472</v>
      </c>
      <c r="BC80" s="439">
        <f t="shared" si="43"/>
        <v>22191.747813972441</v>
      </c>
      <c r="BD80" s="439">
        <f t="shared" si="43"/>
        <v>558.75650745894893</v>
      </c>
      <c r="BE80" s="439">
        <f t="shared" si="43"/>
        <v>558.75650745894893</v>
      </c>
      <c r="BF80" s="439">
        <f t="shared" si="43"/>
        <v>23467.773313275859</v>
      </c>
      <c r="BG80" s="439">
        <f t="shared" ref="BG80" si="44">BD80*(1+$BC$71)</f>
        <v>590.8850066378385</v>
      </c>
      <c r="BH80" s="439">
        <f t="shared" ref="BH80" si="45">BE80*(1+$BC$71)</f>
        <v>590.8850066378385</v>
      </c>
      <c r="BI80" s="439">
        <f t="shared" ref="BI80" si="46">BF80*(1+$BC$71)</f>
        <v>24817.170278789225</v>
      </c>
    </row>
    <row r="81" spans="1:61" ht="14.25" customHeight="1" thickBot="1">
      <c r="A81" s="203"/>
      <c r="B81" s="203"/>
      <c r="C81" s="203"/>
      <c r="D81" s="203"/>
      <c r="E81" s="203"/>
      <c r="F81" s="203"/>
      <c r="G81" s="203"/>
      <c r="H81" s="203"/>
      <c r="I81" s="203"/>
      <c r="J81" s="203"/>
      <c r="K81" s="203"/>
      <c r="L81" s="203"/>
      <c r="M81" s="203"/>
      <c r="N81" s="203"/>
      <c r="O81" s="203"/>
      <c r="P81" s="203"/>
      <c r="Q81" s="203"/>
      <c r="Z81" s="641" t="s">
        <v>155</v>
      </c>
      <c r="AA81" s="641"/>
      <c r="AD81" s="641" t="s">
        <v>156</v>
      </c>
      <c r="AE81" s="641"/>
      <c r="AG81" s="641" t="s">
        <v>204</v>
      </c>
      <c r="AH81" s="641"/>
      <c r="AJ81" s="641" t="s">
        <v>204</v>
      </c>
      <c r="AK81" s="641"/>
      <c r="AM81" s="419" t="s">
        <v>152</v>
      </c>
      <c r="AN81" s="443">
        <v>60.636068751069253</v>
      </c>
      <c r="AO81" s="619"/>
      <c r="AP81" s="620"/>
      <c r="AQ81" s="419" t="s">
        <v>152</v>
      </c>
      <c r="AR81" s="443">
        <f>AN81*(1+$AT$71)</f>
        <v>61.812408484839999</v>
      </c>
      <c r="AS81" s="619"/>
      <c r="AT81" s="620"/>
      <c r="AU81" s="443">
        <f>AR81*(1+$AW$71)</f>
        <v>64.074742635385135</v>
      </c>
      <c r="AV81" s="619"/>
      <c r="AW81" s="620"/>
      <c r="AX81" s="443">
        <f>AU81*(1+$AZ$71)</f>
        <v>68.412602711800716</v>
      </c>
      <c r="AY81" s="619"/>
      <c r="AZ81" s="620"/>
      <c r="BA81" s="443">
        <f>AX81*(1+$BC$71)</f>
        <v>72.346327367729259</v>
      </c>
      <c r="BB81" s="619"/>
      <c r="BC81" s="620"/>
      <c r="BD81" s="443">
        <f>BA81*(1+$BC$71)</f>
        <v>76.506241191373704</v>
      </c>
      <c r="BE81" s="619"/>
      <c r="BF81" s="620"/>
      <c r="BG81" s="443">
        <f>BD81*(1+$BC$71)</f>
        <v>80.905350059877705</v>
      </c>
      <c r="BH81" s="619"/>
      <c r="BI81" s="620"/>
    </row>
    <row r="82" spans="1:61">
      <c r="A82" s="203"/>
      <c r="B82" s="203"/>
      <c r="C82" s="203"/>
      <c r="D82" s="203"/>
      <c r="E82" s="203"/>
      <c r="F82" s="203"/>
      <c r="G82" s="203"/>
      <c r="H82" s="203"/>
      <c r="I82" s="203"/>
      <c r="J82" s="203"/>
      <c r="K82" s="203"/>
      <c r="L82" s="203"/>
      <c r="M82" s="203"/>
      <c r="N82" s="203"/>
      <c r="O82" s="203"/>
      <c r="P82" s="203"/>
      <c r="Q82" s="203"/>
      <c r="Z82" s="641"/>
      <c r="AA82" s="641"/>
      <c r="AD82" s="641"/>
      <c r="AE82" s="641"/>
      <c r="AG82" s="641"/>
      <c r="AH82" s="641"/>
      <c r="AJ82" s="641"/>
      <c r="AK82" s="641"/>
    </row>
    <row r="83" spans="1:61" ht="83.25" customHeight="1">
      <c r="A83" s="203"/>
      <c r="B83" s="203"/>
      <c r="C83" s="203"/>
      <c r="D83" s="203"/>
      <c r="E83" s="203"/>
      <c r="F83" s="203"/>
      <c r="G83" s="203"/>
      <c r="H83" s="203"/>
      <c r="I83" s="203"/>
      <c r="J83" s="203"/>
      <c r="K83" s="203"/>
      <c r="L83" s="203"/>
      <c r="M83" s="203"/>
      <c r="N83" s="203"/>
      <c r="O83" s="203"/>
      <c r="P83" s="203"/>
      <c r="Q83" s="203"/>
      <c r="Z83" s="639" t="s">
        <v>157</v>
      </c>
      <c r="AA83" s="639"/>
      <c r="AD83" s="639" t="s">
        <v>158</v>
      </c>
      <c r="AE83" s="639"/>
      <c r="AG83" s="306" t="s">
        <v>205</v>
      </c>
      <c r="AJ83" s="306" t="s">
        <v>205</v>
      </c>
    </row>
    <row r="84" spans="1:61">
      <c r="A84" s="203"/>
      <c r="B84" s="203"/>
      <c r="C84" s="203"/>
      <c r="D84" s="203"/>
      <c r="E84" s="203"/>
      <c r="F84" s="203"/>
      <c r="G84" s="203"/>
      <c r="H84" s="203"/>
      <c r="I84" s="203"/>
      <c r="J84" s="203"/>
      <c r="K84" s="203"/>
      <c r="L84" s="203"/>
      <c r="M84" s="203"/>
      <c r="N84" s="203"/>
      <c r="O84" s="203"/>
      <c r="P84" s="203"/>
      <c r="Q84" s="203"/>
      <c r="AD84" s="639"/>
      <c r="AE84" s="639"/>
    </row>
    <row r="85" spans="1:61">
      <c r="A85" s="203"/>
      <c r="B85" s="203"/>
      <c r="C85" s="203"/>
      <c r="D85" s="203"/>
      <c r="E85" s="203"/>
      <c r="F85" s="203"/>
      <c r="G85" s="203"/>
      <c r="H85" s="203"/>
      <c r="I85" s="203"/>
      <c r="J85" s="203"/>
      <c r="K85" s="203"/>
      <c r="L85" s="203"/>
      <c r="M85" s="203"/>
      <c r="N85" s="203"/>
      <c r="O85" s="203"/>
      <c r="P85" s="203"/>
      <c r="Q85" s="203"/>
      <c r="AD85" s="639"/>
      <c r="AE85" s="639"/>
    </row>
    <row r="86" spans="1:61">
      <c r="A86" s="203"/>
      <c r="B86" s="203"/>
      <c r="C86" s="203"/>
      <c r="D86" s="203"/>
      <c r="E86" s="203"/>
      <c r="F86" s="203"/>
      <c r="G86" s="203"/>
      <c r="H86" s="203"/>
      <c r="I86" s="203"/>
      <c r="J86" s="203"/>
      <c r="K86" s="203"/>
      <c r="L86" s="203"/>
      <c r="M86" s="203"/>
      <c r="N86" s="203"/>
      <c r="O86" s="203"/>
      <c r="P86" s="203"/>
      <c r="Q86" s="203"/>
      <c r="AD86" s="639"/>
      <c r="AE86" s="639"/>
    </row>
    <row r="87" spans="1:61">
      <c r="A87" s="203"/>
      <c r="B87" s="203"/>
      <c r="C87" s="203"/>
      <c r="D87" s="203"/>
      <c r="E87" s="203"/>
      <c r="F87" s="203"/>
      <c r="G87" s="203"/>
      <c r="H87" s="203"/>
      <c r="I87" s="203"/>
      <c r="J87" s="203"/>
      <c r="K87" s="203"/>
      <c r="L87" s="203"/>
      <c r="M87" s="203"/>
      <c r="N87" s="203"/>
      <c r="O87" s="203"/>
      <c r="P87" s="203"/>
      <c r="Q87" s="203"/>
      <c r="AD87" s="639"/>
      <c r="AE87" s="639"/>
    </row>
    <row r="88" spans="1:61">
      <c r="A88" s="203"/>
      <c r="B88" s="203"/>
      <c r="C88" s="203"/>
      <c r="D88" s="203"/>
      <c r="E88" s="203"/>
      <c r="F88" s="203"/>
      <c r="G88" s="203"/>
      <c r="H88" s="203"/>
      <c r="I88" s="203"/>
      <c r="J88" s="203"/>
      <c r="K88" s="203"/>
      <c r="L88" s="203"/>
      <c r="M88" s="203"/>
      <c r="N88" s="203"/>
      <c r="O88" s="203"/>
      <c r="P88" s="203"/>
      <c r="Q88" s="203"/>
      <c r="AD88" s="639"/>
      <c r="AE88" s="639"/>
    </row>
    <row r="89" spans="1:61">
      <c r="A89" s="203"/>
      <c r="B89" s="203"/>
      <c r="C89" s="203"/>
      <c r="D89" s="203"/>
      <c r="E89" s="203"/>
      <c r="F89" s="203"/>
      <c r="G89" s="203"/>
      <c r="H89" s="203"/>
      <c r="I89" s="203"/>
      <c r="J89" s="203"/>
      <c r="K89" s="203"/>
      <c r="L89" s="203"/>
      <c r="M89" s="203"/>
      <c r="N89" s="203"/>
      <c r="O89" s="203"/>
      <c r="P89" s="203"/>
      <c r="Q89" s="203"/>
      <c r="AD89" s="639"/>
      <c r="AE89" s="639"/>
    </row>
    <row r="90" spans="1:61">
      <c r="A90" s="203"/>
      <c r="B90" s="203"/>
      <c r="C90" s="203"/>
      <c r="D90" s="203"/>
      <c r="E90" s="203"/>
      <c r="F90" s="203"/>
      <c r="G90" s="203"/>
      <c r="H90" s="203"/>
      <c r="I90" s="203"/>
      <c r="J90" s="203"/>
      <c r="K90" s="203"/>
      <c r="L90" s="203"/>
      <c r="M90" s="203"/>
      <c r="N90" s="203"/>
      <c r="O90" s="203"/>
      <c r="P90" s="203"/>
      <c r="Q90" s="203"/>
      <c r="AD90" s="203" t="s">
        <v>159</v>
      </c>
      <c r="AG90" s="204" t="s">
        <v>206</v>
      </c>
      <c r="AJ90" s="204" t="s">
        <v>206</v>
      </c>
    </row>
    <row r="91" spans="1:61">
      <c r="A91" s="203"/>
      <c r="B91" s="203"/>
      <c r="C91" s="203"/>
      <c r="D91" s="203"/>
      <c r="E91" s="203"/>
      <c r="F91" s="203"/>
      <c r="G91" s="203"/>
      <c r="H91" s="203"/>
      <c r="I91" s="203"/>
      <c r="J91" s="203"/>
      <c r="K91" s="203"/>
      <c r="L91" s="203"/>
      <c r="M91" s="203"/>
      <c r="N91" s="203"/>
      <c r="O91" s="203"/>
      <c r="P91" s="203"/>
      <c r="Q91" s="203"/>
    </row>
    <row r="92" spans="1:61">
      <c r="A92" s="203"/>
      <c r="B92" s="203"/>
      <c r="C92" s="203"/>
      <c r="D92" s="203"/>
      <c r="E92" s="203"/>
      <c r="F92" s="203"/>
      <c r="G92" s="203"/>
      <c r="H92" s="203"/>
      <c r="I92" s="203"/>
      <c r="J92" s="203"/>
      <c r="K92" s="203"/>
      <c r="L92" s="203"/>
      <c r="M92" s="203"/>
      <c r="N92" s="203"/>
      <c r="O92" s="203"/>
      <c r="P92" s="203"/>
      <c r="Q92" s="203"/>
    </row>
    <row r="93" spans="1:61">
      <c r="A93" s="203"/>
      <c r="B93" s="203"/>
      <c r="C93" s="203"/>
      <c r="D93" s="203"/>
      <c r="E93" s="203"/>
      <c r="F93" s="203"/>
      <c r="G93" s="203"/>
      <c r="H93" s="203"/>
      <c r="I93" s="203"/>
      <c r="J93" s="203"/>
      <c r="K93" s="203"/>
      <c r="L93" s="203"/>
      <c r="M93" s="203"/>
      <c r="N93" s="203"/>
      <c r="O93" s="203"/>
      <c r="P93" s="203"/>
      <c r="Q93" s="203"/>
    </row>
    <row r="94" spans="1:61">
      <c r="A94" s="203"/>
      <c r="B94" s="203"/>
      <c r="C94" s="203"/>
      <c r="D94" s="203"/>
      <c r="E94" s="203"/>
      <c r="F94" s="203"/>
      <c r="G94" s="203"/>
      <c r="H94" s="203"/>
      <c r="I94" s="203"/>
      <c r="J94" s="203"/>
      <c r="K94" s="203"/>
      <c r="L94" s="203"/>
      <c r="M94" s="203"/>
      <c r="N94" s="203"/>
      <c r="O94" s="203"/>
      <c r="P94" s="203"/>
      <c r="Q94" s="203"/>
    </row>
    <row r="95" spans="1:61">
      <c r="A95" s="203"/>
      <c r="B95" s="203"/>
      <c r="C95" s="203"/>
      <c r="D95" s="203"/>
      <c r="E95" s="203"/>
      <c r="F95" s="203"/>
      <c r="G95" s="203"/>
      <c r="H95" s="203"/>
      <c r="I95" s="203"/>
      <c r="J95" s="203"/>
      <c r="K95" s="203"/>
      <c r="L95" s="203"/>
      <c r="M95" s="203"/>
      <c r="N95" s="203"/>
      <c r="O95" s="203"/>
      <c r="P95" s="203"/>
      <c r="Q95" s="203"/>
    </row>
    <row r="96" spans="1:61">
      <c r="A96" s="203"/>
      <c r="B96" s="203"/>
      <c r="C96" s="203"/>
      <c r="D96" s="203"/>
      <c r="E96" s="203"/>
      <c r="F96" s="203"/>
      <c r="G96" s="203"/>
      <c r="H96" s="203"/>
      <c r="I96" s="203"/>
      <c r="J96" s="203"/>
      <c r="K96" s="203"/>
      <c r="L96" s="203"/>
      <c r="M96" s="203"/>
      <c r="N96" s="203"/>
      <c r="O96" s="203"/>
      <c r="P96" s="203"/>
      <c r="Q96" s="203"/>
    </row>
    <row r="97" spans="1:236">
      <c r="A97" s="203"/>
      <c r="B97" s="203"/>
      <c r="C97" s="203"/>
      <c r="D97" s="203"/>
      <c r="E97" s="203"/>
      <c r="F97" s="203"/>
      <c r="G97" s="203"/>
      <c r="H97" s="203"/>
      <c r="I97" s="203"/>
      <c r="J97" s="203"/>
      <c r="K97" s="203"/>
      <c r="L97" s="203"/>
      <c r="M97" s="203"/>
      <c r="N97" s="203"/>
      <c r="O97" s="203"/>
      <c r="P97" s="203"/>
      <c r="Q97" s="203"/>
    </row>
    <row r="98" spans="1:236">
      <c r="A98" s="203"/>
      <c r="B98" s="203"/>
      <c r="C98" s="203"/>
      <c r="D98" s="203"/>
      <c r="E98" s="203"/>
      <c r="F98" s="203"/>
      <c r="G98" s="203"/>
      <c r="H98" s="203"/>
      <c r="I98" s="203"/>
      <c r="J98" s="203"/>
      <c r="K98" s="203"/>
      <c r="L98" s="203"/>
      <c r="M98" s="203"/>
      <c r="N98" s="203"/>
      <c r="O98" s="203"/>
      <c r="P98" s="203"/>
      <c r="Q98" s="203"/>
    </row>
    <row r="99" spans="1:236">
      <c r="A99" s="203"/>
      <c r="B99" s="203"/>
      <c r="C99" s="203"/>
      <c r="D99" s="203"/>
      <c r="E99" s="203"/>
      <c r="F99" s="203"/>
      <c r="G99" s="203"/>
      <c r="H99" s="203"/>
      <c r="I99" s="203"/>
      <c r="J99" s="203"/>
      <c r="K99" s="203"/>
      <c r="L99" s="203"/>
      <c r="M99" s="203"/>
      <c r="N99" s="203"/>
      <c r="O99" s="203"/>
      <c r="P99" s="203"/>
      <c r="Q99" s="203"/>
    </row>
    <row r="100" spans="1:236">
      <c r="A100" s="203"/>
      <c r="B100" s="203"/>
      <c r="C100" s="203"/>
      <c r="D100" s="203"/>
      <c r="E100" s="203"/>
      <c r="F100" s="203"/>
      <c r="G100" s="203"/>
      <c r="H100" s="203"/>
      <c r="I100" s="203"/>
      <c r="J100" s="203"/>
      <c r="K100" s="203"/>
      <c r="L100" s="203"/>
      <c r="M100" s="203"/>
      <c r="N100" s="203"/>
      <c r="O100" s="203"/>
      <c r="P100" s="203"/>
      <c r="Q100" s="203"/>
    </row>
    <row r="101" spans="1:236">
      <c r="A101" s="203"/>
      <c r="B101" s="203"/>
      <c r="C101" s="203"/>
      <c r="D101" s="203"/>
      <c r="E101" s="203"/>
      <c r="F101" s="203"/>
      <c r="G101" s="203"/>
      <c r="H101" s="203"/>
      <c r="I101" s="203"/>
      <c r="J101" s="203"/>
      <c r="K101" s="203"/>
      <c r="L101" s="203"/>
      <c r="M101" s="203"/>
      <c r="N101" s="203"/>
      <c r="O101" s="203"/>
      <c r="P101" s="203"/>
      <c r="Q101" s="203"/>
    </row>
    <row r="102" spans="1:236">
      <c r="A102" s="203"/>
      <c r="B102" s="203"/>
      <c r="C102" s="203"/>
      <c r="D102" s="203"/>
      <c r="E102" s="203"/>
      <c r="F102" s="203"/>
      <c r="G102" s="203"/>
      <c r="H102" s="203"/>
      <c r="I102" s="203"/>
      <c r="J102" s="203"/>
      <c r="K102" s="203"/>
      <c r="L102" s="203"/>
      <c r="M102" s="203"/>
      <c r="N102" s="203"/>
      <c r="O102" s="203"/>
      <c r="P102" s="203"/>
      <c r="Q102" s="203"/>
    </row>
    <row r="103" spans="1:236"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c r="HZ103" s="204"/>
      <c r="IA103" s="204"/>
      <c r="IB103" s="204"/>
    </row>
    <row r="104" spans="1:236"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c r="HZ104" s="204"/>
      <c r="IA104" s="204"/>
      <c r="IB104" s="204"/>
    </row>
    <row r="105" spans="1:236"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c r="HZ105" s="204"/>
      <c r="IA105" s="204"/>
      <c r="IB105" s="204"/>
    </row>
    <row r="106" spans="1:236"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c r="HZ106" s="204"/>
      <c r="IA106" s="204"/>
      <c r="IB106" s="204"/>
    </row>
    <row r="107" spans="1:236"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c r="HZ107" s="204"/>
      <c r="IA107" s="204"/>
      <c r="IB107" s="204"/>
    </row>
    <row r="108" spans="1:236"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c r="HZ108" s="203"/>
      <c r="IA108" s="203"/>
      <c r="IB108" s="203"/>
    </row>
    <row r="109" spans="1:236"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c r="HZ109" s="203"/>
      <c r="IA109" s="203"/>
      <c r="IB109" s="203"/>
    </row>
    <row r="110" spans="1:236"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c r="HZ110" s="203"/>
      <c r="IA110" s="203"/>
      <c r="IB110" s="203"/>
    </row>
    <row r="111" spans="1:236"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c r="HZ111" s="203"/>
      <c r="IA111" s="203"/>
      <c r="IB111" s="203"/>
    </row>
    <row r="112" spans="1:236"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c r="HZ112" s="203"/>
      <c r="IA112" s="203"/>
      <c r="IB112" s="203"/>
    </row>
    <row r="113" spans="1:236"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c r="HZ113" s="203"/>
      <c r="IA113" s="203"/>
      <c r="IB113" s="203"/>
    </row>
    <row r="114" spans="1:236"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c r="HZ114" s="203"/>
      <c r="IA114" s="203"/>
      <c r="IB114" s="203"/>
    </row>
    <row r="115" spans="1:236"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c r="HZ115" s="203"/>
      <c r="IA115" s="203"/>
      <c r="IB115" s="203"/>
    </row>
    <row r="116" spans="1:236"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c r="HZ116" s="203"/>
      <c r="IA116" s="203"/>
      <c r="IB116" s="203"/>
    </row>
    <row r="117" spans="1:236"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c r="HZ117" s="203"/>
      <c r="IA117" s="203"/>
      <c r="IB117" s="203"/>
    </row>
    <row r="118" spans="1:236"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c r="HZ118" s="203"/>
      <c r="IA118" s="203"/>
      <c r="IB118" s="203"/>
    </row>
    <row r="119" spans="1:236"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c r="HZ119" s="203"/>
      <c r="IA119" s="203"/>
      <c r="IB119" s="203"/>
    </row>
    <row r="120" spans="1:236"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c r="HZ120" s="203"/>
      <c r="IA120" s="203"/>
      <c r="IB120" s="203"/>
    </row>
    <row r="121" spans="1:236"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c r="HZ121" s="203"/>
      <c r="IA121" s="203"/>
      <c r="IB121" s="203"/>
    </row>
    <row r="122" spans="1:236"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c r="HZ122" s="203"/>
      <c r="IA122" s="203"/>
      <c r="IB122" s="203"/>
    </row>
    <row r="123" spans="1:236"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c r="HZ123" s="203"/>
      <c r="IA123" s="203"/>
      <c r="IB123" s="203"/>
    </row>
    <row r="124" spans="1:236"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c r="HZ124" s="203"/>
      <c r="IA124" s="203"/>
      <c r="IB124" s="203"/>
    </row>
    <row r="125" spans="1:236"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c r="HZ125" s="203"/>
      <c r="IA125" s="203"/>
      <c r="IB125" s="203"/>
    </row>
    <row r="126" spans="1:236"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c r="HZ126" s="203"/>
      <c r="IA126" s="203"/>
      <c r="IB126" s="203"/>
    </row>
    <row r="127" spans="1:236"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c r="HZ127" s="203"/>
      <c r="IA127" s="203"/>
      <c r="IB127" s="203"/>
    </row>
    <row r="128" spans="1:236"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c r="HZ128" s="203"/>
      <c r="IA128" s="203"/>
      <c r="IB128" s="203"/>
    </row>
    <row r="129" spans="1:236"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c r="HZ129" s="203"/>
      <c r="IA129" s="203"/>
      <c r="IB129" s="203"/>
    </row>
    <row r="130" spans="1:236"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c r="HZ130" s="203"/>
      <c r="IA130" s="203"/>
      <c r="IB130" s="203"/>
    </row>
    <row r="131" spans="1:236"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c r="HZ131" s="203"/>
      <c r="IA131" s="203"/>
      <c r="IB131" s="203"/>
    </row>
    <row r="132" spans="1:236"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c r="HZ132" s="203"/>
      <c r="IA132" s="203"/>
      <c r="IB132" s="203"/>
    </row>
    <row r="133" spans="1:236"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c r="HZ133" s="203"/>
      <c r="IA133" s="203"/>
      <c r="IB133" s="203"/>
    </row>
    <row r="134" spans="1:236"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c r="HZ134" s="203"/>
      <c r="IA134" s="203"/>
      <c r="IB134" s="203"/>
    </row>
    <row r="135" spans="1:236"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c r="HZ135" s="203"/>
      <c r="IA135" s="203"/>
      <c r="IB135" s="203"/>
    </row>
    <row r="136" spans="1:236"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c r="HZ136" s="203"/>
      <c r="IA136" s="203"/>
      <c r="IB136" s="203"/>
    </row>
    <row r="137" spans="1:236"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c r="HZ137" s="203"/>
      <c r="IA137" s="203"/>
      <c r="IB137" s="203"/>
    </row>
    <row r="138" spans="1:236"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c r="HZ138" s="203"/>
      <c r="IA138" s="203"/>
      <c r="IB138" s="203"/>
    </row>
    <row r="139" spans="1:236"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c r="HZ139" s="203"/>
      <c r="IA139" s="203"/>
      <c r="IB139" s="203"/>
    </row>
    <row r="140" spans="1:236"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c r="HZ140" s="203"/>
      <c r="IA140" s="203"/>
      <c r="IB140" s="203"/>
    </row>
    <row r="141" spans="1:236"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c r="HZ141" s="203"/>
      <c r="IA141" s="203"/>
      <c r="IB141" s="203"/>
    </row>
    <row r="142" spans="1:236"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c r="HZ142" s="203"/>
      <c r="IA142" s="203"/>
      <c r="IB142" s="203"/>
    </row>
    <row r="143" spans="1:236"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c r="HZ143" s="203"/>
      <c r="IA143" s="203"/>
      <c r="IB143" s="203"/>
    </row>
    <row r="144" spans="1:236"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c r="HZ144" s="203"/>
      <c r="IA144" s="203"/>
      <c r="IB144" s="203"/>
    </row>
    <row r="145" spans="1:236"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c r="HZ145" s="203"/>
      <c r="IA145" s="203"/>
      <c r="IB145" s="203"/>
    </row>
    <row r="146" spans="1:236"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c r="HZ146" s="203"/>
      <c r="IA146" s="203"/>
      <c r="IB146" s="203"/>
    </row>
    <row r="147" spans="1:236"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c r="HZ147" s="203"/>
      <c r="IA147" s="203"/>
      <c r="IB147" s="203"/>
    </row>
    <row r="148" spans="1:236"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c r="HZ148" s="203"/>
      <c r="IA148" s="203"/>
      <c r="IB148" s="203"/>
    </row>
    <row r="149" spans="1:236"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c r="HZ149" s="203"/>
      <c r="IA149" s="203"/>
      <c r="IB149" s="203"/>
    </row>
    <row r="150" spans="1:236"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c r="HZ150" s="203"/>
      <c r="IA150" s="203"/>
      <c r="IB150" s="203"/>
    </row>
    <row r="151" spans="1:236"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c r="HZ151" s="203"/>
      <c r="IA151" s="203"/>
      <c r="IB151" s="203"/>
    </row>
    <row r="152" spans="1:236"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c r="HZ152" s="203"/>
      <c r="IA152" s="203"/>
      <c r="IB152" s="203"/>
    </row>
    <row r="153" spans="1:236"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c r="HZ153" s="203"/>
      <c r="IA153" s="203"/>
      <c r="IB153" s="203"/>
    </row>
    <row r="154" spans="1:236"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c r="HZ154" s="203"/>
      <c r="IA154" s="203"/>
      <c r="IB154" s="203"/>
    </row>
    <row r="155" spans="1:236"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c r="HZ155" s="203"/>
      <c r="IA155" s="203"/>
      <c r="IB155" s="203"/>
    </row>
    <row r="156" spans="1:236"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c r="HZ156" s="203"/>
      <c r="IA156" s="203"/>
      <c r="IB156" s="203"/>
    </row>
    <row r="157" spans="1:236"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c r="HZ157" s="203"/>
      <c r="IA157" s="203"/>
      <c r="IB157" s="203"/>
    </row>
    <row r="158" spans="1:236"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c r="HZ158" s="203"/>
      <c r="IA158" s="203"/>
      <c r="IB158" s="203"/>
    </row>
    <row r="159" spans="1:236"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c r="HZ159" s="203"/>
      <c r="IA159" s="203"/>
      <c r="IB159" s="203"/>
    </row>
    <row r="160" spans="1:236"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c r="HZ160" s="203"/>
      <c r="IA160" s="203"/>
      <c r="IB160" s="203"/>
    </row>
    <row r="161" spans="1:236"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c r="HZ161" s="203"/>
      <c r="IA161" s="203"/>
      <c r="IB161" s="203"/>
    </row>
    <row r="162" spans="1:236"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c r="HZ162" s="203"/>
      <c r="IA162" s="203"/>
      <c r="IB162" s="203"/>
    </row>
    <row r="163" spans="1:236"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c r="HZ163" s="203"/>
      <c r="IA163" s="203"/>
      <c r="IB163" s="203"/>
    </row>
    <row r="164" spans="1:236"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c r="HZ164" s="203"/>
      <c r="IA164" s="203"/>
      <c r="IB164" s="203"/>
    </row>
    <row r="165" spans="1:236"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c r="HZ165" s="203"/>
      <c r="IA165" s="203"/>
      <c r="IB165" s="203"/>
    </row>
    <row r="166" spans="1:236"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c r="HZ166" s="203"/>
      <c r="IA166" s="203"/>
      <c r="IB166" s="203"/>
    </row>
    <row r="167" spans="1:236"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c r="HZ167" s="203"/>
      <c r="IA167" s="203"/>
      <c r="IB167" s="203"/>
    </row>
    <row r="168" spans="1:236"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c r="HZ168" s="203"/>
      <c r="IA168" s="203"/>
      <c r="IB168" s="203"/>
    </row>
    <row r="169" spans="1:236"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c r="HZ169" s="203"/>
      <c r="IA169" s="203"/>
      <c r="IB169" s="203"/>
    </row>
    <row r="170" spans="1:236"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c r="HZ170" s="203"/>
      <c r="IA170" s="203"/>
      <c r="IB170" s="203"/>
    </row>
    <row r="171" spans="1:236"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c r="HZ171" s="203"/>
      <c r="IA171" s="203"/>
      <c r="IB171" s="203"/>
    </row>
    <row r="172" spans="1:236"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c r="HZ172" s="203"/>
      <c r="IA172" s="203"/>
      <c r="IB172" s="203"/>
    </row>
    <row r="173" spans="1:236"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c r="HZ173" s="203"/>
      <c r="IA173" s="203"/>
      <c r="IB173" s="203"/>
    </row>
    <row r="174" spans="1:236">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c r="HZ174" s="203"/>
      <c r="IA174" s="203"/>
      <c r="IB174" s="203"/>
    </row>
    <row r="175" spans="1:236">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c r="HZ175" s="203"/>
      <c r="IA175" s="203"/>
      <c r="IB175" s="203"/>
    </row>
    <row r="176" spans="1:236">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c r="HZ176" s="203"/>
      <c r="IA176" s="203"/>
      <c r="IB176" s="203"/>
    </row>
    <row r="177" spans="1:236">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c r="HZ177" s="203"/>
      <c r="IA177" s="203"/>
      <c r="IB177" s="203"/>
    </row>
    <row r="178" spans="1:236">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c r="HZ178" s="203"/>
      <c r="IA178" s="203"/>
      <c r="IB178" s="203"/>
    </row>
  </sheetData>
  <mergeCells count="80">
    <mergeCell ref="BG76:BI78"/>
    <mergeCell ref="BG79:BI79"/>
    <mergeCell ref="BH81:BI81"/>
    <mergeCell ref="BG1:BI1"/>
    <mergeCell ref="BG2:BH3"/>
    <mergeCell ref="BI2:BI3"/>
    <mergeCell ref="BG72:BI72"/>
    <mergeCell ref="BG74:BI74"/>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16"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Y304"/>
  <sheetViews>
    <sheetView showGridLines="0" topLeftCell="B240" zoomScale="70" zoomScaleNormal="70" workbookViewId="0">
      <selection activeCell="F256" sqref="F256:J256"/>
    </sheetView>
  </sheetViews>
  <sheetFormatPr baseColWidth="10" defaultRowHeight="15"/>
  <cols>
    <col min="1" max="1" width="0" style="533" hidden="1" customWidth="1"/>
    <col min="2" max="2" width="30.5703125" style="533" bestFit="1" customWidth="1"/>
    <col min="3" max="3" width="3.85546875" style="533" customWidth="1"/>
    <col min="4" max="4" width="108" style="533" customWidth="1"/>
    <col min="5" max="5" width="23.7109375" style="534" hidden="1" customWidth="1"/>
    <col min="6" max="6" width="21.28515625" style="533" customWidth="1"/>
    <col min="7" max="8" width="11.42578125" style="533"/>
    <col min="9" max="9" width="3.140625" style="533" customWidth="1"/>
    <col min="10" max="10" width="11.42578125" style="533" hidden="1" customWidth="1"/>
    <col min="11" max="11" width="13.85546875" style="533" customWidth="1"/>
    <col min="12" max="15" width="11.42578125" style="533"/>
    <col min="16" max="16" width="16" style="533" customWidth="1"/>
    <col min="17" max="17" width="33.28515625" style="533" bestFit="1" customWidth="1"/>
    <col min="18" max="18" width="11.42578125" style="533"/>
    <col min="19" max="19" width="33.28515625" style="533" bestFit="1" customWidth="1"/>
    <col min="20" max="16384" width="11.42578125" style="533"/>
  </cols>
  <sheetData>
    <row r="2" spans="2:25" ht="36">
      <c r="B2" s="532">
        <v>1</v>
      </c>
      <c r="D2" s="533" t="s">
        <v>399</v>
      </c>
      <c r="P2" s="592" t="s">
        <v>678</v>
      </c>
    </row>
    <row r="3" spans="2:25">
      <c r="P3" s="533" t="s">
        <v>671</v>
      </c>
    </row>
    <row r="4" spans="2:25" ht="21">
      <c r="D4" s="535" t="s">
        <v>400</v>
      </c>
      <c r="E4" s="536" t="s">
        <v>401</v>
      </c>
      <c r="F4" s="537" t="s">
        <v>402</v>
      </c>
      <c r="P4" s="584" t="s">
        <v>666</v>
      </c>
      <c r="Q4" s="584" t="s">
        <v>667</v>
      </c>
      <c r="R4" s="584" t="s">
        <v>668</v>
      </c>
      <c r="S4" s="584" t="s">
        <v>672</v>
      </c>
      <c r="T4" s="584" t="s">
        <v>669</v>
      </c>
      <c r="U4" s="584" t="s">
        <v>670</v>
      </c>
      <c r="V4" s="584"/>
      <c r="W4" s="584"/>
      <c r="X4" s="584" t="s">
        <v>665</v>
      </c>
      <c r="Y4" s="584" t="s">
        <v>664</v>
      </c>
    </row>
    <row r="5" spans="2:25" ht="21">
      <c r="D5" s="535"/>
      <c r="E5" s="536"/>
      <c r="F5" s="537" t="s">
        <v>629</v>
      </c>
      <c r="P5" s="585">
        <v>30000009113</v>
      </c>
      <c r="Q5" s="586" t="s">
        <v>661</v>
      </c>
      <c r="R5" s="588">
        <f>+'COMBUSTIBLES '!B7</f>
        <v>4923.01</v>
      </c>
      <c r="S5" s="585" t="s">
        <v>662</v>
      </c>
      <c r="T5" s="585">
        <v>1</v>
      </c>
      <c r="U5" s="585" t="s">
        <v>663</v>
      </c>
      <c r="V5" s="585"/>
      <c r="W5" s="585"/>
      <c r="X5" s="587" t="s">
        <v>679</v>
      </c>
      <c r="Y5" s="587" t="s">
        <v>680</v>
      </c>
    </row>
    <row r="6" spans="2:25">
      <c r="D6" s="538" t="s">
        <v>404</v>
      </c>
      <c r="E6" s="539" t="s">
        <v>405</v>
      </c>
      <c r="F6" s="660" t="s">
        <v>406</v>
      </c>
      <c r="G6" s="660"/>
      <c r="H6" s="660"/>
      <c r="I6" s="660"/>
      <c r="J6" s="660"/>
    </row>
    <row r="7" spans="2:25">
      <c r="D7" s="538" t="s">
        <v>407</v>
      </c>
      <c r="E7" s="539" t="s">
        <v>176</v>
      </c>
      <c r="F7" s="660" t="s">
        <v>406</v>
      </c>
      <c r="G7" s="660"/>
      <c r="H7" s="660"/>
      <c r="I7" s="660"/>
      <c r="J7" s="660"/>
    </row>
    <row r="8" spans="2:25">
      <c r="D8" s="538" t="s">
        <v>408</v>
      </c>
      <c r="E8" s="539" t="s">
        <v>211</v>
      </c>
      <c r="F8" s="660" t="s">
        <v>406</v>
      </c>
      <c r="G8" s="660"/>
      <c r="H8" s="660"/>
      <c r="I8" s="660"/>
      <c r="J8" s="660"/>
      <c r="P8" s="589" t="s">
        <v>673</v>
      </c>
    </row>
    <row r="9" spans="2:25">
      <c r="D9" s="538" t="s">
        <v>409</v>
      </c>
      <c r="E9" s="539" t="s">
        <v>410</v>
      </c>
      <c r="F9" s="660" t="s">
        <v>411</v>
      </c>
      <c r="G9" s="660"/>
      <c r="H9" s="660"/>
      <c r="I9" s="660"/>
      <c r="J9" s="660"/>
    </row>
    <row r="10" spans="2:25">
      <c r="D10" s="538" t="s">
        <v>412</v>
      </c>
      <c r="E10" s="539" t="s">
        <v>175</v>
      </c>
      <c r="F10" s="660" t="s">
        <v>406</v>
      </c>
      <c r="G10" s="660"/>
      <c r="H10" s="660"/>
      <c r="I10" s="660"/>
      <c r="J10" s="660"/>
    </row>
    <row r="11" spans="2:25">
      <c r="D11" s="538" t="s">
        <v>413</v>
      </c>
      <c r="E11" s="539" t="s">
        <v>414</v>
      </c>
      <c r="F11" s="660" t="s">
        <v>406</v>
      </c>
      <c r="G11" s="660"/>
      <c r="H11" s="660"/>
      <c r="I11" s="660"/>
      <c r="J11" s="660"/>
    </row>
    <row r="12" spans="2:25">
      <c r="D12" s="538" t="s">
        <v>415</v>
      </c>
      <c r="E12" s="539" t="s">
        <v>416</v>
      </c>
      <c r="F12" s="660" t="s">
        <v>406</v>
      </c>
      <c r="G12" s="660"/>
      <c r="H12" s="660"/>
      <c r="I12" s="660"/>
      <c r="J12" s="660"/>
    </row>
    <row r="13" spans="2:25">
      <c r="D13" s="538" t="s">
        <v>417</v>
      </c>
      <c r="E13" s="539" t="s">
        <v>418</v>
      </c>
      <c r="F13" s="660" t="s">
        <v>406</v>
      </c>
      <c r="G13" s="660"/>
      <c r="H13" s="660"/>
      <c r="I13" s="660"/>
      <c r="J13" s="660"/>
    </row>
    <row r="14" spans="2:25">
      <c r="D14" s="538" t="s">
        <v>419</v>
      </c>
      <c r="E14" s="539" t="s">
        <v>420</v>
      </c>
      <c r="F14" s="660" t="s">
        <v>411</v>
      </c>
      <c r="G14" s="660"/>
      <c r="H14" s="660"/>
      <c r="I14" s="660"/>
      <c r="J14" s="660"/>
    </row>
    <row r="15" spans="2:25">
      <c r="D15" s="554" t="s">
        <v>421</v>
      </c>
      <c r="E15" s="555"/>
      <c r="F15" s="663" t="s">
        <v>422</v>
      </c>
      <c r="G15" s="663"/>
      <c r="H15" s="663"/>
      <c r="I15" s="663"/>
      <c r="J15" s="663"/>
    </row>
    <row r="16" spans="2:25">
      <c r="D16" s="554" t="s">
        <v>423</v>
      </c>
      <c r="E16" s="555"/>
      <c r="F16" s="663" t="s">
        <v>422</v>
      </c>
      <c r="G16" s="663"/>
      <c r="H16" s="663"/>
      <c r="I16" s="663"/>
      <c r="J16" s="663"/>
    </row>
    <row r="17" spans="4:10">
      <c r="D17" s="538" t="s">
        <v>424</v>
      </c>
      <c r="E17" s="539" t="s">
        <v>425</v>
      </c>
      <c r="F17" s="660" t="s">
        <v>426</v>
      </c>
      <c r="G17" s="660"/>
      <c r="H17" s="660"/>
      <c r="I17" s="660"/>
      <c r="J17" s="660"/>
    </row>
    <row r="18" spans="4:10">
      <c r="D18" s="538" t="s">
        <v>427</v>
      </c>
      <c r="E18" s="539" t="s">
        <v>425</v>
      </c>
      <c r="F18" s="660" t="s">
        <v>426</v>
      </c>
      <c r="G18" s="660"/>
      <c r="H18" s="660"/>
      <c r="I18" s="660"/>
      <c r="J18" s="660"/>
    </row>
    <row r="19" spans="4:10">
      <c r="D19" s="538" t="s">
        <v>428</v>
      </c>
      <c r="E19" s="539" t="s">
        <v>425</v>
      </c>
      <c r="F19" s="660" t="s">
        <v>426</v>
      </c>
      <c r="G19" s="660"/>
      <c r="H19" s="660"/>
      <c r="I19" s="660"/>
      <c r="J19" s="660"/>
    </row>
    <row r="20" spans="4:10">
      <c r="D20" s="538" t="s">
        <v>429</v>
      </c>
      <c r="E20" s="539" t="s">
        <v>430</v>
      </c>
      <c r="F20" s="660" t="s">
        <v>426</v>
      </c>
      <c r="G20" s="660"/>
      <c r="H20" s="660"/>
      <c r="I20" s="660"/>
      <c r="J20" s="660"/>
    </row>
    <row r="21" spans="4:10">
      <c r="D21" s="541" t="s">
        <v>431</v>
      </c>
      <c r="E21" s="539" t="s">
        <v>430</v>
      </c>
      <c r="F21" s="660" t="s">
        <v>426</v>
      </c>
      <c r="G21" s="660"/>
      <c r="H21" s="660"/>
      <c r="I21" s="660"/>
      <c r="J21" s="660"/>
    </row>
    <row r="22" spans="4:10">
      <c r="D22" s="541" t="s">
        <v>432</v>
      </c>
      <c r="E22" s="539" t="s">
        <v>433</v>
      </c>
      <c r="F22" s="660" t="s">
        <v>434</v>
      </c>
      <c r="G22" s="660"/>
      <c r="H22" s="660"/>
      <c r="I22" s="660"/>
      <c r="J22" s="660"/>
    </row>
    <row r="23" spans="4:10">
      <c r="D23" s="541" t="s">
        <v>435</v>
      </c>
      <c r="E23" s="539" t="s">
        <v>433</v>
      </c>
      <c r="F23" s="660" t="s">
        <v>434</v>
      </c>
      <c r="G23" s="660"/>
      <c r="H23" s="660"/>
      <c r="I23" s="660"/>
      <c r="J23" s="660"/>
    </row>
    <row r="24" spans="4:10">
      <c r="D24" s="541" t="s">
        <v>436</v>
      </c>
      <c r="E24" s="539" t="s">
        <v>437</v>
      </c>
      <c r="F24" s="660" t="s">
        <v>434</v>
      </c>
      <c r="G24" s="660"/>
      <c r="H24" s="660"/>
      <c r="I24" s="660"/>
      <c r="J24" s="660"/>
    </row>
    <row r="25" spans="4:10">
      <c r="D25" s="541" t="s">
        <v>438</v>
      </c>
      <c r="E25" s="539" t="s">
        <v>430</v>
      </c>
      <c r="F25" s="660" t="s">
        <v>434</v>
      </c>
      <c r="G25" s="660"/>
      <c r="H25" s="660"/>
      <c r="I25" s="660"/>
      <c r="J25" s="660"/>
    </row>
    <row r="28" spans="4:10" ht="21">
      <c r="D28" s="535" t="s">
        <v>439</v>
      </c>
    </row>
    <row r="29" spans="4:10">
      <c r="D29" s="542" t="s">
        <v>440</v>
      </c>
    </row>
    <row r="30" spans="4:10">
      <c r="D30" s="543" t="s">
        <v>441</v>
      </c>
    </row>
    <row r="31" spans="4:10">
      <c r="D31" s="533" t="s">
        <v>442</v>
      </c>
    </row>
    <row r="32" spans="4:10">
      <c r="D32" s="533" t="s">
        <v>443</v>
      </c>
    </row>
    <row r="33" spans="4:16">
      <c r="D33" s="533" t="s">
        <v>444</v>
      </c>
    </row>
    <row r="34" spans="4:16">
      <c r="D34" s="533" t="s">
        <v>445</v>
      </c>
    </row>
    <row r="37" spans="4:16">
      <c r="O37" s="533">
        <v>1</v>
      </c>
      <c r="P37" s="543" t="s">
        <v>446</v>
      </c>
    </row>
    <row r="38" spans="4:16">
      <c r="O38" s="533">
        <v>2</v>
      </c>
      <c r="P38" s="543" t="s">
        <v>447</v>
      </c>
    </row>
    <row r="39" spans="4:16" ht="21">
      <c r="D39" s="651" t="s">
        <v>448</v>
      </c>
      <c r="E39" s="652" t="s">
        <v>401</v>
      </c>
      <c r="F39" s="653" t="s">
        <v>402</v>
      </c>
      <c r="G39" s="654"/>
      <c r="H39" s="654"/>
      <c r="I39" s="654"/>
      <c r="J39" s="655"/>
      <c r="K39" s="649" t="s">
        <v>688</v>
      </c>
      <c r="O39" s="533">
        <v>3</v>
      </c>
      <c r="P39" s="543" t="s">
        <v>449</v>
      </c>
    </row>
    <row r="40" spans="4:16" ht="21">
      <c r="D40" s="651"/>
      <c r="E40" s="652"/>
      <c r="F40" s="656" t="s">
        <v>450</v>
      </c>
      <c r="G40" s="657"/>
      <c r="H40" s="657"/>
      <c r="I40" s="657"/>
      <c r="J40" s="658"/>
      <c r="K40" s="650"/>
      <c r="O40" s="533">
        <v>4</v>
      </c>
      <c r="P40" s="543" t="s">
        <v>451</v>
      </c>
    </row>
    <row r="41" spans="4:16">
      <c r="D41" s="544" t="s">
        <v>452</v>
      </c>
      <c r="E41" s="577"/>
      <c r="F41" s="662" t="s">
        <v>453</v>
      </c>
      <c r="G41" s="662"/>
      <c r="H41" s="662"/>
      <c r="I41" s="662"/>
      <c r="J41" s="662"/>
      <c r="K41" s="550"/>
      <c r="L41" s="601" t="s">
        <v>687</v>
      </c>
      <c r="P41" s="543"/>
    </row>
    <row r="42" spans="4:16">
      <c r="D42" s="544" t="s">
        <v>454</v>
      </c>
      <c r="E42" s="590"/>
      <c r="F42" s="660" t="s">
        <v>453</v>
      </c>
      <c r="G42" s="660"/>
      <c r="H42" s="660"/>
      <c r="I42" s="660"/>
      <c r="J42" s="660"/>
      <c r="K42" s="550"/>
      <c r="L42" s="601" t="s">
        <v>687</v>
      </c>
      <c r="P42" s="543"/>
    </row>
    <row r="43" spans="4:16">
      <c r="D43" s="544" t="s">
        <v>455</v>
      </c>
      <c r="E43" s="590"/>
      <c r="F43" s="660" t="s">
        <v>453</v>
      </c>
      <c r="G43" s="660"/>
      <c r="H43" s="660"/>
      <c r="I43" s="660"/>
      <c r="J43" s="660"/>
      <c r="K43" s="550"/>
      <c r="L43" s="601" t="s">
        <v>687</v>
      </c>
      <c r="O43" s="533">
        <v>5</v>
      </c>
      <c r="P43" s="543" t="s">
        <v>456</v>
      </c>
    </row>
    <row r="44" spans="4:16">
      <c r="D44" s="544" t="s">
        <v>457</v>
      </c>
      <c r="E44" s="590" t="s">
        <v>425</v>
      </c>
      <c r="F44" s="660" t="s">
        <v>426</v>
      </c>
      <c r="G44" s="660"/>
      <c r="H44" s="660"/>
      <c r="I44" s="660"/>
      <c r="J44" s="660"/>
      <c r="K44" s="580">
        <f>+'COMBUSTIBLES '!E7</f>
        <v>5015.57</v>
      </c>
      <c r="L44" s="601" t="s">
        <v>687</v>
      </c>
    </row>
    <row r="45" spans="4:16">
      <c r="D45" s="544" t="s">
        <v>458</v>
      </c>
      <c r="E45" s="590" t="s">
        <v>459</v>
      </c>
      <c r="F45" s="660" t="s">
        <v>426</v>
      </c>
      <c r="G45" s="660"/>
      <c r="H45" s="660"/>
      <c r="I45" s="660"/>
      <c r="J45" s="660"/>
      <c r="K45" s="602">
        <v>7.9</v>
      </c>
      <c r="L45" s="601" t="s">
        <v>687</v>
      </c>
    </row>
    <row r="46" spans="4:16">
      <c r="D46" s="544" t="s">
        <v>460</v>
      </c>
      <c r="E46" s="590"/>
      <c r="F46" s="661" t="s">
        <v>461</v>
      </c>
      <c r="G46" s="661"/>
      <c r="H46" s="661"/>
      <c r="I46" s="661"/>
      <c r="J46" s="661"/>
      <c r="K46" s="580">
        <f>+Variables!E27</f>
        <v>5024.59</v>
      </c>
      <c r="L46" s="601" t="s">
        <v>687</v>
      </c>
    </row>
    <row r="47" spans="4:16">
      <c r="D47" s="544" t="s">
        <v>464</v>
      </c>
      <c r="E47" s="590" t="s">
        <v>465</v>
      </c>
      <c r="F47" s="660" t="s">
        <v>426</v>
      </c>
      <c r="G47" s="660"/>
      <c r="H47" s="660"/>
      <c r="I47" s="660"/>
      <c r="J47" s="660"/>
      <c r="K47" s="580">
        <f>+'COMBUSTIBLES '!B8</f>
        <v>7.9001000000000001</v>
      </c>
      <c r="L47" s="601" t="s">
        <v>687</v>
      </c>
    </row>
    <row r="48" spans="4:16">
      <c r="D48" s="544" t="s">
        <v>466</v>
      </c>
      <c r="E48" s="590" t="s">
        <v>430</v>
      </c>
      <c r="F48" s="660" t="s">
        <v>426</v>
      </c>
      <c r="G48" s="660"/>
      <c r="H48" s="660"/>
      <c r="I48" s="660"/>
      <c r="J48" s="660"/>
      <c r="K48" s="580">
        <f>+'COMBUSTIBLES '!B7</f>
        <v>4923.01</v>
      </c>
      <c r="L48" s="601" t="s">
        <v>684</v>
      </c>
    </row>
    <row r="49" spans="4:12">
      <c r="D49" s="544" t="s">
        <v>462</v>
      </c>
      <c r="E49" s="591" t="s">
        <v>463</v>
      </c>
      <c r="F49" s="661" t="s">
        <v>461</v>
      </c>
      <c r="G49" s="661"/>
      <c r="H49" s="661"/>
      <c r="I49" s="661"/>
      <c r="J49" s="661"/>
      <c r="K49" s="580">
        <f>+Variables!E20</f>
        <v>5078.7700000000004</v>
      </c>
      <c r="L49" s="601" t="s">
        <v>687</v>
      </c>
    </row>
    <row r="50" spans="4:12">
      <c r="D50" s="544" t="s">
        <v>467</v>
      </c>
      <c r="E50" s="590" t="s">
        <v>459</v>
      </c>
      <c r="F50" s="660" t="s">
        <v>468</v>
      </c>
      <c r="G50" s="660"/>
      <c r="H50" s="660"/>
      <c r="I50" s="660"/>
      <c r="J50" s="660"/>
      <c r="K50" s="580">
        <f>+BIODIESEL!E8</f>
        <v>4915.26</v>
      </c>
      <c r="L50" s="601" t="s">
        <v>687</v>
      </c>
    </row>
    <row r="51" spans="4:12">
      <c r="D51" s="544" t="s">
        <v>469</v>
      </c>
      <c r="E51" s="590" t="s">
        <v>433</v>
      </c>
      <c r="F51" s="660" t="s">
        <v>468</v>
      </c>
      <c r="G51" s="660"/>
      <c r="H51" s="660"/>
      <c r="I51" s="660"/>
      <c r="J51" s="660"/>
      <c r="K51" s="580">
        <f>+BIODIESEL!E10</f>
        <v>5119</v>
      </c>
      <c r="L51" s="601" t="s">
        <v>687</v>
      </c>
    </row>
    <row r="52" spans="4:12">
      <c r="D52" s="544" t="s">
        <v>470</v>
      </c>
      <c r="E52" s="590" t="s">
        <v>471</v>
      </c>
      <c r="F52" s="660" t="s">
        <v>468</v>
      </c>
      <c r="G52" s="660"/>
      <c r="H52" s="660"/>
      <c r="I52" s="660"/>
      <c r="J52" s="660"/>
      <c r="K52" s="580">
        <f>+BIODIESEL!E14</f>
        <v>7.9001000000000001</v>
      </c>
      <c r="L52" s="601" t="s">
        <v>687</v>
      </c>
    </row>
    <row r="53" spans="4:12">
      <c r="D53" s="544" t="s">
        <v>472</v>
      </c>
      <c r="E53" s="590" t="s">
        <v>473</v>
      </c>
      <c r="F53" s="660" t="s">
        <v>468</v>
      </c>
      <c r="G53" s="660"/>
      <c r="H53" s="660"/>
      <c r="I53" s="660"/>
      <c r="J53" s="660"/>
      <c r="K53" s="580">
        <f>+BIODIESEL!E9</f>
        <v>203.74</v>
      </c>
      <c r="L53" s="601" t="s">
        <v>687</v>
      </c>
    </row>
    <row r="54" spans="4:12">
      <c r="D54" s="544" t="s">
        <v>474</v>
      </c>
      <c r="E54" s="591" t="s">
        <v>463</v>
      </c>
      <c r="F54" s="661" t="s">
        <v>461</v>
      </c>
      <c r="G54" s="661"/>
      <c r="H54" s="661"/>
      <c r="I54" s="661"/>
      <c r="J54" s="661"/>
      <c r="K54" s="580">
        <f>+Variables!E27</f>
        <v>5024.59</v>
      </c>
      <c r="L54" s="601" t="s">
        <v>687</v>
      </c>
    </row>
    <row r="55" spans="4:12">
      <c r="D55" s="544" t="s">
        <v>475</v>
      </c>
      <c r="E55" s="590" t="s">
        <v>459</v>
      </c>
      <c r="F55" s="660" t="s">
        <v>426</v>
      </c>
      <c r="G55" s="660"/>
      <c r="H55" s="660"/>
      <c r="I55" s="660"/>
      <c r="J55" s="660"/>
      <c r="K55" s="580">
        <f>+'COMBUSTIBLES '!E8</f>
        <v>7.9001000000000001</v>
      </c>
      <c r="L55" s="601" t="s">
        <v>687</v>
      </c>
    </row>
    <row r="56" spans="4:12">
      <c r="D56" s="544" t="s">
        <v>476</v>
      </c>
      <c r="E56" s="590" t="s">
        <v>425</v>
      </c>
      <c r="F56" s="660" t="s">
        <v>426</v>
      </c>
      <c r="G56" s="660"/>
      <c r="H56" s="660"/>
      <c r="I56" s="660"/>
      <c r="J56" s="660"/>
      <c r="K56" s="580">
        <f>+'COMBUSTIBLES '!E7</f>
        <v>5015.57</v>
      </c>
      <c r="L56" s="601" t="s">
        <v>687</v>
      </c>
    </row>
    <row r="57" spans="4:12">
      <c r="D57" s="544" t="s">
        <v>477</v>
      </c>
      <c r="E57" s="591" t="s">
        <v>463</v>
      </c>
      <c r="F57" s="661" t="s">
        <v>461</v>
      </c>
      <c r="G57" s="661"/>
      <c r="H57" s="661"/>
      <c r="I57" s="661"/>
      <c r="J57" s="661"/>
      <c r="K57" s="580">
        <f>+Variables!E27</f>
        <v>5024.59</v>
      </c>
      <c r="L57" s="601" t="s">
        <v>687</v>
      </c>
    </row>
    <row r="58" spans="4:12">
      <c r="D58" s="544" t="s">
        <v>478</v>
      </c>
      <c r="E58" s="590" t="s">
        <v>425</v>
      </c>
      <c r="F58" s="660" t="s">
        <v>426</v>
      </c>
      <c r="G58" s="660"/>
      <c r="H58" s="660"/>
      <c r="I58" s="660"/>
      <c r="J58" s="660"/>
      <c r="K58" s="580">
        <f>+'COMBUSTIBLES '!E7</f>
        <v>5015.57</v>
      </c>
      <c r="L58" s="601" t="s">
        <v>687</v>
      </c>
    </row>
    <row r="59" spans="4:12">
      <c r="D59" s="544" t="s">
        <v>479</v>
      </c>
      <c r="E59" s="591" t="s">
        <v>463</v>
      </c>
      <c r="F59" s="661" t="s">
        <v>461</v>
      </c>
      <c r="G59" s="661"/>
      <c r="H59" s="661"/>
      <c r="I59" s="661"/>
      <c r="J59" s="661"/>
      <c r="K59" s="580">
        <f>+Variables!E27</f>
        <v>5024.59</v>
      </c>
      <c r="L59" s="601" t="s">
        <v>687</v>
      </c>
    </row>
    <row r="60" spans="4:12">
      <c r="D60" s="544" t="s">
        <v>480</v>
      </c>
      <c r="E60" s="590" t="s">
        <v>437</v>
      </c>
      <c r="F60" s="660" t="s">
        <v>468</v>
      </c>
      <c r="G60" s="660"/>
      <c r="H60" s="660"/>
      <c r="I60" s="660"/>
      <c r="J60" s="660"/>
      <c r="K60" s="580">
        <f>+BIODIESEL!F10</f>
        <v>5222.42</v>
      </c>
      <c r="L60" s="601" t="s">
        <v>687</v>
      </c>
    </row>
    <row r="61" spans="4:12">
      <c r="D61" s="544" t="s">
        <v>481</v>
      </c>
      <c r="E61" s="590" t="s">
        <v>459</v>
      </c>
      <c r="F61" s="660" t="s">
        <v>426</v>
      </c>
      <c r="G61" s="660"/>
      <c r="H61" s="660"/>
      <c r="I61" s="660"/>
      <c r="J61" s="660"/>
      <c r="K61" s="580">
        <f>+'COMBUSTIBLES '!E8</f>
        <v>7.9001000000000001</v>
      </c>
      <c r="L61" s="601" t="s">
        <v>687</v>
      </c>
    </row>
    <row r="62" spans="4:12">
      <c r="D62" s="544" t="s">
        <v>482</v>
      </c>
      <c r="E62" s="590" t="s">
        <v>483</v>
      </c>
      <c r="F62" s="660" t="s">
        <v>468</v>
      </c>
      <c r="G62" s="660"/>
      <c r="H62" s="660"/>
      <c r="I62" s="660"/>
      <c r="J62" s="660"/>
      <c r="K62" s="580">
        <f>+BIODIESEL!F8</f>
        <v>4814.95</v>
      </c>
      <c r="L62" s="601" t="s">
        <v>687</v>
      </c>
    </row>
    <row r="63" spans="4:12">
      <c r="D63" s="544" t="s">
        <v>484</v>
      </c>
      <c r="E63" s="590" t="s">
        <v>485</v>
      </c>
      <c r="F63" s="660" t="s">
        <v>468</v>
      </c>
      <c r="G63" s="660"/>
      <c r="H63" s="660"/>
      <c r="I63" s="660"/>
      <c r="J63" s="660"/>
      <c r="K63" s="580">
        <f>+BIODIESEL!F9</f>
        <v>407.47</v>
      </c>
      <c r="L63" s="601" t="s">
        <v>687</v>
      </c>
    </row>
    <row r="64" spans="4:12">
      <c r="D64" s="544" t="s">
        <v>486</v>
      </c>
      <c r="E64" s="591" t="s">
        <v>463</v>
      </c>
      <c r="F64" s="661" t="s">
        <v>461</v>
      </c>
      <c r="G64" s="661"/>
      <c r="H64" s="661"/>
      <c r="I64" s="661"/>
      <c r="J64" s="661"/>
      <c r="K64" s="580">
        <f>+Variables!E27</f>
        <v>5024.59</v>
      </c>
      <c r="L64" s="601" t="s">
        <v>687</v>
      </c>
    </row>
    <row r="65" spans="2:12">
      <c r="D65" s="544" t="s">
        <v>487</v>
      </c>
      <c r="E65" s="590" t="s">
        <v>459</v>
      </c>
      <c r="F65" s="660" t="s">
        <v>426</v>
      </c>
      <c r="G65" s="660"/>
      <c r="H65" s="660"/>
      <c r="I65" s="660"/>
      <c r="J65" s="660"/>
      <c r="K65" s="580">
        <f>+'COMBUSTIBLES '!E8</f>
        <v>7.9001000000000001</v>
      </c>
      <c r="L65" s="601" t="s">
        <v>687</v>
      </c>
    </row>
    <row r="66" spans="2:12">
      <c r="D66" s="544" t="s">
        <v>488</v>
      </c>
      <c r="E66" s="590" t="s">
        <v>425</v>
      </c>
      <c r="F66" s="660" t="s">
        <v>426</v>
      </c>
      <c r="G66" s="660"/>
      <c r="H66" s="660"/>
      <c r="I66" s="660"/>
      <c r="J66" s="660"/>
      <c r="K66" s="580">
        <f>+'COMBUSTIBLES '!E7</f>
        <v>5015.57</v>
      </c>
      <c r="L66" s="601" t="s">
        <v>687</v>
      </c>
    </row>
    <row r="67" spans="2:12">
      <c r="D67" s="544" t="s">
        <v>489</v>
      </c>
      <c r="E67" s="591" t="s">
        <v>463</v>
      </c>
      <c r="F67" s="661" t="s">
        <v>461</v>
      </c>
      <c r="G67" s="661"/>
      <c r="H67" s="661"/>
      <c r="I67" s="661"/>
      <c r="J67" s="661"/>
      <c r="K67" s="603">
        <f>+Variables!E27</f>
        <v>5024.59</v>
      </c>
      <c r="L67" s="601" t="s">
        <v>687</v>
      </c>
    </row>
    <row r="68" spans="2:12">
      <c r="D68" s="544" t="s">
        <v>490</v>
      </c>
      <c r="E68" s="590" t="s">
        <v>433</v>
      </c>
      <c r="F68" s="660" t="s">
        <v>468</v>
      </c>
      <c r="G68" s="660"/>
      <c r="H68" s="660"/>
      <c r="I68" s="660"/>
      <c r="J68" s="660"/>
      <c r="K68" s="603">
        <f>+BIODIESEL!E10</f>
        <v>5119</v>
      </c>
      <c r="L68" s="601" t="s">
        <v>687</v>
      </c>
    </row>
    <row r="69" spans="2:12">
      <c r="D69" s="544" t="s">
        <v>491</v>
      </c>
      <c r="E69" s="590" t="s">
        <v>459</v>
      </c>
      <c r="F69" s="660" t="s">
        <v>468</v>
      </c>
      <c r="G69" s="660"/>
      <c r="H69" s="660"/>
      <c r="I69" s="660"/>
      <c r="J69" s="660"/>
      <c r="K69" s="603">
        <f>+BIODIESEL!E8</f>
        <v>4915.26</v>
      </c>
      <c r="L69" s="601" t="s">
        <v>687</v>
      </c>
    </row>
    <row r="70" spans="2:12">
      <c r="D70" s="544" t="s">
        <v>492</v>
      </c>
      <c r="E70" s="590" t="s">
        <v>473</v>
      </c>
      <c r="F70" s="660" t="s">
        <v>468</v>
      </c>
      <c r="G70" s="660"/>
      <c r="H70" s="660"/>
      <c r="I70" s="660"/>
      <c r="J70" s="660"/>
      <c r="K70" s="603">
        <f>+BIODIESEL!E9</f>
        <v>203.74</v>
      </c>
      <c r="L70" s="601" t="s">
        <v>687</v>
      </c>
    </row>
    <row r="71" spans="2:12">
      <c r="D71" s="544" t="s">
        <v>493</v>
      </c>
      <c r="E71" s="591" t="s">
        <v>463</v>
      </c>
      <c r="F71" s="661" t="s">
        <v>461</v>
      </c>
      <c r="G71" s="661"/>
      <c r="H71" s="661"/>
      <c r="I71" s="661"/>
      <c r="J71" s="661"/>
      <c r="K71" s="603">
        <f>+Variables!E27</f>
        <v>5024.59</v>
      </c>
      <c r="L71" s="601" t="s">
        <v>687</v>
      </c>
    </row>
    <row r="72" spans="2:12">
      <c r="D72" s="544" t="s">
        <v>632</v>
      </c>
      <c r="E72" s="590" t="s">
        <v>425</v>
      </c>
      <c r="F72" s="660" t="s">
        <v>426</v>
      </c>
      <c r="G72" s="660"/>
      <c r="H72" s="660"/>
      <c r="I72" s="660"/>
      <c r="J72" s="660"/>
      <c r="K72" s="603">
        <f>+'COMBUSTIBLES '!E7</f>
        <v>5015.57</v>
      </c>
      <c r="L72" s="601" t="s">
        <v>687</v>
      </c>
    </row>
    <row r="73" spans="2:12">
      <c r="D73" s="544" t="s">
        <v>633</v>
      </c>
      <c r="E73" s="591" t="s">
        <v>463</v>
      </c>
      <c r="F73" s="661" t="s">
        <v>461</v>
      </c>
      <c r="G73" s="661"/>
      <c r="H73" s="661"/>
      <c r="I73" s="661"/>
      <c r="J73" s="661"/>
      <c r="K73" s="580">
        <f>+Variables!E27</f>
        <v>5024.59</v>
      </c>
      <c r="L73" s="601" t="s">
        <v>687</v>
      </c>
    </row>
    <row r="74" spans="2:12">
      <c r="D74" s="544" t="s">
        <v>634</v>
      </c>
      <c r="E74" s="590" t="s">
        <v>459</v>
      </c>
      <c r="F74" s="660" t="s">
        <v>426</v>
      </c>
      <c r="G74" s="660"/>
      <c r="H74" s="660"/>
      <c r="I74" s="660"/>
      <c r="J74" s="660"/>
      <c r="K74" s="580">
        <f>+'COMBUSTIBLES '!E8</f>
        <v>7.9001000000000001</v>
      </c>
      <c r="L74" s="601" t="s">
        <v>687</v>
      </c>
    </row>
    <row r="75" spans="2:12">
      <c r="D75" s="544" t="s">
        <v>635</v>
      </c>
      <c r="E75" s="590"/>
      <c r="F75" s="660" t="s">
        <v>453</v>
      </c>
      <c r="G75" s="660"/>
      <c r="H75" s="660"/>
      <c r="I75" s="660"/>
      <c r="J75" s="660"/>
      <c r="K75" s="550"/>
      <c r="L75" s="604" t="s">
        <v>687</v>
      </c>
    </row>
    <row r="76" spans="2:12" ht="36">
      <c r="B76" s="532">
        <v>2</v>
      </c>
      <c r="D76" s="533" t="s">
        <v>494</v>
      </c>
    </row>
    <row r="78" spans="2:12" ht="21">
      <c r="D78" s="535" t="s">
        <v>400</v>
      </c>
      <c r="E78" s="536" t="s">
        <v>401</v>
      </c>
      <c r="F78" s="537" t="s">
        <v>402</v>
      </c>
    </row>
    <row r="79" spans="2:12" ht="21">
      <c r="D79" s="535"/>
      <c r="E79" s="536"/>
      <c r="F79" s="537" t="s">
        <v>450</v>
      </c>
    </row>
    <row r="80" spans="2:12">
      <c r="D80" s="541" t="s">
        <v>495</v>
      </c>
      <c r="E80" s="575" t="s">
        <v>496</v>
      </c>
      <c r="F80" s="660" t="s">
        <v>426</v>
      </c>
      <c r="G80" s="660"/>
      <c r="H80" s="660"/>
      <c r="I80" s="660"/>
      <c r="J80" s="660"/>
      <c r="K80" s="571">
        <f>+'COMBUSTIBLES '!D7</f>
        <v>5935</v>
      </c>
    </row>
    <row r="81" spans="4:11">
      <c r="D81" s="541" t="s">
        <v>497</v>
      </c>
      <c r="E81" s="575" t="s">
        <v>498</v>
      </c>
      <c r="F81" s="660" t="s">
        <v>426</v>
      </c>
      <c r="G81" s="660"/>
      <c r="H81" s="660"/>
      <c r="I81" s="660"/>
      <c r="J81" s="660"/>
      <c r="K81" s="571">
        <f>+'COMBUSTIBLES '!F7</f>
        <v>5935</v>
      </c>
    </row>
    <row r="82" spans="4:11">
      <c r="D82" s="540" t="s">
        <v>499</v>
      </c>
      <c r="E82" s="546"/>
      <c r="F82" s="667" t="s">
        <v>500</v>
      </c>
      <c r="G82" s="667"/>
      <c r="H82" s="667"/>
      <c r="I82" s="667"/>
      <c r="J82" s="667"/>
    </row>
    <row r="83" spans="4:11">
      <c r="D83" s="533" t="s">
        <v>646</v>
      </c>
      <c r="E83" s="534" t="s">
        <v>647</v>
      </c>
    </row>
    <row r="84" spans="4:11" ht="21">
      <c r="D84" s="537" t="s">
        <v>501</v>
      </c>
      <c r="E84" s="534" t="s">
        <v>648</v>
      </c>
    </row>
    <row r="85" spans="4:11">
      <c r="D85" s="543" t="s">
        <v>502</v>
      </c>
    </row>
    <row r="86" spans="4:11">
      <c r="D86" s="543" t="s">
        <v>503</v>
      </c>
    </row>
    <row r="87" spans="4:11">
      <c r="D87" s="543"/>
    </row>
    <row r="88" spans="4:11">
      <c r="D88" s="543" t="s">
        <v>504</v>
      </c>
    </row>
    <row r="89" spans="4:11">
      <c r="D89" s="543"/>
    </row>
    <row r="90" spans="4:11">
      <c r="D90" s="543"/>
    </row>
    <row r="91" spans="4:11" ht="21">
      <c r="D91" s="535" t="s">
        <v>505</v>
      </c>
    </row>
    <row r="92" spans="4:11">
      <c r="D92" s="543" t="s">
        <v>506</v>
      </c>
    </row>
    <row r="93" spans="4:11">
      <c r="D93" s="543" t="s">
        <v>441</v>
      </c>
    </row>
    <row r="94" spans="4:11">
      <c r="D94" s="533" t="s">
        <v>442</v>
      </c>
    </row>
    <row r="95" spans="4:11">
      <c r="D95" s="533" t="s">
        <v>443</v>
      </c>
    </row>
    <row r="96" spans="4:11">
      <c r="D96" s="557" t="s">
        <v>656</v>
      </c>
    </row>
    <row r="97" spans="4:12">
      <c r="D97" s="533" t="s">
        <v>445</v>
      </c>
    </row>
    <row r="100" spans="4:12" ht="21">
      <c r="D100" s="651" t="s">
        <v>448</v>
      </c>
      <c r="E100" s="652" t="s">
        <v>401</v>
      </c>
      <c r="F100" s="653" t="s">
        <v>402</v>
      </c>
      <c r="G100" s="654"/>
      <c r="H100" s="654"/>
      <c r="I100" s="654"/>
      <c r="J100" s="655"/>
    </row>
    <row r="101" spans="4:12" ht="21">
      <c r="D101" s="651"/>
      <c r="E101" s="652"/>
      <c r="F101" s="656" t="s">
        <v>450</v>
      </c>
      <c r="G101" s="657"/>
      <c r="H101" s="657"/>
      <c r="I101" s="657"/>
      <c r="J101" s="658"/>
    </row>
    <row r="102" spans="4:12" ht="15" customHeight="1">
      <c r="D102" s="547" t="s">
        <v>507</v>
      </c>
      <c r="E102" s="548"/>
      <c r="F102" s="664" t="s">
        <v>508</v>
      </c>
      <c r="G102" s="665"/>
      <c r="H102" s="665"/>
      <c r="I102" s="665"/>
      <c r="J102" s="666"/>
      <c r="K102" s="557"/>
    </row>
    <row r="103" spans="4:12">
      <c r="D103" s="549" t="s">
        <v>509</v>
      </c>
      <c r="E103" s="578">
        <f>+$K$55</f>
        <v>7.9001000000000001</v>
      </c>
      <c r="F103" s="664"/>
      <c r="G103" s="665"/>
      <c r="H103" s="665"/>
      <c r="I103" s="665"/>
      <c r="J103" s="666"/>
      <c r="K103" s="598" t="s">
        <v>161</v>
      </c>
      <c r="L103" s="598" t="s">
        <v>684</v>
      </c>
    </row>
    <row r="104" spans="4:12">
      <c r="D104" s="549" t="s">
        <v>510</v>
      </c>
      <c r="E104" s="578">
        <f>+$K$55</f>
        <v>7.9001000000000001</v>
      </c>
      <c r="F104" s="664"/>
      <c r="G104" s="665"/>
      <c r="H104" s="665"/>
      <c r="I104" s="665"/>
      <c r="J104" s="666"/>
      <c r="L104" s="598" t="s">
        <v>684</v>
      </c>
    </row>
    <row r="105" spans="4:12">
      <c r="D105" s="549" t="s">
        <v>511</v>
      </c>
      <c r="E105" s="577">
        <v>0</v>
      </c>
      <c r="F105" s="664"/>
      <c r="G105" s="665"/>
      <c r="H105" s="665"/>
      <c r="I105" s="665"/>
      <c r="J105" s="666"/>
      <c r="L105" s="598" t="s">
        <v>684</v>
      </c>
    </row>
    <row r="106" spans="4:12">
      <c r="D106" s="547" t="s">
        <v>512</v>
      </c>
      <c r="E106" s="577" t="s">
        <v>513</v>
      </c>
      <c r="F106" s="664" t="s">
        <v>514</v>
      </c>
      <c r="G106" s="665"/>
      <c r="H106" s="665"/>
      <c r="I106" s="665"/>
      <c r="J106" s="666"/>
      <c r="K106" s="553">
        <f>+'GASOLINA EXTRA OXIGENADA'!C7</f>
        <v>5935</v>
      </c>
      <c r="L106" s="598" t="s">
        <v>684</v>
      </c>
    </row>
    <row r="107" spans="4:12">
      <c r="D107" s="556" t="s">
        <v>636</v>
      </c>
      <c r="E107" s="577"/>
      <c r="F107" s="661" t="s">
        <v>461</v>
      </c>
      <c r="G107" s="661"/>
      <c r="H107" s="661"/>
      <c r="I107" s="661"/>
      <c r="J107" s="661"/>
      <c r="L107" s="598" t="s">
        <v>684</v>
      </c>
    </row>
    <row r="108" spans="4:12">
      <c r="D108" s="549"/>
      <c r="E108" s="579"/>
      <c r="F108" s="664"/>
      <c r="G108" s="665"/>
      <c r="H108" s="665"/>
      <c r="I108" s="665"/>
      <c r="J108" s="666"/>
    </row>
    <row r="109" spans="4:12">
      <c r="D109" s="549" t="s">
        <v>515</v>
      </c>
      <c r="E109" s="577" t="s">
        <v>498</v>
      </c>
      <c r="F109" s="664" t="s">
        <v>516</v>
      </c>
      <c r="G109" s="665"/>
      <c r="H109" s="665"/>
      <c r="I109" s="665"/>
      <c r="J109" s="666"/>
      <c r="K109" s="553">
        <f>+'COMBUSTIBLES '!F7</f>
        <v>5935</v>
      </c>
      <c r="L109" s="598" t="s">
        <v>684</v>
      </c>
    </row>
    <row r="110" spans="4:12">
      <c r="D110" s="549" t="s">
        <v>517</v>
      </c>
      <c r="E110" s="577">
        <v>0</v>
      </c>
      <c r="F110" s="664"/>
      <c r="G110" s="665"/>
      <c r="H110" s="665"/>
      <c r="I110" s="665"/>
      <c r="J110" s="666"/>
    </row>
    <row r="111" spans="4:12">
      <c r="D111" s="547" t="s">
        <v>518</v>
      </c>
      <c r="E111" s="577"/>
      <c r="F111" s="661" t="s">
        <v>461</v>
      </c>
      <c r="G111" s="661"/>
      <c r="H111" s="661"/>
      <c r="I111" s="661"/>
      <c r="J111" s="661"/>
      <c r="K111" s="598" t="s">
        <v>161</v>
      </c>
      <c r="L111" s="598" t="s">
        <v>684</v>
      </c>
    </row>
    <row r="112" spans="4:12">
      <c r="D112" s="549" t="s">
        <v>519</v>
      </c>
      <c r="E112" s="578">
        <f>+$K$55</f>
        <v>7.9001000000000001</v>
      </c>
      <c r="F112" s="664"/>
      <c r="G112" s="665"/>
      <c r="H112" s="665"/>
      <c r="I112" s="665"/>
      <c r="J112" s="666"/>
      <c r="L112" s="598" t="s">
        <v>684</v>
      </c>
    </row>
    <row r="113" spans="2:12">
      <c r="D113" s="550" t="s">
        <v>520</v>
      </c>
      <c r="E113" s="577" t="s">
        <v>513</v>
      </c>
      <c r="F113" s="664" t="s">
        <v>514</v>
      </c>
      <c r="G113" s="665"/>
      <c r="H113" s="665"/>
      <c r="I113" s="665"/>
      <c r="J113" s="666"/>
      <c r="K113" s="553">
        <f>+'GASOLINA EXTRA OXIGENADA'!C7</f>
        <v>5935</v>
      </c>
      <c r="L113" s="598" t="s">
        <v>684</v>
      </c>
    </row>
    <row r="117" spans="2:12" ht="36">
      <c r="B117" s="532">
        <v>3</v>
      </c>
      <c r="D117" s="533" t="s">
        <v>521</v>
      </c>
    </row>
    <row r="119" spans="2:12" ht="21">
      <c r="D119" s="535" t="s">
        <v>400</v>
      </c>
      <c r="E119" s="536" t="s">
        <v>401</v>
      </c>
      <c r="F119" s="537" t="s">
        <v>402</v>
      </c>
    </row>
    <row r="120" spans="2:12" ht="21">
      <c r="D120" s="535"/>
      <c r="E120" s="536"/>
      <c r="F120" s="537" t="s">
        <v>629</v>
      </c>
    </row>
    <row r="121" spans="2:12">
      <c r="D121" s="541" t="s">
        <v>522</v>
      </c>
      <c r="E121" s="539" t="s">
        <v>523</v>
      </c>
      <c r="F121" s="660" t="s">
        <v>524</v>
      </c>
      <c r="G121" s="660"/>
      <c r="H121" s="660"/>
      <c r="I121" s="660"/>
      <c r="J121" s="660"/>
    </row>
    <row r="122" spans="2:12">
      <c r="D122" s="541" t="s">
        <v>525</v>
      </c>
      <c r="E122" s="539" t="s">
        <v>526</v>
      </c>
      <c r="F122" s="660" t="s">
        <v>524</v>
      </c>
      <c r="G122" s="660"/>
      <c r="H122" s="660"/>
      <c r="I122" s="660"/>
      <c r="J122" s="660"/>
    </row>
    <row r="125" spans="2:12" ht="21">
      <c r="D125" s="535" t="s">
        <v>527</v>
      </c>
    </row>
    <row r="126" spans="2:12">
      <c r="D126" s="543" t="s">
        <v>528</v>
      </c>
    </row>
    <row r="127" spans="2:12">
      <c r="D127" s="543" t="s">
        <v>441</v>
      </c>
    </row>
    <row r="128" spans="2:12">
      <c r="D128" s="533" t="s">
        <v>442</v>
      </c>
    </row>
    <row r="129" spans="4:10">
      <c r="D129" s="533" t="s">
        <v>443</v>
      </c>
    </row>
    <row r="130" spans="4:10">
      <c r="D130" s="533" t="s">
        <v>529</v>
      </c>
    </row>
    <row r="131" spans="4:10">
      <c r="D131" s="533" t="s">
        <v>445</v>
      </c>
    </row>
    <row r="134" spans="4:10" ht="21">
      <c r="D134" s="651" t="s">
        <v>448</v>
      </c>
      <c r="E134" s="652" t="s">
        <v>401</v>
      </c>
      <c r="F134" s="653" t="s">
        <v>402</v>
      </c>
      <c r="G134" s="654"/>
      <c r="H134" s="654"/>
      <c r="I134" s="654"/>
      <c r="J134" s="655"/>
    </row>
    <row r="135" spans="4:10" ht="21">
      <c r="D135" s="651"/>
      <c r="E135" s="652"/>
      <c r="F135" s="656" t="s">
        <v>530</v>
      </c>
      <c r="G135" s="657"/>
      <c r="H135" s="657"/>
      <c r="I135" s="657"/>
      <c r="J135" s="658"/>
    </row>
    <row r="136" spans="4:10">
      <c r="D136" s="547" t="s">
        <v>531</v>
      </c>
      <c r="E136" s="545" t="s">
        <v>459</v>
      </c>
      <c r="F136" s="660" t="s">
        <v>532</v>
      </c>
      <c r="G136" s="660"/>
      <c r="H136" s="660"/>
      <c r="I136" s="660"/>
      <c r="J136" s="660"/>
    </row>
    <row r="137" spans="4:10">
      <c r="D137" s="547" t="s">
        <v>533</v>
      </c>
      <c r="E137" s="545" t="s">
        <v>473</v>
      </c>
      <c r="F137" s="660" t="s">
        <v>534</v>
      </c>
      <c r="G137" s="660"/>
      <c r="H137" s="660"/>
      <c r="I137" s="660"/>
      <c r="J137" s="660"/>
    </row>
    <row r="138" spans="4:10">
      <c r="D138" s="547" t="s">
        <v>535</v>
      </c>
      <c r="E138" s="545" t="s">
        <v>430</v>
      </c>
      <c r="F138" s="660" t="s">
        <v>536</v>
      </c>
      <c r="G138" s="660"/>
      <c r="H138" s="660"/>
      <c r="I138" s="660"/>
      <c r="J138" s="660"/>
    </row>
    <row r="139" spans="4:10">
      <c r="D139" s="547" t="s">
        <v>537</v>
      </c>
      <c r="E139" s="545" t="s">
        <v>425</v>
      </c>
      <c r="F139" s="660" t="s">
        <v>536</v>
      </c>
      <c r="G139" s="660"/>
      <c r="H139" s="660"/>
      <c r="I139" s="660"/>
      <c r="J139" s="660"/>
    </row>
    <row r="140" spans="4:10">
      <c r="D140" s="547" t="s">
        <v>538</v>
      </c>
      <c r="E140" s="545" t="s">
        <v>483</v>
      </c>
      <c r="F140" s="660" t="s">
        <v>539</v>
      </c>
      <c r="G140" s="660"/>
      <c r="H140" s="660"/>
      <c r="I140" s="660"/>
      <c r="J140" s="660"/>
    </row>
    <row r="141" spans="4:10">
      <c r="D141" s="547" t="s">
        <v>540</v>
      </c>
      <c r="E141" s="545" t="s">
        <v>541</v>
      </c>
      <c r="F141" s="660" t="s">
        <v>539</v>
      </c>
      <c r="G141" s="660"/>
      <c r="H141" s="660"/>
      <c r="I141" s="660"/>
      <c r="J141" s="660"/>
    </row>
    <row r="142" spans="4:10" ht="15" customHeight="1">
      <c r="D142" s="547" t="s">
        <v>542</v>
      </c>
      <c r="E142" s="545" t="s">
        <v>543</v>
      </c>
      <c r="F142" s="660" t="s">
        <v>539</v>
      </c>
      <c r="G142" s="660"/>
      <c r="H142" s="660"/>
      <c r="I142" s="660"/>
      <c r="J142" s="660"/>
    </row>
    <row r="143" spans="4:10" ht="15" customHeight="1">
      <c r="D143" s="547" t="s">
        <v>544</v>
      </c>
      <c r="E143" s="545" t="s">
        <v>545</v>
      </c>
      <c r="F143" s="660" t="s">
        <v>539</v>
      </c>
      <c r="G143" s="660"/>
      <c r="H143" s="660"/>
      <c r="I143" s="660"/>
      <c r="J143" s="660"/>
    </row>
    <row r="144" spans="4:10" ht="15" customHeight="1">
      <c r="D144" s="547" t="s">
        <v>546</v>
      </c>
      <c r="E144" s="545" t="s">
        <v>547</v>
      </c>
      <c r="F144" s="660" t="s">
        <v>539</v>
      </c>
      <c r="G144" s="660"/>
      <c r="H144" s="660"/>
      <c r="I144" s="660"/>
      <c r="J144" s="660"/>
    </row>
    <row r="145" spans="4:10">
      <c r="D145" s="547" t="s">
        <v>548</v>
      </c>
      <c r="E145" s="545" t="s">
        <v>549</v>
      </c>
      <c r="F145" s="660" t="s">
        <v>539</v>
      </c>
      <c r="G145" s="660"/>
      <c r="H145" s="660"/>
      <c r="I145" s="660"/>
      <c r="J145" s="660"/>
    </row>
    <row r="146" spans="4:10">
      <c r="D146" s="547" t="s">
        <v>550</v>
      </c>
      <c r="E146" s="545" t="s">
        <v>430</v>
      </c>
      <c r="F146" s="660" t="s">
        <v>536</v>
      </c>
      <c r="G146" s="660"/>
      <c r="H146" s="660"/>
      <c r="I146" s="660"/>
      <c r="J146" s="660"/>
    </row>
    <row r="147" spans="4:10">
      <c r="D147" s="547" t="s">
        <v>551</v>
      </c>
      <c r="E147" s="545" t="s">
        <v>547</v>
      </c>
      <c r="F147" s="660" t="s">
        <v>552</v>
      </c>
      <c r="G147" s="660"/>
      <c r="H147" s="660"/>
      <c r="I147" s="660"/>
      <c r="J147" s="660"/>
    </row>
    <row r="148" spans="4:10">
      <c r="D148" s="547" t="s">
        <v>553</v>
      </c>
      <c r="E148" s="545" t="s">
        <v>554</v>
      </c>
      <c r="F148" s="660" t="s">
        <v>539</v>
      </c>
      <c r="G148" s="660"/>
      <c r="H148" s="660"/>
      <c r="I148" s="660"/>
      <c r="J148" s="660"/>
    </row>
    <row r="149" spans="4:10">
      <c r="D149" s="547" t="s">
        <v>555</v>
      </c>
      <c r="E149" s="545">
        <v>0</v>
      </c>
      <c r="F149" s="660"/>
      <c r="G149" s="660"/>
      <c r="H149" s="660"/>
      <c r="I149" s="660"/>
      <c r="J149" s="660"/>
    </row>
    <row r="150" spans="4:10">
      <c r="D150" s="547" t="s">
        <v>556</v>
      </c>
      <c r="E150" s="545" t="s">
        <v>557</v>
      </c>
      <c r="F150" s="660" t="s">
        <v>539</v>
      </c>
      <c r="G150" s="660"/>
      <c r="H150" s="660"/>
      <c r="I150" s="660"/>
      <c r="J150" s="660"/>
    </row>
    <row r="151" spans="4:10">
      <c r="D151" s="547" t="s">
        <v>558</v>
      </c>
      <c r="E151" s="545" t="s">
        <v>559</v>
      </c>
      <c r="F151" s="660" t="s">
        <v>539</v>
      </c>
      <c r="G151" s="660"/>
      <c r="H151" s="660"/>
      <c r="I151" s="660"/>
      <c r="J151" s="660"/>
    </row>
    <row r="152" spans="4:10">
      <c r="D152" s="547" t="s">
        <v>560</v>
      </c>
      <c r="E152" s="545" t="s">
        <v>561</v>
      </c>
      <c r="F152" s="660" t="s">
        <v>562</v>
      </c>
      <c r="G152" s="660"/>
      <c r="H152" s="660"/>
      <c r="I152" s="660"/>
      <c r="J152" s="660"/>
    </row>
    <row r="153" spans="4:10">
      <c r="D153" s="547" t="s">
        <v>563</v>
      </c>
      <c r="E153" s="545" t="s">
        <v>564</v>
      </c>
      <c r="F153" s="660" t="s">
        <v>562</v>
      </c>
      <c r="G153" s="660"/>
      <c r="H153" s="660"/>
      <c r="I153" s="660"/>
      <c r="J153" s="660"/>
    </row>
    <row r="154" spans="4:10">
      <c r="D154" s="547" t="s">
        <v>565</v>
      </c>
      <c r="E154" s="545" t="s">
        <v>566</v>
      </c>
      <c r="F154" s="660" t="s">
        <v>562</v>
      </c>
      <c r="G154" s="660"/>
      <c r="H154" s="660"/>
      <c r="I154" s="660"/>
      <c r="J154" s="660"/>
    </row>
    <row r="155" spans="4:10">
      <c r="D155" s="547" t="s">
        <v>567</v>
      </c>
      <c r="E155" s="545" t="s">
        <v>568</v>
      </c>
      <c r="F155" s="660" t="s">
        <v>569</v>
      </c>
      <c r="G155" s="660"/>
      <c r="H155" s="660"/>
      <c r="I155" s="660"/>
      <c r="J155" s="660"/>
    </row>
    <row r="156" spans="4:10">
      <c r="D156" s="547" t="s">
        <v>570</v>
      </c>
      <c r="E156" s="545" t="s">
        <v>571</v>
      </c>
      <c r="F156" s="660" t="s">
        <v>569</v>
      </c>
      <c r="G156" s="660"/>
      <c r="H156" s="660"/>
      <c r="I156" s="660"/>
      <c r="J156" s="660"/>
    </row>
    <row r="157" spans="4:10">
      <c r="D157" s="547" t="s">
        <v>572</v>
      </c>
      <c r="E157" s="545" t="s">
        <v>573</v>
      </c>
      <c r="F157" s="660" t="s">
        <v>569</v>
      </c>
      <c r="G157" s="660"/>
      <c r="H157" s="660"/>
      <c r="I157" s="660"/>
      <c r="J157" s="660"/>
    </row>
    <row r="158" spans="4:10">
      <c r="D158" s="547" t="s">
        <v>574</v>
      </c>
      <c r="E158" s="545" t="s">
        <v>575</v>
      </c>
      <c r="F158" s="660" t="s">
        <v>576</v>
      </c>
      <c r="G158" s="660"/>
      <c r="H158" s="660"/>
      <c r="I158" s="660"/>
      <c r="J158" s="660"/>
    </row>
    <row r="159" spans="4:10">
      <c r="D159" s="547" t="s">
        <v>577</v>
      </c>
      <c r="E159" s="545" t="s">
        <v>523</v>
      </c>
      <c r="F159" s="660" t="s">
        <v>576</v>
      </c>
      <c r="G159" s="660"/>
      <c r="H159" s="660"/>
      <c r="I159" s="660"/>
      <c r="J159" s="660"/>
    </row>
    <row r="160" spans="4:10">
      <c r="D160" s="547" t="s">
        <v>578</v>
      </c>
      <c r="E160" s="545" t="s">
        <v>579</v>
      </c>
      <c r="F160" s="660" t="s">
        <v>576</v>
      </c>
      <c r="G160" s="660"/>
      <c r="H160" s="660"/>
      <c r="I160" s="660"/>
      <c r="J160" s="660"/>
    </row>
    <row r="161" spans="2:10">
      <c r="D161" s="547" t="s">
        <v>580</v>
      </c>
      <c r="E161" s="545">
        <v>0</v>
      </c>
      <c r="F161" s="660"/>
      <c r="G161" s="660"/>
      <c r="H161" s="660"/>
      <c r="I161" s="660"/>
      <c r="J161" s="660"/>
    </row>
    <row r="162" spans="2:10">
      <c r="D162" s="551"/>
      <c r="E162" s="564"/>
    </row>
    <row r="163" spans="2:10">
      <c r="D163" s="551"/>
      <c r="E163" s="564"/>
    </row>
    <row r="164" spans="2:10" ht="36">
      <c r="B164" s="532">
        <v>4</v>
      </c>
      <c r="D164" s="537" t="s">
        <v>581</v>
      </c>
    </row>
    <row r="165" spans="2:10">
      <c r="D165" s="551"/>
    </row>
    <row r="166" spans="2:10">
      <c r="D166" s="551"/>
    </row>
    <row r="167" spans="2:10" ht="21">
      <c r="D167" s="535" t="s">
        <v>582</v>
      </c>
    </row>
    <row r="168" spans="2:10">
      <c r="D168" s="543" t="s">
        <v>583</v>
      </c>
    </row>
    <row r="169" spans="2:10">
      <c r="D169" s="543" t="s">
        <v>441</v>
      </c>
    </row>
    <row r="170" spans="2:10">
      <c r="D170" s="533" t="s">
        <v>442</v>
      </c>
    </row>
    <row r="171" spans="2:10">
      <c r="D171" s="533" t="s">
        <v>443</v>
      </c>
    </row>
    <row r="172" spans="2:10">
      <c r="D172" s="533" t="s">
        <v>584</v>
      </c>
    </row>
    <row r="173" spans="2:10">
      <c r="D173" s="533" t="s">
        <v>445</v>
      </c>
    </row>
    <row r="175" spans="2:10">
      <c r="D175" s="551"/>
    </row>
    <row r="176" spans="2:10" ht="21">
      <c r="D176" s="651" t="s">
        <v>448</v>
      </c>
      <c r="E176" s="652" t="s">
        <v>401</v>
      </c>
      <c r="F176" s="653" t="s">
        <v>402</v>
      </c>
      <c r="G176" s="654"/>
      <c r="H176" s="654"/>
      <c r="I176" s="654"/>
      <c r="J176" s="655"/>
    </row>
    <row r="177" spans="2:11" ht="21">
      <c r="D177" s="651"/>
      <c r="E177" s="652"/>
      <c r="F177" s="656" t="s">
        <v>630</v>
      </c>
      <c r="G177" s="657"/>
      <c r="H177" s="657"/>
      <c r="I177" s="657"/>
      <c r="J177" s="658"/>
    </row>
    <row r="178" spans="2:11">
      <c r="D178" s="549" t="s">
        <v>585</v>
      </c>
      <c r="E178" s="590" t="s">
        <v>473</v>
      </c>
      <c r="F178" s="660" t="s">
        <v>534</v>
      </c>
      <c r="G178" s="660"/>
      <c r="H178" s="660"/>
      <c r="I178" s="660"/>
      <c r="J178" s="660"/>
      <c r="K178" s="553">
        <f>+BIODIESEL!E9</f>
        <v>203.74</v>
      </c>
    </row>
    <row r="179" spans="2:11">
      <c r="D179" s="547" t="s">
        <v>586</v>
      </c>
      <c r="E179" s="590" t="s">
        <v>433</v>
      </c>
      <c r="F179" s="660" t="s">
        <v>534</v>
      </c>
      <c r="G179" s="660"/>
      <c r="H179" s="660"/>
      <c r="I179" s="660"/>
      <c r="J179" s="660"/>
      <c r="K179" s="553">
        <f>+BIODIESEL!E10</f>
        <v>5119</v>
      </c>
    </row>
    <row r="180" spans="2:11">
      <c r="D180" s="547" t="s">
        <v>587</v>
      </c>
      <c r="E180" s="590" t="s">
        <v>459</v>
      </c>
      <c r="F180" s="660" t="s">
        <v>534</v>
      </c>
      <c r="G180" s="660"/>
      <c r="H180" s="660"/>
      <c r="I180" s="660"/>
      <c r="J180" s="660"/>
      <c r="K180" s="553">
        <f>+BIODIESEL!E8</f>
        <v>4915.26</v>
      </c>
    </row>
    <row r="181" spans="2:11">
      <c r="D181" s="544" t="s">
        <v>588</v>
      </c>
      <c r="E181" s="590">
        <v>7.67</v>
      </c>
      <c r="F181" s="671"/>
      <c r="G181" s="671"/>
      <c r="H181" s="671"/>
      <c r="I181" s="671"/>
      <c r="J181" s="671"/>
      <c r="K181" s="583"/>
    </row>
    <row r="182" spans="2:11">
      <c r="D182" s="547" t="s">
        <v>589</v>
      </c>
      <c r="E182" s="590" t="s">
        <v>425</v>
      </c>
      <c r="F182" s="660" t="s">
        <v>536</v>
      </c>
      <c r="G182" s="660"/>
      <c r="H182" s="660"/>
      <c r="I182" s="660"/>
      <c r="J182" s="660"/>
      <c r="K182" s="553">
        <f>+'COMBUSTIBLES '!E7</f>
        <v>5015.57</v>
      </c>
    </row>
    <row r="183" spans="2:11">
      <c r="D183" s="547" t="s">
        <v>590</v>
      </c>
      <c r="E183" s="590" t="s">
        <v>437</v>
      </c>
      <c r="F183" s="660" t="s">
        <v>534</v>
      </c>
      <c r="G183" s="660"/>
      <c r="H183" s="660"/>
      <c r="I183" s="660"/>
      <c r="J183" s="660"/>
      <c r="K183" s="553">
        <f>+BIODIESEL!F10</f>
        <v>5222.42</v>
      </c>
    </row>
    <row r="184" spans="2:11">
      <c r="D184" s="544" t="s">
        <v>591</v>
      </c>
      <c r="E184" s="590">
        <v>7.67</v>
      </c>
      <c r="F184" s="668"/>
      <c r="G184" s="669"/>
      <c r="H184" s="669"/>
      <c r="I184" s="669"/>
      <c r="J184" s="670"/>
      <c r="K184" s="583"/>
    </row>
    <row r="185" spans="2:11">
      <c r="D185" s="547" t="s">
        <v>592</v>
      </c>
      <c r="E185" s="590" t="s">
        <v>483</v>
      </c>
      <c r="F185" s="660" t="s">
        <v>534</v>
      </c>
      <c r="G185" s="660"/>
      <c r="H185" s="660"/>
      <c r="I185" s="660"/>
      <c r="J185" s="660"/>
      <c r="K185" s="553">
        <f>+BIODIESEL!F8</f>
        <v>4814.95</v>
      </c>
    </row>
    <row r="186" spans="2:11">
      <c r="D186" s="547" t="s">
        <v>593</v>
      </c>
      <c r="E186" s="590" t="s">
        <v>485</v>
      </c>
      <c r="F186" s="660" t="s">
        <v>534</v>
      </c>
      <c r="G186" s="660"/>
      <c r="H186" s="660"/>
      <c r="I186" s="660"/>
      <c r="J186" s="660"/>
      <c r="K186" s="553">
        <f>+BIODIESEL!F9</f>
        <v>407.47</v>
      </c>
    </row>
    <row r="187" spans="2:11">
      <c r="E187" s="565"/>
    </row>
    <row r="188" spans="2:11">
      <c r="E188" s="564"/>
    </row>
    <row r="190" spans="2:11" ht="36">
      <c r="B190" s="532">
        <v>5</v>
      </c>
      <c r="D190" s="537" t="s">
        <v>594</v>
      </c>
    </row>
    <row r="192" spans="2:11" ht="21">
      <c r="D192" s="535" t="s">
        <v>595</v>
      </c>
    </row>
    <row r="193" spans="4:11">
      <c r="D193" s="542" t="s">
        <v>650</v>
      </c>
    </row>
    <row r="194" spans="4:11">
      <c r="D194" s="533" t="s">
        <v>643</v>
      </c>
    </row>
    <row r="195" spans="4:11">
      <c r="D195" s="533" t="s">
        <v>651</v>
      </c>
    </row>
    <row r="196" spans="4:11">
      <c r="D196" s="543" t="s">
        <v>596</v>
      </c>
    </row>
    <row r="197" spans="4:11">
      <c r="D197" s="543" t="s">
        <v>441</v>
      </c>
    </row>
    <row r="198" spans="4:11">
      <c r="D198" s="533" t="s">
        <v>442</v>
      </c>
    </row>
    <row r="199" spans="4:11">
      <c r="D199" s="533" t="s">
        <v>443</v>
      </c>
    </row>
    <row r="200" spans="4:11">
      <c r="D200" s="533" t="s">
        <v>584</v>
      </c>
    </row>
    <row r="201" spans="4:11">
      <c r="D201" s="533" t="s">
        <v>445</v>
      </c>
    </row>
    <row r="204" spans="4:11" ht="21">
      <c r="D204" s="659" t="s">
        <v>400</v>
      </c>
      <c r="E204" s="652" t="s">
        <v>401</v>
      </c>
      <c r="F204" s="653" t="s">
        <v>402</v>
      </c>
      <c r="G204" s="654"/>
      <c r="H204" s="654"/>
      <c r="I204" s="654"/>
      <c r="J204" s="654"/>
      <c r="K204" s="655"/>
    </row>
    <row r="205" spans="4:11" ht="21">
      <c r="D205" s="659"/>
      <c r="E205" s="652"/>
      <c r="F205" s="656" t="s">
        <v>403</v>
      </c>
      <c r="G205" s="657"/>
      <c r="H205" s="657"/>
      <c r="I205" s="657"/>
      <c r="J205" s="657"/>
      <c r="K205" s="658"/>
    </row>
    <row r="206" spans="4:11">
      <c r="D206" s="549" t="s">
        <v>597</v>
      </c>
      <c r="E206" s="590" t="s">
        <v>598</v>
      </c>
      <c r="F206" s="662" t="s">
        <v>599</v>
      </c>
      <c r="G206" s="662"/>
      <c r="H206" s="662"/>
      <c r="I206" s="662"/>
      <c r="J206" s="662"/>
      <c r="K206" s="582">
        <f>+'DIESEL MARINO '!F110</f>
        <v>962.99224000000049</v>
      </c>
    </row>
    <row r="207" spans="4:11">
      <c r="D207" s="547" t="s">
        <v>600</v>
      </c>
      <c r="E207" s="590" t="s">
        <v>601</v>
      </c>
      <c r="F207" s="660" t="s">
        <v>599</v>
      </c>
      <c r="G207" s="660"/>
      <c r="H207" s="660"/>
      <c r="I207" s="660"/>
      <c r="J207" s="660"/>
      <c r="K207" s="581">
        <f>+'DIESEL MARINO '!F109</f>
        <v>1003.1139999999996</v>
      </c>
    </row>
    <row r="208" spans="4:11">
      <c r="D208" s="547" t="s">
        <v>602</v>
      </c>
      <c r="E208" s="590" t="s">
        <v>601</v>
      </c>
      <c r="F208" s="660" t="s">
        <v>599</v>
      </c>
      <c r="G208" s="660"/>
      <c r="H208" s="660"/>
      <c r="I208" s="660"/>
      <c r="J208" s="660"/>
      <c r="K208" s="581">
        <f>+'DIESEL MARINO '!F109</f>
        <v>1003.1139999999996</v>
      </c>
    </row>
    <row r="209" spans="2:20">
      <c r="D209" s="544" t="s">
        <v>603</v>
      </c>
      <c r="E209" s="590" t="s">
        <v>604</v>
      </c>
      <c r="F209" s="660" t="s">
        <v>599</v>
      </c>
      <c r="G209" s="660"/>
      <c r="H209" s="660"/>
      <c r="I209" s="660"/>
      <c r="J209" s="660"/>
      <c r="K209" s="581">
        <f>+'DIESEL MARINO '!F111</f>
        <v>983.05811999999969</v>
      </c>
      <c r="L209" s="533" t="s">
        <v>603</v>
      </c>
      <c r="T209" s="533" t="s">
        <v>649</v>
      </c>
    </row>
    <row r="210" spans="2:20">
      <c r="D210" s="544" t="s">
        <v>605</v>
      </c>
      <c r="E210" s="590" t="s">
        <v>606</v>
      </c>
      <c r="F210" s="660" t="s">
        <v>599</v>
      </c>
      <c r="G210" s="660"/>
      <c r="H210" s="660"/>
      <c r="I210" s="660"/>
      <c r="J210" s="660"/>
      <c r="K210" s="581">
        <f>+'DIESEL MARINO '!F111</f>
        <v>983.05811999999969</v>
      </c>
    </row>
    <row r="211" spans="2:20">
      <c r="E211" s="564"/>
    </row>
    <row r="212" spans="2:20">
      <c r="E212" s="564"/>
    </row>
    <row r="213" spans="2:20">
      <c r="E213" s="564"/>
    </row>
    <row r="214" spans="2:20" ht="36">
      <c r="B214" s="532">
        <v>6</v>
      </c>
      <c r="D214" s="537" t="s">
        <v>607</v>
      </c>
      <c r="E214" s="564"/>
    </row>
    <row r="216" spans="2:20" ht="21">
      <c r="D216" s="535" t="s">
        <v>608</v>
      </c>
    </row>
    <row r="217" spans="2:20">
      <c r="D217" s="543" t="s">
        <v>609</v>
      </c>
    </row>
    <row r="218" spans="2:20">
      <c r="D218" s="543" t="s">
        <v>441</v>
      </c>
    </row>
    <row r="219" spans="2:20">
      <c r="D219" s="533" t="s">
        <v>442</v>
      </c>
    </row>
    <row r="220" spans="2:20">
      <c r="D220" s="533" t="s">
        <v>443</v>
      </c>
    </row>
    <row r="221" spans="2:20">
      <c r="D221" s="533" t="s">
        <v>584</v>
      </c>
    </row>
    <row r="222" spans="2:20">
      <c r="D222" s="533" t="s">
        <v>445</v>
      </c>
    </row>
    <row r="224" spans="2:20" ht="21">
      <c r="D224" s="651" t="s">
        <v>448</v>
      </c>
      <c r="E224" s="652" t="s">
        <v>401</v>
      </c>
      <c r="F224" s="653" t="s">
        <v>402</v>
      </c>
      <c r="G224" s="654"/>
      <c r="H224" s="654"/>
      <c r="I224" s="654"/>
      <c r="J224" s="655"/>
    </row>
    <row r="225" spans="2:10" ht="21">
      <c r="D225" s="651"/>
      <c r="E225" s="652"/>
      <c r="F225" s="656" t="s">
        <v>530</v>
      </c>
      <c r="G225" s="657"/>
      <c r="H225" s="657"/>
      <c r="I225" s="657"/>
      <c r="J225" s="658"/>
    </row>
    <row r="226" spans="2:10">
      <c r="D226" s="549" t="s">
        <v>610</v>
      </c>
      <c r="E226" s="545" t="s">
        <v>611</v>
      </c>
      <c r="F226" s="660" t="s">
        <v>612</v>
      </c>
      <c r="G226" s="660"/>
      <c r="H226" s="660"/>
      <c r="I226" s="660"/>
      <c r="J226" s="660"/>
    </row>
    <row r="227" spans="2:10">
      <c r="D227" s="547" t="s">
        <v>613</v>
      </c>
      <c r="E227" s="545" t="s">
        <v>561</v>
      </c>
      <c r="F227" s="660" t="s">
        <v>612</v>
      </c>
      <c r="G227" s="660"/>
      <c r="H227" s="660"/>
      <c r="I227" s="660"/>
      <c r="J227" s="660"/>
    </row>
    <row r="228" spans="2:10">
      <c r="D228" s="547" t="s">
        <v>614</v>
      </c>
      <c r="E228" s="545" t="s">
        <v>547</v>
      </c>
      <c r="F228" s="660" t="s">
        <v>612</v>
      </c>
      <c r="G228" s="660"/>
      <c r="H228" s="660"/>
      <c r="I228" s="660"/>
      <c r="J228" s="660"/>
    </row>
    <row r="229" spans="2:10">
      <c r="E229" s="533"/>
    </row>
    <row r="231" spans="2:10" ht="36">
      <c r="B231" s="532">
        <v>7</v>
      </c>
      <c r="D231" s="537" t="s">
        <v>615</v>
      </c>
    </row>
    <row r="233" spans="2:10" ht="21">
      <c r="D233" s="535" t="s">
        <v>616</v>
      </c>
    </row>
    <row r="234" spans="2:10">
      <c r="D234" s="543" t="s">
        <v>617</v>
      </c>
    </row>
    <row r="235" spans="2:10">
      <c r="D235" s="543" t="s">
        <v>441</v>
      </c>
    </row>
    <row r="236" spans="2:10">
      <c r="D236" s="533" t="s">
        <v>442</v>
      </c>
    </row>
    <row r="237" spans="2:10">
      <c r="D237" s="533" t="s">
        <v>443</v>
      </c>
    </row>
    <row r="238" spans="2:10">
      <c r="D238" s="533" t="s">
        <v>584</v>
      </c>
    </row>
    <row r="239" spans="2:10" ht="21">
      <c r="D239" s="566" t="s">
        <v>618</v>
      </c>
    </row>
    <row r="243" spans="2:12" ht="36">
      <c r="B243" s="532">
        <v>8</v>
      </c>
      <c r="D243" s="537" t="s">
        <v>619</v>
      </c>
    </row>
    <row r="245" spans="2:12" ht="21">
      <c r="D245" s="535" t="s">
        <v>620</v>
      </c>
    </row>
    <row r="246" spans="2:12">
      <c r="D246" s="543" t="s">
        <v>621</v>
      </c>
    </row>
    <row r="247" spans="2:12">
      <c r="D247" s="543" t="s">
        <v>441</v>
      </c>
    </row>
    <row r="248" spans="2:12">
      <c r="D248" s="533" t="s">
        <v>442</v>
      </c>
    </row>
    <row r="249" spans="2:12">
      <c r="D249" s="533" t="s">
        <v>443</v>
      </c>
    </row>
    <row r="250" spans="2:12">
      <c r="D250" s="533" t="s">
        <v>584</v>
      </c>
    </row>
    <row r="251" spans="2:12">
      <c r="D251" s="533" t="s">
        <v>445</v>
      </c>
    </row>
    <row r="252" spans="2:12">
      <c r="D252" s="542"/>
    </row>
    <row r="254" spans="2:12" ht="21">
      <c r="D254" s="659" t="s">
        <v>400</v>
      </c>
      <c r="E254" s="652" t="s">
        <v>401</v>
      </c>
      <c r="F254" s="653" t="s">
        <v>402</v>
      </c>
      <c r="G254" s="654"/>
      <c r="H254" s="654"/>
      <c r="I254" s="654"/>
      <c r="J254" s="654"/>
      <c r="K254" s="655"/>
    </row>
    <row r="255" spans="2:12" ht="21">
      <c r="D255" s="659"/>
      <c r="E255" s="652"/>
      <c r="F255" s="656" t="s">
        <v>403</v>
      </c>
      <c r="G255" s="657"/>
      <c r="H255" s="657"/>
      <c r="I255" s="657"/>
      <c r="J255" s="657"/>
      <c r="K255" s="658"/>
    </row>
    <row r="256" spans="2:12">
      <c r="D256" s="549" t="s">
        <v>622</v>
      </c>
      <c r="E256" s="572" t="s">
        <v>465</v>
      </c>
      <c r="F256" s="660" t="s">
        <v>426</v>
      </c>
      <c r="G256" s="660"/>
      <c r="H256" s="660"/>
      <c r="I256" s="660"/>
      <c r="J256" s="660"/>
      <c r="K256" s="567">
        <f>+'COMBUSTIBLES '!B8</f>
        <v>7.9001000000000001</v>
      </c>
      <c r="L256" s="601" t="s">
        <v>687</v>
      </c>
    </row>
    <row r="257" spans="2:12">
      <c r="D257" s="547" t="s">
        <v>623</v>
      </c>
      <c r="E257" s="590" t="s">
        <v>430</v>
      </c>
      <c r="F257" s="660" t="s">
        <v>426</v>
      </c>
      <c r="G257" s="660"/>
      <c r="H257" s="660"/>
      <c r="I257" s="660"/>
      <c r="J257" s="660"/>
      <c r="K257" s="567">
        <f>+'COMBUSTIBLES '!B7</f>
        <v>4923.01</v>
      </c>
      <c r="L257" s="601" t="s">
        <v>687</v>
      </c>
    </row>
    <row r="258" spans="2:12">
      <c r="D258" s="547" t="s">
        <v>624</v>
      </c>
      <c r="E258" s="590"/>
      <c r="F258" s="661" t="s">
        <v>461</v>
      </c>
      <c r="G258" s="661"/>
      <c r="H258" s="661"/>
      <c r="I258" s="661"/>
      <c r="J258" s="661"/>
      <c r="K258" s="605">
        <f>+Variables!E20</f>
        <v>5078.7700000000004</v>
      </c>
      <c r="L258" s="601" t="s">
        <v>687</v>
      </c>
    </row>
    <row r="259" spans="2:12">
      <c r="E259" s="564"/>
    </row>
    <row r="260" spans="2:12">
      <c r="E260" s="564"/>
    </row>
    <row r="261" spans="2:12">
      <c r="E261" s="564"/>
    </row>
    <row r="262" spans="2:12" ht="36">
      <c r="B262" s="532">
        <v>9</v>
      </c>
      <c r="D262" s="537" t="s">
        <v>625</v>
      </c>
      <c r="E262" s="564"/>
    </row>
    <row r="263" spans="2:12">
      <c r="E263" s="564"/>
    </row>
    <row r="264" spans="2:12" ht="21">
      <c r="D264" s="535" t="s">
        <v>626</v>
      </c>
    </row>
    <row r="265" spans="2:12">
      <c r="D265" s="543" t="s">
        <v>627</v>
      </c>
    </row>
    <row r="266" spans="2:12">
      <c r="D266" s="543" t="s">
        <v>441</v>
      </c>
    </row>
    <row r="267" spans="2:12">
      <c r="D267" s="533" t="s">
        <v>442</v>
      </c>
    </row>
    <row r="268" spans="2:12">
      <c r="D268" s="533" t="s">
        <v>443</v>
      </c>
    </row>
    <row r="269" spans="2:12">
      <c r="D269" s="533" t="s">
        <v>584</v>
      </c>
    </row>
    <row r="270" spans="2:12" ht="21">
      <c r="D270" s="566" t="s">
        <v>637</v>
      </c>
    </row>
    <row r="272" spans="2:12">
      <c r="D272" s="542"/>
    </row>
    <row r="277" spans="2:6" ht="23.25">
      <c r="B277" s="533" t="s">
        <v>674</v>
      </c>
      <c r="D277" s="552" t="s">
        <v>628</v>
      </c>
      <c r="E277" s="594" t="s">
        <v>682</v>
      </c>
      <c r="F277" s="568" t="s">
        <v>655</v>
      </c>
    </row>
    <row r="279" spans="2:6">
      <c r="B279" s="533" t="s">
        <v>638</v>
      </c>
      <c r="C279" s="533">
        <v>1</v>
      </c>
      <c r="D279" s="570" t="str">
        <f>CONCATENATE("PRECIO REGULADOS"," ",$E$277)</f>
        <v>PRECIO REGULADOS FEB 1 A FEB 28  2019</v>
      </c>
      <c r="E279" s="564"/>
    </row>
    <row r="280" spans="2:6">
      <c r="D280" s="569" t="s">
        <v>640</v>
      </c>
      <c r="E280" s="564"/>
    </row>
    <row r="281" spans="2:6">
      <c r="D281" s="569"/>
      <c r="E281" s="564"/>
    </row>
    <row r="282" spans="2:6">
      <c r="B282" s="533" t="s">
        <v>639</v>
      </c>
      <c r="C282" s="533">
        <v>2</v>
      </c>
      <c r="D282" s="576" t="str">
        <f>CONCATENATE("PRECIO NO REGULADOS"," ",$E$277)</f>
        <v>PRECIO NO REGULADOS FEB 1 A FEB 28  2019</v>
      </c>
      <c r="E282" s="599" t="s">
        <v>161</v>
      </c>
    </row>
    <row r="283" spans="2:6">
      <c r="D283" s="569" t="s">
        <v>641</v>
      </c>
      <c r="E283" s="564"/>
    </row>
    <row r="284" spans="2:6">
      <c r="D284" s="569"/>
      <c r="E284" s="564"/>
    </row>
    <row r="285" spans="2:6">
      <c r="B285" s="592" t="s">
        <v>675</v>
      </c>
      <c r="C285" s="533">
        <v>3</v>
      </c>
      <c r="D285" s="570" t="str">
        <f>CONCATENATE("PRECIO ZONAS DE FRONTERA "," ",$E$277)</f>
        <v>PRECIO ZONAS DE FRONTERA  FEB 1 A FEB 28  2019</v>
      </c>
      <c r="E285" s="564"/>
    </row>
    <row r="286" spans="2:6">
      <c r="D286" s="569" t="s">
        <v>640</v>
      </c>
      <c r="E286" s="564"/>
    </row>
    <row r="287" spans="2:6">
      <c r="D287" s="569"/>
      <c r="E287" s="564"/>
    </row>
    <row r="288" spans="2:6">
      <c r="B288" s="533" t="s">
        <v>642</v>
      </c>
      <c r="C288" s="533">
        <v>4</v>
      </c>
      <c r="D288" s="570" t="str">
        <f>CONCATENATE("PRECIO ELECTROCOMBUSTIBLE  ",," ",$E$277)</f>
        <v>PRECIO ELECTROCOMBUSTIBLE   FEB 1 A FEB 28  2019</v>
      </c>
      <c r="E288" s="564"/>
    </row>
    <row r="289" spans="2:5">
      <c r="D289" s="569" t="s">
        <v>640</v>
      </c>
      <c r="E289" s="564"/>
    </row>
    <row r="290" spans="2:5">
      <c r="D290" s="569"/>
      <c r="E290" s="564"/>
    </row>
    <row r="291" spans="2:5">
      <c r="B291" s="533" t="s">
        <v>643</v>
      </c>
      <c r="C291" s="533">
        <v>5</v>
      </c>
      <c r="D291" s="570" t="str">
        <f>CONCATENATE("PRECIO DESCUENTO PESQUEROS "," ",$E$277)</f>
        <v>PRECIO DESCUENTO PESQUEROS  FEB 1 A FEB 28  2019</v>
      </c>
      <c r="E291" s="564"/>
    </row>
    <row r="292" spans="2:5">
      <c r="D292" s="569" t="s">
        <v>640</v>
      </c>
      <c r="E292" s="564"/>
    </row>
    <row r="293" spans="2:5">
      <c r="D293" s="569"/>
      <c r="E293" s="564"/>
    </row>
    <row r="294" spans="2:5">
      <c r="B294" s="197" t="s">
        <v>676</v>
      </c>
      <c r="C294" s="533">
        <v>6</v>
      </c>
      <c r="D294" s="570" t="str">
        <f>CONCATENATE("PRECIO ESPECIAL GUAJIRA "," ",$E$277)</f>
        <v>PRECIO ESPECIAL GUAJIRA  FEB 1 A FEB 28  2019</v>
      </c>
      <c r="E294" s="564"/>
    </row>
    <row r="295" spans="2:5">
      <c r="D295" s="569" t="s">
        <v>640</v>
      </c>
      <c r="E295" s="564"/>
    </row>
    <row r="296" spans="2:5">
      <c r="D296" s="569"/>
      <c r="E296" s="564"/>
    </row>
    <row r="297" spans="2:5">
      <c r="B297" s="533" t="s">
        <v>644</v>
      </c>
      <c r="C297" s="533">
        <v>7</v>
      </c>
      <c r="D297" s="576" t="str">
        <f>CONCATENATE("PRECIO ESTRUCTURA TARIFA BIOS "," ",$E$277)</f>
        <v>PRECIO ESTRUCTURA TARIFA BIOS  FEB 1 A FEB 28  2019</v>
      </c>
      <c r="E297" s="564" t="s">
        <v>660</v>
      </c>
    </row>
    <row r="298" spans="2:5">
      <c r="D298" s="569" t="s">
        <v>640</v>
      </c>
      <c r="E298" s="564"/>
    </row>
    <row r="299" spans="2:5">
      <c r="D299" s="569"/>
      <c r="E299" s="564"/>
    </row>
    <row r="300" spans="2:5">
      <c r="B300" s="533" t="s">
        <v>645</v>
      </c>
      <c r="C300" s="533">
        <v>8</v>
      </c>
      <c r="D300" s="570" t="str">
        <f>CONCATENATE("PRECIO GASOLINA  IMPORTADA "," ",$E$277)</f>
        <v>PRECIO GASOLINA  IMPORTADA  FEB 1 A FEB 28  2019</v>
      </c>
      <c r="E300" s="564"/>
    </row>
    <row r="301" spans="2:5">
      <c r="D301" s="569" t="s">
        <v>640</v>
      </c>
      <c r="E301" s="564"/>
    </row>
    <row r="302" spans="2:5">
      <c r="D302" s="569"/>
      <c r="E302" s="564"/>
    </row>
    <row r="303" spans="2:5">
      <c r="B303" s="592" t="s">
        <v>677</v>
      </c>
      <c r="C303" s="533">
        <v>9</v>
      </c>
      <c r="D303" s="576" t="str">
        <f>CONCATENATE("BALANCE VOLUMETRICO REFICAR A ",," ",$E$277)</f>
        <v>BALANCE VOLUMETRICO REFICAR A  FEB 1 A FEB 28  2019</v>
      </c>
      <c r="E303" s="564" t="s">
        <v>660</v>
      </c>
    </row>
    <row r="304" spans="2:5">
      <c r="D304" s="569" t="s">
        <v>640</v>
      </c>
    </row>
  </sheetData>
  <autoFilter ref="D39:L76">
    <filterColumn colId="2" showButton="0"/>
    <filterColumn colId="3" showButton="0"/>
    <filterColumn colId="4" showButton="0"/>
    <filterColumn colId="5" showButton="0"/>
  </autoFilter>
  <mergeCells count="147">
    <mergeCell ref="D224:D225"/>
    <mergeCell ref="E224:E225"/>
    <mergeCell ref="F224:J224"/>
    <mergeCell ref="F225:J225"/>
    <mergeCell ref="D254:D255"/>
    <mergeCell ref="E254:E255"/>
    <mergeCell ref="F254:K254"/>
    <mergeCell ref="F255:K255"/>
    <mergeCell ref="F228:J228"/>
    <mergeCell ref="F256:J256"/>
    <mergeCell ref="F257:J257"/>
    <mergeCell ref="F258:J258"/>
    <mergeCell ref="F207:J207"/>
    <mergeCell ref="F208:J208"/>
    <mergeCell ref="F209:J209"/>
    <mergeCell ref="F210:J210"/>
    <mergeCell ref="F226:J226"/>
    <mergeCell ref="F227:J227"/>
    <mergeCell ref="F182:J182"/>
    <mergeCell ref="F183:J183"/>
    <mergeCell ref="F184:J184"/>
    <mergeCell ref="F185:J185"/>
    <mergeCell ref="F186:J186"/>
    <mergeCell ref="F206:J206"/>
    <mergeCell ref="F160:J160"/>
    <mergeCell ref="F161:J161"/>
    <mergeCell ref="F178:J178"/>
    <mergeCell ref="F179:J179"/>
    <mergeCell ref="F180:J180"/>
    <mergeCell ref="F181:J18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02:J102"/>
    <mergeCell ref="F103:J103"/>
    <mergeCell ref="F104:J104"/>
    <mergeCell ref="F105:J105"/>
    <mergeCell ref="F106:J106"/>
    <mergeCell ref="F107:J107"/>
    <mergeCell ref="F70:J70"/>
    <mergeCell ref="F71:J71"/>
    <mergeCell ref="F80:J80"/>
    <mergeCell ref="F81:J81"/>
    <mergeCell ref="F82:J82"/>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12:J12"/>
    <mergeCell ref="F13:J13"/>
    <mergeCell ref="F14:J14"/>
    <mergeCell ref="F15:J15"/>
    <mergeCell ref="F16:J16"/>
    <mergeCell ref="F17:J17"/>
    <mergeCell ref="F47:J47"/>
    <mergeCell ref="F48:J48"/>
    <mergeCell ref="F49:J49"/>
    <mergeCell ref="F41:J41"/>
    <mergeCell ref="F42:J42"/>
    <mergeCell ref="F43:J43"/>
    <mergeCell ref="F44:J44"/>
    <mergeCell ref="F45:J45"/>
    <mergeCell ref="F46:J46"/>
    <mergeCell ref="K39:K40"/>
    <mergeCell ref="D176:D177"/>
    <mergeCell ref="E176:E177"/>
    <mergeCell ref="F176:J176"/>
    <mergeCell ref="F177:J177"/>
    <mergeCell ref="D204:D205"/>
    <mergeCell ref="E204:E205"/>
    <mergeCell ref="F204:K204"/>
    <mergeCell ref="F205:K205"/>
    <mergeCell ref="F50:J50"/>
    <mergeCell ref="F51:J51"/>
    <mergeCell ref="F58:J58"/>
    <mergeCell ref="F59:J59"/>
    <mergeCell ref="F60:J60"/>
    <mergeCell ref="F61:J61"/>
    <mergeCell ref="F62:J62"/>
    <mergeCell ref="F63:J63"/>
    <mergeCell ref="F52:J52"/>
    <mergeCell ref="F53:J53"/>
    <mergeCell ref="F54:J54"/>
    <mergeCell ref="F55:J55"/>
    <mergeCell ref="F56:J56"/>
    <mergeCell ref="F57:J57"/>
    <mergeCell ref="D100:D101"/>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tabSelected="1"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685</v>
      </c>
      <c r="B1" s="4"/>
      <c r="C1" s="4">
        <v>7.2405999999999997</v>
      </c>
      <c r="D1" s="6"/>
      <c r="E1" s="7"/>
      <c r="F1" s="5"/>
    </row>
    <row r="2" spans="1:9" s="62" customFormat="1" ht="21.75" customHeight="1" thickTop="1">
      <c r="A2" s="674" t="str">
        <f>CONCATENATE("ESTRUCTURAS DE PRECIOS DE COMBUSTIBLES LIQUIDOS VIGENTES A PARTIR DE ",$A$1)</f>
        <v>ESTRUCTURAS DE PRECIOS DE COMBUSTIBLES LIQUIDOS VIGENTES A PARTIR DE 9 DE MARZO 2019</v>
      </c>
      <c r="B2" s="675"/>
      <c r="C2" s="675"/>
      <c r="D2" s="675"/>
      <c r="E2" s="675"/>
      <c r="F2" s="676"/>
    </row>
    <row r="3" spans="1:9" s="62" customFormat="1" ht="21.75" customHeight="1">
      <c r="A3" s="333" t="s">
        <v>0</v>
      </c>
      <c r="B3" s="193"/>
      <c r="C3" s="193"/>
      <c r="D3" s="193"/>
      <c r="E3" s="193"/>
      <c r="F3" s="334"/>
    </row>
    <row r="4" spans="1:9" s="56" customFormat="1" ht="24" customHeight="1">
      <c r="A4" s="680" t="s">
        <v>1</v>
      </c>
      <c r="B4" s="682" t="s">
        <v>25</v>
      </c>
      <c r="C4" s="684" t="s">
        <v>10</v>
      </c>
      <c r="D4" s="685"/>
      <c r="E4" s="682" t="s">
        <v>215</v>
      </c>
      <c r="F4" s="335" t="s">
        <v>374</v>
      </c>
    </row>
    <row r="5" spans="1:9" s="56" customFormat="1" ht="24" customHeight="1">
      <c r="A5" s="680"/>
      <c r="B5" s="683"/>
      <c r="C5" s="71" t="s">
        <v>51</v>
      </c>
      <c r="D5" s="71" t="s">
        <v>52</v>
      </c>
      <c r="E5" s="683"/>
      <c r="F5" s="336" t="s">
        <v>183</v>
      </c>
    </row>
    <row r="6" spans="1:9" s="56" customFormat="1" ht="24" customHeight="1" thickBot="1">
      <c r="A6" s="681"/>
      <c r="B6" s="194" t="str">
        <f>+A1</f>
        <v>9 DE MARZO 2019</v>
      </c>
      <c r="C6" s="195" t="str">
        <f>+B6</f>
        <v>9 DE MARZO 2019</v>
      </c>
      <c r="D6" s="194" t="str">
        <f>+C6</f>
        <v>9 DE MARZO 2019</v>
      </c>
      <c r="E6" s="194" t="str">
        <f>+D6</f>
        <v>9 DE MARZO 2019</v>
      </c>
      <c r="F6" s="337" t="str">
        <f>+C6</f>
        <v>9 DE MARZO 2019</v>
      </c>
    </row>
    <row r="7" spans="1:9" ht="22.5" customHeight="1" thickTop="1">
      <c r="A7" s="80" t="s">
        <v>3</v>
      </c>
      <c r="B7" s="596">
        <v>4923.01</v>
      </c>
      <c r="C7" s="596">
        <v>5935</v>
      </c>
      <c r="D7" s="190">
        <f>+C7</f>
        <v>5935</v>
      </c>
      <c r="E7" s="596">
        <v>5015.57</v>
      </c>
      <c r="F7" s="597">
        <v>5935</v>
      </c>
      <c r="G7" s="593"/>
    </row>
    <row r="8" spans="1:9" ht="22.5" customHeight="1">
      <c r="A8" s="72" t="s">
        <v>57</v>
      </c>
      <c r="B8" s="521">
        <f>7.67*(1+3%)</f>
        <v>7.9001000000000001</v>
      </c>
      <c r="C8" s="499">
        <f>+B8</f>
        <v>7.9001000000000001</v>
      </c>
      <c r="D8" s="499">
        <f>+C8</f>
        <v>7.9001000000000001</v>
      </c>
      <c r="E8" s="499">
        <f>D8</f>
        <v>7.9001000000000001</v>
      </c>
      <c r="F8" s="338"/>
    </row>
    <row r="9" spans="1:9" ht="22.5" customHeight="1">
      <c r="A9" s="72" t="s">
        <v>238</v>
      </c>
      <c r="B9" s="73" t="s">
        <v>11</v>
      </c>
      <c r="C9" s="73" t="s">
        <v>11</v>
      </c>
      <c r="D9" s="73" t="s">
        <v>11</v>
      </c>
      <c r="E9" s="73" t="s">
        <v>11</v>
      </c>
      <c r="F9" s="339" t="s">
        <v>11</v>
      </c>
    </row>
    <row r="10" spans="1:9" ht="22.5" customHeight="1">
      <c r="A10" s="72" t="s">
        <v>228</v>
      </c>
      <c r="B10" s="74">
        <v>71.510000000000005</v>
      </c>
      <c r="C10" s="74">
        <f>B10</f>
        <v>71.510000000000005</v>
      </c>
      <c r="D10" s="74">
        <f>B10</f>
        <v>71.510000000000005</v>
      </c>
      <c r="E10" s="74">
        <f>B10</f>
        <v>71.510000000000005</v>
      </c>
      <c r="F10" s="340"/>
    </row>
    <row r="11" spans="1:9" ht="22.5" customHeight="1">
      <c r="A11" s="72" t="s">
        <v>271</v>
      </c>
      <c r="B11" s="500">
        <v>526.26</v>
      </c>
      <c r="C11" s="74">
        <f>+Variables!C23</f>
        <v>998.82057659999998</v>
      </c>
      <c r="D11" s="74">
        <f>+ROUND(C11,2)</f>
        <v>998.82</v>
      </c>
      <c r="E11" s="74">
        <v>503.71</v>
      </c>
      <c r="F11" s="79"/>
      <c r="H11" s="503"/>
      <c r="I11" s="503"/>
    </row>
    <row r="12" spans="1:9" ht="22.5" customHeight="1">
      <c r="A12" s="72" t="s">
        <v>283</v>
      </c>
      <c r="B12" s="527" t="s">
        <v>398</v>
      </c>
      <c r="C12" s="527" t="s">
        <v>398</v>
      </c>
      <c r="D12" s="527" t="s">
        <v>398</v>
      </c>
      <c r="E12" s="527" t="s">
        <v>398</v>
      </c>
      <c r="F12" s="528" t="s">
        <v>398</v>
      </c>
    </row>
    <row r="13" spans="1:9" ht="22.5" customHeight="1">
      <c r="A13" s="72" t="s">
        <v>376</v>
      </c>
      <c r="B13" s="500">
        <v>148</v>
      </c>
      <c r="C13" s="74">
        <v>148</v>
      </c>
      <c r="D13" s="74">
        <v>148</v>
      </c>
      <c r="E13" s="74">
        <v>166</v>
      </c>
      <c r="F13" s="79"/>
    </row>
    <row r="14" spans="1:9" ht="22.5" customHeight="1">
      <c r="A14" s="72" t="s">
        <v>23</v>
      </c>
      <c r="B14" s="73" t="s">
        <v>12</v>
      </c>
      <c r="C14" s="73" t="s">
        <v>12</v>
      </c>
      <c r="D14" s="73" t="s">
        <v>12</v>
      </c>
      <c r="E14" s="73" t="s">
        <v>12</v>
      </c>
      <c r="F14" s="339"/>
    </row>
    <row r="15" spans="1:9" ht="22.5" customHeight="1">
      <c r="A15" s="72" t="s">
        <v>229</v>
      </c>
      <c r="B15" s="73" t="s">
        <v>22</v>
      </c>
      <c r="C15" s="73"/>
      <c r="D15" s="73"/>
      <c r="E15" s="73" t="str">
        <f>+B15</f>
        <v>(***)</v>
      </c>
      <c r="F15" s="341"/>
    </row>
    <row r="16" spans="1:9" ht="22.5" customHeight="1">
      <c r="A16" s="72" t="s">
        <v>8</v>
      </c>
      <c r="B16" s="74">
        <f>+ROUND(0.25*Variables!E20,2)</f>
        <v>1269.69</v>
      </c>
      <c r="C16" s="74">
        <f>+ROUND(Variables!E23*0.25,2)</f>
        <v>1776.95</v>
      </c>
      <c r="D16" s="74">
        <f>+ROUND(C16,2)</f>
        <v>1776.95</v>
      </c>
      <c r="E16" s="74">
        <f>+ROUND(Variables!E27*0.06,2)</f>
        <v>301.48</v>
      </c>
      <c r="F16" s="342" t="s">
        <v>2</v>
      </c>
    </row>
    <row r="17" spans="1:6" ht="22.5" customHeight="1">
      <c r="A17" s="72" t="s">
        <v>5</v>
      </c>
      <c r="B17" s="73" t="s">
        <v>12</v>
      </c>
      <c r="C17" s="73" t="s">
        <v>12</v>
      </c>
      <c r="D17" s="73" t="s">
        <v>12</v>
      </c>
      <c r="E17" s="73" t="s">
        <v>12</v>
      </c>
      <c r="F17" s="342" t="s">
        <v>2</v>
      </c>
    </row>
    <row r="18" spans="1:6" ht="22.5" customHeight="1">
      <c r="A18" s="72" t="s">
        <v>230</v>
      </c>
      <c r="B18" s="73" t="s">
        <v>22</v>
      </c>
      <c r="C18" s="73"/>
      <c r="D18" s="73"/>
      <c r="E18" s="73" t="str">
        <f>+B18</f>
        <v>(***)</v>
      </c>
      <c r="F18" s="342" t="s">
        <v>2</v>
      </c>
    </row>
    <row r="19" spans="1:6" ht="22.5" customHeight="1">
      <c r="A19" s="72" t="s">
        <v>7</v>
      </c>
      <c r="B19" s="73" t="s">
        <v>231</v>
      </c>
      <c r="C19" s="73"/>
      <c r="D19" s="73"/>
      <c r="E19" s="73"/>
      <c r="F19" s="343" t="s">
        <v>2</v>
      </c>
    </row>
    <row r="20" spans="1:6" ht="22.5" customHeight="1">
      <c r="A20" s="72" t="s">
        <v>235</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678"/>
      <c r="B22" s="679"/>
      <c r="C22" s="679"/>
      <c r="D22" s="679"/>
      <c r="E22" s="679"/>
      <c r="F22" s="679"/>
    </row>
    <row r="23" spans="1:6" s="70" customFormat="1" ht="30" customHeight="1">
      <c r="A23" s="672" t="s">
        <v>227</v>
      </c>
      <c r="B23" s="672"/>
      <c r="C23" s="672"/>
      <c r="D23" s="672"/>
      <c r="E23" s="672"/>
      <c r="F23" s="672"/>
    </row>
    <row r="24" spans="1:6" s="70" customFormat="1" ht="11.25" customHeight="1">
      <c r="A24" s="330"/>
      <c r="B24" s="330"/>
      <c r="C24" s="330"/>
      <c r="D24" s="330"/>
      <c r="E24" s="330"/>
      <c r="F24" s="330"/>
    </row>
    <row r="25" spans="1:6" s="70" customFormat="1" ht="31.5" customHeight="1">
      <c r="A25" s="672" t="s">
        <v>223</v>
      </c>
      <c r="B25" s="672"/>
      <c r="C25" s="672"/>
      <c r="D25" s="672"/>
      <c r="E25" s="672"/>
      <c r="F25" s="672"/>
    </row>
    <row r="26" spans="1:6" s="70" customFormat="1" ht="7.5" customHeight="1">
      <c r="A26" s="16"/>
      <c r="B26" s="331"/>
      <c r="C26" s="331"/>
      <c r="D26" s="331"/>
      <c r="E26" s="331"/>
      <c r="F26" s="331"/>
    </row>
    <row r="27" spans="1:6" ht="43.5" customHeight="1">
      <c r="A27" s="677" t="s">
        <v>224</v>
      </c>
      <c r="B27" s="677"/>
      <c r="C27" s="677"/>
      <c r="D27" s="677"/>
      <c r="E27" s="677"/>
      <c r="F27" s="677"/>
    </row>
    <row r="28" spans="1:6" s="11" customFormat="1" ht="8.25" customHeight="1">
      <c r="A28" s="332"/>
      <c r="B28" s="332"/>
      <c r="C28" s="332"/>
      <c r="D28" s="332"/>
      <c r="E28" s="332"/>
      <c r="F28" s="332"/>
    </row>
    <row r="29" spans="1:6" ht="18" customHeight="1">
      <c r="A29" s="672" t="s">
        <v>225</v>
      </c>
      <c r="B29" s="672"/>
      <c r="C29" s="672"/>
      <c r="D29" s="672"/>
      <c r="E29" s="672"/>
      <c r="F29" s="672"/>
    </row>
    <row r="30" spans="1:6" ht="7.5" customHeight="1">
      <c r="A30" s="678"/>
      <c r="B30" s="679"/>
      <c r="C30" s="679"/>
      <c r="D30" s="679"/>
      <c r="E30" s="679"/>
      <c r="F30" s="679"/>
    </row>
    <row r="31" spans="1:6" ht="29.25" customHeight="1">
      <c r="A31" s="672" t="s">
        <v>310</v>
      </c>
      <c r="B31" s="672"/>
      <c r="C31" s="672"/>
      <c r="D31" s="672"/>
      <c r="E31" s="672"/>
      <c r="F31" s="672"/>
    </row>
    <row r="32" spans="1:6" s="12" customFormat="1" ht="18" customHeight="1">
      <c r="A32" s="672" t="s">
        <v>318</v>
      </c>
      <c r="B32" s="672"/>
      <c r="C32" s="672"/>
      <c r="D32" s="672"/>
      <c r="E32" s="672"/>
      <c r="F32" s="672"/>
    </row>
    <row r="33" spans="1:6" s="12" customFormat="1">
      <c r="A33" s="672" t="s">
        <v>375</v>
      </c>
      <c r="B33" s="672"/>
      <c r="C33" s="672"/>
      <c r="D33" s="672"/>
      <c r="E33" s="672"/>
      <c r="F33" s="672"/>
    </row>
    <row r="34" spans="1:6" s="12" customFormat="1">
      <c r="A34" s="523"/>
      <c r="B34" s="523"/>
      <c r="C34" s="523"/>
      <c r="D34" s="523"/>
      <c r="E34" s="523"/>
      <c r="F34" s="523"/>
    </row>
    <row r="35" spans="1:6" s="12" customFormat="1">
      <c r="A35" s="672" t="s">
        <v>397</v>
      </c>
      <c r="B35" s="672"/>
      <c r="C35" s="672"/>
      <c r="D35" s="672"/>
      <c r="E35" s="672"/>
      <c r="F35" s="672"/>
    </row>
    <row r="36" spans="1:6" s="12" customFormat="1" ht="14.25" customHeight="1">
      <c r="A36" s="672" t="s">
        <v>395</v>
      </c>
      <c r="B36" s="672"/>
      <c r="C36" s="672"/>
      <c r="D36" s="672"/>
      <c r="E36" s="672"/>
      <c r="F36" s="672"/>
    </row>
    <row r="37" spans="1:6" s="12" customFormat="1">
      <c r="A37" s="672" t="s">
        <v>396</v>
      </c>
      <c r="B37" s="672"/>
      <c r="C37" s="672"/>
      <c r="D37" s="672"/>
      <c r="E37" s="672"/>
      <c r="F37" s="672"/>
    </row>
    <row r="38" spans="1:6" s="12" customFormat="1" ht="90" customHeight="1">
      <c r="A38" s="673" t="s">
        <v>351</v>
      </c>
      <c r="B38" s="673"/>
      <c r="C38" s="673"/>
      <c r="D38" s="673"/>
      <c r="E38" s="673"/>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2:F32"/>
    <mergeCell ref="A2:F2"/>
    <mergeCell ref="A23:F23"/>
    <mergeCell ref="A25:F25"/>
    <mergeCell ref="A27:F27"/>
    <mergeCell ref="A29:F29"/>
    <mergeCell ref="A22:F22"/>
    <mergeCell ref="A30:F30"/>
    <mergeCell ref="A31:F31"/>
    <mergeCell ref="A4:A6"/>
    <mergeCell ref="B4:B5"/>
    <mergeCell ref="E4:E5"/>
    <mergeCell ref="C4:D4"/>
    <mergeCell ref="A33:F33"/>
    <mergeCell ref="A36:F36"/>
    <mergeCell ref="A35:F35"/>
    <mergeCell ref="A37:F37"/>
    <mergeCell ref="A38:E38"/>
  </mergeCells>
  <phoneticPr fontId="16"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B12:F12 B14:F21 F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C11" sqref="C11"/>
    </sheetView>
  </sheetViews>
  <sheetFormatPr baseColWidth="10" defaultColWidth="9.85546875" defaultRowHeight="14.25" outlineLevelCol="1"/>
  <cols>
    <col min="1" max="1" width="60.5703125" style="5" customWidth="1"/>
    <col min="2" max="2" width="22" style="5" customWidth="1"/>
    <col min="3" max="3" width="21" style="5" customWidth="1"/>
    <col min="4" max="4" width="21" style="5" hidden="1" customWidth="1"/>
    <col min="5" max="5" width="20.28515625" style="5" customWidth="1"/>
    <col min="6" max="6" width="20.28515625" style="5" hidden="1" customWidth="1" outlineLevel="1"/>
    <col min="7" max="7" width="18.85546875" style="9" customWidth="1" collapsed="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86" t="str">
        <f>CONCATENATE("ESTRUCTURAS DE PRECIOS PARA GASOLINA MOTOR CORRIENTE OXIGENADA VIGENTES A PARTIR DE ",'COMBUSTIBLES '!$A$1)</f>
        <v>ESTRUCTURAS DE PRECIOS PARA GASOLINA MOTOR CORRIENTE OXIGENADA VIGENTES A PARTIR DE 9 DE MARZO 2019</v>
      </c>
      <c r="B2" s="687"/>
      <c r="C2" s="687"/>
      <c r="D2" s="687"/>
      <c r="E2" s="687"/>
      <c r="F2" s="687"/>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88" t="s">
        <v>0</v>
      </c>
      <c r="B3" s="689"/>
      <c r="C3" s="689"/>
      <c r="D3" s="689"/>
      <c r="E3" s="689"/>
      <c r="F3" s="689"/>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91" t="s">
        <v>1</v>
      </c>
      <c r="B4" s="690" t="s">
        <v>27</v>
      </c>
      <c r="C4" s="690" t="s">
        <v>686</v>
      </c>
      <c r="D4" s="401" t="s">
        <v>28</v>
      </c>
      <c r="E4" s="488" t="s">
        <v>28</v>
      </c>
      <c r="F4" s="509"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80"/>
      <c r="B5" s="683"/>
      <c r="C5" s="683"/>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81"/>
      <c r="B6" s="196" t="str">
        <f>+'COMBUSTIBLES '!B6</f>
        <v>9 DE MARZO 2019</v>
      </c>
      <c r="C6" s="195" t="str">
        <f>'COMBUSTIBLES '!B6</f>
        <v>9 DE MARZO 2019</v>
      </c>
      <c r="D6" s="195" t="str">
        <f>+C6</f>
        <v>9 DE MARZO 2019</v>
      </c>
      <c r="E6" s="195" t="str">
        <f>+D6</f>
        <v>9 DE MARZO 2019</v>
      </c>
      <c r="F6" s="195" t="str">
        <f>+B6</f>
        <v>9 DE MARZO 2019</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595">
        <v>7569.41</v>
      </c>
      <c r="C7" s="316">
        <f>+'COMBUSTIBLES '!B7</f>
        <v>4923.01</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187</v>
      </c>
      <c r="B8" s="188"/>
      <c r="C8" s="76"/>
      <c r="D8" s="338">
        <f>ROUND($C$7*(1-D5),2)</f>
        <v>4529.17</v>
      </c>
      <c r="E8" s="338">
        <f>ROUND($C$7*(1-E5),2)</f>
        <v>4430.71</v>
      </c>
      <c r="F8" s="338">
        <f>ROUND($C$7*(1-F5),2)</f>
        <v>4627.63</v>
      </c>
      <c r="G8" s="503"/>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186</v>
      </c>
      <c r="B9" s="188"/>
      <c r="C9" s="76"/>
      <c r="D9" s="338">
        <f>+ROUND(B7*D5,2)</f>
        <v>605.54999999999995</v>
      </c>
      <c r="E9" s="338">
        <f>+ROUND(B7*E5,2)</f>
        <v>756.94</v>
      </c>
      <c r="F9" s="338">
        <f>+ROUND(B7*F5,2)</f>
        <v>454.16</v>
      </c>
      <c r="G9" s="50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5134.72</v>
      </c>
      <c r="E10" s="338">
        <f>E8+E9</f>
        <v>5187.6499999999996</v>
      </c>
      <c r="F10" s="338">
        <f>F8+F9</f>
        <v>5081.79</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+Variables!C21</f>
        <v>526.26030379999997</v>
      </c>
      <c r="D11" s="338">
        <f>+C11*(1-D5)</f>
        <v>484.15947949600002</v>
      </c>
      <c r="E11" s="338">
        <f>+C11*(1-E5)</f>
        <v>473.63427342</v>
      </c>
      <c r="F11" s="338">
        <f>+C11*(1-F5)</f>
        <v>494.68468557199992</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1"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Variables!C46</f>
        <v>148</v>
      </c>
      <c r="D13" s="338">
        <f>ROUND(C13*(1-D5),2)</f>
        <v>136.16</v>
      </c>
      <c r="E13" s="338">
        <f>ROUND(C13*(1-E5),2)</f>
        <v>133.19999999999999</v>
      </c>
      <c r="F13" s="338">
        <f>ROUND(C13*(1-F5),2)</f>
        <v>139.12</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134">
        <f>'COMBUSTIBLES '!B8</f>
        <v>7.9001000000000001</v>
      </c>
      <c r="D14" s="338">
        <f>C14</f>
        <v>7.9001000000000001</v>
      </c>
      <c r="E14" s="338">
        <f>+D14</f>
        <v>7.9001000000000001</v>
      </c>
      <c r="F14" s="338">
        <f>C14</f>
        <v>7.9001000000000001</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188</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189</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228</v>
      </c>
      <c r="B17" s="188"/>
      <c r="C17" s="76">
        <f>'COMBUSTIBLES '!B10</f>
        <v>71.510000000000005</v>
      </c>
      <c r="D17" s="485">
        <f>C17</f>
        <v>71.510000000000005</v>
      </c>
      <c r="E17" s="485">
        <f>D17</f>
        <v>71.510000000000005</v>
      </c>
      <c r="F17" s="485">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85">
        <f>+ROUND(C19*(1-D5)+0.005,2)</f>
        <v>1168.1199999999999</v>
      </c>
      <c r="E19" s="485">
        <f>+ROUND(C19*(1-E5),2)</f>
        <v>1142.72</v>
      </c>
      <c r="F19" s="485">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231</v>
      </c>
      <c r="E20" s="485" t="s">
        <v>231</v>
      </c>
      <c r="F20" s="485" t="s">
        <v>231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tr">
        <f>+D20</f>
        <v>(****)</v>
      </c>
      <c r="E22" s="485" t="str">
        <f>+E20</f>
        <v>(****)</v>
      </c>
      <c r="F22" s="485"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235</v>
      </c>
      <c r="B24" s="188"/>
      <c r="C24" s="76" t="s">
        <v>161</v>
      </c>
      <c r="D24" s="485" t="str">
        <f>+D22</f>
        <v>(****)</v>
      </c>
      <c r="E24" s="485" t="str">
        <f>+E22</f>
        <v>(****)</v>
      </c>
      <c r="F24" s="485"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92" t="s">
        <v>262</v>
      </c>
      <c r="B27" s="692"/>
      <c r="C27" s="692"/>
      <c r="D27" s="692"/>
      <c r="E27" s="692"/>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0"/>
      <c r="E28" s="352"/>
      <c r="F28" s="490"/>
    </row>
    <row r="29" spans="1:61" s="350" customFormat="1" ht="48" customHeight="1">
      <c r="A29" s="693" t="s">
        <v>263</v>
      </c>
      <c r="B29" s="693"/>
      <c r="C29" s="693"/>
      <c r="D29" s="693"/>
      <c r="E29" s="693"/>
    </row>
    <row r="30" spans="1:61" s="350" customFormat="1" ht="12.75">
      <c r="A30" s="353"/>
      <c r="B30" s="353"/>
      <c r="C30" s="354"/>
      <c r="D30" s="354"/>
      <c r="E30" s="354"/>
      <c r="F30" s="354"/>
    </row>
    <row r="31" spans="1:61" s="350" customFormat="1" ht="35.25" customHeight="1">
      <c r="A31" s="693" t="s">
        <v>232</v>
      </c>
      <c r="B31" s="693"/>
      <c r="C31" s="693"/>
      <c r="D31" s="693"/>
      <c r="E31" s="693"/>
    </row>
    <row r="32" spans="1:61" s="350" customFormat="1" ht="12.75">
      <c r="A32" s="353"/>
      <c r="B32" s="353"/>
      <c r="C32" s="354"/>
      <c r="D32" s="354"/>
      <c r="E32" s="354"/>
      <c r="F32" s="354"/>
    </row>
    <row r="33" spans="1:7" s="393" customFormat="1" ht="36.75" customHeight="1">
      <c r="A33" s="694" t="s">
        <v>233</v>
      </c>
      <c r="B33" s="694"/>
      <c r="C33" s="694"/>
      <c r="D33" s="694"/>
      <c r="E33" s="694"/>
    </row>
    <row r="34" spans="1:7" s="350" customFormat="1" ht="9" customHeight="1">
      <c r="A34" s="353"/>
      <c r="B34" s="353"/>
      <c r="C34" s="354"/>
      <c r="D34" s="354"/>
      <c r="E34" s="354"/>
      <c r="F34" s="354"/>
    </row>
    <row r="35" spans="1:7" s="350" customFormat="1" ht="12.75">
      <c r="A35" s="693" t="s">
        <v>234</v>
      </c>
      <c r="B35" s="693"/>
      <c r="C35" s="693"/>
      <c r="D35" s="693"/>
      <c r="E35" s="693"/>
    </row>
    <row r="36" spans="1:7" s="350" customFormat="1" ht="10.5" customHeight="1">
      <c r="A36" s="355"/>
      <c r="B36" s="355"/>
      <c r="C36" s="355"/>
      <c r="D36" s="511"/>
      <c r="E36" s="355"/>
      <c r="F36" s="489"/>
    </row>
    <row r="37" spans="1:7" s="350" customFormat="1" ht="30.75" customHeight="1">
      <c r="A37" s="672" t="s">
        <v>310</v>
      </c>
      <c r="B37" s="672"/>
      <c r="C37" s="672"/>
      <c r="D37" s="672"/>
      <c r="E37" s="672"/>
      <c r="F37" s="672"/>
      <c r="G37" s="672"/>
    </row>
    <row r="38" spans="1:7" s="350" customFormat="1" ht="12.75">
      <c r="A38" s="672" t="s">
        <v>397</v>
      </c>
      <c r="B38" s="672"/>
      <c r="C38" s="672"/>
      <c r="D38" s="672"/>
      <c r="E38" s="672"/>
      <c r="F38" s="672"/>
      <c r="G38" s="523"/>
    </row>
    <row r="39" spans="1:7" s="350" customFormat="1" ht="12.75">
      <c r="A39" s="672" t="s">
        <v>395</v>
      </c>
      <c r="B39" s="672"/>
      <c r="C39" s="672"/>
      <c r="D39" s="672"/>
      <c r="E39" s="672"/>
      <c r="F39" s="672"/>
      <c r="G39" s="523"/>
    </row>
    <row r="40" spans="1:7">
      <c r="A40" s="672" t="s">
        <v>396</v>
      </c>
      <c r="B40" s="672"/>
      <c r="C40" s="672"/>
      <c r="D40" s="672"/>
      <c r="E40" s="672"/>
      <c r="F40" s="672"/>
    </row>
    <row r="42" spans="1:7" ht="98.25" customHeight="1">
      <c r="A42" s="673" t="s">
        <v>351</v>
      </c>
      <c r="B42" s="673"/>
      <c r="C42" s="673"/>
      <c r="D42" s="673"/>
      <c r="E42" s="673"/>
      <c r="F42" s="673"/>
    </row>
  </sheetData>
  <sheetProtection password="C712"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6"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330</v>
      </c>
    </row>
    <row r="3" spans="1:16" ht="13.5" thickBot="1"/>
    <row r="4" spans="1:16" ht="15.75" customHeight="1" thickTop="1">
      <c r="A4" s="695" t="s">
        <v>319</v>
      </c>
      <c r="B4" s="696"/>
      <c r="C4" s="696"/>
      <c r="D4" s="696"/>
      <c r="E4" s="696"/>
      <c r="F4" s="696"/>
      <c r="G4" s="696"/>
      <c r="H4" s="696"/>
      <c r="I4" s="696"/>
      <c r="J4" s="696"/>
      <c r="K4" s="696"/>
      <c r="L4" s="696"/>
      <c r="M4" s="696"/>
      <c r="N4" s="696"/>
      <c r="O4" s="696"/>
      <c r="P4" s="697"/>
    </row>
    <row r="5" spans="1:16" ht="18" customHeight="1">
      <c r="A5" s="698"/>
      <c r="B5" s="699"/>
      <c r="C5" s="699"/>
      <c r="D5" s="699"/>
      <c r="E5" s="699"/>
      <c r="F5" s="699"/>
      <c r="G5" s="699"/>
      <c r="H5" s="699"/>
      <c r="I5" s="699"/>
      <c r="J5" s="699"/>
      <c r="K5" s="699"/>
      <c r="L5" s="699"/>
      <c r="M5" s="699"/>
      <c r="N5" s="699"/>
      <c r="O5" s="699"/>
      <c r="P5" s="700"/>
    </row>
    <row r="6" spans="1:16" ht="51" customHeight="1">
      <c r="A6" s="447" t="s">
        <v>1</v>
      </c>
      <c r="B6" s="475" t="s">
        <v>321</v>
      </c>
      <c r="C6" s="475" t="s">
        <v>320</v>
      </c>
      <c r="D6" s="446" t="s">
        <v>296</v>
      </c>
      <c r="E6" s="475" t="s">
        <v>322</v>
      </c>
      <c r="F6" s="446" t="s">
        <v>297</v>
      </c>
      <c r="G6" s="446" t="s">
        <v>298</v>
      </c>
      <c r="H6" s="446" t="s">
        <v>299</v>
      </c>
      <c r="I6" s="475" t="s">
        <v>323</v>
      </c>
      <c r="J6" s="446" t="s">
        <v>300</v>
      </c>
      <c r="K6" s="446" t="s">
        <v>301</v>
      </c>
      <c r="L6" s="446" t="s">
        <v>324</v>
      </c>
      <c r="M6" s="446" t="s">
        <v>325</v>
      </c>
      <c r="N6" s="479" t="s">
        <v>302</v>
      </c>
      <c r="O6" s="479" t="s">
        <v>326</v>
      </c>
      <c r="P6" s="449" t="s">
        <v>327</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526.26</v>
      </c>
      <c r="C8" s="454">
        <f>+B8</f>
        <v>526.26</v>
      </c>
      <c r="D8" s="454">
        <f>+B8</f>
        <v>526.26</v>
      </c>
      <c r="E8" s="454">
        <f t="shared" ref="E8:O8" si="0">+C8</f>
        <v>526.26</v>
      </c>
      <c r="F8" s="454">
        <f t="shared" si="0"/>
        <v>526.26</v>
      </c>
      <c r="G8" s="454">
        <f t="shared" si="0"/>
        <v>526.26</v>
      </c>
      <c r="H8" s="454">
        <f t="shared" si="0"/>
        <v>526.26</v>
      </c>
      <c r="I8" s="454">
        <f t="shared" si="0"/>
        <v>526.26</v>
      </c>
      <c r="J8" s="454">
        <f t="shared" si="0"/>
        <v>526.26</v>
      </c>
      <c r="K8" s="454">
        <f t="shared" si="0"/>
        <v>526.26</v>
      </c>
      <c r="L8" s="454">
        <f t="shared" si="0"/>
        <v>526.26</v>
      </c>
      <c r="M8" s="454">
        <f t="shared" si="0"/>
        <v>526.26</v>
      </c>
      <c r="N8" s="454">
        <f t="shared" si="0"/>
        <v>526.26</v>
      </c>
      <c r="O8" s="454">
        <f t="shared" si="0"/>
        <v>526.26</v>
      </c>
      <c r="P8" s="455">
        <f>+M8</f>
        <v>526.26</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295</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294</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235</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701" t="s">
        <v>350</v>
      </c>
      <c r="B21" s="702"/>
      <c r="C21" s="702"/>
      <c r="D21" s="702"/>
      <c r="E21" s="702"/>
      <c r="F21" s="702"/>
      <c r="G21" s="702"/>
      <c r="H21" s="702"/>
      <c r="I21" s="702"/>
      <c r="J21" s="702"/>
      <c r="K21" s="702"/>
      <c r="L21" s="702"/>
      <c r="M21" s="702"/>
      <c r="N21" s="702"/>
      <c r="O21" s="702"/>
      <c r="P21" s="702"/>
    </row>
    <row r="22" spans="1:16" ht="15">
      <c r="A22" s="477"/>
      <c r="B22" s="478"/>
      <c r="C22" s="478"/>
      <c r="D22" s="478"/>
      <c r="E22" s="478"/>
      <c r="F22" s="478"/>
      <c r="G22" s="478"/>
      <c r="H22" s="478"/>
      <c r="I22" s="478"/>
      <c r="J22" s="478"/>
      <c r="K22" s="478"/>
      <c r="L22" s="478"/>
      <c r="M22" s="478"/>
      <c r="N22" s="478"/>
      <c r="O22" s="478"/>
      <c r="P22" s="478"/>
    </row>
    <row r="23" spans="1:16">
      <c r="A23" s="672" t="s">
        <v>227</v>
      </c>
      <c r="B23" s="672"/>
      <c r="C23" s="672"/>
      <c r="D23" s="672"/>
      <c r="E23" s="672"/>
      <c r="F23" s="672"/>
    </row>
    <row r="24" spans="1:16">
      <c r="A24" s="473"/>
      <c r="B24" s="473"/>
      <c r="C24" s="473"/>
      <c r="D24" s="473"/>
      <c r="E24" s="473"/>
      <c r="F24" s="473"/>
    </row>
    <row r="25" spans="1:16">
      <c r="A25" s="672" t="s">
        <v>223</v>
      </c>
      <c r="B25" s="672"/>
      <c r="C25" s="672"/>
      <c r="D25" s="672"/>
      <c r="E25" s="672"/>
      <c r="F25" s="672"/>
    </row>
    <row r="26" spans="1:16" ht="15">
      <c r="A26" s="16"/>
      <c r="B26" s="331"/>
      <c r="C26" s="331"/>
      <c r="D26" s="331"/>
      <c r="E26" s="331"/>
      <c r="F26" s="331"/>
    </row>
    <row r="27" spans="1:16">
      <c r="A27" s="677" t="s">
        <v>224</v>
      </c>
      <c r="B27" s="677"/>
      <c r="C27" s="677"/>
      <c r="D27" s="677"/>
      <c r="E27" s="677"/>
      <c r="F27" s="677"/>
    </row>
    <row r="28" spans="1:16">
      <c r="A28" s="474"/>
      <c r="B28" s="474"/>
      <c r="C28" s="474"/>
      <c r="D28" s="474"/>
      <c r="E28" s="474"/>
      <c r="F28" s="474"/>
    </row>
    <row r="29" spans="1:16">
      <c r="A29" s="672" t="s">
        <v>225</v>
      </c>
      <c r="B29" s="672"/>
      <c r="C29" s="672"/>
      <c r="D29" s="672"/>
      <c r="E29" s="672"/>
      <c r="F29" s="672"/>
    </row>
    <row r="30" spans="1:16" ht="15">
      <c r="A30" s="678"/>
      <c r="B30" s="679"/>
      <c r="C30" s="679"/>
      <c r="D30" s="679"/>
      <c r="E30" s="679"/>
      <c r="F30" s="679"/>
    </row>
    <row r="31" spans="1:16">
      <c r="A31" s="672" t="s">
        <v>310</v>
      </c>
      <c r="B31" s="672"/>
      <c r="C31" s="672"/>
      <c r="D31" s="672"/>
      <c r="E31" s="672"/>
      <c r="F31" s="672"/>
    </row>
    <row r="32" spans="1:16">
      <c r="A32" s="672" t="s">
        <v>318</v>
      </c>
      <c r="B32" s="672"/>
      <c r="C32" s="672"/>
      <c r="D32" s="672"/>
      <c r="E32" s="672"/>
      <c r="F32" s="672"/>
    </row>
    <row r="35" spans="1:5" ht="114.75" customHeight="1">
      <c r="A35" s="673" t="s">
        <v>351</v>
      </c>
      <c r="B35" s="673"/>
      <c r="C35" s="673"/>
      <c r="D35" s="673"/>
      <c r="E35" s="673"/>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J9" sqref="J9"/>
    </sheetView>
  </sheetViews>
  <sheetFormatPr baseColWidth="10" defaultColWidth="9.85546875" defaultRowHeight="14.25" outlineLevelCol="1"/>
  <cols>
    <col min="1" max="1" width="55.28515625" style="14" customWidth="1"/>
    <col min="2" max="3" width="22.5703125" style="14" customWidth="1"/>
    <col min="4" max="4" width="22.5703125" style="9" hidden="1" customWidth="1"/>
    <col min="5" max="5" width="26" style="9" customWidth="1"/>
    <col min="6" max="6" width="27.85546875" style="9" hidden="1" customWidth="1" outlineLevel="1"/>
    <col min="7" max="7" width="9.85546875" style="9" customWidth="1" collapsed="1"/>
    <col min="8" max="53" width="9.85546875" style="9" customWidth="1"/>
    <col min="54" max="16384" width="9.85546875" style="8"/>
  </cols>
  <sheetData>
    <row r="1" spans="1:53" ht="15">
      <c r="A1" s="15"/>
      <c r="B1" s="5"/>
      <c r="C1" s="5"/>
    </row>
    <row r="2" spans="1:53" s="65" customFormat="1" ht="42.75" customHeight="1">
      <c r="A2" s="703" t="str">
        <f>CONCATENATE("ESTRUCTURA DE PRECIOS DE GASOLINA EXTRA OXIGENADA VIGENTE A PARTIR DE ",'COMBUSTIBLES '!$A$1)</f>
        <v>ESTRUCTURA DE PRECIOS DE GASOLINA EXTRA OXIGENADA VIGENTE A PARTIR DE 9 DE MARZO 2019</v>
      </c>
      <c r="B2" s="704"/>
      <c r="C2" s="704"/>
      <c r="D2" s="704"/>
      <c r="E2" s="704"/>
      <c r="F2" s="70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705" t="s">
        <v>0</v>
      </c>
      <c r="B3" s="706"/>
      <c r="C3" s="706"/>
      <c r="D3" s="706"/>
      <c r="E3" s="706"/>
      <c r="F3" s="706"/>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91" t="s">
        <v>1</v>
      </c>
      <c r="B4" s="690" t="s">
        <v>27</v>
      </c>
      <c r="C4" s="690" t="s">
        <v>56</v>
      </c>
      <c r="D4" s="102" t="s">
        <v>29</v>
      </c>
      <c r="E4" s="102" t="s">
        <v>29</v>
      </c>
      <c r="F4" s="102" t="s">
        <v>29</v>
      </c>
    </row>
    <row r="5" spans="1:53" ht="21.75" customHeight="1">
      <c r="A5" s="680"/>
      <c r="B5" s="683"/>
      <c r="C5" s="683"/>
      <c r="D5" s="103">
        <v>0.08</v>
      </c>
      <c r="E5" s="103">
        <v>0.1</v>
      </c>
      <c r="F5" s="103">
        <v>0.06</v>
      </c>
    </row>
    <row r="6" spans="1:53" ht="35.25" customHeight="1" thickBot="1">
      <c r="A6" s="681"/>
      <c r="B6" s="81" t="str">
        <f>C6</f>
        <v>9 DE MARZO 2019</v>
      </c>
      <c r="C6" s="81" t="str">
        <f>+'COMBUSTIBLES '!C6</f>
        <v>9 DE MARZO 2019</v>
      </c>
      <c r="D6" s="82" t="str">
        <f>B6</f>
        <v>9 DE MARZO 2019</v>
      </c>
      <c r="E6" s="82" t="str">
        <f>C6</f>
        <v>9 DE MARZO 2019</v>
      </c>
      <c r="F6" s="82" t="str">
        <f>D6</f>
        <v>9 DE MARZO 2019</v>
      </c>
    </row>
    <row r="7" spans="1:53" ht="22.5" customHeight="1" thickTop="1">
      <c r="A7" s="80" t="s">
        <v>3</v>
      </c>
      <c r="B7" s="106">
        <f>+'GASOLINA CORRIENTE OXIGENADA'!B7</f>
        <v>7569.41</v>
      </c>
      <c r="C7" s="106">
        <f>'COMBUSTIBLES '!C7</f>
        <v>5935</v>
      </c>
      <c r="D7" s="107">
        <f>+ROUND((C7*(1-D5))+($B$7*D5),2)</f>
        <v>6065.75</v>
      </c>
      <c r="E7" s="107">
        <f>+ROUND((C7*(1-E5))+($B$7*E5),2)</f>
        <v>6098.44</v>
      </c>
      <c r="F7" s="107">
        <f>+ROUND((C7*(1-F5))+($B$7*F5),2)</f>
        <v>6033.06</v>
      </c>
    </row>
    <row r="8" spans="1:53" ht="22.5" customHeight="1">
      <c r="A8" s="72" t="s">
        <v>26</v>
      </c>
      <c r="B8" s="74"/>
      <c r="C8" s="74">
        <f>'GASOLINA CORRIENTE OXIGENADA'!D14</f>
        <v>7.9001000000000001</v>
      </c>
      <c r="D8" s="79">
        <f>+C8</f>
        <v>7.9001000000000001</v>
      </c>
      <c r="E8" s="79">
        <f>+D8</f>
        <v>7.9001000000000001</v>
      </c>
      <c r="F8" s="79">
        <f>+E8</f>
        <v>7.9001000000000001</v>
      </c>
    </row>
    <row r="9" spans="1:53" ht="22.5" customHeight="1">
      <c r="A9" s="72" t="s">
        <v>238</v>
      </c>
      <c r="B9" s="76"/>
      <c r="C9" s="76" t="s">
        <v>11</v>
      </c>
      <c r="D9" s="84" t="s">
        <v>11</v>
      </c>
      <c r="E9" s="84" t="s">
        <v>11</v>
      </c>
      <c r="F9" s="84" t="s">
        <v>11</v>
      </c>
    </row>
    <row r="10" spans="1:53" ht="22.5" customHeight="1">
      <c r="A10" s="72" t="s">
        <v>236</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998.82057659999998</v>
      </c>
      <c r="D11" s="79">
        <f>+ROUND(+C11*(1-D5),2)</f>
        <v>918.91</v>
      </c>
      <c r="E11" s="79">
        <f>+ROUND(+C11*(1-E5),2)</f>
        <v>898.94</v>
      </c>
      <c r="F11" s="79">
        <f>+ROUND(+C11*(1-F5),2)</f>
        <v>938.89</v>
      </c>
    </row>
    <row r="12" spans="1:53" ht="22.5" customHeight="1">
      <c r="A12" s="72" t="str">
        <f>+'COMBUSTIBLES '!A12</f>
        <v>Impuesto sobre las Ventas</v>
      </c>
      <c r="B12" s="74"/>
      <c r="C12" s="499" t="str">
        <f>+'COMBUSTIBLES '!C12</f>
        <v>(3)</v>
      </c>
      <c r="D12" s="528" t="str">
        <f>+C12</f>
        <v>(3)</v>
      </c>
      <c r="E12" s="528" t="str">
        <f>+D12</f>
        <v>(3)</v>
      </c>
      <c r="F12" s="528" t="str">
        <f>+E12</f>
        <v>(3)</v>
      </c>
    </row>
    <row r="13" spans="1:53" ht="22.5" customHeight="1">
      <c r="A13" s="72" t="str">
        <f>+'COMBUSTIBLES '!A13</f>
        <v>Impuesto al carbono</v>
      </c>
      <c r="B13" s="74"/>
      <c r="C13" s="74">
        <f>Variables!C46</f>
        <v>148</v>
      </c>
      <c r="D13" s="79">
        <f>+ROUND(+C13*(1-D5),2)</f>
        <v>136.16</v>
      </c>
      <c r="E13" s="79">
        <f>+ROUND(+C13*(1-E5),2)</f>
        <v>133.19999999999999</v>
      </c>
      <c r="F13" s="79">
        <f>+ROUND(+C13*(1-F5),2)</f>
        <v>139.12</v>
      </c>
    </row>
    <row r="14" spans="1:53" ht="22.5" customHeight="1">
      <c r="A14" s="72" t="s">
        <v>264</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235</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72" t="s">
        <v>222</v>
      </c>
      <c r="B23" s="672"/>
      <c r="C23" s="672"/>
      <c r="D23" s="672"/>
    </row>
    <row r="24" spans="1:6" ht="10.5" customHeight="1">
      <c r="A24" s="330"/>
      <c r="B24" s="330"/>
      <c r="C24" s="330"/>
      <c r="D24" s="330"/>
      <c r="E24" s="487"/>
    </row>
    <row r="25" spans="1:6" ht="31.5" customHeight="1">
      <c r="A25" s="672" t="s">
        <v>237</v>
      </c>
      <c r="B25" s="672"/>
      <c r="C25" s="672"/>
      <c r="D25" s="672"/>
    </row>
    <row r="26" spans="1:6" ht="12.75" customHeight="1">
      <c r="A26" s="330"/>
      <c r="B26" s="330"/>
      <c r="C26" s="330"/>
      <c r="D26" s="330"/>
      <c r="E26" s="487"/>
    </row>
    <row r="27" spans="1:6" ht="57" customHeight="1">
      <c r="A27" s="672" t="s">
        <v>310</v>
      </c>
      <c r="B27" s="672"/>
      <c r="C27" s="672"/>
      <c r="D27" s="672"/>
      <c r="E27" s="672"/>
      <c r="F27" s="672"/>
    </row>
    <row r="28" spans="1:6">
      <c r="A28" s="672" t="s">
        <v>397</v>
      </c>
      <c r="B28" s="672"/>
      <c r="C28" s="672"/>
      <c r="D28" s="672"/>
      <c r="E28" s="672"/>
      <c r="F28" s="672"/>
    </row>
    <row r="29" spans="1:6">
      <c r="A29" s="672" t="s">
        <v>395</v>
      </c>
      <c r="B29" s="672"/>
      <c r="C29" s="672"/>
      <c r="D29" s="672"/>
      <c r="E29" s="672"/>
      <c r="F29" s="672"/>
    </row>
    <row r="30" spans="1:6">
      <c r="A30" s="672" t="s">
        <v>396</v>
      </c>
      <c r="B30" s="672"/>
      <c r="C30" s="672"/>
      <c r="D30" s="672"/>
      <c r="E30" s="672"/>
      <c r="F30" s="672"/>
    </row>
    <row r="31" spans="1:6" ht="103.5" customHeight="1">
      <c r="A31" s="673" t="s">
        <v>351</v>
      </c>
      <c r="B31" s="673"/>
      <c r="C31" s="673"/>
      <c r="D31" s="673"/>
      <c r="E31" s="673"/>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6"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K9" sqref="K9"/>
    </sheetView>
  </sheetViews>
  <sheetFormatPr baseColWidth="10" defaultColWidth="9.85546875" defaultRowHeight="14.25"/>
  <cols>
    <col min="1" max="1" width="58.7109375" style="18" customWidth="1"/>
    <col min="2" max="2" width="21.42578125" style="9" customWidth="1"/>
    <col min="3" max="3" width="19.7109375" style="9" customWidth="1"/>
    <col min="4" max="4" width="19.7109375" style="9" hidden="1" customWidth="1"/>
    <col min="5" max="5" width="23.42578125" style="9" customWidth="1"/>
    <col min="6" max="6" width="23.42578125" style="9" hidden="1" customWidth="1"/>
    <col min="7" max="7" width="22.42578125" style="9" hidden="1" customWidth="1"/>
    <col min="8" max="8" width="23.140625" style="9" customWidth="1"/>
    <col min="9" max="9" width="22" style="9" hidden="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707" t="str">
        <f>CONCATENATE("ESTRUCTURAS DE PRECIOS PARA LA MEZCLA DE BIOCOMBUSTIBLE PARA USO EN MOTORES DIESEL CON EL ACPM VIGENTES A PARTIR DE ",'COMBUSTIBLES '!$A$1)</f>
        <v>ESTRUCTURAS DE PRECIOS PARA LA MEZCLA DE BIOCOMBUSTIBLE PARA USO EN MOTORES DIESEL CON EL ACPM VIGENTES A PARTIR DE 9 DE MARZO 2019</v>
      </c>
      <c r="B2" s="708"/>
      <c r="C2" s="708"/>
      <c r="D2" s="708"/>
      <c r="E2" s="708"/>
      <c r="F2" s="708"/>
      <c r="G2" s="708"/>
      <c r="H2" s="708"/>
      <c r="I2" s="708"/>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709" t="s">
        <v>0</v>
      </c>
      <c r="B3" s="710"/>
      <c r="C3" s="710"/>
      <c r="D3" s="710"/>
      <c r="E3" s="710"/>
      <c r="F3" s="710"/>
      <c r="G3" s="710"/>
      <c r="H3" s="710"/>
      <c r="I3" s="710"/>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711" t="s">
        <v>1</v>
      </c>
      <c r="B4" s="92" t="s">
        <v>166</v>
      </c>
      <c r="C4" s="714" t="s">
        <v>65</v>
      </c>
      <c r="D4" s="714" t="s">
        <v>66</v>
      </c>
      <c r="E4" s="93" t="s">
        <v>311</v>
      </c>
      <c r="F4" s="93" t="s">
        <v>281</v>
      </c>
      <c r="G4" s="93" t="s">
        <v>270</v>
      </c>
      <c r="H4" s="93" t="s">
        <v>269</v>
      </c>
      <c r="I4" s="93" t="s">
        <v>631</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712"/>
      <c r="B5" s="94">
        <v>1</v>
      </c>
      <c r="C5" s="715"/>
      <c r="D5" s="715"/>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713"/>
      <c r="B6" s="191" t="str">
        <f>+'COMBUSTIBLES '!C6</f>
        <v>9 DE MARZO 2019</v>
      </c>
      <c r="C6" s="191" t="str">
        <f>+B6</f>
        <v>9 DE MARZO 2019</v>
      </c>
      <c r="D6" s="191" t="str">
        <f>+C6</f>
        <v>9 DE MARZO 2019</v>
      </c>
      <c r="E6" s="192" t="str">
        <f>+G6</f>
        <v>9 DE MARZO 2019</v>
      </c>
      <c r="F6" s="192" t="str">
        <f>+H6</f>
        <v>9 DE MARZO 2019</v>
      </c>
      <c r="G6" s="192" t="str">
        <f>+D6</f>
        <v>9 DE MARZO 2019</v>
      </c>
      <c r="H6" s="192" t="str">
        <f>+G6</f>
        <v>9 DE MARZO 2019</v>
      </c>
      <c r="I6" s="192" t="str">
        <f>+G6</f>
        <v>9 DE MARZO 2019</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10186.75</v>
      </c>
      <c r="C7" s="467">
        <f>+'COMBUSTIBLES '!E7</f>
        <v>5015.57</v>
      </c>
      <c r="D7" s="467">
        <f>+C7</f>
        <v>5015.57</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4915.26</v>
      </c>
      <c r="F8" s="96">
        <f>+ROUND(C7*(1-F5), 2)</f>
        <v>4814.95</v>
      </c>
      <c r="G8" s="96">
        <f>+ROUND(D7*(1-G5),2)</f>
        <v>4614.32</v>
      </c>
      <c r="H8" s="96">
        <f>+ROUND(+C7*(1-H5),2)</f>
        <v>4514.01</v>
      </c>
      <c r="I8" s="96">
        <f>+ROUND($D$7*(1-I5),2)</f>
        <v>4564.17</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195</v>
      </c>
      <c r="B9" s="98"/>
      <c r="C9" s="98"/>
      <c r="D9" s="98"/>
      <c r="E9" s="96">
        <f>+ROUND($B$7*E5,2)</f>
        <v>203.74</v>
      </c>
      <c r="F9" s="96">
        <f>+ROUND($B$7*F5,2)</f>
        <v>407.47</v>
      </c>
      <c r="G9" s="96">
        <f>+ROUND($B$7*G5,2)</f>
        <v>814.94</v>
      </c>
      <c r="H9" s="96">
        <f>+ROUND($B$7*H5,2)</f>
        <v>1018.68</v>
      </c>
      <c r="I9" s="96">
        <f>+ROUND($B$7*I5,2)</f>
        <v>916.81</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293</v>
      </c>
      <c r="B10" s="98"/>
      <c r="C10" s="98"/>
      <c r="D10" s="98"/>
      <c r="E10" s="96">
        <f>+E9+E8</f>
        <v>5119</v>
      </c>
      <c r="F10" s="96">
        <f>+F9+F8</f>
        <v>5222.42</v>
      </c>
      <c r="G10" s="96">
        <f>+G9+G8</f>
        <v>5429.26</v>
      </c>
      <c r="H10" s="96">
        <f>+H9+H8</f>
        <v>5532.6900000000005</v>
      </c>
      <c r="I10" s="96">
        <f>+I9+I8</f>
        <v>5480.98</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+Variables!C31</f>
        <v>503.70629078000002</v>
      </c>
      <c r="D11" s="98">
        <f>+Variables!C30</f>
        <v>503.70629078000002</v>
      </c>
      <c r="E11" s="96">
        <f>+ROUND($C$11*(1-E5),2)</f>
        <v>493.63</v>
      </c>
      <c r="F11" s="96">
        <f>+ROUND($C$11*(1-F5),2)</f>
        <v>483.56</v>
      </c>
      <c r="G11" s="96">
        <f>+ROUND(C$11*(1-G5),2)</f>
        <v>463.41</v>
      </c>
      <c r="H11" s="96">
        <f>+ROUND($D$11*(1-H5),2)</f>
        <v>453.34</v>
      </c>
      <c r="I11" s="96">
        <f>+ROUND($C$11*(1-I5),2)</f>
        <v>458.37</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 t="shared" ref="D12:I12" si="0">+C12</f>
        <v>(3)</v>
      </c>
      <c r="E12" s="96" t="str">
        <f t="shared" si="0"/>
        <v>(3)</v>
      </c>
      <c r="F12" s="96" t="str">
        <f t="shared" si="0"/>
        <v>(3)</v>
      </c>
      <c r="G12" s="96" t="str">
        <f t="shared" si="0"/>
        <v>(3)</v>
      </c>
      <c r="H12" s="96" t="str">
        <f t="shared" si="0"/>
        <v>(3)</v>
      </c>
      <c r="I12" s="96" t="str">
        <f t="shared" si="0"/>
        <v>(3)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Variables!C47</f>
        <v>166</v>
      </c>
      <c r="D13" s="98">
        <f>C13</f>
        <v>166</v>
      </c>
      <c r="E13" s="96">
        <f>ROUND(D13*(1-E5),2)</f>
        <v>162.68</v>
      </c>
      <c r="F13" s="96">
        <f>ROUND(D13*(1-F5),2)</f>
        <v>159.36000000000001</v>
      </c>
      <c r="G13" s="96">
        <f>ROUND(D13*(1-G5),2)</f>
        <v>152.72</v>
      </c>
      <c r="H13" s="96">
        <f>ROUND(D13*(1-H5),2)</f>
        <v>149.4</v>
      </c>
      <c r="I13" s="96">
        <f>ROUND(D13*(1-I5),2)</f>
        <v>151.06</v>
      </c>
      <c r="J13" s="138" t="s">
        <v>161</v>
      </c>
      <c r="K13" s="600" t="s">
        <v>161</v>
      </c>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f>'GASOLINA EXTRA OXIGENADA'!C8</f>
        <v>7.9001000000000001</v>
      </c>
      <c r="D14" s="470">
        <f>+C14</f>
        <v>7.9001000000000001</v>
      </c>
      <c r="E14" s="96">
        <f>+D14</f>
        <v>7.9001000000000001</v>
      </c>
      <c r="F14" s="96">
        <f>+E14</f>
        <v>7.9001000000000001</v>
      </c>
      <c r="G14" s="96">
        <f>+F14</f>
        <v>7.9001000000000001</v>
      </c>
      <c r="H14" s="96">
        <f>+C14</f>
        <v>7.9001000000000001</v>
      </c>
      <c r="I14" s="96">
        <f>H14</f>
        <v>7.9001000000000001</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239</v>
      </c>
      <c r="B15" s="98"/>
      <c r="C15" s="98" t="s">
        <v>11</v>
      </c>
      <c r="D15" s="98" t="str">
        <f>+C15</f>
        <v>(*)</v>
      </c>
      <c r="E15" s="96" t="str">
        <f>+D15</f>
        <v>(*)</v>
      </c>
      <c r="F15" s="96" t="str">
        <f>+E15</f>
        <v>(*)</v>
      </c>
      <c r="G15" s="96" t="str">
        <f>+C15</f>
        <v>(*)</v>
      </c>
      <c r="H15" s="96" t="str">
        <f>+D15</f>
        <v>(*)</v>
      </c>
      <c r="I15" s="96"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240</v>
      </c>
      <c r="B16" s="98" t="s">
        <v>161</v>
      </c>
      <c r="C16" s="98"/>
      <c r="D16" s="98"/>
      <c r="E16" s="96" t="str">
        <f>+I16</f>
        <v>(**)</v>
      </c>
      <c r="F16" s="96" t="str">
        <f>+E16</f>
        <v>(**)</v>
      </c>
      <c r="G16" s="96" t="s">
        <v>12</v>
      </c>
      <c r="H16" s="96" t="str">
        <f>+E16</f>
        <v>(**)</v>
      </c>
      <c r="I16" s="96"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228</v>
      </c>
      <c r="B17" s="98"/>
      <c r="C17" s="98">
        <f>'COMBUSTIBLES '!E10</f>
        <v>71.510000000000005</v>
      </c>
      <c r="D17" s="98">
        <f>+C17</f>
        <v>71.510000000000005</v>
      </c>
      <c r="E17" s="96">
        <f>+C17</f>
        <v>71.510000000000005</v>
      </c>
      <c r="F17" s="96">
        <f>+D17</f>
        <v>71.510000000000005</v>
      </c>
      <c r="G17" s="96">
        <f>+C17</f>
        <v>71.510000000000005</v>
      </c>
      <c r="H17" s="96">
        <f>+E17</f>
        <v>71.510000000000005</v>
      </c>
      <c r="I17" s="96">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231</v>
      </c>
      <c r="I19" s="462" t="s">
        <v>231</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231</v>
      </c>
      <c r="I21" s="96" t="s">
        <v>231</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242</v>
      </c>
      <c r="B22" s="141"/>
      <c r="C22" s="141"/>
      <c r="D22" s="141"/>
      <c r="E22" s="135" t="s">
        <v>161</v>
      </c>
      <c r="F22" s="135"/>
      <c r="G22" s="135" t="s">
        <v>161</v>
      </c>
      <c r="H22" s="96" t="s">
        <v>231</v>
      </c>
      <c r="I22" s="96" t="s">
        <v>231</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hidden="1" customHeight="1">
      <c r="A28" s="403" t="s">
        <v>282</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222</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260</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241</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233</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72" t="s">
        <v>310</v>
      </c>
      <c r="B38" s="672"/>
      <c r="C38" s="672"/>
      <c r="D38" s="672"/>
      <c r="E38" s="672"/>
      <c r="F38" s="672"/>
      <c r="G38" s="404"/>
      <c r="H38" s="91"/>
      <c r="I38" s="404"/>
    </row>
    <row r="39" spans="1:9" s="61" customFormat="1">
      <c r="A39" s="672" t="s">
        <v>397</v>
      </c>
      <c r="B39" s="672"/>
      <c r="C39" s="672"/>
      <c r="D39" s="672"/>
      <c r="E39" s="672"/>
      <c r="F39" s="672"/>
      <c r="G39" s="404"/>
      <c r="H39" s="91"/>
      <c r="I39" s="404"/>
    </row>
    <row r="40" spans="1:9" s="61" customFormat="1">
      <c r="A40" s="672" t="s">
        <v>395</v>
      </c>
      <c r="B40" s="672"/>
      <c r="C40" s="672"/>
      <c r="D40" s="672"/>
      <c r="E40" s="672"/>
      <c r="F40" s="672"/>
      <c r="G40" s="404"/>
      <c r="H40" s="91"/>
      <c r="I40" s="404"/>
    </row>
    <row r="41" spans="1:9" s="61" customFormat="1">
      <c r="A41" s="672" t="s">
        <v>396</v>
      </c>
      <c r="B41" s="672"/>
      <c r="C41" s="672"/>
      <c r="D41" s="672"/>
      <c r="E41" s="672"/>
      <c r="F41" s="672"/>
      <c r="G41" s="404"/>
      <c r="H41" s="91"/>
      <c r="I41" s="404"/>
    </row>
    <row r="42" spans="1:9" s="61" customFormat="1">
      <c r="A42" s="91"/>
      <c r="B42" s="91"/>
      <c r="C42" s="91"/>
      <c r="D42" s="91"/>
      <c r="E42" s="91"/>
      <c r="F42" s="91"/>
      <c r="G42" s="91"/>
      <c r="H42" s="91"/>
      <c r="I42" s="91"/>
    </row>
    <row r="43" spans="1:9" s="61" customFormat="1" ht="93.75" customHeight="1">
      <c r="A43" s="673" t="s">
        <v>351</v>
      </c>
      <c r="B43" s="673"/>
      <c r="C43" s="673"/>
      <c r="D43" s="673"/>
      <c r="E43" s="673"/>
    </row>
    <row r="47" spans="1:9">
      <c r="G47" s="19"/>
    </row>
  </sheetData>
  <sheetProtection password="C712" sheet="1" objects="1" scenarios="1"/>
  <mergeCells count="10">
    <mergeCell ref="A43:E43"/>
    <mergeCell ref="A2:I2"/>
    <mergeCell ref="A3:I3"/>
    <mergeCell ref="A4:A6"/>
    <mergeCell ref="C4:C5"/>
    <mergeCell ref="D4:D5"/>
    <mergeCell ref="A38:F38"/>
    <mergeCell ref="A39:F39"/>
    <mergeCell ref="A40:F40"/>
    <mergeCell ref="A41:F41"/>
  </mergeCells>
  <phoneticPr fontId="16"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328</v>
      </c>
    </row>
    <row r="3" spans="1:17" ht="13.5" thickBot="1">
      <c r="B3" s="484">
        <v>0.98</v>
      </c>
      <c r="C3" s="484">
        <v>0.96</v>
      </c>
    </row>
    <row r="4" spans="1:17" ht="15.75" customHeight="1" thickTop="1">
      <c r="A4" s="716" t="s">
        <v>329</v>
      </c>
      <c r="B4" s="717"/>
      <c r="C4" s="717"/>
      <c r="D4" s="717"/>
      <c r="E4" s="717"/>
      <c r="F4" s="717"/>
      <c r="G4" s="717"/>
      <c r="H4" s="717"/>
      <c r="I4" s="717"/>
      <c r="J4" s="717"/>
      <c r="K4" s="717"/>
      <c r="L4" s="717"/>
      <c r="M4" s="717"/>
      <c r="N4" s="717"/>
      <c r="O4" s="717"/>
      <c r="P4" s="718"/>
    </row>
    <row r="5" spans="1:17" ht="18" customHeight="1">
      <c r="A5" s="719"/>
      <c r="B5" s="720"/>
      <c r="C5" s="720"/>
      <c r="D5" s="720"/>
      <c r="E5" s="720"/>
      <c r="F5" s="720"/>
      <c r="G5" s="720"/>
      <c r="H5" s="720"/>
      <c r="I5" s="720"/>
      <c r="J5" s="720"/>
      <c r="K5" s="720"/>
      <c r="L5" s="720"/>
      <c r="M5" s="720"/>
      <c r="N5" s="720"/>
      <c r="O5" s="720"/>
      <c r="P5" s="721"/>
    </row>
    <row r="6" spans="1:17" ht="66" customHeight="1">
      <c r="A6" s="447" t="s">
        <v>1</v>
      </c>
      <c r="B6" s="476" t="s">
        <v>333</v>
      </c>
      <c r="C6" s="476" t="s">
        <v>334</v>
      </c>
      <c r="D6" s="476" t="s">
        <v>335</v>
      </c>
      <c r="E6" s="476" t="s">
        <v>336</v>
      </c>
      <c r="F6" s="476" t="s">
        <v>337</v>
      </c>
      <c r="G6" s="476" t="s">
        <v>338</v>
      </c>
      <c r="H6" s="476" t="s">
        <v>339</v>
      </c>
      <c r="I6" s="476" t="s">
        <v>340</v>
      </c>
      <c r="J6" s="476" t="s">
        <v>341</v>
      </c>
      <c r="K6" s="476" t="s">
        <v>342</v>
      </c>
      <c r="L6" s="476" t="s">
        <v>343</v>
      </c>
      <c r="M6" s="476" t="s">
        <v>344</v>
      </c>
      <c r="N6" s="479" t="s">
        <v>345</v>
      </c>
      <c r="O6" s="479" t="s">
        <v>346</v>
      </c>
      <c r="P6" s="449" t="s">
        <v>347</v>
      </c>
    </row>
    <row r="7" spans="1:17" ht="21" customHeight="1">
      <c r="A7" s="89" t="s">
        <v>348</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331</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332</v>
      </c>
      <c r="B9" s="450">
        <f>+BIODIESEL!E9</f>
        <v>203.74</v>
      </c>
      <c r="C9" s="450">
        <f>+B9</f>
        <v>203.74</v>
      </c>
      <c r="D9" s="450">
        <f>+BIODIESEL!F9</f>
        <v>407.47</v>
      </c>
      <c r="E9" s="450">
        <f>+D9</f>
        <v>407.47</v>
      </c>
      <c r="F9" s="450">
        <f>+B9</f>
        <v>203.74</v>
      </c>
      <c r="G9" s="450">
        <f>+B9</f>
        <v>203.74</v>
      </c>
      <c r="H9" s="450">
        <f>+B9</f>
        <v>203.74</v>
      </c>
      <c r="I9" s="450">
        <f>+C9</f>
        <v>203.74</v>
      </c>
      <c r="J9" s="450">
        <f>+B9</f>
        <v>203.74</v>
      </c>
      <c r="K9" s="450">
        <f>+B9</f>
        <v>203.74</v>
      </c>
      <c r="L9" s="450">
        <f>+B9</f>
        <v>203.74</v>
      </c>
      <c r="M9" s="450">
        <f>+C9</f>
        <v>203.74</v>
      </c>
      <c r="N9" s="450">
        <f>+M9</f>
        <v>203.74</v>
      </c>
      <c r="O9" s="450">
        <f>+N9</f>
        <v>203.74</v>
      </c>
      <c r="P9" s="451">
        <f>+B9</f>
        <v>203.74</v>
      </c>
      <c r="Q9" s="464"/>
    </row>
    <row r="10" spans="1:17" ht="21" customHeight="1">
      <c r="A10" s="83" t="s">
        <v>303</v>
      </c>
      <c r="B10" s="452">
        <f>+B8+B9</f>
        <v>5584.4299999999994</v>
      </c>
      <c r="C10" s="452">
        <f t="shared" ref="C10:P10" si="1">+C8+C9</f>
        <v>5586.2430000000004</v>
      </c>
      <c r="D10" s="452">
        <f t="shared" si="1"/>
        <v>5697.0219999999999</v>
      </c>
      <c r="E10" s="452">
        <f t="shared" si="1"/>
        <v>5692.3276000000005</v>
      </c>
      <c r="F10" s="452">
        <f t="shared" si="1"/>
        <v>5642.1715999999997</v>
      </c>
      <c r="G10" s="452">
        <f t="shared" si="1"/>
        <v>5653.6669999999995</v>
      </c>
      <c r="H10" s="452">
        <f t="shared" si="1"/>
        <v>5651.5109999999995</v>
      </c>
      <c r="I10" s="452">
        <f t="shared" si="1"/>
        <v>5643.4749999999995</v>
      </c>
      <c r="J10" s="452">
        <f t="shared" si="1"/>
        <v>5652.9417999999996</v>
      </c>
      <c r="K10" s="452">
        <f t="shared" si="1"/>
        <v>5646.9539999999997</v>
      </c>
      <c r="L10" s="452">
        <f t="shared" si="1"/>
        <v>5634.3805999999995</v>
      </c>
      <c r="M10" s="452">
        <f t="shared" si="1"/>
        <v>5634.41</v>
      </c>
      <c r="N10" s="452">
        <f t="shared" si="1"/>
        <v>5635.3801999999996</v>
      </c>
      <c r="O10" s="452">
        <f t="shared" si="1"/>
        <v>5644.7489999999998</v>
      </c>
      <c r="P10" s="452">
        <f t="shared" si="1"/>
        <v>5639.7117999999991</v>
      </c>
    </row>
    <row r="11" spans="1:17" ht="21" customHeight="1">
      <c r="A11" s="83" t="s">
        <v>304</v>
      </c>
      <c r="B11" s="452">
        <f>+BIODIESEL!E11</f>
        <v>493.63</v>
      </c>
      <c r="C11" s="452">
        <f>+BIODIESEL!F11</f>
        <v>483.56</v>
      </c>
      <c r="D11" s="452">
        <f>+BIODIESEL!F11</f>
        <v>483.56</v>
      </c>
      <c r="E11" s="452">
        <f>+D11</f>
        <v>483.56</v>
      </c>
      <c r="F11" s="452">
        <f>+B11</f>
        <v>493.63</v>
      </c>
      <c r="G11" s="452">
        <f>+B11</f>
        <v>493.63</v>
      </c>
      <c r="H11" s="452">
        <f>+B11</f>
        <v>493.63</v>
      </c>
      <c r="I11" s="452">
        <f>+C11</f>
        <v>483.56</v>
      </c>
      <c r="J11" s="452">
        <f>+B11</f>
        <v>493.63</v>
      </c>
      <c r="K11" s="452">
        <f>+B11</f>
        <v>493.63</v>
      </c>
      <c r="L11" s="452">
        <f>+B11</f>
        <v>493.63</v>
      </c>
      <c r="M11" s="452">
        <f t="shared" ref="M11:O12" si="2">+C11</f>
        <v>483.56</v>
      </c>
      <c r="N11" s="452">
        <f t="shared" si="2"/>
        <v>483.56</v>
      </c>
      <c r="O11" s="452">
        <f t="shared" si="2"/>
        <v>483.56</v>
      </c>
      <c r="P11" s="453">
        <f>+B11</f>
        <v>493.63</v>
      </c>
    </row>
    <row r="12" spans="1:17" ht="21" customHeight="1">
      <c r="A12" s="83" t="s">
        <v>57</v>
      </c>
      <c r="B12" s="454">
        <f>+BIODIESEL!E14</f>
        <v>7.9001000000000001</v>
      </c>
      <c r="C12" s="454">
        <f>+B12</f>
        <v>7.9001000000000001</v>
      </c>
      <c r="D12" s="465">
        <v>5.17</v>
      </c>
      <c r="E12" s="465">
        <f>+D12</f>
        <v>5.17</v>
      </c>
      <c r="F12" s="454">
        <f>+B12</f>
        <v>7.9001000000000001</v>
      </c>
      <c r="G12" s="454">
        <f>+B12</f>
        <v>7.9001000000000001</v>
      </c>
      <c r="H12" s="454">
        <f>+B12</f>
        <v>7.9001000000000001</v>
      </c>
      <c r="I12" s="454">
        <f>+C12</f>
        <v>7.9001000000000001</v>
      </c>
      <c r="J12" s="454">
        <f>+B12</f>
        <v>7.9001000000000001</v>
      </c>
      <c r="K12" s="454">
        <f>+B12</f>
        <v>7.9001000000000001</v>
      </c>
      <c r="L12" s="454">
        <f>+B12</f>
        <v>7.9001000000000001</v>
      </c>
      <c r="M12" s="454">
        <f t="shared" si="2"/>
        <v>7.9001000000000001</v>
      </c>
      <c r="N12" s="454">
        <f>+M12</f>
        <v>7.9001000000000001</v>
      </c>
      <c r="O12" s="454">
        <f>+N12</f>
        <v>7.9001000000000001</v>
      </c>
      <c r="P12" s="455">
        <f>+B12</f>
        <v>7.9001000000000001</v>
      </c>
    </row>
    <row r="13" spans="1:17" ht="21" customHeight="1">
      <c r="A13" s="83" t="s">
        <v>306</v>
      </c>
      <c r="B13" s="454" t="str">
        <f>+BIODIESEL!C15</f>
        <v>(*)</v>
      </c>
      <c r="C13" s="454" t="str">
        <f>+B13</f>
        <v>(*)</v>
      </c>
      <c r="D13" s="454" t="str">
        <f t="shared" ref="D13:O13" si="3">+C13</f>
        <v>(*)</v>
      </c>
      <c r="E13" s="454" t="str">
        <f t="shared" si="3"/>
        <v>(*)</v>
      </c>
      <c r="F13" s="454" t="str">
        <f t="shared" si="3"/>
        <v>(*)</v>
      </c>
      <c r="G13" s="454" t="str">
        <f t="shared" si="3"/>
        <v>(*)</v>
      </c>
      <c r="H13" s="454" t="str">
        <f t="shared" si="3"/>
        <v>(*)</v>
      </c>
      <c r="I13" s="454" t="str">
        <f t="shared" si="3"/>
        <v>(*)</v>
      </c>
      <c r="J13" s="454" t="str">
        <f t="shared" si="3"/>
        <v>(*)</v>
      </c>
      <c r="K13" s="454" t="str">
        <f t="shared" si="3"/>
        <v>(*)</v>
      </c>
      <c r="L13" s="454" t="str">
        <f t="shared" si="3"/>
        <v>(*)</v>
      </c>
      <c r="M13" s="454" t="str">
        <f t="shared" si="3"/>
        <v>(*)</v>
      </c>
      <c r="N13" s="454" t="str">
        <f t="shared" si="3"/>
        <v>(*)</v>
      </c>
      <c r="O13" s="454" t="str">
        <f t="shared" si="3"/>
        <v>(*)</v>
      </c>
      <c r="P13" s="455" t="str">
        <f>+O13</f>
        <v>(*)</v>
      </c>
    </row>
    <row r="14" spans="1:17" ht="21" customHeight="1">
      <c r="A14" s="83" t="s">
        <v>307</v>
      </c>
      <c r="B14" s="454" t="str">
        <f>+BIODIESEL!E16</f>
        <v>(**)</v>
      </c>
      <c r="C14" s="454" t="str">
        <f>+B14</f>
        <v>(**)</v>
      </c>
      <c r="D14" s="454" t="str">
        <f t="shared" ref="D14:O14" si="4">+C14</f>
        <v>(**)</v>
      </c>
      <c r="E14" s="454" t="str">
        <f t="shared" si="4"/>
        <v>(**)</v>
      </c>
      <c r="F14" s="454" t="str">
        <f t="shared" si="4"/>
        <v>(**)</v>
      </c>
      <c r="G14" s="454" t="str">
        <f t="shared" si="4"/>
        <v>(**)</v>
      </c>
      <c r="H14" s="454" t="str">
        <f t="shared" si="4"/>
        <v>(**)</v>
      </c>
      <c r="I14" s="454" t="str">
        <f t="shared" si="4"/>
        <v>(**)</v>
      </c>
      <c r="J14" s="454" t="str">
        <f t="shared" si="4"/>
        <v>(**)</v>
      </c>
      <c r="K14" s="454" t="str">
        <f t="shared" si="4"/>
        <v>(**)</v>
      </c>
      <c r="L14" s="454" t="str">
        <f t="shared" si="4"/>
        <v>(**)</v>
      </c>
      <c r="M14" s="454" t="str">
        <f t="shared" si="4"/>
        <v>(**)</v>
      </c>
      <c r="N14" s="454" t="str">
        <f t="shared" si="4"/>
        <v>(**)</v>
      </c>
      <c r="O14" s="454" t="str">
        <f t="shared" si="4"/>
        <v>(**)</v>
      </c>
      <c r="P14" s="455" t="str">
        <f>+O14</f>
        <v>(**)</v>
      </c>
    </row>
    <row r="15" spans="1:17" ht="21" customHeight="1">
      <c r="A15" s="83" t="s">
        <v>305</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 t="shared" ref="H15:O15" si="5">+B15</f>
        <v>71.510000000000005</v>
      </c>
      <c r="I15" s="454">
        <f t="shared" si="5"/>
        <v>71.510000000000005</v>
      </c>
      <c r="J15" s="454">
        <f t="shared" si="5"/>
        <v>71.510000000000005</v>
      </c>
      <c r="K15" s="454">
        <f t="shared" si="5"/>
        <v>71.510000000000005</v>
      </c>
      <c r="L15" s="454">
        <f t="shared" si="5"/>
        <v>71.510000000000005</v>
      </c>
      <c r="M15" s="454">
        <f t="shared" si="5"/>
        <v>71.510000000000005</v>
      </c>
      <c r="N15" s="454">
        <f t="shared" si="5"/>
        <v>71.510000000000005</v>
      </c>
      <c r="O15" s="454">
        <f t="shared" si="5"/>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6">+C17</f>
        <v>(****)</v>
      </c>
      <c r="E17" s="452" t="str">
        <f t="shared" si="6"/>
        <v>(****)</v>
      </c>
      <c r="F17" s="452" t="str">
        <f t="shared" si="6"/>
        <v>(****)</v>
      </c>
      <c r="G17" s="452" t="str">
        <f t="shared" si="6"/>
        <v>(****)</v>
      </c>
      <c r="H17" s="452" t="str">
        <f t="shared" si="6"/>
        <v>(****)</v>
      </c>
      <c r="I17" s="452" t="str">
        <f t="shared" si="6"/>
        <v>(****)</v>
      </c>
      <c r="J17" s="452" t="str">
        <f t="shared" si="6"/>
        <v>(****)</v>
      </c>
      <c r="K17" s="452" t="str">
        <f t="shared" si="6"/>
        <v>(****)</v>
      </c>
      <c r="L17" s="452" t="str">
        <f t="shared" si="6"/>
        <v>(****)</v>
      </c>
      <c r="M17" s="452" t="str">
        <f t="shared" si="6"/>
        <v>(****)</v>
      </c>
      <c r="N17" s="452" t="str">
        <f t="shared" si="6"/>
        <v>(****)</v>
      </c>
      <c r="O17" s="452" t="str">
        <f t="shared" si="6"/>
        <v>(****)</v>
      </c>
      <c r="P17" s="453" t="str">
        <f>+O17</f>
        <v>(****)</v>
      </c>
    </row>
    <row r="18" spans="1:16" ht="21" customHeight="1">
      <c r="A18" s="83" t="s">
        <v>63</v>
      </c>
      <c r="B18" s="456" t="str">
        <f>+BIODIESEL!H20</f>
        <v>(***)</v>
      </c>
      <c r="C18" s="456" t="str">
        <f>+B18</f>
        <v>(***)</v>
      </c>
      <c r="D18" s="456" t="str">
        <f t="shared" ref="D18:O18" si="7">+C18</f>
        <v>(***)</v>
      </c>
      <c r="E18" s="456" t="str">
        <f t="shared" si="7"/>
        <v>(***)</v>
      </c>
      <c r="F18" s="456" t="str">
        <f t="shared" si="7"/>
        <v>(***)</v>
      </c>
      <c r="G18" s="456" t="str">
        <f t="shared" si="7"/>
        <v>(***)</v>
      </c>
      <c r="H18" s="456" t="str">
        <f t="shared" si="7"/>
        <v>(***)</v>
      </c>
      <c r="I18" s="456" t="str">
        <f t="shared" si="7"/>
        <v>(***)</v>
      </c>
      <c r="J18" s="456" t="str">
        <f t="shared" si="7"/>
        <v>(***)</v>
      </c>
      <c r="K18" s="456" t="str">
        <f t="shared" si="7"/>
        <v>(***)</v>
      </c>
      <c r="L18" s="456" t="str">
        <f t="shared" si="7"/>
        <v>(***)</v>
      </c>
      <c r="M18" s="456" t="str">
        <f t="shared" si="7"/>
        <v>(***)</v>
      </c>
      <c r="N18" s="456" t="str">
        <f t="shared" si="7"/>
        <v>(***)</v>
      </c>
      <c r="O18" s="456" t="str">
        <f t="shared" si="7"/>
        <v>(***)</v>
      </c>
      <c r="P18" s="457" t="str">
        <f>+O18</f>
        <v>(***)</v>
      </c>
    </row>
    <row r="19" spans="1:16" ht="21" customHeight="1">
      <c r="A19" s="83" t="s">
        <v>48</v>
      </c>
      <c r="B19" s="454" t="str">
        <f>+BIODIESEL!H21</f>
        <v>(****)</v>
      </c>
      <c r="C19" s="454" t="str">
        <f>+B19</f>
        <v>(****)</v>
      </c>
      <c r="D19" s="454" t="str">
        <f t="shared" ref="D19:O19" si="8">+C19</f>
        <v>(****)</v>
      </c>
      <c r="E19" s="454" t="str">
        <f t="shared" si="8"/>
        <v>(****)</v>
      </c>
      <c r="F19" s="454" t="str">
        <f t="shared" si="8"/>
        <v>(****)</v>
      </c>
      <c r="G19" s="454" t="str">
        <f t="shared" si="8"/>
        <v>(****)</v>
      </c>
      <c r="H19" s="454" t="str">
        <f t="shared" si="8"/>
        <v>(****)</v>
      </c>
      <c r="I19" s="454" t="str">
        <f t="shared" si="8"/>
        <v>(****)</v>
      </c>
      <c r="J19" s="454" t="str">
        <f t="shared" si="8"/>
        <v>(****)</v>
      </c>
      <c r="K19" s="454" t="str">
        <f t="shared" si="8"/>
        <v>(****)</v>
      </c>
      <c r="L19" s="454" t="str">
        <f t="shared" si="8"/>
        <v>(****)</v>
      </c>
      <c r="M19" s="454" t="str">
        <f t="shared" si="8"/>
        <v>(****)</v>
      </c>
      <c r="N19" s="454" t="str">
        <f t="shared" si="8"/>
        <v>(****)</v>
      </c>
      <c r="O19" s="454" t="str">
        <f t="shared" si="8"/>
        <v>(****)</v>
      </c>
      <c r="P19" s="455" t="str">
        <f>+O19</f>
        <v>(****)</v>
      </c>
    </row>
    <row r="20" spans="1:16" ht="21" customHeight="1">
      <c r="A20" s="83" t="s">
        <v>235</v>
      </c>
      <c r="B20" s="454" t="str">
        <f>+BIODIESEL!H22</f>
        <v>(****)</v>
      </c>
      <c r="C20" s="454" t="str">
        <f>+B20</f>
        <v>(****)</v>
      </c>
      <c r="D20" s="454" t="str">
        <f t="shared" ref="D20:O20" si="9">+C20</f>
        <v>(****)</v>
      </c>
      <c r="E20" s="454" t="str">
        <f t="shared" si="9"/>
        <v>(****)</v>
      </c>
      <c r="F20" s="454" t="str">
        <f t="shared" si="9"/>
        <v>(****)</v>
      </c>
      <c r="G20" s="454" t="str">
        <f t="shared" si="9"/>
        <v>(****)</v>
      </c>
      <c r="H20" s="454" t="str">
        <f t="shared" si="9"/>
        <v>(****)</v>
      </c>
      <c r="I20" s="454" t="str">
        <f t="shared" si="9"/>
        <v>(****)</v>
      </c>
      <c r="J20" s="454" t="str">
        <f t="shared" si="9"/>
        <v>(****)</v>
      </c>
      <c r="K20" s="454" t="str">
        <f t="shared" si="9"/>
        <v>(****)</v>
      </c>
      <c r="L20" s="454" t="str">
        <f t="shared" si="9"/>
        <v>(****)</v>
      </c>
      <c r="M20" s="454" t="str">
        <f t="shared" si="9"/>
        <v>(****)</v>
      </c>
      <c r="N20" s="454" t="str">
        <f t="shared" si="9"/>
        <v>(****)</v>
      </c>
      <c r="O20" s="454" t="str">
        <f t="shared" si="9"/>
        <v>(****)</v>
      </c>
      <c r="P20" s="455" t="str">
        <f>+O20</f>
        <v>(****)</v>
      </c>
    </row>
    <row r="21" spans="1:16" ht="21" customHeight="1">
      <c r="A21" s="83" t="s">
        <v>8</v>
      </c>
      <c r="B21" s="454">
        <f>+BIODIESEL!H23</f>
        <v>301.48</v>
      </c>
      <c r="C21" s="454">
        <f>+BIODIESEL!I23</f>
        <v>301.48</v>
      </c>
      <c r="D21" s="454">
        <f>+B21</f>
        <v>301.48</v>
      </c>
      <c r="E21" s="454">
        <f>+D21</f>
        <v>301.48</v>
      </c>
      <c r="F21" s="454">
        <f>+B21</f>
        <v>301.48</v>
      </c>
      <c r="G21" s="454">
        <f>+D21</f>
        <v>301.48</v>
      </c>
      <c r="H21" s="454">
        <f>+E21</f>
        <v>301.48</v>
      </c>
      <c r="I21" s="454">
        <f>+F21</f>
        <v>301.48</v>
      </c>
      <c r="J21" s="454">
        <f t="shared" ref="J21:O21" si="10">+F21</f>
        <v>301.48</v>
      </c>
      <c r="K21" s="454">
        <f t="shared" si="10"/>
        <v>301.48</v>
      </c>
      <c r="L21" s="454">
        <f t="shared" si="10"/>
        <v>301.48</v>
      </c>
      <c r="M21" s="454">
        <f t="shared" si="10"/>
        <v>301.48</v>
      </c>
      <c r="N21" s="454">
        <f t="shared" si="10"/>
        <v>301.48</v>
      </c>
      <c r="O21" s="454">
        <f t="shared" si="10"/>
        <v>301.48</v>
      </c>
      <c r="P21" s="455">
        <f>+J21</f>
        <v>301.48</v>
      </c>
    </row>
    <row r="22" spans="1:16" ht="21" customHeight="1" thickBot="1">
      <c r="A22" s="86" t="s">
        <v>62</v>
      </c>
      <c r="B22" s="458" t="str">
        <f>+BIODIESEL!H24</f>
        <v>(***)</v>
      </c>
      <c r="C22" s="458" t="str">
        <f>+B22</f>
        <v>(***)</v>
      </c>
      <c r="D22" s="458" t="str">
        <f t="shared" ref="D22:O22" si="11">+C22</f>
        <v>(***)</v>
      </c>
      <c r="E22" s="458" t="str">
        <f t="shared" si="11"/>
        <v>(***)</v>
      </c>
      <c r="F22" s="458" t="str">
        <f t="shared" si="11"/>
        <v>(***)</v>
      </c>
      <c r="G22" s="458" t="str">
        <f t="shared" si="11"/>
        <v>(***)</v>
      </c>
      <c r="H22" s="458" t="str">
        <f t="shared" si="11"/>
        <v>(***)</v>
      </c>
      <c r="I22" s="458" t="str">
        <f t="shared" si="11"/>
        <v>(***)</v>
      </c>
      <c r="J22" s="458" t="str">
        <f t="shared" si="11"/>
        <v>(***)</v>
      </c>
      <c r="K22" s="458" t="str">
        <f t="shared" si="11"/>
        <v>(***)</v>
      </c>
      <c r="L22" s="458" t="str">
        <f t="shared" si="11"/>
        <v>(***)</v>
      </c>
      <c r="M22" s="458" t="str">
        <f t="shared" si="11"/>
        <v>(***)</v>
      </c>
      <c r="N22" s="458" t="str">
        <f t="shared" si="11"/>
        <v>(***)</v>
      </c>
      <c r="O22" s="458" t="str">
        <f t="shared" si="11"/>
        <v>(***)</v>
      </c>
      <c r="P22" s="459" t="str">
        <f>+O22</f>
        <v>(***)</v>
      </c>
    </row>
    <row r="23" spans="1:16" ht="13.5" thickTop="1"/>
    <row r="24" spans="1:16" ht="33" customHeight="1">
      <c r="A24" s="701" t="s">
        <v>349</v>
      </c>
      <c r="B24" s="702"/>
      <c r="C24" s="702"/>
      <c r="D24" s="702"/>
      <c r="E24" s="702"/>
      <c r="F24" s="702"/>
      <c r="G24" s="702"/>
      <c r="H24" s="702"/>
      <c r="I24" s="702"/>
      <c r="J24" s="702"/>
      <c r="K24" s="702"/>
      <c r="L24" s="702"/>
      <c r="M24" s="702"/>
      <c r="N24" s="702"/>
      <c r="O24" s="702"/>
      <c r="P24" s="702"/>
    </row>
    <row r="25" spans="1:16">
      <c r="A25" s="404" t="s">
        <v>222</v>
      </c>
    </row>
    <row r="26" spans="1:16">
      <c r="A26" s="405"/>
    </row>
    <row r="27" spans="1:16">
      <c r="A27" s="404" t="s">
        <v>260</v>
      </c>
    </row>
    <row r="28" spans="1:16" ht="14.25">
      <c r="A28" s="24" t="s">
        <v>161</v>
      </c>
    </row>
    <row r="29" spans="1:16">
      <c r="A29" s="404" t="s">
        <v>241</v>
      </c>
    </row>
    <row r="30" spans="1:16">
      <c r="A30" s="405"/>
    </row>
    <row r="31" spans="1:16">
      <c r="A31" s="404" t="s">
        <v>233</v>
      </c>
    </row>
    <row r="34" spans="1:5" ht="101.25" customHeight="1">
      <c r="A34" s="673" t="s">
        <v>351</v>
      </c>
      <c r="B34" s="673"/>
      <c r="C34" s="673"/>
      <c r="D34" s="673"/>
      <c r="E34" s="673"/>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2020-03-05T14:59:11Z</dcterms:modified>
</cp:coreProperties>
</file>