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GESTIÓN\GRE_GPI PRECIOS\COMBUSTIBLES\2020\03 20 Marzo\Publicación\"/>
    </mc:Choice>
  </mc:AlternateContent>
  <workbookProtection workbookPassword="C712" lockStructure="1"/>
  <bookViews>
    <workbookView xWindow="0" yWindow="0" windowWidth="19200" windowHeight="7320" firstSheet="7"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 sheetId="91" r:id="rId11"/>
    <sheet name="GCINI" sheetId="70" r:id="rId12"/>
    <sheet name="Hoja2" sheetId="110" state="hidden" r:id="rId13"/>
    <sheet name="Hoja3" sheetId="111" state="hidden" r:id="rId14"/>
    <sheet name="Hoja4" sheetId="112"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8">#REF!</definedName>
    <definedName name="\A">#REF!</definedName>
    <definedName name="\L" localSheetId="7">#REF!</definedName>
    <definedName name="\L" localSheetId="3">#REF!</definedName>
    <definedName name="\L" localSheetId="4">#REF!</definedName>
    <definedName name="\L" localSheetId="8">#REF!</definedName>
    <definedName name="\L">#REF!</definedName>
    <definedName name="\P" localSheetId="7">#REF!</definedName>
    <definedName name="\P" localSheetId="3">#REF!</definedName>
    <definedName name="\P" localSheetId="4">#REF!</definedName>
    <definedName name="\P" localSheetId="8">#REF!</definedName>
    <definedName name="\P">#REF!</definedName>
    <definedName name="_xlnm._FilterDatabase" localSheetId="11" hidden="1">GCINI!$A$1:$A$9</definedName>
    <definedName name="_xlnm._FilterDatabase" localSheetId="2" hidden="1">SP!$D$39:$L$111</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4">'GASOLINA CORRIENTE OXIGENADA'!$A$2:$D$25</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8">[2]TARIF2002!#REF!</definedName>
    <definedName name="ERR">[2]TARIF2002!#REF!</definedName>
    <definedName name="ERROR" localSheetId="7">#REF!</definedName>
    <definedName name="ERROR" localSheetId="4">#REF!</definedName>
    <definedName name="ERROR" localSheetId="8">#REF!</definedName>
    <definedName name="ERROR">#REF!</definedName>
    <definedName name="ERROR1" localSheetId="7">#REF!</definedName>
    <definedName name="ERROR1" localSheetId="4">#REF!</definedName>
    <definedName name="ERROR1" localSheetId="8">#REF!</definedName>
    <definedName name="ERROR1">#REF!</definedName>
    <definedName name="ERROR2" localSheetId="7">#REF!</definedName>
    <definedName name="ERROR2" localSheetId="4">#REF!</definedName>
    <definedName name="ERROR2" localSheetId="8">#REF!</definedName>
    <definedName name="ERROR2">#REF!</definedName>
    <definedName name="ERROR3" localSheetId="7">[1]TARIF2002!#REF!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8">[2]TARIF2002!#REF!</definedName>
    <definedName name="ERROR5">[2]TARIF2002!#REF!</definedName>
    <definedName name="j" localSheetId="7">#REF!</definedName>
    <definedName name="j" localSheetId="4">#REF!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8">#REF!</definedName>
    <definedName name="MES">#REF!</definedName>
    <definedName name="Q" localSheetId="7">[5]TARIF2002!#REF!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8">#REF!</definedName>
    <definedName name="TITU">#REF!</definedName>
    <definedName name="TOT" localSheetId="7">#REF!</definedName>
    <definedName name="TOT" localSheetId="3">#REF!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C9" i="70" l="1"/>
  <c r="D112" i="91" l="1"/>
  <c r="K30" i="91"/>
  <c r="F6" i="91"/>
  <c r="J7" i="91" l="1"/>
  <c r="E7" i="91"/>
  <c r="H9" i="70" l="1"/>
  <c r="U11" i="70"/>
  <c r="T11" i="70"/>
  <c r="S11" i="70"/>
  <c r="R11" i="70"/>
  <c r="Q11" i="70"/>
  <c r="P11" i="70"/>
  <c r="O11" i="70"/>
  <c r="N11" i="70"/>
  <c r="M11" i="70"/>
  <c r="I7" i="70"/>
  <c r="J7" i="70" s="1"/>
  <c r="J9" i="70" s="1"/>
  <c r="I9" i="70" l="1"/>
  <c r="K106" i="114"/>
  <c r="D54" i="91" l="1"/>
  <c r="F14" i="4"/>
  <c r="F12" i="4"/>
  <c r="E8" i="4"/>
  <c r="C8" i="4"/>
  <c r="D13" i="116"/>
  <c r="E11" i="1"/>
  <c r="C11" i="1"/>
  <c r="B11" i="1"/>
  <c r="C32" i="106"/>
  <c r="C21" i="106"/>
  <c r="D7" i="1" l="1"/>
  <c r="K95" i="114" l="1"/>
  <c r="K103" i="114"/>
  <c r="K100" i="114"/>
  <c r="K98" i="114"/>
  <c r="K96" i="114"/>
  <c r="K45" i="114"/>
  <c r="H11" i="4"/>
  <c r="K99" i="114"/>
  <c r="D58" i="91" l="1"/>
  <c r="B8" i="1" l="1"/>
  <c r="B6" i="95" l="1"/>
  <c r="G6" i="1" l="1"/>
  <c r="D6" i="1"/>
  <c r="J38" i="91" l="1"/>
  <c r="J37" i="91"/>
  <c r="J35" i="91"/>
  <c r="J34" i="91"/>
  <c r="A2" i="116" l="1"/>
  <c r="F16" i="116"/>
  <c r="D16" i="116"/>
  <c r="F10" i="116"/>
  <c r="E16" i="116"/>
  <c r="E13" i="116"/>
  <c r="F13" i="116" s="1"/>
  <c r="E10" i="116"/>
  <c r="E7" i="116"/>
  <c r="D10" i="116"/>
  <c r="C16" i="116"/>
  <c r="C13" i="116"/>
  <c r="C10" i="116"/>
  <c r="C7" i="116"/>
  <c r="B7" i="116"/>
  <c r="F7" i="116" l="1"/>
  <c r="D7" i="116"/>
  <c r="D8" i="4"/>
  <c r="K90" i="114" l="1"/>
  <c r="D31" i="91" l="1"/>
  <c r="D9" i="70" l="1"/>
  <c r="K85" i="114" l="1"/>
  <c r="D6" i="91" l="1"/>
  <c r="D30" i="91"/>
  <c r="F30" i="91" s="1"/>
  <c r="E112" i="91" s="1"/>
  <c r="F112" i="91" s="1"/>
  <c r="C17" i="70" l="1"/>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B12" i="70"/>
  <c r="C12" i="70" s="1"/>
  <c r="D12" i="70" s="1"/>
  <c r="J12" i="70" s="1"/>
  <c r="H11" i="70"/>
  <c r="F11" i="70"/>
  <c r="E11" i="70"/>
  <c r="D11" i="70"/>
  <c r="J11" i="70" s="1"/>
  <c r="C11" i="70"/>
  <c r="G11" i="70" s="1"/>
  <c r="G9" i="70"/>
  <c r="F9" i="70"/>
  <c r="B9" i="70"/>
  <c r="J8" i="70"/>
  <c r="I8" i="70"/>
  <c r="C8" i="70"/>
  <c r="A5" i="70"/>
  <c r="D92" i="91"/>
  <c r="D90" i="91"/>
  <c r="D89" i="91"/>
  <c r="D94" i="91" s="1"/>
  <c r="F78" i="91"/>
  <c r="E78" i="91"/>
  <c r="D78" i="91"/>
  <c r="D75" i="91"/>
  <c r="E75" i="91" s="1"/>
  <c r="F75" i="91" s="1"/>
  <c r="D74" i="91"/>
  <c r="F74" i="91" s="1"/>
  <c r="E58" i="91"/>
  <c r="F58" i="91" s="1"/>
  <c r="E57" i="91"/>
  <c r="F57" i="91" s="1"/>
  <c r="D55" i="91"/>
  <c r="E55" i="91" s="1"/>
  <c r="F55" i="91" s="1"/>
  <c r="F53" i="91"/>
  <c r="E38" i="91"/>
  <c r="F38" i="91" s="1"/>
  <c r="G38" i="91" s="1"/>
  <c r="H38" i="91" s="1"/>
  <c r="E37" i="91"/>
  <c r="F37" i="91" s="1"/>
  <c r="G37" i="91" s="1"/>
  <c r="H37" i="91" s="1"/>
  <c r="J30" i="91"/>
  <c r="F29" i="91"/>
  <c r="E29" i="91"/>
  <c r="D29" i="91"/>
  <c r="D11" i="91"/>
  <c r="E11" i="91" s="1"/>
  <c r="J10" i="91"/>
  <c r="D10" i="91"/>
  <c r="E10" i="91" s="1"/>
  <c r="F10" i="91" s="1"/>
  <c r="F9" i="91"/>
  <c r="F33" i="91" s="1"/>
  <c r="J33" i="91" s="1"/>
  <c r="E9" i="91"/>
  <c r="E33" i="91" s="1"/>
  <c r="E56" i="91" s="1"/>
  <c r="F56" i="91" s="1"/>
  <c r="D9" i="91"/>
  <c r="D56" i="91" s="1"/>
  <c r="E8" i="91"/>
  <c r="F8" i="91" s="1"/>
  <c r="I8" i="91" s="1"/>
  <c r="J8" i="91" s="1"/>
  <c r="D8" i="91"/>
  <c r="F7" i="91"/>
  <c r="E6" i="91"/>
  <c r="F18" i="4"/>
  <c r="E18" i="4"/>
  <c r="D18" i="4"/>
  <c r="F17" i="4"/>
  <c r="E17" i="4"/>
  <c r="D17" i="4"/>
  <c r="F16" i="4"/>
  <c r="E16" i="4"/>
  <c r="E14" i="4"/>
  <c r="D14" i="4"/>
  <c r="C14" i="4"/>
  <c r="E12" i="4"/>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23" i="95"/>
  <c r="B21" i="108" s="1"/>
  <c r="D21" i="108" s="1"/>
  <c r="C17" i="95"/>
  <c r="E17" i="95" s="1"/>
  <c r="G17" i="95" s="1"/>
  <c r="F15" i="108" s="1"/>
  <c r="L15" i="108" s="1"/>
  <c r="G16" i="95"/>
  <c r="F16" i="95"/>
  <c r="G15" i="95"/>
  <c r="F15" i="95"/>
  <c r="E15" i="95"/>
  <c r="D15" i="95"/>
  <c r="A13" i="95"/>
  <c r="C12" i="95"/>
  <c r="D12" i="95" s="1"/>
  <c r="E12" i="95" s="1"/>
  <c r="A12" i="95"/>
  <c r="A11" i="95"/>
  <c r="G9" i="95"/>
  <c r="F9" i="95"/>
  <c r="K221" i="114" s="1"/>
  <c r="E9" i="95"/>
  <c r="C7" i="95"/>
  <c r="G8" i="95" s="1"/>
  <c r="A2" i="95"/>
  <c r="K148"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D8" i="107"/>
  <c r="F8" i="107" s="1"/>
  <c r="H8" i="107" s="1"/>
  <c r="J8" i="107" s="1"/>
  <c r="L8" i="107" s="1"/>
  <c r="N8" i="107" s="1"/>
  <c r="B8" i="107"/>
  <c r="C8" i="107" s="1"/>
  <c r="E8" i="107" s="1"/>
  <c r="G8" i="107" s="1"/>
  <c r="I8" i="107" s="1"/>
  <c r="K8" i="107" s="1"/>
  <c r="M8" i="107" s="1"/>
  <c r="A8" i="107"/>
  <c r="D24" i="46"/>
  <c r="D22" i="46"/>
  <c r="C17" i="46"/>
  <c r="D17" i="46" s="1"/>
  <c r="C14" i="46"/>
  <c r="D14" i="46" s="1"/>
  <c r="A13" i="46"/>
  <c r="C9" i="91" s="1"/>
  <c r="C33" i="91" s="1"/>
  <c r="C56" i="91" s="1"/>
  <c r="C12" i="46"/>
  <c r="D12" i="46" s="1"/>
  <c r="A12" i="46"/>
  <c r="C8" i="91" s="1"/>
  <c r="C32" i="91" s="1"/>
  <c r="C55" i="91" s="1"/>
  <c r="C11" i="46"/>
  <c r="D11" i="46" s="1"/>
  <c r="A11" i="46"/>
  <c r="C7" i="91" s="1"/>
  <c r="C31" i="91" s="1"/>
  <c r="C54" i="91" s="1"/>
  <c r="D9" i="46"/>
  <c r="C7" i="46"/>
  <c r="D8" i="46" s="1"/>
  <c r="A2" i="46"/>
  <c r="E20" i="1"/>
  <c r="E18" i="1"/>
  <c r="E16" i="1"/>
  <c r="D13" i="91" s="1"/>
  <c r="C16" i="1"/>
  <c r="D16" i="1" s="1"/>
  <c r="B16" i="1"/>
  <c r="B13" i="107" s="1"/>
  <c r="E15" i="1"/>
  <c r="C11" i="116"/>
  <c r="D11" i="116" s="1"/>
  <c r="E10" i="1"/>
  <c r="D10" i="1"/>
  <c r="C10" i="1"/>
  <c r="C8" i="1"/>
  <c r="B6" i="1"/>
  <c r="A2" i="1"/>
  <c r="D338" i="114"/>
  <c r="D335" i="114"/>
  <c r="D332" i="114"/>
  <c r="D329" i="114"/>
  <c r="D326" i="114"/>
  <c r="D323" i="114"/>
  <c r="D320" i="114"/>
  <c r="D317" i="114"/>
  <c r="D314" i="114"/>
  <c r="K293" i="114"/>
  <c r="K292" i="114"/>
  <c r="K291" i="114"/>
  <c r="K217" i="114"/>
  <c r="K144" i="114"/>
  <c r="K142" i="114"/>
  <c r="K146" i="114" s="1"/>
  <c r="K141" i="114"/>
  <c r="K116" i="114"/>
  <c r="K115" i="114"/>
  <c r="K83" i="114"/>
  <c r="K86" i="114" s="1"/>
  <c r="K91" i="114" s="1"/>
  <c r="K82" i="114"/>
  <c r="K81" i="114"/>
  <c r="K80" i="114"/>
  <c r="K79" i="114"/>
  <c r="K77" i="114"/>
  <c r="K76" i="114"/>
  <c r="K73" i="114"/>
  <c r="K72" i="114"/>
  <c r="K71" i="114"/>
  <c r="K67" i="114"/>
  <c r="K66" i="114"/>
  <c r="K64" i="114"/>
  <c r="K59" i="114"/>
  <c r="K58" i="114"/>
  <c r="K57" i="114"/>
  <c r="K56" i="114"/>
  <c r="K54" i="114"/>
  <c r="K53" i="114"/>
  <c r="K49" i="114"/>
  <c r="K48" i="114"/>
  <c r="K47" i="114"/>
  <c r="K46" i="114"/>
  <c r="K44" i="114"/>
  <c r="R5"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D7" i="91"/>
  <c r="D76" i="91" s="1"/>
  <c r="D91" i="91" s="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K101" i="114" l="1"/>
  <c r="H12" i="4"/>
  <c r="H13" i="4" s="1"/>
  <c r="F8" i="4"/>
  <c r="K102" i="114" s="1"/>
  <c r="H31" i="106"/>
  <c r="C30" i="106"/>
  <c r="D9" i="108"/>
  <c r="E9" i="108" s="1"/>
  <c r="E10" i="108" s="1"/>
  <c r="K63" i="114"/>
  <c r="D10" i="46"/>
  <c r="C8" i="116"/>
  <c r="D8" i="116" s="1"/>
  <c r="D8" i="1"/>
  <c r="E8" i="1"/>
  <c r="F6" i="1"/>
  <c r="C6" i="1"/>
  <c r="K92" i="114"/>
  <c r="K87" i="114"/>
  <c r="K70" i="114"/>
  <c r="B9" i="108"/>
  <c r="B10" i="108" s="1"/>
  <c r="K213" i="114"/>
  <c r="G10" i="95"/>
  <c r="B6" i="46"/>
  <c r="B6" i="116" s="1"/>
  <c r="C6" i="116" s="1"/>
  <c r="D6" i="116" s="1"/>
  <c r="C6" i="46"/>
  <c r="D6" i="46" s="1"/>
  <c r="C7" i="4"/>
  <c r="F79" i="91"/>
  <c r="F80" i="91" s="1"/>
  <c r="J9" i="91"/>
  <c r="D11" i="107"/>
  <c r="F11" i="107" s="1"/>
  <c r="H11" i="107" s="1"/>
  <c r="J11" i="107" s="1"/>
  <c r="L11" i="107" s="1"/>
  <c r="N11" i="107" s="1"/>
  <c r="C15" i="4"/>
  <c r="I9" i="91"/>
  <c r="D11" i="1"/>
  <c r="E11" i="116" s="1"/>
  <c r="F11" i="116" s="1"/>
  <c r="D15" i="4"/>
  <c r="E54" i="91"/>
  <c r="F54" i="91"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D40" i="91"/>
  <c r="B18" i="70"/>
  <c r="G31" i="91"/>
  <c r="E74" i="91"/>
  <c r="E79" i="91" s="1"/>
  <c r="E80" i="91" s="1"/>
  <c r="D79" i="91"/>
  <c r="D80" i="91" s="1"/>
  <c r="E12" i="91"/>
  <c r="E30" i="91"/>
  <c r="D110" i="91"/>
  <c r="G13" i="95"/>
  <c r="E13" i="95"/>
  <c r="D7" i="95"/>
  <c r="D17" i="95"/>
  <c r="F17" i="95" s="1"/>
  <c r="C15" i="108" s="1"/>
  <c r="I15" i="108" s="1"/>
  <c r="O15" i="108" s="1"/>
  <c r="E8" i="95"/>
  <c r="D10" i="108"/>
  <c r="F14" i="70"/>
  <c r="H14" i="70" s="1"/>
  <c r="J14" i="70" s="1"/>
  <c r="F12" i="95"/>
  <c r="G12" i="95"/>
  <c r="F8" i="95"/>
  <c r="F13" i="95"/>
  <c r="B15" i="108"/>
  <c r="M15" i="108"/>
  <c r="I11" i="70"/>
  <c r="E111" i="91"/>
  <c r="G21" i="108"/>
  <c r="K21" i="108" s="1"/>
  <c r="O21" i="108" s="1"/>
  <c r="E21" i="108"/>
  <c r="H21" i="108" s="1"/>
  <c r="L21" i="108" s="1"/>
  <c r="F21" i="108"/>
  <c r="E12" i="70"/>
  <c r="F12" i="70" s="1"/>
  <c r="I12" i="70"/>
  <c r="E8" i="70"/>
  <c r="E9" i="70" s="1"/>
  <c r="K104" i="114" l="1"/>
  <c r="K105" i="114"/>
  <c r="H31" i="91"/>
  <c r="J31" i="91"/>
  <c r="J36" i="91" s="1"/>
  <c r="J39" i="91" s="1"/>
  <c r="C31" i="106"/>
  <c r="D11" i="95"/>
  <c r="G11" i="95" s="1"/>
  <c r="I30" i="106"/>
  <c r="H30" i="106"/>
  <c r="E15" i="70"/>
  <c r="H15" i="70" s="1"/>
  <c r="C15" i="70"/>
  <c r="C14" i="95"/>
  <c r="E8" i="116"/>
  <c r="F8" i="116" s="1"/>
  <c r="E10" i="4"/>
  <c r="E15" i="4" s="1"/>
  <c r="K78" i="114"/>
  <c r="K61" i="114"/>
  <c r="F10" i="70"/>
  <c r="K65" i="114"/>
  <c r="K55" i="114"/>
  <c r="B10" i="70"/>
  <c r="D10" i="70"/>
  <c r="K74" i="114"/>
  <c r="J9" i="108"/>
  <c r="J10" i="108" s="1"/>
  <c r="F6" i="116"/>
  <c r="E6" i="116"/>
  <c r="C4" i="91"/>
  <c r="C28" i="91" s="1"/>
  <c r="C51" i="91" s="1"/>
  <c r="C72" i="91" s="1"/>
  <c r="C87" i="91" s="1"/>
  <c r="D7" i="4"/>
  <c r="P9" i="108"/>
  <c r="P10" i="108" s="1"/>
  <c r="C9" i="108"/>
  <c r="L9" i="108"/>
  <c r="L10" i="108" s="1"/>
  <c r="F9" i="108"/>
  <c r="F10" i="108" s="1"/>
  <c r="K9" i="108"/>
  <c r="K10" i="108" s="1"/>
  <c r="H9" i="108"/>
  <c r="H10" i="108" s="1"/>
  <c r="G9" i="108"/>
  <c r="G10" i="108" s="1"/>
  <c r="K88" i="114"/>
  <c r="K93" i="114"/>
  <c r="E6" i="1"/>
  <c r="K215" i="114"/>
  <c r="D36" i="91"/>
  <c r="D39" i="91" s="1"/>
  <c r="E36" i="91"/>
  <c r="E39" i="91" s="1"/>
  <c r="C18" i="70"/>
  <c r="E18" i="70"/>
  <c r="G18" i="70" s="1"/>
  <c r="D18" i="70"/>
  <c r="G17" i="70"/>
  <c r="H17" i="70"/>
  <c r="K50" i="114"/>
  <c r="D81" i="91"/>
  <c r="D62" i="91"/>
  <c r="O13" i="107"/>
  <c r="P13" i="107"/>
  <c r="F35" i="91"/>
  <c r="I11" i="91"/>
  <c r="F12" i="91"/>
  <c r="J6" i="91"/>
  <c r="E108" i="91" s="1"/>
  <c r="E107" i="91"/>
  <c r="F107" i="91" s="1"/>
  <c r="E110" i="91"/>
  <c r="F110" i="91" s="1"/>
  <c r="K246" i="114" s="1"/>
  <c r="E10" i="95"/>
  <c r="K94" i="114" s="1"/>
  <c r="K69" i="114"/>
  <c r="F10" i="95"/>
  <c r="K220" i="114"/>
  <c r="K62" i="114"/>
  <c r="D15" i="108"/>
  <c r="H15" i="108"/>
  <c r="N15" i="108" s="1"/>
  <c r="H8" i="70"/>
  <c r="G12" i="70"/>
  <c r="H12" i="70"/>
  <c r="I21" i="108"/>
  <c r="M21" i="108" s="1"/>
  <c r="J21" i="108"/>
  <c r="C11" i="95" l="1"/>
  <c r="I31" i="106"/>
  <c r="E147" i="114"/>
  <c r="E139" i="114"/>
  <c r="E138" i="114"/>
  <c r="G14" i="95"/>
  <c r="D14" i="95"/>
  <c r="E14" i="95" s="1"/>
  <c r="D108" i="91"/>
  <c r="C10" i="108"/>
  <c r="M9" i="108"/>
  <c r="I9" i="108"/>
  <c r="I10" i="108" s="1"/>
  <c r="K84" i="114"/>
  <c r="K89" i="114"/>
  <c r="E7" i="4"/>
  <c r="F7" i="4" s="1"/>
  <c r="E6" i="95"/>
  <c r="G6" i="95"/>
  <c r="F6" i="95"/>
  <c r="C6" i="95"/>
  <c r="D6" i="95" s="1"/>
  <c r="G35" i="91"/>
  <c r="G36" i="91" s="1"/>
  <c r="G39" i="91" s="1"/>
  <c r="J11" i="91"/>
  <c r="H35" i="91" s="1"/>
  <c r="H36" i="91" s="1"/>
  <c r="H39" i="91" s="1"/>
  <c r="F18" i="70"/>
  <c r="H18" i="70" s="1"/>
  <c r="I18" i="70"/>
  <c r="F59" i="91"/>
  <c r="F36" i="91"/>
  <c r="F39" i="91" s="1"/>
  <c r="J12" i="91"/>
  <c r="E109" i="91"/>
  <c r="I12" i="91"/>
  <c r="K243" i="114"/>
  <c r="K242" i="114"/>
  <c r="K51" i="114"/>
  <c r="D53" i="91"/>
  <c r="D109" i="91"/>
  <c r="K214" i="114"/>
  <c r="K68" i="114"/>
  <c r="J15" i="108"/>
  <c r="E15" i="108"/>
  <c r="K15" i="108" s="1"/>
  <c r="K60" i="114"/>
  <c r="K218" i="114"/>
  <c r="P21" i="108"/>
  <c r="N21" i="108"/>
  <c r="F11" i="95" l="1"/>
  <c r="E11" i="95"/>
  <c r="K52" i="114"/>
  <c r="E10" i="70"/>
  <c r="G10" i="70" s="1"/>
  <c r="B12" i="108"/>
  <c r="H10" i="70"/>
  <c r="F14" i="95"/>
  <c r="M10" i="108"/>
  <c r="N9" i="108"/>
  <c r="F109" i="91"/>
  <c r="K245" i="114" s="1"/>
  <c r="F77" i="91"/>
  <c r="F60" i="91"/>
  <c r="F61" i="91" s="1"/>
  <c r="F108" i="91"/>
  <c r="K241" i="114" s="1"/>
  <c r="E53" i="91"/>
  <c r="E60" i="91" s="1"/>
  <c r="E61" i="91" s="1"/>
  <c r="D111" i="91"/>
  <c r="F111" i="91" s="1"/>
  <c r="K247" i="114" s="1"/>
  <c r="D60" i="91"/>
  <c r="D61" i="91" s="1"/>
  <c r="E13" i="70" l="1"/>
  <c r="C13" i="70"/>
  <c r="H13" i="70"/>
  <c r="B11" i="108"/>
  <c r="D11" i="108"/>
  <c r="C11" i="108"/>
  <c r="C10" i="70"/>
  <c r="F10" i="4"/>
  <c r="F15" i="4" s="1"/>
  <c r="F12" i="108"/>
  <c r="G12" i="108"/>
  <c r="C12" i="108"/>
  <c r="P12" i="108"/>
  <c r="H12" i="108"/>
  <c r="J12" i="108"/>
  <c r="L12" i="108"/>
  <c r="K12" i="108"/>
  <c r="N10" i="108"/>
  <c r="O9" i="108"/>
  <c r="O10" i="108" s="1"/>
  <c r="K244"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78" authorId="0" shape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<sst xmlns="http://schemas.openxmlformats.org/spreadsheetml/2006/main" count="1521" uniqueCount="732">
  <si>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</si>
  <si>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</si>
  <si>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</si>
  <si>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</si>
  <si>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</si>
  <si>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</si>
  <si>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</si>
  <si>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</si>
  <si>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</si>
  <si>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</si>
  <si>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</si>
  <si>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</si>
  <si>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</si>
  <si>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</si>
  <si>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</si>
  <si>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</si>
  <si>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</si>
  <si>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</si>
  <si>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</si>
  <si>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</si>
  <si>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</si>
  <si>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</si>
  <si>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</si>
  <si>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</si>
  <si>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</si>
  <si>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</si>
  <si>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</si>
  <si>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</si>
  <si>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</si>
  <si>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</si>
  <si>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</si>
  <si>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</si>
  <si>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</si>
  <si>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</si>
  <si>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</si>
  <si>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</si>
  <si>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</si>
  <si>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</si>
  <si>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</si>
  <si>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</si>
  <si>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</si>
  <si>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</si>
  <si>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</si>
  <si>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</si>
  <si>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</si>
  <si>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</si>
  <si>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</si>
  <si>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</si>
  <si>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</si>
  <si>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</si>
  <si>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</si>
  <si>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</si>
  <si>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</si>
  <si>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</si>
  <si>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</si>
  <si>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</si>
  <si>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</si>
  <si>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</si>
  <si>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</si>
  <si>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</si>
  <si>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</si>
  <si>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</si>
  <si>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</si>
  <si>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</si>
  <si>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</si>
  <si>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</si>
  <si>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</si>
  <si>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</si>
  <si>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</si>
  <si>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</si>
  <si>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</si>
  <si>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</si>
  <si>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</si>
  <si>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</si>
  <si>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</si>
  <si>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</si>
  <si>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</si>
  <si>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</si>
  <si>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</si>
  <si>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</si>
  <si>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</si>
  <si>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</si>
  <si>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</si>
  <si>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</si>
  <si>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</si>
  <si>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</si>
  <si>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</si>
  <si>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</si>
  <si>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</si>
  <si>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</si>
  <si>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</si>
  <si>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</si>
  <si>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</si>
  <si>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</si>
  <si>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</si>
  <si>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</si>
  <si>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</si>
  <si>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</si>
  <si>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</si>
  <si>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</si>
  <si>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</si>
  <si>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</si>
  <si>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</si>
  <si>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</si>
  <si>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</si>
  <si>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</si>
  <si>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</si>
  <si>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</si>
  <si>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</si>
  <si>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</si>
  <si>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</si>
  <si>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</si>
  <si>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</si>
  <si>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</si>
  <si>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</si>
  <si>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</si>
  <si>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</si>
  <si>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</si>
  <si>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</si>
  <si>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</si>
  <si>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</si>
  <si>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</si>
  <si>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</si>
  <si>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</si>
  <si>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</si>
  <si>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</si>
  <si>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</si>
  <si>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</si>
  <si>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</si>
  <si>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</si>
  <si>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</si>
  <si>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</si>
  <si>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</si>
  <si>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</si>
  <si>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</si>
  <si>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</si>
  <si>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</si>
  <si>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</si>
  <si>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</si>
  <si>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</si>
  <si>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</si>
  <si>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</si>
  <si>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</si>
  <si>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</si>
  <si>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</si>
  <si>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</si>
  <si>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</si>
  <si>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</si>
  <si>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</si>
  <si>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</si>
  <si>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</si>
  <si>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</si>
  <si>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</si>
  <si>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</si>
  <si>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</si>
  <si>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</si>
  <si>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</si>
  <si>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</si>
  <si>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</si>
  <si>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</si>
  <si>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</si>
  <si>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</si>
  <si>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</si>
  <si>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</si>
  <si>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</si>
  <si>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</si>
  <si>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</si>
  <si>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</si>
  <si>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</si>
  <si>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</si>
  <si>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</si>
  <si>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</si>
  <si>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</si>
  <si>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</si>
  <si>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</si>
  <si>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</si>
  <si>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</si>
  <si>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</si>
  <si>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</si>
  <si>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</si>
  <si>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</si>
  <si>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</si>
  <si>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</si>
  <si>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</si>
  <si>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</si>
  <si>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</si>
  <si>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</si>
  <si>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</si>
  <si>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</si>
  <si>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</si>
  <si>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</si>
  <si>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</si>
  <si>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</si>
  <si>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</si>
  <si>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</si>
  <si>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</si>
  <si>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</si>
  <si>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</si>
  <si>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</si>
  <si>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</si>
  <si>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</si>
  <si>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</si>
  <si>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</si>
  <si>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</si>
  <si>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</si>
  <si>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</si>
  <si>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</si>
  <si>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</si>
  <si>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</si>
  <si>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</si>
  <si>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</si>
  <si>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</si>
  <si>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</si>
  <si>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</si>
  <si>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</si>
  <si>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</si>
  <si>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</si>
  <si>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</si>
  <si>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</si>
  <si>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</si>
  <si>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</si>
  <si>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</si>
  <si>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</si>
  <si>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</si>
  <si>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</si>
  <si>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</si>
  <si>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</si>
  <si>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</si>
  <si>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</si>
  <si>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</si>
  <si>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</si>
  <si>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</si>
  <si>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</si>
  <si>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</si>
  <si>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</si>
  <si>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</si>
  <si>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</si>
  <si>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</si>
  <si>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</si>
  <si>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</si>
  <si>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</si>
  <si>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</si>
  <si>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</si>
  <si>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</si>
  <si>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</si>
  <si>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</si>
  <si>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</si>
  <si>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</si>
  <si>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</si>
  <si>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</si>
  <si>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</si>
  <si>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</si>
  <si>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</si>
  <si>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</si>
  <si>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</si>
  <si>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</si>
  <si>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</si>
  <si>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</si>
  <si>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</si>
  <si>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</si>
  <si>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</si>
  <si>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</si>
  <si>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</si>
  <si>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</si>
  <si>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</si>
  <si>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</si>
  <si>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</si>
  <si>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</si>
  <si>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</si>
  <si>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</si>
  <si>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</si>
  <si>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</si>
  <si>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</si>
  <si>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</si>
  <si>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</si>
  <si>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</si>
  <si>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</si>
  <si>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</si>
  <si>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</si>
  <si>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</si>
  <si>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</si>
  <si>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</si>
  <si>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</si>
  <si>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</si>
  <si>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</si>
  <si>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</si>
  <si>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</si>
  <si>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</si>
  <si>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</si>
  <si>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</si>
  <si>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</si>
  <si>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</si>
  <si>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</si>
  <si>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</si>
  <si>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</si>
  <si>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</si>
  <si>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</si>
  <si>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</si>
  <si>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</si>
  <si>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</si>
  <si>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</si>
  <si>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</si>
  <si>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</si>
  <si>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</si>
  <si>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</si>
  <si>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</si>
  <si>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</si>
  <si>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</si>
  <si>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</si>
  <si>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</si>
  <si>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</si>
  <si>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</si>
  <si>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</si>
  <si>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</si>
  <si>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</si>
  <si>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</si>
  <si>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</si>
  <si>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</si>
  <si>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</si>
  <si>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</si>
  <si>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</si>
  <si>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</si>
  <si>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</si>
  <si>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</si>
  <si>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</si>
  <si>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</si>
  <si>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</si>
  <si>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</si>
  <si>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</si>
  <si>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</si>
  <si>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</si>
  <si>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</si>
  <si>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</si>
  <si>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</si>
  <si>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</si>
  <si>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</si>
  <si>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</si>
  <si>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</si>
  <si>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</si>
  <si>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</si>
  <si>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</si>
  <si>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</si>
  <si>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</si>
  <si>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</si>
  <si>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</si>
  <si>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</si>
  <si>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</si>
  <si>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</si>
  <si>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</si>
  <si>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</si>
  <si>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</si>
  <si>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</si>
  <si>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</si>
  <si>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</si>
  <si>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</si>
  <si>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</si>
  <si>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</si>
  <si>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</si>
  <si>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</si>
  <si>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</si>
  <si>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</si>
  <si>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</si>
  <si>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</si>
  <si>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</si>
  <si>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</si>
  <si>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</si>
  <si>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</si>
  <si>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</si>
  <si>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</si>
  <si>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</si>
  <si>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</si>
  <si>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</si>
  <si>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</si>
  <si>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</si>
  <si>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</si>
  <si>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</si>
  <si>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</si>
  <si>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</si>
  <si>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</si>
  <si>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</si>
  <si>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</si>
  <si>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</si>
  <si>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</si>
  <si>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</si>
  <si>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</si>
  <si>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</si>
  <si>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</si>
  <si>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</si>
  <si>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</si>
  <si>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</si>
  <si>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</si>
  <si>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</si>
  <si>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</si>
  <si>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</si>
  <si>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</si>
  <si>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</si>
  <si>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</si>
  <si>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</si>
  <si>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</si>
  <si>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</si>
  <si>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</si>
  <si>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</si>
  <si>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</si>
  <si>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</si>
  <si>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</si>
  <si>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</si>
  <si>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</si>
  <si>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</si>
  <si>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</si>
  <si>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</si>
  <si>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</si>
  <si>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</si>
  <si>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</si>
  <si>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</si>
  <si>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</si>
  <si>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</si>
  <si>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</si>
  <si>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</si>
  <si>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</si>
  <si>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</si>
  <si>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</si>
  <si>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</si>
  <si>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</si>
  <si>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</si>
  <si>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</si>
  <si>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</si>
  <si>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</si>
  <si>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</si>
  <si>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</si>
  <si>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</si>
  <si>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</si>
  <si>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</si>
  <si>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</si>
  <si>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</si>
  <si>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</si>
  <si>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</si>
  <si>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</si>
  <si>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</si>
  <si>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</si>
  <si>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</si>
  <si>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</si>
  <si>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</si>
  <si>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</si>
  <si>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</si>
  <si>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</si>
  <si>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</si>
  <si>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</si>
  <si>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</si>
  <si>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</si>
  <si>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</si>
  <si>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</si>
  <si>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</si>
  <si>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</si>
  <si>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</si>
  <si>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</si>
  <si>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</si>
  <si>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</si>
  <si>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</si>
  <si>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</si>
  <si>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</si>
  <si>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</si>
  <si>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</si>
  <si>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</si>
  <si>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</si>
  <si>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</si>
  <si>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</si>
  <si>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</si>
  <si>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</si>
  <si>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</si>
  <si>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</si>
  <si>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</si>
  <si>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</si>
  <si>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</si>
  <si>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</si>
  <si>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</si>
  <si>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</si>
  <si>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</si>
  <si>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</si>
  <si>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</si>
  <si>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</si>
  <si>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</si>
  <si>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</si>
  <si>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</si>
  <si>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</si>
  <si>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</si>
  <si>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</si>
  <si>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</si>
  <si>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</si>
  <si>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</si>
  <si>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</si>
  <si>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</si>
  <si>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</si>
  <si>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</si>
  <si>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</si>
  <si>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</si>
  <si>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</si>
  <si>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</si>
  <si>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</si>
  <si>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</si>
  <si>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</si>
  <si>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</si>
  <si>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</si>
  <si>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</si>
  <si>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</si>
  <si>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</si>
  <si>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</si>
  <si>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</si>
  <si>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</si>
  <si>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</si>
  <si>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</si>
  <si>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</si>
  <si>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</si>
  <si>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</si>
  <si>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</si>
  <si>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</si>
  <si>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</si>
  <si>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</si>
  <si>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</si>
  <si>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</si>
  <si>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</si>
  <si>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</si>
  <si>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</si>
  <si>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</si>
  <si>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</si>
  <si>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</si>
  <si>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</si>
  <si>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</si>
  <si>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</si>
  <si>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</si>
  <si>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</si>
  <si>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</si>
  <si>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</si>
  <si>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</si>
  <si>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</si>
  <si>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</si>
  <si>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</si>
  <si>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</si>
  <si>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</si>
  <si>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</si>
  <si>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</si>
  <si>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</si>
  <si>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</si>
  <si>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</si>
  <si>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</si>
  <si>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</si>
  <si>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</si>
  <si>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</si>
  <si>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</si>
  <si>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</si>
  <si>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</si>
  <si>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</si>
  <si>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</si>
  <si>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</si>
  <si>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</si>
  <si>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</si>
  <si>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</si>
  <si>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</si>
  <si>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</si>
  <si>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</si>
  <si>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</si>
  <si>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</si>
  <si>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</si>
  <si>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</si>
  <si>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</si>
  <si>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</si>
  <si>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</si>
  <si>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</si>
  <si>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</si>
  <si>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</si>
  <si>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</si>
  <si>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</si>
  <si>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</si>
  <si>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</si>
  <si>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</si>
  <si>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</si>
  <si>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</si>
  <si>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</si>
  <si>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</si>
  <si>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</si>
  <si>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</si>
  <si>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</si>
  <si>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</si>
  <si>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</si>
  <si>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</si>
  <si>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</si>
  <si>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</si>
  <si>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</si>
  <si>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</si>
  <si>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</si>
  <si>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</si>
  <si>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</si>
  <si>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</si>
  <si>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</si>
  <si>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</si>
  <si>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</si>
  <si>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</si>
  <si>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</si>
  <si>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</si>
  <si>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</si>
  <si>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</si>
  <si>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</si>
  <si>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</si>
  <si>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</si>
  <si>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</si>
  <si>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</si>
  <si>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</si>
  <si>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</si>
  <si>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</si>
  <si>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</si>
  <si>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</si>
  <si>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</si>
  <si>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</si>
  <si>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</si>
  <si>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</si>
  <si>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</si>
  <si>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</si>
  <si>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</si>
  <si>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</si>
  <si>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</si>
  <si>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</si>
  <si>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</si>
  <si>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</si>
  <si>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</si>
  <si>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</si>
  <si>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</si>
  <si>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</si>
  <si>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</si>
  <si>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</si>
  <si>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</si>
  <si>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</si>
  <si>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</si>
  <si>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</si>
  <si>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</si>
  <si>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</si>
  <si>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</si>
  <si>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</si>
  <si>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</si>
  <si>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</si>
  <si>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</si>
  <si>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</si>
  <si>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</si>
  <si>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</si>
  <si>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</si>
  <si>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</si>
  <si>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</si>
  <si>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</si>
  <si>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</si>
  <si>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</si>
  <si>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</si>
  <si>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</si>
  <si>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</si>
  <si>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</si>
  <si>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</si>
  <si>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</si>
  <si>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</si>
  <si>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</si>
  <si>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</si>
  <si>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</si>
  <si>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</si>
  <si>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</si>
  <si>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</si>
  <si>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</si>
  <si>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</si>
  <si>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</si>
  <si>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</si>
  <si>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</si>
  <si>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</si>
  <si>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</si>
  <si>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</si>
  <si>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</si>
  <si>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</si>
  <si>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</si>
  <si>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</si>
  <si>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</si>
  <si>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</si>
  <si>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</si>
  <si>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</si>
  <si>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</si>
  <si>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</si>
  <si>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</si>
  <si>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</si>
  <si>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</si>
  <si>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</si>
  <si>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</si>
  <si>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</si>
  <si>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</si>
  <si>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</si>
  <si>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</si>
  <si>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</si>
  <si>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</si>
  <si>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</si>
  <si>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</si>
  <si>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</si>
  <si>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</si>
  <si>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</si>
  <si>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</si>
  <si>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OK/OK</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</si>
  <si>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</si>
  <si>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</si>
  <si>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</si>
  <si>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</si>
  <si>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</si>
  <si>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</si>
  <si>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</si>
  <si>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</si>
  <si>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</si>
  <si>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</si>
  <si>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</si>
  <si>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</si>
  <si>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</si>
  <si>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</si>
  <si>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</si>
  <si>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</si>
  <si>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</si>
  <si>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</si>
  <si>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</si>
  <si>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</si>
  <si>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</si>
  <si>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</si>
  <si>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</si>
  <si>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</si>
  <si>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</si>
  <si>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</si>
  <si>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</si>
  <si>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</si>
  <si>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</si>
  <si>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</si>
  <si>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</si>
  <si>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</si>
  <si>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OK}</t>
  </si>
  <si>
    <t>PRE-GRE-REAL-DIESEL MARINO SAN ANDRES ZPRE - LIS_GRE_REGULADOS MME 2016</t>
  </si>
  <si>
    <t>1 DE MARZO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</si>
</sst>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8" formatCode="&quot;$&quot;\ #,##0.00;[Red]\-&quot;$&quot;\ #,##0.00"/>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2">
    <xf numFmtId="0" fontId="0" fillId="0" borderId="0"/>
    <xf numFmtId="0" fontId="13" fillId="0" borderId="0"/>
    <xf numFmtId="0" fontId="14" fillId="0" borderId="0"/>
    <xf numFmtId="0" fontId="13" fillId="0" borderId="0"/>
    <xf numFmtId="0" fontId="14" fillId="0" borderId="0"/>
    <xf numFmtId="0" fontId="15" fillId="0" borderId="0">
      <protection locked="0"/>
    </xf>
    <xf numFmtId="0" fontId="16" fillId="0" borderId="0">
      <protection locked="0"/>
    </xf>
    <xf numFmtId="0" fontId="16"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0" fontId="15" fillId="0" borderId="0">
      <protection locked="0"/>
    </xf>
    <xf numFmtId="43" fontId="12" fillId="0" borderId="0" applyFont="0" applyFill="0" applyBorder="0" applyAlignment="0" applyProtection="0"/>
    <xf numFmtId="0" fontId="12" fillId="0" borderId="0" applyFont="0" applyFill="0" applyBorder="0" applyAlignment="0" applyProtection="0"/>
    <xf numFmtId="0" fontId="15" fillId="0" borderId="0">
      <protection locked="0"/>
    </xf>
    <xf numFmtId="37" fontId="17" fillId="0" borderId="0"/>
    <xf numFmtId="0" fontId="12" fillId="0" borderId="0"/>
    <xf numFmtId="0" fontId="12" fillId="0" borderId="0"/>
    <xf numFmtId="0" fontId="33" fillId="0" borderId="0"/>
    <xf numFmtId="166" fontId="22" fillId="0" borderId="0"/>
    <xf numFmtId="9" fontId="12" fillId="0" borderId="0" applyFont="0" applyFill="0" applyBorder="0" applyAlignment="0" applyProtection="0"/>
    <xf numFmtId="9" fontId="12" fillId="0" borderId="0" applyFont="0" applyFill="0" applyBorder="0" applyAlignment="0" applyProtection="0"/>
    <xf numFmtId="166" fontId="19" fillId="0" borderId="0">
      <alignment horizontal="left"/>
    </xf>
    <xf numFmtId="38" fontId="18" fillId="0" borderId="0"/>
    <xf numFmtId="0" fontId="15" fillId="0" borderId="1">
      <protection locked="0"/>
    </xf>
    <xf numFmtId="0" fontId="11" fillId="0" borderId="0"/>
    <xf numFmtId="41" fontId="92" fillId="0" borderId="0" applyFont="0" applyFill="0" applyBorder="0" applyAlignment="0" applyProtection="0"/>
  </cellStyleXfs>
  <cellXfs count="795">
    <xf numFmtId="0" fontId="0" fillId="0" borderId="0" xfId="0"/>
    <xf numFmtId="0" fontId="45" fillId="2" borderId="0" xfId="0" applyFont="1" applyFill="1" applyAlignment="1" applyProtection="1">
      <alignment horizontal="left" vertical="center"/>
      <protection hidden="1"/>
    </xf>
    <xf numFmtId="0" fontId="46" fillId="2" borderId="0" xfId="0" applyFont="1" applyFill="1" applyAlignment="1" applyProtection="1">
      <alignment vertical="center"/>
      <protection hidden="1"/>
    </xf>
    <xf numFmtId="0" fontId="23" fillId="2" borderId="0" xfId="0" applyFont="1" applyFill="1" applyAlignment="1" applyProtection="1">
      <alignment vertical="center"/>
      <protection hidden="1"/>
    </xf>
    <xf numFmtId="164" fontId="23" fillId="2" borderId="0" xfId="0" applyNumberFormat="1" applyFont="1" applyFill="1" applyAlignment="1" applyProtection="1">
      <alignment vertical="center"/>
      <protection hidden="1"/>
    </xf>
    <xf numFmtId="2" fontId="23" fillId="2" borderId="0" xfId="0" applyNumberFormat="1" applyFont="1" applyFill="1" applyAlignment="1" applyProtection="1">
      <alignment vertical="center"/>
      <protection hidden="1"/>
    </xf>
    <xf numFmtId="0" fontId="23" fillId="0" borderId="0" xfId="0" applyFont="1" applyBorder="1" applyAlignment="1" applyProtection="1">
      <alignment vertical="center"/>
      <protection hidden="1"/>
    </xf>
    <xf numFmtId="0" fontId="23" fillId="12" borderId="0" xfId="0" applyFont="1" applyFill="1" applyBorder="1" applyAlignment="1" applyProtection="1">
      <alignment vertical="center"/>
      <protection hidden="1"/>
    </xf>
    <xf numFmtId="0" fontId="24" fillId="2" borderId="0" xfId="0" applyFont="1" applyFill="1" applyAlignment="1" applyProtection="1">
      <alignment vertical="center"/>
      <protection hidden="1"/>
    </xf>
    <xf numFmtId="0" fontId="24" fillId="2" borderId="0" xfId="0" applyFont="1" applyFill="1" applyBorder="1" applyAlignment="1" applyProtection="1">
      <alignment vertical="center"/>
      <protection hidden="1"/>
    </xf>
    <xf numFmtId="0" fontId="31" fillId="0" borderId="0" xfId="0" applyFont="1" applyBorder="1" applyAlignment="1" applyProtection="1">
      <alignment vertical="center"/>
      <protection hidden="1"/>
    </xf>
    <xf numFmtId="0" fontId="31" fillId="0" borderId="0" xfId="0" applyFont="1" applyAlignment="1" applyProtection="1">
      <alignment vertical="center"/>
      <protection hidden="1"/>
    </xf>
    <xf numFmtId="0" fontId="23" fillId="0" borderId="0" xfId="0" applyFont="1" applyAlignment="1" applyProtection="1">
      <alignment vertical="center"/>
      <protection hidden="1"/>
    </xf>
    <xf numFmtId="0" fontId="24" fillId="0" borderId="0" xfId="0" applyFont="1" applyBorder="1" applyAlignment="1" applyProtection="1">
      <alignment horizontal="left" vertical="center" wrapText="1"/>
      <protection hidden="1"/>
    </xf>
    <xf numFmtId="43" fontId="24" fillId="2" borderId="0" xfId="17" applyFont="1" applyFill="1" applyBorder="1" applyAlignment="1" applyProtection="1">
      <alignment vertical="center" wrapText="1"/>
      <protection hidden="1"/>
    </xf>
    <xf numFmtId="0" fontId="23" fillId="12" borderId="0" xfId="0" applyFont="1" applyFill="1" applyAlignment="1" applyProtection="1">
      <alignment vertical="center"/>
      <protection hidden="1"/>
    </xf>
    <xf numFmtId="0" fontId="20" fillId="0" borderId="0" xfId="0" applyFont="1" applyAlignment="1" applyProtection="1">
      <alignment vertical="center"/>
      <protection hidden="1"/>
    </xf>
    <xf numFmtId="0" fontId="44" fillId="0" borderId="0" xfId="0" applyFont="1" applyAlignment="1" applyProtection="1">
      <alignment horizontal="left" vertical="center"/>
      <protection hidden="1"/>
    </xf>
    <xf numFmtId="0" fontId="47" fillId="0" borderId="0" xfId="0" applyFont="1" applyAlignment="1" applyProtection="1">
      <alignment horizontal="center" vertical="center"/>
      <protection hidden="1"/>
    </xf>
    <xf numFmtId="0" fontId="44" fillId="0" borderId="0" xfId="0" applyFont="1" applyAlignment="1" applyProtection="1">
      <alignment vertical="center"/>
      <protection hidden="1"/>
    </xf>
    <xf numFmtId="0" fontId="44" fillId="0" borderId="0" xfId="0" applyFont="1" applyFill="1" applyAlignment="1" applyProtection="1">
      <alignment horizontal="left" vertical="center"/>
      <protection hidden="1"/>
    </xf>
    <xf numFmtId="0" fontId="24" fillId="2" borderId="0" xfId="0" applyFont="1" applyFill="1" applyBorder="1" applyAlignment="1" applyProtection="1">
      <alignment horizontal="left" vertical="center" wrapText="1"/>
      <protection hidden="1"/>
    </xf>
    <xf numFmtId="43" fontId="24" fillId="2" borderId="0" xfId="17" applyNumberFormat="1" applyFont="1" applyFill="1" applyBorder="1" applyAlignment="1" applyProtection="1">
      <alignment vertical="center" wrapText="1"/>
      <protection hidden="1"/>
    </xf>
    <xf numFmtId="43" fontId="24" fillId="2" borderId="0" xfId="17" applyFont="1" applyFill="1" applyBorder="1" applyAlignment="1" applyProtection="1">
      <alignment horizontal="center" vertical="center" wrapText="1"/>
      <protection hidden="1"/>
    </xf>
    <xf numFmtId="0" fontId="48" fillId="0" borderId="0" xfId="0" quotePrefix="1" applyFont="1" applyAlignment="1" applyProtection="1">
      <alignment horizontal="left" vertical="center"/>
      <protection hidden="1"/>
    </xf>
    <xf numFmtId="0" fontId="46" fillId="2" borderId="0" xfId="0" quotePrefix="1" applyFont="1" applyFill="1" applyBorder="1" applyAlignment="1" applyProtection="1">
      <alignment horizontal="left" vertical="center"/>
      <protection hidden="1"/>
    </xf>
    <xf numFmtId="4" fontId="45" fillId="2" borderId="0" xfId="0" applyNumberFormat="1" applyFont="1" applyFill="1" applyBorder="1" applyAlignment="1" applyProtection="1">
      <alignment horizontal="right" vertical="center"/>
      <protection hidden="1"/>
    </xf>
    <xf numFmtId="0" fontId="24" fillId="0" borderId="0" xfId="0" applyFont="1" applyAlignment="1" applyProtection="1">
      <alignment horizontal="center" vertical="center"/>
      <protection hidden="1"/>
    </xf>
    <xf numFmtId="4" fontId="23" fillId="2" borderId="35" xfId="0" applyNumberFormat="1" applyFont="1" applyFill="1" applyBorder="1" applyAlignment="1" applyProtection="1">
      <alignment horizontal="right" vertical="center"/>
      <protection hidden="1"/>
    </xf>
    <xf numFmtId="4" fontId="23" fillId="2" borderId="0" xfId="0" applyNumberFormat="1" applyFont="1" applyFill="1" applyBorder="1" applyAlignment="1" applyProtection="1">
      <alignment horizontal="right" vertical="center"/>
      <protection hidden="1"/>
    </xf>
    <xf numFmtId="166" fontId="48" fillId="2" borderId="0" xfId="24" applyFont="1" applyFill="1" applyAlignment="1" applyProtection="1">
      <alignment horizontal="centerContinuous" vertical="center"/>
      <protection hidden="1"/>
    </xf>
    <xf numFmtId="0" fontId="47" fillId="2" borderId="0" xfId="0" applyFont="1" applyFill="1" applyAlignment="1" applyProtection="1">
      <alignment horizontal="centerContinuous" vertical="center"/>
      <protection hidden="1"/>
    </xf>
    <xf numFmtId="0" fontId="44" fillId="2" borderId="0" xfId="0" applyFont="1" applyFill="1" applyAlignment="1" applyProtection="1">
      <alignment horizontal="centerContinuous" vertical="center"/>
      <protection hidden="1"/>
    </xf>
    <xf numFmtId="0" fontId="23" fillId="2" borderId="0" xfId="0" applyFont="1" applyFill="1" applyAlignment="1" applyProtection="1">
      <alignment horizontal="centerContinuous" vertical="center"/>
      <protection hidden="1"/>
    </xf>
    <xf numFmtId="0" fontId="48" fillId="5" borderId="32" xfId="0" quotePrefix="1" applyFont="1" applyFill="1" applyBorder="1" applyAlignment="1" applyProtection="1">
      <alignment horizontal="left" vertical="center" wrapText="1"/>
      <protection hidden="1"/>
    </xf>
    <xf numFmtId="4" fontId="23" fillId="2" borderId="0" xfId="0" applyNumberFormat="1" applyFont="1" applyFill="1" applyAlignment="1" applyProtection="1">
      <alignment vertical="center"/>
      <protection hidden="1"/>
    </xf>
    <xf numFmtId="4" fontId="23" fillId="2" borderId="37" xfId="0" applyNumberFormat="1" applyFont="1" applyFill="1" applyBorder="1" applyAlignment="1" applyProtection="1">
      <alignment horizontal="right" vertical="center"/>
      <protection hidden="1"/>
    </xf>
    <xf numFmtId="0" fontId="44" fillId="2" borderId="0" xfId="0" applyFont="1" applyFill="1" applyAlignment="1" applyProtection="1">
      <alignment horizontal="fill" vertical="center" wrapText="1"/>
      <protection hidden="1"/>
    </xf>
    <xf numFmtId="0" fontId="23" fillId="2" borderId="0" xfId="0" applyFont="1" applyFill="1" applyAlignment="1" applyProtection="1">
      <alignment horizontal="fill" vertical="center" wrapText="1"/>
      <protection hidden="1"/>
    </xf>
    <xf numFmtId="0" fontId="49" fillId="12" borderId="0" xfId="0" applyFont="1" applyFill="1" applyBorder="1" applyAlignment="1" applyProtection="1">
      <alignment horizontal="left" vertical="center" wrapText="1"/>
      <protection hidden="1"/>
    </xf>
    <xf numFmtId="0" fontId="49" fillId="12" borderId="0" xfId="0" quotePrefix="1" applyFont="1" applyFill="1" applyBorder="1" applyAlignment="1" applyProtection="1">
      <alignment horizontal="left" vertical="center" wrapText="1"/>
      <protection hidden="1"/>
    </xf>
    <xf numFmtId="4" fontId="48" fillId="5" borderId="31" xfId="0" applyNumberFormat="1" applyFont="1" applyFill="1" applyBorder="1" applyAlignment="1" applyProtection="1">
      <alignment horizontal="right" vertical="center"/>
      <protection hidden="1"/>
    </xf>
    <xf numFmtId="4" fontId="48" fillId="5" borderId="36" xfId="0" applyNumberFormat="1" applyFont="1" applyFill="1" applyBorder="1" applyAlignment="1" applyProtection="1">
      <alignment horizontal="right" vertical="center"/>
      <protection hidden="1"/>
    </xf>
    <xf numFmtId="166" fontId="48" fillId="2" borderId="0" xfId="24" quotePrefix="1"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8" fillId="2" borderId="0" xfId="0" applyFont="1" applyFill="1" applyBorder="1" applyAlignment="1" applyProtection="1">
      <alignment horizontal="centerContinuous" vertical="center"/>
      <protection hidden="1"/>
    </xf>
    <xf numFmtId="0" fontId="24" fillId="2" borderId="0" xfId="0" applyFont="1" applyFill="1" applyAlignment="1" applyProtection="1">
      <alignment horizontal="left" vertical="center"/>
      <protection hidden="1"/>
    </xf>
    <xf numFmtId="0" fontId="48" fillId="5" borderId="34" xfId="0" quotePrefix="1" applyFont="1" applyFill="1" applyBorder="1" applyAlignment="1" applyProtection="1">
      <alignment horizontal="left" vertical="center" wrapText="1"/>
      <protection hidden="1"/>
    </xf>
    <xf numFmtId="4" fontId="48" fillId="5" borderId="37" xfId="0" applyNumberFormat="1" applyFont="1" applyFill="1" applyBorder="1" applyAlignment="1" applyProtection="1">
      <alignment horizontal="right" vertical="center"/>
      <protection hidden="1"/>
    </xf>
    <xf numFmtId="15" fontId="48" fillId="0" borderId="0" xfId="0" quotePrefix="1" applyNumberFormat="1" applyFont="1" applyAlignment="1" applyProtection="1">
      <alignment horizontal="left" vertical="center"/>
      <protection hidden="1"/>
    </xf>
    <xf numFmtId="0" fontId="49" fillId="12" borderId="0" xfId="0" applyFont="1" applyFill="1" applyAlignment="1" applyProtection="1">
      <alignment vertical="center"/>
      <protection hidden="1"/>
    </xf>
    <xf numFmtId="0" fontId="46" fillId="0" borderId="0" xfId="0" applyFont="1" applyBorder="1" applyAlignment="1" applyProtection="1">
      <alignment vertical="center"/>
      <protection hidden="1"/>
    </xf>
    <xf numFmtId="0" fontId="46" fillId="12" borderId="0" xfId="0" applyFont="1" applyFill="1" applyBorder="1" applyAlignment="1" applyProtection="1">
      <alignment vertical="center"/>
      <protection hidden="1"/>
    </xf>
    <xf numFmtId="0" fontId="46" fillId="6" borderId="38" xfId="0" applyFont="1" applyFill="1" applyBorder="1" applyAlignment="1" applyProtection="1">
      <alignment horizontal="center" vertical="center"/>
      <protection hidden="1"/>
    </xf>
    <xf numFmtId="17" fontId="46" fillId="6" borderId="40" xfId="0" applyNumberFormat="1" applyFont="1" applyFill="1" applyBorder="1" applyAlignment="1" applyProtection="1">
      <alignment horizontal="center" vertical="center" wrapText="1"/>
      <protection hidden="1"/>
    </xf>
    <xf numFmtId="0" fontId="32" fillId="0" borderId="0" xfId="0" quotePrefix="1" applyFont="1" applyFill="1" applyAlignment="1" applyProtection="1">
      <alignment horizontal="left" vertical="center"/>
      <protection hidden="1"/>
    </xf>
    <xf numFmtId="0" fontId="23" fillId="0" borderId="0" xfId="0" applyFont="1" applyFill="1" applyBorder="1" applyAlignment="1" applyProtection="1">
      <alignment vertical="center"/>
      <protection hidden="1"/>
    </xf>
    <xf numFmtId="0" fontId="50" fillId="0" borderId="0" xfId="0" applyFont="1" applyBorder="1" applyAlignment="1" applyProtection="1">
      <alignment vertical="center"/>
      <protection hidden="1"/>
    </xf>
    <xf numFmtId="0" fontId="50" fillId="12" borderId="0" xfId="0" applyFont="1" applyFill="1" applyBorder="1" applyAlignment="1" applyProtection="1">
      <alignment vertical="center"/>
      <protection hidden="1"/>
    </xf>
    <xf numFmtId="0" fontId="35" fillId="0" borderId="0" xfId="0" applyFont="1" applyAlignment="1" applyProtection="1">
      <alignment vertical="center"/>
      <protection hidden="1"/>
    </xf>
    <xf numFmtId="0" fontId="23" fillId="0" borderId="0" xfId="0" applyFont="1" applyBorder="1" applyAlignment="1" applyProtection="1">
      <alignment horizontal="center" vertical="center"/>
      <protection hidden="1"/>
    </xf>
    <xf numFmtId="0" fontId="23" fillId="12" borderId="0" xfId="0" applyFont="1" applyFill="1" applyBorder="1" applyAlignment="1" applyProtection="1">
      <alignment horizontal="center" vertical="center"/>
      <protection hidden="1"/>
    </xf>
    <xf numFmtId="0" fontId="23" fillId="2" borderId="34" xfId="0" quotePrefix="1" applyFont="1" applyFill="1" applyBorder="1" applyAlignment="1" applyProtection="1">
      <alignment horizontal="left" vertical="center" wrapText="1"/>
      <protection hidden="1"/>
    </xf>
    <xf numFmtId="0" fontId="44" fillId="0" borderId="0" xfId="0" applyFont="1" applyFill="1" applyBorder="1" applyAlignment="1" applyProtection="1">
      <alignment vertical="center"/>
      <protection hidden="1"/>
    </xf>
    <xf numFmtId="0" fontId="45" fillId="5" borderId="41" xfId="0" applyFont="1" applyFill="1" applyBorder="1" applyAlignment="1" applyProtection="1">
      <alignment horizontal="center" vertical="center" wrapText="1"/>
      <protection hidden="1"/>
    </xf>
    <xf numFmtId="0" fontId="24" fillId="0" borderId="42" xfId="0" applyFont="1" applyBorder="1" applyAlignment="1" applyProtection="1">
      <alignment horizontal="left" vertical="center" wrapText="1"/>
      <protection hidden="1"/>
    </xf>
    <xf numFmtId="2" fontId="47" fillId="0" borderId="41" xfId="0"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vertical="center" wrapText="1"/>
      <protection hidden="1"/>
    </xf>
    <xf numFmtId="2" fontId="24" fillId="0" borderId="41" xfId="0" quotePrefix="1"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0" fontId="24" fillId="0" borderId="43" xfId="0" applyFont="1" applyBorder="1" applyAlignment="1" applyProtection="1">
      <alignment horizontal="left" vertical="center" wrapText="1"/>
      <protection hidden="1"/>
    </xf>
    <xf numFmtId="2" fontId="47" fillId="0" borderId="44" xfId="0" applyNumberFormat="1" applyFont="1" applyFill="1" applyBorder="1" applyAlignment="1" applyProtection="1">
      <alignment horizontal="right" vertical="center" wrapText="1"/>
      <protection hidden="1"/>
    </xf>
    <xf numFmtId="43" fontId="24" fillId="0" borderId="45" xfId="17" applyFont="1" applyFill="1" applyBorder="1" applyAlignment="1" applyProtection="1">
      <alignment vertical="center" wrapText="1"/>
      <protection hidden="1"/>
    </xf>
    <xf numFmtId="0" fontId="24" fillId="0" borderId="46" xfId="0" applyFont="1" applyBorder="1" applyAlignment="1" applyProtection="1">
      <alignment horizontal="left" vertical="center" wrapText="1"/>
      <protection hidden="1"/>
    </xf>
    <xf numFmtId="15" fontId="46" fillId="5" borderId="44" xfId="0" quotePrefix="1" applyNumberFormat="1" applyFont="1" applyFill="1" applyBorder="1" applyAlignment="1" applyProtection="1">
      <alignment horizontal="center" vertical="center" wrapText="1"/>
      <protection hidden="1"/>
    </xf>
    <xf numFmtId="15" fontId="46" fillId="5" borderId="47" xfId="0" quotePrefix="1" applyNumberFormat="1" applyFont="1" applyFill="1" applyBorder="1" applyAlignment="1" applyProtection="1">
      <alignment horizontal="center" vertical="center" wrapText="1"/>
      <protection hidden="1"/>
    </xf>
    <xf numFmtId="0" fontId="24" fillId="0" borderId="42" xfId="0" applyFont="1" applyFill="1" applyBorder="1" applyAlignment="1" applyProtection="1">
      <alignment horizontal="left" vertical="center" wrapText="1"/>
      <protection hidden="1"/>
    </xf>
    <xf numFmtId="43" fontId="24" fillId="0" borderId="45" xfId="17" applyFont="1" applyFill="1" applyBorder="1" applyAlignment="1" applyProtection="1">
      <alignment horizontal="right" vertical="center" wrapText="1"/>
      <protection hidden="1"/>
    </xf>
    <xf numFmtId="0" fontId="23" fillId="0" borderId="41" xfId="0" applyFont="1" applyFill="1" applyBorder="1" applyAlignment="1" applyProtection="1">
      <alignment vertical="center"/>
      <protection hidden="1"/>
    </xf>
    <xf numFmtId="0" fontId="24" fillId="0" borderId="43" xfId="0" applyFont="1" applyFill="1" applyBorder="1" applyAlignment="1" applyProtection="1">
      <alignment horizontal="lef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0" fontId="24" fillId="0" borderId="46" xfId="0" applyFont="1" applyFill="1" applyBorder="1" applyAlignment="1" applyProtection="1">
      <alignment horizontal="left" vertical="center" wrapText="1"/>
      <protection hidden="1"/>
    </xf>
    <xf numFmtId="0" fontId="23" fillId="0" borderId="0" xfId="0" applyFont="1" applyFill="1" applyAlignment="1" applyProtection="1">
      <alignment vertical="center"/>
      <protection hidden="1"/>
    </xf>
    <xf numFmtId="0" fontId="23" fillId="0" borderId="0" xfId="0" applyFont="1" applyFill="1" applyAlignment="1" applyProtection="1">
      <alignment horizontal="left" vertical="center" wrapText="1"/>
      <protection hidden="1"/>
    </xf>
    <xf numFmtId="0" fontId="51" fillId="5" borderId="49" xfId="0" applyFont="1" applyFill="1" applyBorder="1" applyAlignment="1" applyProtection="1">
      <alignment horizontal="center" vertical="center" wrapText="1"/>
      <protection hidden="1"/>
    </xf>
    <xf numFmtId="0" fontId="45" fillId="16" borderId="49" xfId="0" applyFont="1" applyFill="1" applyBorder="1" applyAlignment="1" applyProtection="1">
      <alignment horizontal="center" vertical="center" wrapText="1"/>
      <protection hidden="1"/>
    </xf>
    <xf numFmtId="9" fontId="46" fillId="5" borderId="49" xfId="0" quotePrefix="1" applyNumberFormat="1" applyFont="1" applyFill="1" applyBorder="1" applyAlignment="1" applyProtection="1">
      <alignment horizontal="center" vertical="center" wrapText="1"/>
      <protection hidden="1"/>
    </xf>
    <xf numFmtId="9" fontId="46" fillId="16" borderId="49" xfId="0" quotePrefix="1" applyNumberFormat="1" applyFont="1" applyFill="1" applyBorder="1" applyAlignment="1" applyProtection="1">
      <alignment horizontal="center" vertical="center" wrapText="1"/>
      <protection hidden="1"/>
    </xf>
    <xf numFmtId="43" fontId="24" fillId="13" borderId="49" xfId="17" applyNumberFormat="1" applyFont="1" applyFill="1" applyBorder="1" applyAlignment="1" applyProtection="1">
      <alignment horizontal="center" vertical="center" wrapText="1"/>
      <protection hidden="1"/>
    </xf>
    <xf numFmtId="43" fontId="24" fillId="12" borderId="49" xfId="17" applyNumberFormat="1" applyFont="1" applyFill="1" applyBorder="1" applyAlignment="1" applyProtection="1">
      <alignment horizontal="center" vertical="center" wrapText="1"/>
      <protection hidden="1"/>
    </xf>
    <xf numFmtId="43" fontId="24" fillId="2" borderId="49" xfId="17" applyNumberFormat="1" applyFont="1" applyFill="1" applyBorder="1" applyAlignment="1" applyProtection="1">
      <alignment horizontal="center" vertical="center" wrapText="1"/>
      <protection hidden="1"/>
    </xf>
    <xf numFmtId="0" fontId="24" fillId="0" borderId="50" xfId="0" applyFont="1" applyBorder="1" applyAlignment="1" applyProtection="1">
      <alignment horizontal="left" vertical="center" wrapText="1"/>
      <protection hidden="1"/>
    </xf>
    <xf numFmtId="43" fontId="24" fillId="2" borderId="51" xfId="17" applyFont="1" applyFill="1" applyBorder="1" applyAlignment="1" applyProtection="1">
      <alignment horizontal="center" vertical="center" wrapText="1"/>
      <protection hidden="1"/>
    </xf>
    <xf numFmtId="43" fontId="24" fillId="13" borderId="51" xfId="17" applyFont="1" applyFill="1" applyBorder="1" applyAlignment="1" applyProtection="1">
      <alignment horizontal="center" vertical="center" wrapText="1"/>
      <protection hidden="1"/>
    </xf>
    <xf numFmtId="43" fontId="25" fillId="0" borderId="41" xfId="17" applyFont="1" applyFill="1" applyBorder="1" applyAlignment="1" applyProtection="1">
      <alignment vertical="center" wrapText="1"/>
      <protection hidden="1"/>
    </xf>
    <xf numFmtId="43" fontId="24" fillId="0" borderId="52" xfId="17" applyFont="1" applyFill="1" applyBorder="1" applyAlignment="1" applyProtection="1">
      <alignment vertical="center" wrapText="1"/>
      <protection hidden="1"/>
    </xf>
    <xf numFmtId="0" fontId="36" fillId="0" borderId="0" xfId="0" applyFont="1" applyFill="1" applyAlignment="1" applyProtection="1">
      <alignment vertical="center"/>
      <protection hidden="1"/>
    </xf>
    <xf numFmtId="0" fontId="46" fillId="6" borderId="53" xfId="0" applyFont="1" applyFill="1" applyBorder="1" applyAlignment="1" applyProtection="1">
      <alignment horizontal="center" vertical="center" wrapText="1"/>
      <protection hidden="1"/>
    </xf>
    <xf numFmtId="0" fontId="46" fillId="6" borderId="54" xfId="0" applyFont="1" applyFill="1" applyBorder="1" applyAlignment="1" applyProtection="1">
      <alignment horizontal="center" vertical="center" wrapText="1"/>
      <protection hidden="1"/>
    </xf>
    <xf numFmtId="0" fontId="46" fillId="6" borderId="55" xfId="0" applyFont="1" applyFill="1" applyBorder="1" applyAlignment="1" applyProtection="1">
      <alignment horizontal="center" vertical="center" wrapText="1"/>
      <protection hidden="1"/>
    </xf>
    <xf numFmtId="4" fontId="23" fillId="0" borderId="42" xfId="0" applyNumberFormat="1" applyFont="1" applyBorder="1" applyAlignment="1" applyProtection="1">
      <alignment vertical="center"/>
      <protection hidden="1"/>
    </xf>
    <xf numFmtId="4" fontId="23" fillId="0" borderId="41" xfId="0" applyNumberFormat="1" applyFont="1" applyFill="1" applyBorder="1" applyAlignment="1" applyProtection="1">
      <alignment horizontal="center" vertical="center"/>
      <protection hidden="1"/>
    </xf>
    <xf numFmtId="4" fontId="23" fillId="0" borderId="45" xfId="0" applyNumberFormat="1" applyFont="1" applyFill="1" applyBorder="1" applyAlignment="1" applyProtection="1">
      <alignment horizontal="center" vertical="center"/>
      <protection hidden="1"/>
    </xf>
    <xf numFmtId="0" fontId="23" fillId="0" borderId="42" xfId="0" applyFont="1" applyBorder="1" applyAlignment="1" applyProtection="1">
      <alignment horizontal="left" vertical="center" wrapText="1"/>
      <protection hidden="1"/>
    </xf>
    <xf numFmtId="4" fontId="23" fillId="0" borderId="41" xfId="0" applyNumberFormat="1" applyFont="1" applyBorder="1" applyAlignment="1" applyProtection="1">
      <alignment horizontal="center" vertical="center"/>
      <protection hidden="1"/>
    </xf>
    <xf numFmtId="4" fontId="23" fillId="0" borderId="45" xfId="0" applyNumberFormat="1" applyFont="1" applyBorder="1" applyAlignment="1" applyProtection="1">
      <alignment horizontal="center" vertical="center"/>
      <protection hidden="1"/>
    </xf>
    <xf numFmtId="4" fontId="45" fillId="17" borderId="42" xfId="0" applyNumberFormat="1" applyFont="1" applyFill="1" applyBorder="1" applyAlignment="1" applyProtection="1">
      <alignment horizontal="left" vertical="center" wrapText="1"/>
      <protection hidden="1"/>
    </xf>
    <xf numFmtId="4" fontId="45" fillId="17" borderId="41" xfId="0" applyNumberFormat="1" applyFont="1" applyFill="1" applyBorder="1" applyAlignment="1" applyProtection="1">
      <alignment horizontal="center" vertical="center" wrapText="1"/>
      <protection hidden="1"/>
    </xf>
    <xf numFmtId="4" fontId="45" fillId="17" borderId="45" xfId="0" applyNumberFormat="1" applyFont="1" applyFill="1" applyBorder="1" applyAlignment="1" applyProtection="1">
      <alignment horizontal="center" vertical="center" wrapText="1"/>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4" fontId="23" fillId="0" borderId="43" xfId="0" applyNumberFormat="1" applyFont="1" applyBorder="1" applyAlignment="1" applyProtection="1">
      <alignment vertical="center"/>
      <protection hidden="1"/>
    </xf>
    <xf numFmtId="4" fontId="24" fillId="0" borderId="44" xfId="0" applyNumberFormat="1" applyFont="1" applyFill="1" applyBorder="1" applyAlignment="1" applyProtection="1">
      <alignment horizontal="center" vertical="center"/>
      <protection hidden="1"/>
    </xf>
    <xf numFmtId="4" fontId="24" fillId="0" borderId="47" xfId="0" applyNumberFormat="1" applyFont="1" applyFill="1" applyBorder="1" applyAlignment="1" applyProtection="1">
      <alignment horizontal="center" vertical="center"/>
      <protection hidden="1"/>
    </xf>
    <xf numFmtId="4" fontId="23" fillId="0" borderId="46" xfId="0" applyNumberFormat="1" applyFont="1" applyBorder="1" applyAlignment="1" applyProtection="1">
      <alignment vertical="center"/>
      <protection hidden="1"/>
    </xf>
    <xf numFmtId="4" fontId="23" fillId="0" borderId="52" xfId="0" applyNumberFormat="1" applyFont="1" applyFill="1" applyBorder="1" applyAlignment="1" applyProtection="1">
      <alignment horizontal="center" vertical="center"/>
      <protection hidden="1"/>
    </xf>
    <xf numFmtId="4" fontId="23" fillId="0" borderId="48" xfId="0" applyNumberFormat="1" applyFont="1" applyFill="1" applyBorder="1" applyAlignment="1" applyProtection="1">
      <alignment horizontal="center" vertical="center"/>
      <protection hidden="1"/>
    </xf>
    <xf numFmtId="15" fontId="46" fillId="5" borderId="43" xfId="0" quotePrefix="1" applyNumberFormat="1" applyFont="1" applyFill="1" applyBorder="1" applyAlignment="1" applyProtection="1">
      <alignment horizontal="center" vertical="center" wrapText="1"/>
      <protection hidden="1"/>
    </xf>
    <xf numFmtId="0" fontId="23" fillId="0" borderId="42" xfId="0" applyFont="1" applyBorder="1" applyAlignment="1" applyProtection="1">
      <alignment vertical="center"/>
      <protection hidden="1"/>
    </xf>
    <xf numFmtId="0" fontId="46" fillId="6" borderId="53" xfId="0" applyFont="1" applyFill="1" applyBorder="1" applyAlignment="1" applyProtection="1">
      <alignment horizontal="center" vertical="center"/>
      <protection hidden="1"/>
    </xf>
    <xf numFmtId="4" fontId="23" fillId="0" borderId="45" xfId="0" applyNumberFormat="1" applyFont="1" applyFill="1" applyBorder="1" applyAlignment="1" applyProtection="1">
      <alignment vertical="center"/>
      <protection hidden="1"/>
    </xf>
    <xf numFmtId="0" fontId="23" fillId="12" borderId="42" xfId="0" quotePrefix="1" applyFont="1" applyFill="1" applyBorder="1" applyAlignment="1" applyProtection="1">
      <alignment horizontal="left" vertical="center"/>
      <protection hidden="1"/>
    </xf>
    <xf numFmtId="43" fontId="24" fillId="0" borderId="41" xfId="17" applyNumberFormat="1" applyFont="1" applyFill="1" applyBorder="1" applyAlignment="1" applyProtection="1">
      <alignment horizontal="right" vertical="center" wrapText="1"/>
      <protection hidden="1"/>
    </xf>
    <xf numFmtId="167" fontId="24" fillId="13" borderId="49" xfId="17" applyNumberFormat="1" applyFont="1" applyFill="1" applyBorder="1" applyAlignment="1" applyProtection="1">
      <alignment horizontal="center" vertical="center" wrapText="1"/>
      <protection hidden="1"/>
    </xf>
    <xf numFmtId="167" fontId="24" fillId="0" borderId="56" xfId="17" applyNumberFormat="1" applyFont="1" applyBorder="1" applyAlignment="1" applyProtection="1">
      <alignment horizontal="left" vertical="center" wrapText="1"/>
      <protection hidden="1"/>
    </xf>
    <xf numFmtId="167" fontId="24" fillId="13" borderId="57" xfId="17" applyNumberFormat="1" applyFont="1" applyFill="1" applyBorder="1" applyAlignment="1" applyProtection="1">
      <alignment horizontal="center" vertical="center" wrapText="1"/>
      <protection hidden="1"/>
    </xf>
    <xf numFmtId="167" fontId="23" fillId="12" borderId="0" xfId="17" applyNumberFormat="1" applyFont="1" applyFill="1" applyBorder="1" applyAlignment="1" applyProtection="1">
      <alignment horizontal="center" vertical="center"/>
      <protection hidden="1"/>
    </xf>
    <xf numFmtId="167" fontId="23" fillId="0" borderId="0" xfId="17" applyNumberFormat="1" applyFont="1" applyBorder="1" applyAlignment="1" applyProtection="1">
      <alignment horizontal="center" vertical="center"/>
      <protection hidden="1"/>
    </xf>
    <xf numFmtId="167" fontId="24" fillId="0" borderId="58" xfId="17" applyNumberFormat="1" applyFont="1" applyBorder="1" applyAlignment="1" applyProtection="1">
      <alignment horizontal="left" vertical="center" wrapText="1"/>
      <protection hidden="1"/>
    </xf>
    <xf numFmtId="167" fontId="24" fillId="2" borderId="49" xfId="17" applyNumberFormat="1" applyFont="1" applyFill="1" applyBorder="1" applyAlignment="1" applyProtection="1">
      <alignment horizontal="center" vertical="center" wrapText="1"/>
      <protection hidden="1"/>
    </xf>
    <xf numFmtId="167" fontId="24" fillId="0" borderId="49" xfId="17" applyNumberFormat="1" applyFont="1" applyFill="1" applyBorder="1" applyAlignment="1" applyProtection="1">
      <alignment horizontal="center" vertical="center" wrapText="1"/>
      <protection hidden="1"/>
    </xf>
    <xf numFmtId="43" fontId="24" fillId="12" borderId="49" xfId="17" applyNumberFormat="1" applyFont="1" applyFill="1" applyBorder="1" applyAlignment="1" applyProtection="1">
      <alignment horizontal="center" wrapText="1"/>
      <protection hidden="1"/>
    </xf>
    <xf numFmtId="43" fontId="24" fillId="0" borderId="58" xfId="17" applyNumberFormat="1" applyFont="1" applyBorder="1" applyAlignment="1" applyProtection="1">
      <alignment horizontal="left" vertical="center" wrapText="1"/>
      <protection hidden="1"/>
    </xf>
    <xf numFmtId="43" fontId="23" fillId="12" borderId="0" xfId="17" applyNumberFormat="1" applyFont="1" applyFill="1" applyBorder="1" applyAlignment="1" applyProtection="1">
      <alignment horizontal="center" vertical="center"/>
      <protection hidden="1"/>
    </xf>
    <xf numFmtId="43" fontId="23" fillId="0" borderId="0" xfId="17" applyNumberFormat="1" applyFont="1" applyBorder="1" applyAlignment="1" applyProtection="1">
      <alignment horizontal="center" vertical="center"/>
      <protection hidden="1"/>
    </xf>
    <xf numFmtId="4" fontId="23" fillId="12" borderId="42" xfId="0" applyNumberFormat="1" applyFont="1" applyFill="1" applyBorder="1" applyAlignment="1" applyProtection="1">
      <alignment vertical="center" wrapText="1"/>
      <protection hidden="1"/>
    </xf>
    <xf numFmtId="0" fontId="23" fillId="12" borderId="0" xfId="21" applyFont="1" applyFill="1" applyProtection="1">
      <protection hidden="1"/>
    </xf>
    <xf numFmtId="0" fontId="38" fillId="0" borderId="0" xfId="0" applyFont="1" applyAlignment="1">
      <alignment horizontal="center" vertical="center"/>
    </xf>
    <xf numFmtId="0" fontId="38"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8" fillId="0" borderId="2" xfId="0" applyFont="1" applyBorder="1" applyAlignment="1">
      <alignment vertical="center"/>
    </xf>
    <xf numFmtId="43" fontId="0" fillId="0" borderId="2" xfId="17" applyFont="1" applyBorder="1" applyAlignment="1">
      <alignment horizontal="center" vertical="center"/>
    </xf>
    <xf numFmtId="43" fontId="12" fillId="0" borderId="2" xfId="17" applyFont="1" applyBorder="1" applyAlignment="1">
      <alignment horizontal="center" vertical="center"/>
    </xf>
    <xf numFmtId="0" fontId="53" fillId="18" borderId="2" xfId="0" applyFont="1" applyFill="1" applyBorder="1" applyAlignment="1">
      <alignment horizontal="center" vertical="center"/>
    </xf>
    <xf numFmtId="0" fontId="54" fillId="18" borderId="2" xfId="0" applyFont="1" applyFill="1" applyBorder="1" applyAlignment="1">
      <alignment horizontal="center" vertical="center"/>
    </xf>
    <xf numFmtId="0" fontId="42" fillId="0" borderId="0" xfId="0" applyFont="1" applyAlignment="1">
      <alignment horizontal="center" vertical="center"/>
    </xf>
    <xf numFmtId="0" fontId="54" fillId="19" borderId="2" xfId="0" applyFont="1" applyFill="1" applyBorder="1" applyAlignment="1">
      <alignment horizontal="center" vertical="center"/>
    </xf>
    <xf numFmtId="37" fontId="23" fillId="0" borderId="3" xfId="23" applyNumberFormat="1" applyFont="1" applyBorder="1" applyProtection="1"/>
    <xf numFmtId="37" fontId="23" fillId="0" borderId="4" xfId="23" applyNumberFormat="1" applyFont="1" applyBorder="1" applyProtection="1"/>
    <xf numFmtId="37" fontId="23" fillId="7" borderId="4" xfId="23" applyNumberFormat="1" applyFont="1" applyFill="1" applyBorder="1" applyProtection="1"/>
    <xf numFmtId="0" fontId="21" fillId="0" borderId="5" xfId="23" applyNumberFormat="1" applyFont="1" applyBorder="1" applyAlignment="1" applyProtection="1">
      <alignment horizontal="center"/>
    </xf>
    <xf numFmtId="4" fontId="12" fillId="3" borderId="5" xfId="21" applyNumberFormat="1" applyFill="1" applyBorder="1"/>
    <xf numFmtId="4" fontId="12" fillId="0" borderId="6" xfId="21" applyNumberFormat="1" applyBorder="1"/>
    <xf numFmtId="4" fontId="12" fillId="0" borderId="3" xfId="21" applyNumberFormat="1" applyBorder="1"/>
    <xf numFmtId="4" fontId="12" fillId="4" borderId="5" xfId="21" applyNumberFormat="1" applyFill="1" applyBorder="1"/>
    <xf numFmtId="4" fontId="12" fillId="0" borderId="5" xfId="21" applyNumberFormat="1" applyBorder="1"/>
    <xf numFmtId="4" fontId="12" fillId="20" borderId="6" xfId="21" applyNumberFormat="1" applyFill="1" applyBorder="1"/>
    <xf numFmtId="0" fontId="21" fillId="0" borderId="7" xfId="23" applyNumberFormat="1" applyFont="1" applyBorder="1" applyAlignment="1" applyProtection="1">
      <alignment horizontal="center"/>
    </xf>
    <xf numFmtId="4" fontId="12" fillId="3" borderId="7" xfId="21" applyNumberFormat="1" applyFill="1" applyBorder="1"/>
    <xf numFmtId="4" fontId="12" fillId="0" borderId="0" xfId="21" applyNumberFormat="1" applyBorder="1"/>
    <xf numFmtId="4" fontId="12" fillId="0" borderId="4" xfId="21" applyNumberFormat="1" applyBorder="1"/>
    <xf numFmtId="4" fontId="12" fillId="4" borderId="7" xfId="21" applyNumberFormat="1" applyFill="1" applyBorder="1"/>
    <xf numFmtId="4" fontId="12" fillId="0" borderId="7" xfId="21" applyNumberFormat="1" applyBorder="1"/>
    <xf numFmtId="4" fontId="12" fillId="20" borderId="0" xfId="21" applyNumberFormat="1" applyFill="1" applyBorder="1"/>
    <xf numFmtId="0" fontId="21" fillId="7" borderId="7" xfId="23" applyNumberFormat="1" applyFont="1" applyFill="1" applyBorder="1" applyAlignment="1" applyProtection="1">
      <alignment horizontal="center"/>
    </xf>
    <xf numFmtId="4" fontId="12" fillId="7" borderId="7" xfId="21" applyNumberFormat="1" applyFill="1" applyBorder="1"/>
    <xf numFmtId="4" fontId="12" fillId="7" borderId="0" xfId="21" applyNumberFormat="1" applyFill="1" applyBorder="1"/>
    <xf numFmtId="4" fontId="12" fillId="7" borderId="4" xfId="21" applyNumberFormat="1" applyFill="1" applyBorder="1"/>
    <xf numFmtId="4" fontId="12" fillId="3" borderId="0" xfId="21" applyNumberFormat="1" applyFill="1" applyBorder="1"/>
    <xf numFmtId="0" fontId="12" fillId="7" borderId="0" xfId="21" applyFill="1"/>
    <xf numFmtId="0" fontId="12" fillId="7" borderId="0" xfId="21" applyFill="1" applyAlignment="1">
      <alignment horizontal="left"/>
    </xf>
    <xf numFmtId="0" fontId="12" fillId="8" borderId="0" xfId="21" applyFill="1"/>
    <xf numFmtId="4" fontId="12" fillId="4" borderId="0" xfId="21" applyNumberFormat="1" applyFill="1" applyBorder="1"/>
    <xf numFmtId="4" fontId="12" fillId="19" borderId="0" xfId="21" applyNumberFormat="1" applyFill="1" applyBorder="1"/>
    <xf numFmtId="0" fontId="24" fillId="0" borderId="64" xfId="0" applyFont="1" applyFill="1" applyBorder="1" applyAlignment="1" applyProtection="1">
      <alignment horizontal="left" vertical="center" wrapText="1"/>
      <protection hidden="1"/>
    </xf>
    <xf numFmtId="0" fontId="24" fillId="0" borderId="65" xfId="0" applyFont="1" applyFill="1" applyBorder="1" applyAlignment="1" applyProtection="1">
      <alignment horizontal="left" vertical="center" wrapText="1"/>
      <protection hidden="1"/>
    </xf>
    <xf numFmtId="43" fontId="24" fillId="0" borderId="52" xfId="17" applyFont="1" applyFill="1" applyBorder="1" applyAlignment="1" applyProtection="1">
      <alignment horizontal="center" vertical="center" wrapText="1"/>
      <protection hidden="1"/>
    </xf>
    <xf numFmtId="15" fontId="55" fillId="5" borderId="51" xfId="0" quotePrefix="1" applyNumberFormat="1" applyFont="1" applyFill="1" applyBorder="1" applyAlignment="1" applyProtection="1">
      <alignment horizontal="center" vertical="center" wrapText="1"/>
      <protection hidden="1"/>
    </xf>
    <xf numFmtId="15" fontId="55" fillId="16" borderId="51" xfId="0" quotePrefix="1" applyNumberFormat="1" applyFont="1" applyFill="1" applyBorder="1" applyAlignment="1" applyProtection="1">
      <alignment horizontal="center" vertical="center" wrapText="1"/>
      <protection hidden="1"/>
    </xf>
    <xf numFmtId="0" fontId="50" fillId="6" borderId="0" xfId="0" applyFont="1" applyFill="1" applyBorder="1" applyAlignment="1" applyProtection="1">
      <alignment horizontal="center" vertical="center"/>
      <protection hidden="1"/>
    </xf>
    <xf numFmtId="15" fontId="56" fillId="5" borderId="44" xfId="0" applyNumberFormat="1" applyFont="1" applyFill="1" applyBorder="1" applyAlignment="1" applyProtection="1">
      <alignment horizontal="center" vertical="center" wrapText="1"/>
      <protection hidden="1"/>
    </xf>
    <xf numFmtId="15" fontId="56" fillId="5" borderId="44" xfId="0" quotePrefix="1" applyNumberFormat="1" applyFont="1" applyFill="1" applyBorder="1" applyAlignment="1" applyProtection="1">
      <alignment horizontal="center" vertical="center" wrapText="1"/>
      <protection hidden="1"/>
    </xf>
    <xf numFmtId="15" fontId="56" fillId="5" borderId="66" xfId="0" applyNumberFormat="1" applyFont="1" applyFill="1" applyBorder="1" applyAlignment="1" applyProtection="1">
      <alignment horizontal="center" vertical="center" wrapText="1"/>
      <protection hidden="1"/>
    </xf>
    <xf numFmtId="0" fontId="57" fillId="0" borderId="0" xfId="0" applyFont="1"/>
    <xf numFmtId="9" fontId="58" fillId="0" borderId="0" xfId="25" applyFont="1" applyFill="1" applyBorder="1" applyAlignment="1" applyProtection="1">
      <alignment horizontal="center" vertical="center"/>
      <protection hidden="1"/>
    </xf>
    <xf numFmtId="9" fontId="58" fillId="0" borderId="0" xfId="0" applyNumberFormat="1" applyFont="1" applyFill="1" applyAlignment="1" applyProtection="1">
      <alignment horizontal="center" vertical="center"/>
      <protection hidden="1"/>
    </xf>
    <xf numFmtId="168" fontId="20" fillId="2" borderId="7" xfId="23" applyNumberFormat="1" applyFont="1" applyFill="1" applyBorder="1" applyProtection="1"/>
    <xf numFmtId="0" fontId="20" fillId="2" borderId="0" xfId="23" applyFont="1" applyFill="1" applyBorder="1"/>
    <xf numFmtId="0" fontId="12" fillId="2" borderId="0" xfId="21" applyFill="1" applyBorder="1"/>
    <xf numFmtId="0" fontId="12" fillId="12" borderId="0" xfId="21" applyFill="1"/>
    <xf numFmtId="0" fontId="12" fillId="0" borderId="0" xfId="21"/>
    <xf numFmtId="37" fontId="34" fillId="9" borderId="0" xfId="23" applyNumberFormat="1" applyFont="1" applyFill="1" applyBorder="1" applyAlignment="1" applyProtection="1">
      <alignment horizontal="centerContinuous"/>
    </xf>
    <xf numFmtId="0" fontId="12" fillId="2" borderId="0" xfId="21" applyFill="1" applyAlignment="1">
      <alignment horizontal="centerContinuous"/>
    </xf>
    <xf numFmtId="0" fontId="39" fillId="10" borderId="5" xfId="21" applyFont="1" applyFill="1" applyBorder="1"/>
    <xf numFmtId="0" fontId="40" fillId="10" borderId="6" xfId="21" applyFont="1" applyFill="1" applyBorder="1" applyAlignment="1">
      <alignment horizontal="right"/>
    </xf>
    <xf numFmtId="10" fontId="40" fillId="10" borderId="3" xfId="26" applyNumberFormat="1" applyFont="1" applyFill="1" applyBorder="1" applyAlignment="1">
      <alignment horizontal="center"/>
    </xf>
    <xf numFmtId="0" fontId="40" fillId="10" borderId="6" xfId="21" quotePrefix="1" applyFont="1" applyFill="1" applyBorder="1" applyAlignment="1">
      <alignment horizontal="right"/>
    </xf>
    <xf numFmtId="0" fontId="12" fillId="0" borderId="8" xfId="21" applyBorder="1"/>
    <xf numFmtId="0" fontId="12" fillId="0" borderId="9" xfId="21" applyBorder="1"/>
    <xf numFmtId="49" fontId="41" fillId="11" borderId="10" xfId="21" applyNumberFormat="1" applyFont="1" applyFill="1" applyBorder="1" applyAlignment="1">
      <alignment horizontal="center" wrapText="1"/>
    </xf>
    <xf numFmtId="49" fontId="41" fillId="0" borderId="10" xfId="21" applyNumberFormat="1" applyFont="1" applyBorder="1" applyAlignment="1">
      <alignment horizontal="center" wrapText="1"/>
    </xf>
    <xf numFmtId="49" fontId="41" fillId="20" borderId="10" xfId="21" applyNumberFormat="1" applyFont="1" applyFill="1" applyBorder="1" applyAlignment="1">
      <alignment horizontal="center" wrapText="1"/>
    </xf>
    <xf numFmtId="168" fontId="20" fillId="0" borderId="5" xfId="23" applyNumberFormat="1" applyFont="1" applyBorder="1" applyProtection="1"/>
    <xf numFmtId="37" fontId="23" fillId="0" borderId="3" xfId="23" quotePrefix="1" applyNumberFormat="1" applyFont="1" applyBorder="1" applyAlignment="1" applyProtection="1">
      <alignment horizontal="left"/>
    </xf>
    <xf numFmtId="37" fontId="23" fillId="0" borderId="4" xfId="23" quotePrefix="1" applyNumberFormat="1" applyFont="1" applyBorder="1" applyAlignment="1" applyProtection="1">
      <alignment horizontal="left"/>
    </xf>
    <xf numFmtId="0" fontId="21" fillId="0" borderId="11" xfId="23" applyNumberFormat="1" applyFont="1" applyBorder="1" applyAlignment="1" applyProtection="1">
      <alignment horizontal="center"/>
    </xf>
    <xf numFmtId="37" fontId="23" fillId="0" borderId="12" xfId="23" applyNumberFormat="1" applyFont="1" applyFill="1" applyBorder="1" applyProtection="1"/>
    <xf numFmtId="4" fontId="12" fillId="3" borderId="11" xfId="21" applyNumberFormat="1" applyFill="1" applyBorder="1"/>
    <xf numFmtId="4" fontId="12" fillId="0" borderId="13" xfId="21" applyNumberFormat="1" applyBorder="1"/>
    <xf numFmtId="4" fontId="12" fillId="0" borderId="12" xfId="21" applyNumberFormat="1" applyBorder="1"/>
    <xf numFmtId="4" fontId="12" fillId="4" borderId="11" xfId="21" applyNumberFormat="1" applyFill="1" applyBorder="1"/>
    <xf numFmtId="4" fontId="12" fillId="20" borderId="13" xfId="21" applyNumberFormat="1" applyFill="1" applyBorder="1"/>
    <xf numFmtId="168" fontId="20" fillId="0" borderId="7" xfId="23" applyNumberFormat="1" applyFont="1" applyBorder="1" applyProtection="1"/>
    <xf numFmtId="37" fontId="23" fillId="0" borderId="4" xfId="23" applyNumberFormat="1" applyFont="1" applyFill="1" applyBorder="1" applyProtection="1"/>
    <xf numFmtId="168" fontId="20" fillId="0" borderId="11" xfId="23" applyNumberFormat="1" applyFont="1" applyBorder="1" applyProtection="1"/>
    <xf numFmtId="4" fontId="12" fillId="0" borderId="11" xfId="21" applyNumberFormat="1" applyBorder="1"/>
    <xf numFmtId="0" fontId="21" fillId="7" borderId="11" xfId="23" applyNumberFormat="1" applyFont="1" applyFill="1" applyBorder="1" applyAlignment="1" applyProtection="1">
      <alignment horizontal="center"/>
    </xf>
    <xf numFmtId="37" fontId="23" fillId="7" borderId="12" xfId="23" applyNumberFormat="1" applyFont="1" applyFill="1" applyBorder="1" applyProtection="1"/>
    <xf numFmtId="4" fontId="12" fillId="7" borderId="11" xfId="21" applyNumberFormat="1" applyFill="1" applyBorder="1"/>
    <xf numFmtId="4" fontId="12" fillId="7" borderId="13" xfId="21" applyNumberFormat="1" applyFill="1" applyBorder="1"/>
    <xf numFmtId="4" fontId="12" fillId="7" borderId="12" xfId="21" applyNumberFormat="1" applyFill="1" applyBorder="1"/>
    <xf numFmtId="4" fontId="12" fillId="4" borderId="6" xfId="21" applyNumberFormat="1" applyFill="1" applyBorder="1"/>
    <xf numFmtId="37" fontId="23" fillId="0" borderId="12" xfId="23" quotePrefix="1" applyNumberFormat="1" applyFont="1" applyFill="1" applyBorder="1" applyAlignment="1" applyProtection="1">
      <alignment horizontal="left"/>
    </xf>
    <xf numFmtId="4" fontId="12" fillId="4" borderId="13" xfId="21" applyNumberFormat="1" applyFill="1" applyBorder="1"/>
    <xf numFmtId="4" fontId="12" fillId="0" borderId="0" xfId="21" applyNumberFormat="1"/>
    <xf numFmtId="37" fontId="23" fillId="0" borderId="12" xfId="23" applyNumberFormat="1" applyFont="1" applyBorder="1" applyProtection="1"/>
    <xf numFmtId="0" fontId="21" fillId="0" borderId="7" xfId="23" applyNumberFormat="1" applyFont="1" applyFill="1" applyBorder="1" applyAlignment="1" applyProtection="1">
      <alignment horizontal="center"/>
    </xf>
    <xf numFmtId="4" fontId="12" fillId="0" borderId="7" xfId="21" applyNumberFormat="1" applyFill="1" applyBorder="1"/>
    <xf numFmtId="4" fontId="12" fillId="0" borderId="0" xfId="21" applyNumberFormat="1" applyFill="1" applyBorder="1"/>
    <xf numFmtId="4" fontId="12" fillId="0" borderId="4" xfId="21" applyNumberFormat="1" applyFill="1" applyBorder="1"/>
    <xf numFmtId="4" fontId="12" fillId="0" borderId="11" xfId="21" applyNumberFormat="1" applyFill="1" applyBorder="1"/>
    <xf numFmtId="4" fontId="12" fillId="0" borderId="13" xfId="21" applyNumberFormat="1" applyFill="1" applyBorder="1"/>
    <xf numFmtId="4" fontId="12" fillId="0" borderId="12" xfId="21" applyNumberFormat="1" applyFill="1" applyBorder="1"/>
    <xf numFmtId="4" fontId="12" fillId="2" borderId="0" xfId="21" applyNumberFormat="1" applyFill="1" applyBorder="1"/>
    <xf numFmtId="37" fontId="23" fillId="2" borderId="0" xfId="23" applyNumberFormat="1" applyFont="1" applyFill="1" applyBorder="1" applyProtection="1"/>
    <xf numFmtId="4" fontId="12" fillId="21" borderId="0" xfId="21" applyNumberFormat="1" applyFill="1" applyBorder="1"/>
    <xf numFmtId="0" fontId="21" fillId="2" borderId="8" xfId="23" applyNumberFormat="1" applyFont="1" applyFill="1" applyBorder="1" applyAlignment="1" applyProtection="1">
      <alignment horizontal="center"/>
    </xf>
    <xf numFmtId="37" fontId="24" fillId="2" borderId="9" xfId="23" applyNumberFormat="1" applyFont="1" applyFill="1" applyBorder="1" applyProtection="1"/>
    <xf numFmtId="0" fontId="12" fillId="2" borderId="9" xfId="21" applyFill="1" applyBorder="1"/>
    <xf numFmtId="10" fontId="42" fillId="2" borderId="0" xfId="26" applyNumberFormat="1" applyFont="1" applyFill="1" applyAlignment="1">
      <alignment horizontal="center"/>
    </xf>
    <xf numFmtId="0" fontId="42" fillId="2" borderId="0" xfId="21" quotePrefix="1" applyFont="1" applyFill="1" applyAlignment="1">
      <alignment horizontal="right"/>
    </xf>
    <xf numFmtId="0" fontId="42" fillId="2" borderId="0" xfId="21" applyFont="1" applyFill="1" applyAlignment="1">
      <alignment horizontal="left"/>
    </xf>
    <xf numFmtId="10" fontId="12" fillId="0" borderId="0" xfId="21" applyNumberFormat="1"/>
    <xf numFmtId="0" fontId="12" fillId="2" borderId="14" xfId="21" applyFill="1" applyBorder="1"/>
    <xf numFmtId="0" fontId="38" fillId="2" borderId="10" xfId="21" applyFont="1" applyFill="1" applyBorder="1" applyAlignment="1">
      <alignment horizontal="center"/>
    </xf>
    <xf numFmtId="0" fontId="36" fillId="2" borderId="10" xfId="21" applyFont="1" applyFill="1" applyBorder="1"/>
    <xf numFmtId="0" fontId="12" fillId="2" borderId="10" xfId="21" applyFill="1" applyBorder="1"/>
    <xf numFmtId="0" fontId="36" fillId="2" borderId="10" xfId="21" applyFont="1" applyFill="1" applyBorder="1" applyAlignment="1">
      <alignment horizontal="centerContinuous"/>
    </xf>
    <xf numFmtId="0" fontId="12" fillId="2" borderId="10" xfId="21" applyFill="1" applyBorder="1" applyAlignment="1">
      <alignment horizontal="centerContinuous"/>
    </xf>
    <xf numFmtId="0" fontId="36" fillId="2" borderId="10" xfId="21" applyFont="1" applyFill="1" applyBorder="1" applyAlignment="1">
      <alignment horizontal="left"/>
    </xf>
    <xf numFmtId="0" fontId="12" fillId="2" borderId="8" xfId="21" applyFill="1" applyBorder="1" applyAlignment="1">
      <alignment horizontal="centerContinuous"/>
    </xf>
    <xf numFmtId="0" fontId="12" fillId="2" borderId="15" xfId="21" applyFill="1" applyBorder="1" applyAlignment="1">
      <alignment horizontal="centerContinuous"/>
    </xf>
    <xf numFmtId="0" fontId="12" fillId="2" borderId="9" xfId="21" applyFill="1" applyBorder="1" applyAlignment="1">
      <alignment horizontal="centerContinuous"/>
    </xf>
    <xf numFmtId="0" fontId="12" fillId="2" borderId="16" xfId="21" applyFill="1" applyBorder="1"/>
    <xf numFmtId="4" fontId="12" fillId="2" borderId="10" xfId="21" applyNumberFormat="1" applyFill="1" applyBorder="1"/>
    <xf numFmtId="0" fontId="12" fillId="2" borderId="8" xfId="21" applyFill="1" applyBorder="1"/>
    <xf numFmtId="4" fontId="12" fillId="2" borderId="15" xfId="21" applyNumberFormat="1" applyFill="1" applyBorder="1"/>
    <xf numFmtId="4" fontId="12" fillId="2" borderId="15" xfId="21" applyNumberFormat="1" applyFill="1" applyBorder="1" applyAlignment="1">
      <alignment horizontal="centerContinuous"/>
    </xf>
    <xf numFmtId="4" fontId="12" fillId="2" borderId="9" xfId="21" applyNumberFormat="1" applyFill="1" applyBorder="1" applyAlignment="1">
      <alignment horizontal="centerContinuous"/>
    </xf>
    <xf numFmtId="0" fontId="12" fillId="2" borderId="15" xfId="21" applyFill="1" applyBorder="1"/>
    <xf numFmtId="4" fontId="12" fillId="2" borderId="0" xfId="21" applyNumberFormat="1" applyFill="1"/>
    <xf numFmtId="0" fontId="12" fillId="2" borderId="17" xfId="21" applyFill="1" applyBorder="1"/>
    <xf numFmtId="0" fontId="38" fillId="2" borderId="17" xfId="21" applyFont="1" applyFill="1" applyBorder="1" applyAlignment="1">
      <alignment horizontal="center"/>
    </xf>
    <xf numFmtId="0" fontId="36" fillId="2" borderId="17" xfId="21" applyFont="1" applyFill="1" applyBorder="1"/>
    <xf numFmtId="4" fontId="12" fillId="2" borderId="17" xfId="21" applyNumberFormat="1" applyFill="1" applyBorder="1"/>
    <xf numFmtId="0" fontId="12" fillId="2" borderId="18" xfId="21" applyFill="1" applyBorder="1" applyAlignment="1">
      <alignment horizontal="centerContinuous"/>
    </xf>
    <xf numFmtId="0" fontId="12" fillId="2" borderId="19" xfId="21" applyFill="1" applyBorder="1" applyAlignment="1">
      <alignment horizontal="centerContinuous"/>
    </xf>
    <xf numFmtId="0" fontId="36" fillId="2" borderId="17" xfId="21" applyFont="1" applyFill="1" applyBorder="1" applyAlignment="1">
      <alignment horizontal="centerContinuous"/>
    </xf>
    <xf numFmtId="0" fontId="12" fillId="2" borderId="17" xfId="21" applyFill="1" applyBorder="1" applyAlignment="1">
      <alignment horizontal="centerContinuous"/>
    </xf>
    <xf numFmtId="2" fontId="12" fillId="12" borderId="0" xfId="21" applyNumberFormat="1" applyFill="1"/>
    <xf numFmtId="0" fontId="12" fillId="2" borderId="20" xfId="21" applyFill="1" applyBorder="1"/>
    <xf numFmtId="0" fontId="12" fillId="2" borderId="21" xfId="21" applyFill="1" applyBorder="1"/>
    <xf numFmtId="4" fontId="12" fillId="2" borderId="21" xfId="21" applyNumberFormat="1" applyFill="1" applyBorder="1"/>
    <xf numFmtId="0" fontId="12" fillId="2" borderId="22" xfId="21" applyFill="1" applyBorder="1"/>
    <xf numFmtId="0" fontId="12" fillId="2" borderId="23" xfId="21" applyFill="1" applyBorder="1"/>
    <xf numFmtId="0" fontId="36" fillId="2" borderId="21" xfId="21" applyFont="1" applyFill="1" applyBorder="1" applyAlignment="1">
      <alignment horizontal="centerContinuous"/>
    </xf>
    <xf numFmtId="4" fontId="12" fillId="2" borderId="24" xfId="21" applyNumberFormat="1" applyFill="1" applyBorder="1" applyAlignment="1">
      <alignment horizontal="centerContinuous"/>
    </xf>
    <xf numFmtId="4" fontId="12" fillId="2" borderId="25" xfId="21" applyNumberFormat="1" applyFill="1" applyBorder="1" applyAlignment="1">
      <alignment horizontal="centerContinuous"/>
    </xf>
    <xf numFmtId="0" fontId="36" fillId="2" borderId="21" xfId="21" applyFont="1" applyFill="1" applyBorder="1" applyAlignment="1">
      <alignment horizontal="left"/>
    </xf>
    <xf numFmtId="0" fontId="12" fillId="2" borderId="26" xfId="21" applyFill="1" applyBorder="1"/>
    <xf numFmtId="0" fontId="12" fillId="2" borderId="27" xfId="21" applyFill="1" applyBorder="1"/>
    <xf numFmtId="0" fontId="12" fillId="2" borderId="28" xfId="21" applyFill="1" applyBorder="1"/>
    <xf numFmtId="4" fontId="12" fillId="2" borderId="28" xfId="21" applyNumberFormat="1" applyFill="1" applyBorder="1"/>
    <xf numFmtId="4" fontId="12" fillId="2" borderId="29" xfId="21" applyNumberFormat="1" applyFill="1" applyBorder="1"/>
    <xf numFmtId="4" fontId="12" fillId="2" borderId="30" xfId="21" applyNumberFormat="1" applyFill="1" applyBorder="1"/>
    <xf numFmtId="0" fontId="38" fillId="2" borderId="0" xfId="21" quotePrefix="1" applyFont="1" applyFill="1" applyAlignment="1">
      <alignment horizontal="left"/>
    </xf>
    <xf numFmtId="0" fontId="12" fillId="2" borderId="0" xfId="21" quotePrefix="1" applyFill="1" applyAlignment="1">
      <alignment horizontal="left"/>
    </xf>
    <xf numFmtId="2" fontId="12" fillId="0" borderId="0" xfId="21" applyNumberFormat="1" applyFill="1"/>
    <xf numFmtId="0" fontId="21" fillId="2" borderId="0" xfId="21" applyFont="1" applyFill="1"/>
    <xf numFmtId="169" fontId="12" fillId="2" borderId="0" xfId="21" applyNumberFormat="1" applyFill="1"/>
    <xf numFmtId="170" fontId="12" fillId="2" borderId="0" xfId="21" applyNumberFormat="1" applyFill="1"/>
    <xf numFmtId="9" fontId="12" fillId="12" borderId="0" xfId="25" applyFont="1" applyFill="1"/>
    <xf numFmtId="0" fontId="43"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3" fillId="2" borderId="2" xfId="0" applyFont="1" applyFill="1" applyBorder="1" applyAlignment="1" applyProtection="1">
      <alignment vertical="center"/>
      <protection hidden="1"/>
    </xf>
    <xf numFmtId="4" fontId="23" fillId="2" borderId="2" xfId="0" applyNumberFormat="1" applyFont="1" applyFill="1" applyBorder="1" applyAlignment="1" applyProtection="1">
      <alignment vertical="center"/>
      <protection hidden="1"/>
    </xf>
    <xf numFmtId="0" fontId="23" fillId="20" borderId="2" xfId="0" applyFont="1" applyFill="1" applyBorder="1" applyAlignment="1" applyProtection="1">
      <alignment horizontal="center" vertical="center"/>
      <protection hidden="1"/>
    </xf>
    <xf numFmtId="43" fontId="20" fillId="0" borderId="0" xfId="17" applyFont="1"/>
    <xf numFmtId="0" fontId="0" fillId="0" borderId="0" xfId="0" applyAlignment="1">
      <alignment vertical="top" wrapText="1"/>
    </xf>
    <xf numFmtId="17" fontId="46" fillId="6" borderId="39" xfId="0" applyNumberFormat="1" applyFont="1" applyFill="1" applyBorder="1" applyAlignment="1" applyProtection="1">
      <alignment horizontal="center" vertical="center" wrapText="1"/>
      <protection hidden="1"/>
    </xf>
    <xf numFmtId="166" fontId="48" fillId="2" borderId="0" xfId="24" applyFont="1" applyFill="1" applyAlignment="1" applyProtection="1">
      <alignment horizontal="left" vertical="center"/>
      <protection hidden="1"/>
    </xf>
    <xf numFmtId="43" fontId="24" fillId="12" borderId="52" xfId="17" applyFont="1" applyFill="1" applyBorder="1" applyAlignment="1" applyProtection="1">
      <alignment horizontal="right" vertical="center" wrapText="1"/>
      <protection hidden="1"/>
    </xf>
    <xf numFmtId="0" fontId="23" fillId="0" borderId="0" xfId="0" applyFont="1" applyAlignment="1" applyProtection="1">
      <alignment vertical="center"/>
      <protection hidden="1"/>
    </xf>
    <xf numFmtId="0" fontId="52" fillId="0" borderId="0" xfId="0" applyFont="1" applyFill="1" applyBorder="1" applyAlignment="1" applyProtection="1">
      <alignment horizontal="left" vertical="center" wrapText="1"/>
      <protection hidden="1"/>
    </xf>
    <xf numFmtId="9" fontId="45" fillId="5" borderId="52" xfId="25" quotePrefix="1" applyFont="1" applyFill="1" applyBorder="1" applyAlignment="1" applyProtection="1">
      <alignment horizontal="center" vertical="center" wrapText="1"/>
      <protection hidden="1"/>
    </xf>
    <xf numFmtId="0" fontId="12" fillId="0" borderId="0" xfId="0" applyFont="1" applyAlignment="1" applyProtection="1">
      <alignment vertical="center"/>
      <protection hidden="1"/>
    </xf>
    <xf numFmtId="0" fontId="23" fillId="14" borderId="32" xfId="0" quotePrefix="1" applyFont="1" applyFill="1" applyBorder="1" applyAlignment="1" applyProtection="1">
      <alignment horizontal="left" vertical="center"/>
      <protection hidden="1"/>
    </xf>
    <xf numFmtId="4" fontId="23" fillId="14" borderId="31" xfId="0" applyNumberFormat="1" applyFont="1" applyFill="1" applyBorder="1" applyAlignment="1" applyProtection="1">
      <alignment vertical="center"/>
      <protection hidden="1"/>
    </xf>
    <xf numFmtId="4" fontId="23" fillId="14" borderId="36" xfId="0" applyNumberFormat="1" applyFont="1" applyFill="1" applyBorder="1" applyAlignment="1" applyProtection="1">
      <alignment vertical="center"/>
      <protection hidden="1"/>
    </xf>
    <xf numFmtId="0" fontId="23" fillId="14" borderId="32" xfId="0" applyFont="1" applyFill="1" applyBorder="1" applyAlignment="1" applyProtection="1">
      <alignment horizontal="left" vertical="center"/>
      <protection hidden="1"/>
    </xf>
    <xf numFmtId="0" fontId="23" fillId="14" borderId="33" xfId="0" applyFont="1" applyFill="1" applyBorder="1" applyAlignment="1" applyProtection="1">
      <alignment horizontal="left" vertical="center" wrapText="1"/>
      <protection hidden="1"/>
    </xf>
    <xf numFmtId="4" fontId="23" fillId="14" borderId="31" xfId="0" applyNumberFormat="1" applyFont="1" applyFill="1" applyBorder="1" applyAlignment="1" applyProtection="1">
      <alignment horizontal="right" vertical="center"/>
      <protection hidden="1"/>
    </xf>
    <xf numFmtId="4" fontId="23" fillId="14" borderId="36" xfId="0" applyNumberFormat="1" applyFont="1" applyFill="1" applyBorder="1" applyAlignment="1" applyProtection="1">
      <alignment horizontal="righ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52" fillId="0" borderId="0" xfId="0" applyFont="1" applyBorder="1" applyAlignment="1" applyProtection="1">
      <alignment horizontal="justify" vertical="top" wrapText="1"/>
      <protection hidden="1"/>
    </xf>
    <xf numFmtId="2" fontId="47" fillId="0" borderId="0" xfId="0" applyNumberFormat="1" applyFont="1" applyFill="1" applyBorder="1" applyAlignment="1" applyProtection="1">
      <alignment horizontal="right" vertical="center" wrapText="1"/>
      <protection hidden="1"/>
    </xf>
    <xf numFmtId="0" fontId="52" fillId="0" borderId="0" xfId="0" applyFont="1" applyBorder="1" applyAlignment="1" applyProtection="1">
      <alignment horizontal="left" vertical="top" wrapText="1"/>
      <protection hidden="1"/>
    </xf>
    <xf numFmtId="0" fontId="50" fillId="6" borderId="62" xfId="0" applyFont="1" applyFill="1" applyBorder="1" applyAlignment="1" applyProtection="1">
      <alignment horizontal="center" vertical="center" wrapText="1"/>
      <protection hidden="1"/>
    </xf>
    <xf numFmtId="0" fontId="50" fillId="6" borderId="63" xfId="0" applyFont="1" applyFill="1" applyBorder="1" applyAlignment="1" applyProtection="1">
      <alignment horizontal="center" vertical="center"/>
      <protection hidden="1"/>
    </xf>
    <xf numFmtId="0" fontId="45" fillId="5" borderId="48" xfId="0" applyFont="1" applyFill="1" applyBorder="1" applyAlignment="1" applyProtection="1">
      <alignment horizontal="center" vertical="center" wrapText="1"/>
      <protection hidden="1"/>
    </xf>
    <xf numFmtId="0" fontId="45" fillId="5" borderId="45" xfId="0" applyFont="1" applyFill="1" applyBorder="1" applyAlignment="1" applyProtection="1">
      <alignment horizontal="center" vertical="center" wrapText="1"/>
      <protection hidden="1"/>
    </xf>
    <xf numFmtId="15" fontId="56" fillId="5" borderId="47" xfId="0" applyNumberFormat="1" applyFont="1" applyFill="1" applyBorder="1" applyAlignment="1" applyProtection="1">
      <alignment horizontal="center" vertical="center" wrapText="1"/>
      <protection hidden="1"/>
    </xf>
    <xf numFmtId="43" fontId="24" fillId="12" borderId="45" xfId="17" applyFont="1" applyFill="1" applyBorder="1" applyAlignment="1" applyProtection="1">
      <alignment horizontal="center" vertical="center" wrapText="1"/>
      <protection hidden="1"/>
    </xf>
    <xf numFmtId="43" fontId="25" fillId="0" borderId="45" xfId="17" applyFont="1" applyFill="1" applyBorder="1" applyAlignment="1" applyProtection="1">
      <alignment vertical="center" wrapText="1"/>
      <protection hidden="1"/>
    </xf>
    <xf numFmtId="0" fontId="52" fillId="0" borderId="0" xfId="0" applyFont="1" applyBorder="1" applyAlignment="1" applyProtection="1">
      <alignment vertical="top" wrapText="1"/>
      <protection hidden="1"/>
    </xf>
    <xf numFmtId="0" fontId="12" fillId="12" borderId="0" xfId="0" applyFont="1" applyFill="1" applyBorder="1" applyAlignment="1" applyProtection="1">
      <alignment vertical="center"/>
      <protection hidden="1"/>
    </xf>
    <xf numFmtId="0" fontId="12" fillId="0" borderId="0" xfId="0" applyFont="1" applyBorder="1" applyAlignment="1" applyProtection="1">
      <alignment vertical="center"/>
      <protection hidden="1"/>
    </xf>
    <xf numFmtId="0" fontId="52" fillId="0" borderId="0" xfId="0" applyFont="1" applyFill="1" applyBorder="1" applyAlignment="1" applyProtection="1">
      <alignment horizontal="justify" vertical="center" wrapText="1"/>
      <protection hidden="1"/>
    </xf>
    <xf numFmtId="0" fontId="38" fillId="0" borderId="0" xfId="0" applyFont="1" applyFill="1" applyBorder="1" applyAlignment="1" applyProtection="1">
      <alignment horizontal="left" vertical="center" wrapText="1"/>
      <protection hidden="1"/>
    </xf>
    <xf numFmtId="43" fontId="38" fillId="0" borderId="0" xfId="17" applyFont="1" applyFill="1" applyBorder="1" applyAlignment="1" applyProtection="1">
      <alignment horizontal="right" vertical="center" wrapText="1"/>
      <protection hidden="1"/>
    </xf>
    <xf numFmtId="0" fontId="52" fillId="0" borderId="0" xfId="0" applyFont="1" applyFill="1" applyAlignment="1" applyProtection="1">
      <alignment horizontal="justify" vertical="center" wrapText="1"/>
      <protection hidden="1"/>
    </xf>
    <xf numFmtId="0" fontId="23" fillId="2" borderId="0" xfId="0" quotePrefix="1" applyFont="1" applyFill="1" applyBorder="1" applyAlignment="1" applyProtection="1">
      <alignment horizontal="left" vertical="center" wrapText="1"/>
      <protection hidden="1"/>
    </xf>
    <xf numFmtId="4" fontId="23" fillId="2" borderId="41" xfId="0" applyNumberFormat="1" applyFont="1" applyFill="1" applyBorder="1" applyAlignment="1" applyProtection="1">
      <alignment vertical="center"/>
      <protection hidden="1"/>
    </xf>
    <xf numFmtId="4" fontId="23" fillId="23" borderId="41" xfId="0" applyNumberFormat="1" applyFont="1" applyFill="1" applyBorder="1" applyAlignment="1" applyProtection="1">
      <alignment vertical="center"/>
      <protection hidden="1"/>
    </xf>
    <xf numFmtId="4" fontId="23" fillId="0" borderId="41" xfId="0" applyNumberFormat="1" applyFont="1" applyFill="1" applyBorder="1" applyAlignment="1" applyProtection="1">
      <alignment horizontal="right" vertical="center"/>
      <protection hidden="1"/>
    </xf>
    <xf numFmtId="4" fontId="23" fillId="0" borderId="41" xfId="0" applyNumberFormat="1" applyFont="1" applyFill="1" applyBorder="1" applyAlignment="1" applyProtection="1">
      <alignment vertical="center"/>
      <protection hidden="1"/>
    </xf>
    <xf numFmtId="4" fontId="48" fillId="5" borderId="41" xfId="0" applyNumberFormat="1" applyFont="1" applyFill="1" applyBorder="1" applyAlignment="1" applyProtection="1">
      <alignment vertical="center"/>
      <protection hidden="1"/>
    </xf>
    <xf numFmtId="17" fontId="46" fillId="6" borderId="54" xfId="0" applyNumberFormat="1" applyFont="1" applyFill="1" applyBorder="1" applyAlignment="1" applyProtection="1">
      <alignment horizontal="center" vertical="center" wrapText="1"/>
      <protection hidden="1"/>
    </xf>
    <xf numFmtId="17" fontId="46" fillId="6" borderId="55" xfId="0" applyNumberFormat="1" applyFont="1" applyFill="1" applyBorder="1" applyAlignment="1" applyProtection="1">
      <alignment horizontal="center" vertical="center" wrapText="1"/>
      <protection hidden="1"/>
    </xf>
    <xf numFmtId="0" fontId="23" fillId="2" borderId="42" xfId="0" quotePrefix="1" applyFont="1" applyFill="1" applyBorder="1" applyAlignment="1" applyProtection="1">
      <alignment horizontal="left" vertical="center"/>
      <protection hidden="1"/>
    </xf>
    <xf numFmtId="4" fontId="23" fillId="23" borderId="45" xfId="0" applyNumberFormat="1" applyFont="1" applyFill="1" applyBorder="1" applyAlignment="1" applyProtection="1">
      <alignment vertical="center"/>
      <protection hidden="1"/>
    </xf>
    <xf numFmtId="4" fontId="23" fillId="2" borderId="45" xfId="0" applyNumberFormat="1" applyFont="1" applyFill="1" applyBorder="1" applyAlignment="1" applyProtection="1">
      <alignment vertical="center"/>
      <protection hidden="1"/>
    </xf>
    <xf numFmtId="0" fontId="23" fillId="2" borderId="42" xfId="0" applyFont="1" applyFill="1" applyBorder="1" applyAlignment="1" applyProtection="1">
      <alignment horizontal="left" vertical="center"/>
      <protection hidden="1"/>
    </xf>
    <xf numFmtId="0" fontId="48" fillId="5" borderId="42" xfId="0" quotePrefix="1" applyFont="1" applyFill="1" applyBorder="1" applyAlignment="1" applyProtection="1">
      <alignment horizontal="left" vertical="center" wrapText="1"/>
      <protection hidden="1"/>
    </xf>
    <xf numFmtId="4" fontId="48" fillId="5" borderId="45" xfId="0" applyNumberFormat="1" applyFont="1" applyFill="1" applyBorder="1" applyAlignment="1" applyProtection="1">
      <alignment vertical="center"/>
      <protection hidden="1"/>
    </xf>
    <xf numFmtId="0" fontId="23" fillId="2" borderId="43" xfId="0" quotePrefix="1" applyFont="1" applyFill="1" applyBorder="1" applyAlignment="1" applyProtection="1">
      <alignment horizontal="left" vertical="center" wrapText="1"/>
      <protection hidden="1"/>
    </xf>
    <xf numFmtId="4" fontId="23" fillId="2" borderId="44" xfId="0" applyNumberFormat="1" applyFont="1" applyFill="1" applyBorder="1" applyAlignment="1" applyProtection="1">
      <alignment horizontal="right" vertical="center"/>
      <protection hidden="1"/>
    </xf>
    <xf numFmtId="4" fontId="23" fillId="2" borderId="47" xfId="0" applyNumberFormat="1" applyFont="1" applyFill="1" applyBorder="1" applyAlignment="1" applyProtection="1">
      <alignment horizontal="right" vertical="center"/>
      <protection hidden="1"/>
    </xf>
    <xf numFmtId="0" fontId="44" fillId="2" borderId="0" xfId="0" applyNumberFormat="1" applyFont="1" applyFill="1" applyAlignment="1" applyProtection="1">
      <alignment horizontal="justify" vertical="center" wrapText="1"/>
      <protection hidden="1"/>
    </xf>
    <xf numFmtId="0" fontId="48" fillId="5" borderId="42" xfId="0" quotePrefix="1" applyFont="1" applyFill="1" applyBorder="1" applyAlignment="1" applyProtection="1">
      <alignment horizontal="left" vertical="center"/>
      <protection hidden="1"/>
    </xf>
    <xf numFmtId="4" fontId="24" fillId="2" borderId="41"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4" fontId="48" fillId="5" borderId="41" xfId="0" applyNumberFormat="1" applyFont="1" applyFill="1" applyBorder="1" applyAlignment="1" applyProtection="1">
      <alignment horizontal="right" vertical="center"/>
      <protection hidden="1"/>
    </xf>
    <xf numFmtId="4" fontId="48" fillId="5" borderId="45" xfId="0" applyNumberFormat="1" applyFont="1" applyFill="1" applyBorder="1" applyAlignment="1" applyProtection="1">
      <alignment horizontal="right" vertical="center"/>
      <protection hidden="1"/>
    </xf>
    <xf numFmtId="0" fontId="45" fillId="15" borderId="53" xfId="0" applyFont="1" applyFill="1" applyBorder="1" applyAlignment="1" applyProtection="1">
      <alignment horizontal="center" vertical="center" wrapText="1"/>
      <protection hidden="1"/>
    </xf>
    <xf numFmtId="17" fontId="45" fillId="15" borderId="54" xfId="0" applyNumberFormat="1" applyFont="1" applyFill="1" applyBorder="1" applyAlignment="1" applyProtection="1">
      <alignment horizontal="center" vertical="center" wrapText="1"/>
      <protection hidden="1"/>
    </xf>
    <xf numFmtId="17" fontId="45" fillId="15" borderId="55" xfId="0" applyNumberFormat="1" applyFont="1" applyFill="1" applyBorder="1" applyAlignment="1" applyProtection="1">
      <alignment horizontal="center" vertical="center" wrapText="1"/>
      <protection hidden="1"/>
    </xf>
    <xf numFmtId="43" fontId="23" fillId="2" borderId="41" xfId="17" applyFont="1" applyFill="1" applyBorder="1" applyAlignment="1" applyProtection="1">
      <alignment horizontal="right" vertical="center"/>
      <protection hidden="1"/>
    </xf>
    <xf numFmtId="4" fontId="23" fillId="2" borderId="41" xfId="0" applyNumberFormat="1" applyFont="1" applyFill="1" applyBorder="1" applyAlignment="1" applyProtection="1">
      <alignment horizontal="right" vertical="center"/>
      <protection hidden="1"/>
    </xf>
    <xf numFmtId="0" fontId="24" fillId="2" borderId="42" xfId="0"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horizontal="right" vertical="center"/>
      <protection hidden="1"/>
    </xf>
    <xf numFmtId="4" fontId="23" fillId="12" borderId="41" xfId="0" applyNumberFormat="1" applyFont="1" applyFill="1" applyBorder="1" applyAlignment="1" applyProtection="1">
      <alignment horizontal="right" vertical="center"/>
      <protection hidden="1"/>
    </xf>
    <xf numFmtId="0" fontId="23" fillId="2" borderId="43" xfId="0" quotePrefix="1"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0" fontId="52" fillId="2" borderId="0" xfId="0" quotePrefix="1" applyFont="1" applyFill="1" applyBorder="1" applyAlignment="1" applyProtection="1">
      <alignment horizontal="left" vertical="center"/>
      <protection hidden="1"/>
    </xf>
    <xf numFmtId="0" fontId="12" fillId="12" borderId="0" xfId="0" applyFont="1" applyFill="1" applyBorder="1" applyAlignment="1" applyProtection="1">
      <alignment vertical="top"/>
      <protection hidden="1"/>
    </xf>
    <xf numFmtId="4" fontId="23" fillId="0" borderId="42" xfId="0" applyNumberFormat="1" applyFont="1" applyBorder="1" applyAlignment="1" applyProtection="1">
      <alignment vertical="center" wrapText="1"/>
      <protection hidden="1"/>
    </xf>
    <xf numFmtId="0" fontId="46" fillId="0" borderId="0" xfId="0" applyFont="1" applyAlignment="1" applyProtection="1">
      <alignment vertical="center"/>
      <protection hidden="1"/>
    </xf>
    <xf numFmtId="0" fontId="52" fillId="0" borderId="0" xfId="0" applyFont="1" applyBorder="1" applyAlignment="1" applyProtection="1">
      <alignment vertical="top"/>
      <protection hidden="1"/>
    </xf>
    <xf numFmtId="0" fontId="52" fillId="0" borderId="0" xfId="0" applyFont="1" applyBorder="1" applyAlignment="1" applyProtection="1">
      <alignment horizontal="left" vertical="top"/>
      <protection hidden="1"/>
    </xf>
    <xf numFmtId="37" fontId="23" fillId="12" borderId="3" xfId="23" quotePrefix="1" applyNumberFormat="1" applyFont="1" applyFill="1" applyBorder="1" applyAlignment="1" applyProtection="1">
      <alignment horizontal="left"/>
    </xf>
    <xf numFmtId="37" fontId="23" fillId="12" borderId="4" xfId="23" quotePrefix="1" applyNumberFormat="1" applyFont="1" applyFill="1" applyBorder="1" applyAlignment="1" applyProtection="1">
      <alignment horizontal="left"/>
    </xf>
    <xf numFmtId="37" fontId="23" fillId="12" borderId="12" xfId="23" applyNumberFormat="1" applyFont="1" applyFill="1" applyBorder="1" applyProtection="1"/>
    <xf numFmtId="37" fontId="23" fillId="12" borderId="4" xfId="23" applyNumberFormat="1" applyFont="1" applyFill="1" applyBorder="1" applyProtection="1"/>
    <xf numFmtId="37" fontId="23" fillId="12" borderId="12" xfId="23" applyNumberFormat="1" applyFont="1" applyFill="1" applyBorder="1" applyAlignment="1" applyProtection="1">
      <alignment horizontal="left" indent="1"/>
    </xf>
    <xf numFmtId="37" fontId="23" fillId="12" borderId="12" xfId="23" quotePrefix="1" applyNumberFormat="1" applyFont="1" applyFill="1" applyBorder="1" applyAlignment="1" applyProtection="1">
      <alignment horizontal="left"/>
    </xf>
    <xf numFmtId="37" fontId="23" fillId="12" borderId="3" xfId="23" applyNumberFormat="1" applyFont="1" applyFill="1" applyBorder="1" applyProtection="1"/>
    <xf numFmtId="37" fontId="23" fillId="12" borderId="15" xfId="23" applyNumberFormat="1" applyFont="1" applyFill="1" applyBorder="1" applyProtection="1"/>
    <xf numFmtId="4" fontId="12" fillId="26" borderId="0" xfId="21" applyNumberFormat="1" applyFill="1" applyBorder="1"/>
    <xf numFmtId="37" fontId="67" fillId="2" borderId="10" xfId="23" applyNumberFormat="1" applyFont="1" applyFill="1" applyBorder="1" applyAlignment="1" applyProtection="1">
      <alignment wrapText="1"/>
    </xf>
    <xf numFmtId="0" fontId="38" fillId="2" borderId="86" xfId="21" applyFont="1" applyFill="1" applyBorder="1" applyAlignment="1">
      <alignment horizontal="center"/>
    </xf>
    <xf numFmtId="0" fontId="12" fillId="2" borderId="87" xfId="21" applyFill="1" applyBorder="1"/>
    <xf numFmtId="0" fontId="38" fillId="2" borderId="87" xfId="21" applyFont="1" applyFill="1" applyBorder="1" applyAlignment="1">
      <alignment horizontal="center"/>
    </xf>
    <xf numFmtId="0" fontId="12" fillId="2" borderId="88" xfId="21" quotePrefix="1" applyFill="1" applyBorder="1" applyAlignment="1">
      <alignment horizontal="left"/>
    </xf>
    <xf numFmtId="37" fontId="66" fillId="25" borderId="3" xfId="23" applyNumberFormat="1" applyFont="1" applyFill="1" applyBorder="1" applyAlignment="1" applyProtection="1">
      <alignment vertical="center" wrapText="1"/>
    </xf>
    <xf numFmtId="37" fontId="66" fillId="25" borderId="4" xfId="23" applyNumberFormat="1" applyFont="1" applyFill="1" applyBorder="1" applyAlignment="1" applyProtection="1">
      <alignment vertical="center" wrapText="1"/>
    </xf>
    <xf numFmtId="37" fontId="66" fillId="25" borderId="12" xfId="23" applyNumberFormat="1" applyFont="1" applyFill="1" applyBorder="1" applyAlignment="1" applyProtection="1">
      <alignment vertical="center" wrapText="1"/>
    </xf>
    <xf numFmtId="49" fontId="67" fillId="25" borderId="16" xfId="21" applyNumberFormat="1" applyFont="1" applyFill="1" applyBorder="1" applyAlignment="1">
      <alignment horizontal="center" vertical="center" wrapText="1"/>
    </xf>
    <xf numFmtId="4" fontId="12" fillId="12" borderId="5" xfId="21" applyNumberFormat="1" applyFill="1" applyBorder="1"/>
    <xf numFmtId="4" fontId="12" fillId="12" borderId="6" xfId="21" applyNumberFormat="1" applyFill="1" applyBorder="1"/>
    <xf numFmtId="4" fontId="12" fillId="12" borderId="3" xfId="21" applyNumberFormat="1" applyFill="1" applyBorder="1"/>
    <xf numFmtId="4" fontId="12" fillId="12" borderId="7" xfId="21" applyNumberFormat="1" applyFill="1" applyBorder="1"/>
    <xf numFmtId="4" fontId="12" fillId="12" borderId="0" xfId="21" applyNumberFormat="1" applyFill="1" applyBorder="1"/>
    <xf numFmtId="4" fontId="12" fillId="12" borderId="4" xfId="21" applyNumberFormat="1" applyFill="1" applyBorder="1"/>
    <xf numFmtId="4" fontId="12" fillId="12" borderId="11" xfId="21" applyNumberFormat="1" applyFill="1" applyBorder="1"/>
    <xf numFmtId="4" fontId="12" fillId="12" borderId="13" xfId="21" applyNumberFormat="1" applyFill="1" applyBorder="1"/>
    <xf numFmtId="4" fontId="12" fillId="12" borderId="12" xfId="21" applyNumberFormat="1" applyFill="1" applyBorder="1"/>
    <xf numFmtId="165" fontId="12" fillId="12" borderId="13" xfId="21" applyNumberFormat="1" applyFill="1" applyBorder="1"/>
    <xf numFmtId="4" fontId="12" fillId="12" borderId="8" xfId="21" applyNumberFormat="1" applyFill="1" applyBorder="1"/>
    <xf numFmtId="4" fontId="12" fillId="12" borderId="9" xfId="21" applyNumberFormat="1" applyFill="1" applyBorder="1"/>
    <xf numFmtId="0" fontId="67" fillId="2" borderId="8" xfId="21" applyFont="1" applyFill="1" applyBorder="1" applyAlignment="1">
      <alignment horizontal="left" vertical="center"/>
    </xf>
    <xf numFmtId="0" fontId="67" fillId="0" borderId="9" xfId="21" applyFont="1" applyBorder="1" applyAlignment="1">
      <alignment vertical="center"/>
    </xf>
    <xf numFmtId="10" fontId="67" fillId="0" borderId="15" xfId="21" applyNumberFormat="1" applyFont="1" applyBorder="1" applyAlignment="1">
      <alignment vertical="center"/>
    </xf>
    <xf numFmtId="4" fontId="12" fillId="2" borderId="2" xfId="21" applyNumberFormat="1" applyFill="1" applyBorder="1"/>
    <xf numFmtId="4" fontId="12" fillId="2" borderId="91" xfId="21" applyNumberFormat="1" applyFill="1" applyBorder="1"/>
    <xf numFmtId="4" fontId="12" fillId="24" borderId="0" xfId="21" applyNumberFormat="1" applyFill="1" applyBorder="1"/>
    <xf numFmtId="2" fontId="12" fillId="24" borderId="0" xfId="21" applyNumberFormat="1" applyFill="1"/>
    <xf numFmtId="2" fontId="12" fillId="24" borderId="99" xfId="21" applyNumberFormat="1" applyFill="1" applyBorder="1"/>
    <xf numFmtId="4" fontId="23" fillId="0" borderId="45" xfId="0" applyNumberFormat="1" applyFont="1" applyFill="1" applyBorder="1" applyAlignment="1" applyProtection="1">
      <alignment horizontal="right" vertical="center"/>
      <protection hidden="1"/>
    </xf>
    <xf numFmtId="0" fontId="45" fillId="5" borderId="72" xfId="0" quotePrefix="1" applyFont="1" applyFill="1" applyBorder="1" applyAlignment="1" applyProtection="1">
      <alignment horizontal="center" vertical="center" wrapText="1"/>
      <protection hidden="1"/>
    </xf>
    <xf numFmtId="0" fontId="45" fillId="5" borderId="73" xfId="0" applyFont="1" applyFill="1" applyBorder="1" applyAlignment="1" applyProtection="1">
      <alignment horizontal="center" vertical="center" wrapText="1"/>
      <protection hidden="1"/>
    </xf>
    <xf numFmtId="0" fontId="70" fillId="0" borderId="0" xfId="0" applyFont="1"/>
    <xf numFmtId="0" fontId="45" fillId="5" borderId="102" xfId="0" quotePrefix="1" applyFont="1" applyFill="1" applyBorder="1" applyAlignment="1" applyProtection="1">
      <alignment horizontal="center" vertical="center" wrapText="1"/>
      <protection hidden="1"/>
    </xf>
    <xf numFmtId="43" fontId="23" fillId="12" borderId="52" xfId="17" applyFont="1" applyFill="1" applyBorder="1" applyAlignment="1" applyProtection="1">
      <alignment horizontal="right" vertical="center" wrapText="1"/>
      <protection hidden="1"/>
    </xf>
    <xf numFmtId="43" fontId="23" fillId="12" borderId="48" xfId="17" applyFont="1" applyFill="1" applyBorder="1" applyAlignment="1" applyProtection="1">
      <alignment horizontal="right" vertical="center" wrapText="1"/>
      <protection hidden="1"/>
    </xf>
    <xf numFmtId="43" fontId="23" fillId="0" borderId="41" xfId="17" applyNumberFormat="1" applyFont="1" applyFill="1" applyBorder="1" applyAlignment="1" applyProtection="1">
      <alignment horizontal="right" vertical="center" wrapText="1"/>
      <protection hidden="1"/>
    </xf>
    <xf numFmtId="43" fontId="23" fillId="0" borderId="45" xfId="17" applyNumberFormat="1" applyFont="1" applyFill="1" applyBorder="1" applyAlignment="1" applyProtection="1">
      <alignment horizontal="right" vertical="center" wrapText="1"/>
      <protection hidden="1"/>
    </xf>
    <xf numFmtId="43" fontId="23" fillId="0" borderId="41" xfId="17" applyFont="1" applyFill="1" applyBorder="1" applyAlignment="1" applyProtection="1">
      <alignment horizontal="right" vertical="center" wrapText="1"/>
      <protection hidden="1"/>
    </xf>
    <xf numFmtId="43" fontId="23" fillId="0" borderId="45" xfId="17" applyFont="1" applyFill="1" applyBorder="1" applyAlignment="1" applyProtection="1">
      <alignment horizontal="right" vertical="center" wrapText="1"/>
      <protection hidden="1"/>
    </xf>
    <xf numFmtId="164" fontId="23" fillId="0" borderId="41" xfId="17" applyNumberFormat="1" applyFont="1" applyFill="1" applyBorder="1" applyAlignment="1" applyProtection="1">
      <alignment horizontal="right" vertical="center" wrapText="1"/>
      <protection hidden="1"/>
    </xf>
    <xf numFmtId="164" fontId="23" fillId="0" borderId="45" xfId="17" applyNumberFormat="1" applyFont="1" applyFill="1" applyBorder="1" applyAlignment="1" applyProtection="1">
      <alignment horizontal="right" vertical="center" wrapText="1"/>
      <protection hidden="1"/>
    </xf>
    <xf numFmtId="2" fontId="23" fillId="0" borderId="44" xfId="17" applyNumberFormat="1" applyFont="1" applyFill="1" applyBorder="1" applyAlignment="1" applyProtection="1">
      <alignment horizontal="right" vertical="center" wrapText="1"/>
      <protection hidden="1"/>
    </xf>
    <xf numFmtId="2" fontId="23" fillId="0" borderId="47" xfId="17" applyNumberFormat="1" applyFont="1" applyFill="1" applyBorder="1" applyAlignment="1" applyProtection="1">
      <alignment horizontal="right" vertical="center" wrapText="1"/>
      <protection hidden="1"/>
    </xf>
    <xf numFmtId="43" fontId="23" fillId="0" borderId="44" xfId="17" applyFont="1" applyFill="1" applyBorder="1" applyAlignment="1" applyProtection="1">
      <alignment horizontal="right" vertical="center" wrapText="1"/>
      <protection hidden="1"/>
    </xf>
    <xf numFmtId="43" fontId="23" fillId="0" borderId="47" xfId="17" applyFont="1" applyFill="1" applyBorder="1" applyAlignment="1" applyProtection="1">
      <alignment horizontal="right" vertical="center" wrapText="1"/>
      <protection hidden="1"/>
    </xf>
    <xf numFmtId="43" fontId="24" fillId="13" borderId="41" xfId="17" applyFont="1" applyFill="1" applyBorder="1" applyAlignment="1" applyProtection="1">
      <alignment horizontal="center" vertical="center" wrapText="1"/>
      <protection hidden="1"/>
    </xf>
    <xf numFmtId="43" fontId="23" fillId="12" borderId="103" xfId="17" applyFont="1" applyFill="1" applyBorder="1" applyAlignment="1" applyProtection="1">
      <alignment horizontal="right" vertical="center" wrapText="1"/>
      <protection hidden="1"/>
    </xf>
    <xf numFmtId="43" fontId="0" fillId="0" borderId="0" xfId="0" applyNumberFormat="1"/>
    <xf numFmtId="43" fontId="73" fillId="0" borderId="41" xfId="17" applyFont="1" applyFill="1" applyBorder="1" applyAlignment="1" applyProtection="1">
      <alignment horizontal="right" vertical="center" wrapText="1"/>
      <protection hidden="1"/>
    </xf>
    <xf numFmtId="4" fontId="49" fillId="2" borderId="0" xfId="0" applyNumberFormat="1" applyFont="1" applyFill="1" applyAlignment="1" applyProtection="1">
      <alignment vertical="center"/>
      <protection hidden="1"/>
    </xf>
    <xf numFmtId="43" fontId="24" fillId="0" borderId="57" xfId="17" applyNumberFormat="1" applyFont="1" applyFill="1" applyBorder="1" applyAlignment="1" applyProtection="1">
      <alignment horizontal="center" vertical="center" wrapText="1"/>
      <protection hidden="1"/>
    </xf>
    <xf numFmtId="4" fontId="24" fillId="0" borderId="41" xfId="0" applyNumberFormat="1" applyFont="1" applyFill="1" applyBorder="1" applyAlignment="1" applyProtection="1">
      <alignment horizontal="right" vertical="center"/>
      <protection hidden="1"/>
    </xf>
    <xf numFmtId="4" fontId="24" fillId="0" borderId="45" xfId="0" applyNumberFormat="1" applyFont="1" applyFill="1" applyBorder="1" applyAlignment="1" applyProtection="1">
      <alignment horizontal="right" vertical="center"/>
      <protection hidden="1"/>
    </xf>
    <xf numFmtId="43" fontId="24" fillId="0" borderId="49" xfId="17" applyNumberFormat="1" applyFont="1" applyFill="1" applyBorder="1" applyAlignment="1" applyProtection="1">
      <alignment horizontal="center" vertical="center" wrapText="1"/>
      <protection hidden="1"/>
    </xf>
    <xf numFmtId="171" fontId="24" fillId="12" borderId="48" xfId="17" applyNumberFormat="1" applyFont="1" applyFill="1" applyBorder="1" applyAlignment="1" applyProtection="1">
      <alignment horizontal="center" vertical="center" wrapText="1"/>
      <protection hidden="1"/>
    </xf>
    <xf numFmtId="0" fontId="52" fillId="0" borderId="0" xfId="0" applyFont="1" applyBorder="1" applyAlignment="1" applyProtection="1">
      <alignment horizontal="justify" vertical="top" wrapText="1"/>
      <protection hidden="1"/>
    </xf>
    <xf numFmtId="0" fontId="52" fillId="0" borderId="0" xfId="0" applyFont="1" applyBorder="1" applyAlignment="1" applyProtection="1">
      <alignment horizontal="left" vertical="top" wrapText="1"/>
      <protection hidden="1"/>
    </xf>
    <xf numFmtId="0" fontId="45" fillId="5" borderId="72" xfId="0" quotePrefix="1" applyFont="1" applyFill="1" applyBorder="1" applyAlignment="1" applyProtection="1">
      <alignment horizontal="center" vertical="center" wrapText="1"/>
      <protection hidden="1"/>
    </xf>
    <xf numFmtId="0" fontId="45" fillId="5" borderId="72" xfId="0" quotePrefix="1" applyFont="1" applyFill="1" applyBorder="1" applyAlignment="1" applyProtection="1">
      <alignment horizontal="center" vertical="center" wrapText="1"/>
      <protection hidden="1"/>
    </xf>
    <xf numFmtId="0" fontId="71"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45" fillId="5" borderId="104" xfId="0" quotePrefix="1" applyFont="1" applyFill="1" applyBorder="1" applyAlignment="1" applyProtection="1">
      <alignment horizontal="center" vertical="center" wrapText="1"/>
      <protection hidden="1"/>
    </xf>
    <xf numFmtId="43" fontId="23" fillId="12" borderId="68" xfId="17" applyFont="1" applyFill="1" applyBorder="1" applyAlignment="1" applyProtection="1">
      <alignment horizontal="right" vertical="center" wrapText="1"/>
      <protection hidden="1"/>
    </xf>
    <xf numFmtId="172" fontId="23" fillId="0" borderId="41" xfId="17" applyNumberFormat="1" applyFont="1" applyFill="1" applyBorder="1" applyAlignment="1" applyProtection="1">
      <alignment horizontal="right" vertical="center" wrapText="1"/>
      <protection hidden="1"/>
    </xf>
    <xf numFmtId="172" fontId="23" fillId="0" borderId="45" xfId="17" applyNumberFormat="1" applyFont="1" applyFill="1" applyBorder="1" applyAlignment="1" applyProtection="1">
      <alignment horizontal="right" vertical="center" wrapText="1"/>
      <protection hidden="1"/>
    </xf>
    <xf numFmtId="43" fontId="23" fillId="12" borderId="0" xfId="17" applyFont="1" applyFill="1" applyBorder="1" applyAlignment="1" applyProtection="1">
      <alignment horizontal="right" vertical="center" wrapText="1"/>
      <protection hidden="1"/>
    </xf>
    <xf numFmtId="9" fontId="74" fillId="0" borderId="0" xfId="0" applyNumberFormat="1" applyFont="1"/>
    <xf numFmtId="43" fontId="24" fillId="12" borderId="45" xfId="17" applyFont="1" applyFill="1" applyBorder="1" applyAlignment="1" applyProtection="1">
      <alignment horizontal="right" vertical="center" wrapText="1"/>
      <protection hidden="1"/>
    </xf>
    <xf numFmtId="2" fontId="24" fillId="0" borderId="47" xfId="0" applyNumberFormat="1" applyFont="1" applyFill="1" applyBorder="1" applyAlignment="1" applyProtection="1">
      <alignment horizontal="right" vertical="center" wrapText="1"/>
      <protection hidden="1"/>
    </xf>
    <xf numFmtId="0" fontId="45" fillId="5" borderId="72" xfId="0" quotePrefix="1" applyFont="1" applyFill="1" applyBorder="1" applyAlignment="1" applyProtection="1">
      <alignment horizontal="center" vertical="center" wrapText="1"/>
      <protection hidden="1"/>
    </xf>
    <xf numFmtId="0" fontId="46" fillId="0" borderId="0" xfId="0" applyFont="1" applyFill="1" applyAlignment="1" applyProtection="1">
      <alignment vertical="center"/>
      <protection hidden="1"/>
    </xf>
    <xf numFmtId="4" fontId="46" fillId="0" borderId="0" xfId="0" applyNumberFormat="1" applyFont="1" applyFill="1" applyBorder="1" applyAlignment="1" applyProtection="1">
      <alignment horizontal="right" vertical="center"/>
      <protection hidden="1"/>
    </xf>
    <xf numFmtId="37" fontId="66" fillId="24" borderId="3" xfId="23" applyNumberFormat="1" applyFont="1" applyFill="1" applyBorder="1" applyAlignment="1" applyProtection="1">
      <alignment vertical="center" wrapText="1"/>
    </xf>
    <xf numFmtId="37" fontId="66" fillId="24" borderId="4" xfId="23" applyNumberFormat="1" applyFont="1" applyFill="1" applyBorder="1" applyAlignment="1" applyProtection="1">
      <alignment vertical="center" wrapText="1"/>
    </xf>
    <xf numFmtId="37" fontId="66" fillId="24" borderId="12" xfId="23" applyNumberFormat="1" applyFont="1" applyFill="1" applyBorder="1" applyAlignment="1" applyProtection="1">
      <alignment vertical="center" wrapText="1"/>
    </xf>
    <xf numFmtId="49" fontId="67"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2" fillId="14" borderId="2" xfId="17" applyFont="1" applyFill="1" applyBorder="1" applyAlignment="1">
      <alignment horizontal="center" vertical="center"/>
    </xf>
    <xf numFmtId="43" fontId="24" fillId="0" borderId="41" xfId="17" applyFont="1" applyFill="1" applyBorder="1" applyAlignment="1" applyProtection="1">
      <alignment horizontal="center" vertical="center" wrapText="1"/>
      <protection hidden="1"/>
    </xf>
    <xf numFmtId="43" fontId="24" fillId="0" borderId="41" xfId="17" applyNumberFormat="1" applyFont="1" applyFill="1" applyBorder="1" applyAlignment="1" applyProtection="1">
      <alignment vertical="center" wrapText="1"/>
      <protection hidden="1"/>
    </xf>
    <xf numFmtId="4" fontId="23" fillId="27" borderId="41" xfId="0" applyNumberFormat="1" applyFont="1" applyFill="1" applyBorder="1" applyAlignment="1" applyProtection="1">
      <alignment vertical="center"/>
      <protection hidden="1"/>
    </xf>
    <xf numFmtId="173" fontId="20" fillId="0" borderId="0" xfId="0" applyNumberFormat="1" applyFont="1" applyAlignment="1" applyProtection="1">
      <alignment vertical="center"/>
      <protection hidden="1"/>
    </xf>
    <xf numFmtId="164" fontId="23" fillId="0" borderId="0" xfId="0" applyNumberFormat="1" applyFont="1" applyBorder="1" applyAlignment="1" applyProtection="1">
      <alignment vertical="center"/>
      <protection hidden="1"/>
    </xf>
    <xf numFmtId="0" fontId="38" fillId="0" borderId="0" xfId="0" applyFont="1" applyAlignment="1">
      <alignment horizontal="right" vertical="center"/>
    </xf>
    <xf numFmtId="0" fontId="67" fillId="0" borderId="0" xfId="0" applyFont="1" applyAlignment="1">
      <alignment horizontal="right" vertical="center"/>
    </xf>
    <xf numFmtId="43" fontId="36" fillId="0" borderId="0" xfId="17" applyFont="1" applyFill="1" applyBorder="1" applyAlignment="1">
      <alignment horizontal="center" vertical="center"/>
    </xf>
    <xf numFmtId="43" fontId="0" fillId="0" borderId="0" xfId="17" applyFont="1" applyBorder="1" applyAlignment="1">
      <alignment horizontal="center" vertical="center"/>
    </xf>
    <xf numFmtId="0" fontId="77" fillId="2" borderId="0" xfId="0" quotePrefix="1" applyFont="1" applyFill="1" applyBorder="1" applyAlignment="1" applyProtection="1">
      <alignment horizontal="left" vertical="center"/>
      <protection hidden="1"/>
    </xf>
    <xf numFmtId="166" fontId="48" fillId="2" borderId="0" xfId="24" applyFont="1" applyFill="1" applyAlignment="1" applyProtection="1">
      <alignment horizontal="center" vertical="center"/>
      <protection hidden="1"/>
    </xf>
    <xf numFmtId="0" fontId="53" fillId="18" borderId="2" xfId="0" applyFont="1" applyFill="1" applyBorder="1" applyAlignment="1">
      <alignment horizontal="center" vertical="center"/>
    </xf>
    <xf numFmtId="0" fontId="54" fillId="18" borderId="2" xfId="0" applyFont="1" applyFill="1" applyBorder="1" applyAlignment="1">
      <alignment horizontal="center" vertical="center"/>
    </xf>
    <xf numFmtId="10" fontId="36" fillId="14" borderId="0" xfId="0" applyNumberFormat="1" applyFont="1" applyFill="1" applyAlignment="1">
      <alignment vertical="center"/>
    </xf>
    <xf numFmtId="0" fontId="21" fillId="0" borderId="0" xfId="0" applyFont="1" applyAlignment="1">
      <alignment vertical="center"/>
    </xf>
    <xf numFmtId="43" fontId="24" fillId="0" borderId="41" xfId="17" applyNumberFormat="1" applyFont="1" applyFill="1" applyBorder="1" applyAlignment="1" applyProtection="1">
      <alignment horizontal="center" vertical="center" wrapText="1"/>
      <protection hidden="1"/>
    </xf>
    <xf numFmtId="174" fontId="23" fillId="0" borderId="0" xfId="0" applyNumberFormat="1" applyFont="1" applyAlignment="1" applyProtection="1">
      <alignment vertical="center"/>
      <protection hidden="1"/>
    </xf>
    <xf numFmtId="0" fontId="52" fillId="0" borderId="0" xfId="0" applyFont="1" applyBorder="1" applyAlignment="1" applyProtection="1">
      <alignment horizontal="left" vertical="top" wrapText="1"/>
      <protection hidden="1"/>
    </xf>
    <xf numFmtId="0" fontId="52" fillId="0" borderId="0" xfId="0" applyFont="1" applyFill="1" applyBorder="1" applyAlignment="1" applyProtection="1">
      <alignment horizontal="justify" vertical="center" wrapText="1"/>
      <protection hidden="1"/>
    </xf>
    <xf numFmtId="0" fontId="52" fillId="12" borderId="0" xfId="0" applyFont="1" applyFill="1" applyAlignment="1" applyProtection="1">
      <alignment horizontal="left" vertical="top" wrapText="1"/>
      <protection hidden="1"/>
    </xf>
    <xf numFmtId="43" fontId="24" fillId="0" borderId="41" xfId="17" quotePrefix="1" applyFont="1" applyFill="1" applyBorder="1" applyAlignment="1" applyProtection="1">
      <alignment horizontal="center" vertical="center" wrapText="1"/>
      <protection hidden="1"/>
    </xf>
    <xf numFmtId="4" fontId="23" fillId="2" borderId="41" xfId="0" applyNumberFormat="1"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4" fontId="23" fillId="2" borderId="45" xfId="0" applyNumberFormat="1" applyFont="1" applyFill="1" applyBorder="1" applyAlignment="1" applyProtection="1">
      <alignment horizontal="center" vertical="center"/>
      <protection hidden="1"/>
    </xf>
    <xf numFmtId="0" fontId="78" fillId="0" borderId="0" xfId="30" applyFont="1"/>
    <xf numFmtId="0" fontId="11" fillId="0" borderId="0" xfId="30" applyFont="1"/>
    <xf numFmtId="0" fontId="11" fillId="0" borderId="0" xfId="30" applyFont="1" applyAlignment="1">
      <alignment horizontal="center"/>
    </xf>
    <xf numFmtId="0" fontId="81" fillId="0" borderId="0" xfId="30" applyFont="1"/>
    <xf numFmtId="0" fontId="82" fillId="0" borderId="0" xfId="30" applyFont="1" applyAlignment="1">
      <alignment horizontal="center"/>
    </xf>
    <xf numFmtId="0" fontId="80" fillId="0" borderId="0" xfId="30" applyFont="1"/>
    <xf numFmtId="0" fontId="83" fillId="0" borderId="2" xfId="30" applyFont="1" applyFill="1" applyBorder="1"/>
    <xf numFmtId="0" fontId="11" fillId="0" borderId="2" xfId="30" applyFont="1" applyBorder="1" applyAlignment="1">
      <alignment horizontal="center"/>
    </xf>
    <xf numFmtId="0" fontId="83" fillId="28" borderId="2" xfId="30" applyFont="1" applyFill="1" applyBorder="1"/>
    <xf numFmtId="0" fontId="83" fillId="0" borderId="2" xfId="30" applyFont="1" applyBorder="1"/>
    <xf numFmtId="0" fontId="84" fillId="0" borderId="0" xfId="30" applyFont="1"/>
    <xf numFmtId="0" fontId="83" fillId="0" borderId="0" xfId="30" applyFont="1"/>
    <xf numFmtId="0" fontId="86" fillId="0" borderId="2" xfId="30" applyFont="1" applyFill="1" applyBorder="1"/>
    <xf numFmtId="0" fontId="11" fillId="0" borderId="2" xfId="30" applyFont="1" applyFill="1" applyBorder="1" applyAlignment="1">
      <alignment horizontal="center"/>
    </xf>
    <xf numFmtId="0" fontId="11" fillId="28" borderId="2" xfId="30" applyFont="1" applyFill="1" applyBorder="1"/>
    <xf numFmtId="0" fontId="86" fillId="0" borderId="2" xfId="30" applyFont="1" applyBorder="1"/>
    <xf numFmtId="0" fontId="84" fillId="0" borderId="2" xfId="30" applyFont="1" applyFill="1" applyBorder="1" applyAlignment="1">
      <alignment horizontal="center"/>
    </xf>
    <xf numFmtId="0" fontId="11" fillId="0" borderId="2" xfId="30" applyFont="1" applyBorder="1"/>
    <xf numFmtId="0" fontId="11" fillId="0" borderId="2" xfId="30" applyFont="1" applyFill="1" applyBorder="1"/>
    <xf numFmtId="0" fontId="86" fillId="0" borderId="0" xfId="30" applyFont="1"/>
    <xf numFmtId="0" fontId="87" fillId="0" borderId="0" xfId="30" applyFont="1"/>
    <xf numFmtId="43" fontId="11" fillId="25" borderId="2" xfId="30" applyNumberFormat="1" applyFont="1" applyFill="1" applyBorder="1"/>
    <xf numFmtId="0" fontId="83" fillId="31" borderId="2" xfId="30" applyFont="1" applyFill="1" applyBorder="1"/>
    <xf numFmtId="0" fontId="11" fillId="31" borderId="2" xfId="30" applyFont="1" applyFill="1" applyBorder="1" applyAlignment="1">
      <alignment horizontal="center"/>
    </xf>
    <xf numFmtId="0" fontId="10" fillId="0" borderId="2" xfId="30" applyFont="1" applyBorder="1"/>
    <xf numFmtId="0" fontId="88" fillId="0" borderId="0" xfId="30" applyFont="1"/>
    <xf numFmtId="4" fontId="23" fillId="0" borderId="2" xfId="0" applyNumberFormat="1" applyFont="1" applyFill="1" applyBorder="1" applyAlignment="1" applyProtection="1">
      <alignment vertical="center"/>
      <protection hidden="1"/>
    </xf>
    <xf numFmtId="10" fontId="23" fillId="2" borderId="0" xfId="25" applyNumberFormat="1" applyFont="1" applyFill="1" applyAlignment="1" applyProtection="1">
      <alignment vertical="center"/>
      <protection hidden="1"/>
    </xf>
    <xf numFmtId="0" fontId="90" fillId="2" borderId="2" xfId="0" applyFont="1" applyFill="1" applyBorder="1" applyAlignment="1" applyProtection="1">
      <alignment vertical="center"/>
      <protection hidden="1"/>
    </xf>
    <xf numFmtId="4" fontId="90" fillId="2" borderId="2" xfId="0" applyNumberFormat="1" applyFont="1" applyFill="1" applyBorder="1" applyAlignment="1" applyProtection="1">
      <alignment vertical="center"/>
      <protection hidden="1"/>
    </xf>
    <xf numFmtId="4" fontId="90" fillId="0" borderId="2" xfId="0" applyNumberFormat="1" applyFont="1" applyFill="1" applyBorder="1" applyAlignment="1" applyProtection="1">
      <alignment vertical="center"/>
      <protection hidden="1"/>
    </xf>
    <xf numFmtId="0" fontId="11" fillId="0" borderId="0" xfId="30" applyFont="1" applyFill="1" applyAlignment="1">
      <alignment horizontal="center"/>
    </xf>
    <xf numFmtId="0" fontId="11" fillId="0" borderId="0" xfId="30" applyFont="1" applyFill="1"/>
    <xf numFmtId="0" fontId="81" fillId="30" borderId="0" xfId="30" applyFont="1" applyFill="1"/>
    <xf numFmtId="43" fontId="11" fillId="24" borderId="2" xfId="30" applyNumberFormat="1" applyFont="1" applyFill="1" applyBorder="1"/>
    <xf numFmtId="0" fontId="91" fillId="14" borderId="0" xfId="30" applyFont="1" applyFill="1"/>
    <xf numFmtId="0" fontId="0" fillId="0" borderId="0" xfId="0" applyFont="1" applyFill="1"/>
    <xf numFmtId="0" fontId="0" fillId="32" borderId="0" xfId="0" applyFont="1" applyFill="1"/>
    <xf numFmtId="0" fontId="11" fillId="25" borderId="2" xfId="31" applyNumberFormat="1" applyFont="1" applyFill="1" applyBorder="1"/>
    <xf numFmtId="0" fontId="11" fillId="24" borderId="2" xfId="30" applyFont="1" applyFill="1" applyBorder="1" applyAlignment="1">
      <alignment horizontal="center"/>
    </xf>
    <xf numFmtId="0" fontId="0" fillId="14" borderId="2" xfId="0" applyFill="1" applyBorder="1" applyAlignment="1">
      <alignment vertical="center"/>
    </xf>
    <xf numFmtId="43" fontId="93" fillId="0" borderId="0" xfId="17" applyFont="1" applyFill="1" applyAlignment="1">
      <alignment horizontal="left" vertical="center"/>
    </xf>
    <xf numFmtId="0" fontId="11" fillId="25" borderId="2" xfId="30" applyFont="1" applyFill="1" applyBorder="1" applyAlignment="1">
      <alignment horizontal="center"/>
    </xf>
    <xf numFmtId="0" fontId="0" fillId="24" borderId="0" xfId="0" applyFont="1" applyFill="1"/>
    <xf numFmtId="0" fontId="11" fillId="30" borderId="2" xfId="30" applyFont="1" applyFill="1" applyBorder="1" applyAlignment="1">
      <alignment horizontal="center"/>
    </xf>
    <xf numFmtId="43" fontId="11" fillId="30" borderId="2" xfId="30" applyNumberFormat="1" applyFont="1" applyFill="1" applyBorder="1" applyAlignment="1">
      <alignment horizontal="center"/>
    </xf>
    <xf numFmtId="0" fontId="11" fillId="30" borderId="2" xfId="30" applyFont="1" applyFill="1" applyBorder="1"/>
    <xf numFmtId="43" fontId="11" fillId="0" borderId="2" xfId="30" applyNumberFormat="1" applyFont="1" applyFill="1" applyBorder="1"/>
    <xf numFmtId="4" fontId="11" fillId="25" borderId="2" xfId="30" applyNumberFormat="1" applyFont="1" applyFill="1" applyBorder="1"/>
    <xf numFmtId="4" fontId="11" fillId="25" borderId="108" xfId="30" applyNumberFormat="1" applyFont="1" applyFill="1" applyBorder="1"/>
    <xf numFmtId="0" fontId="11" fillId="25" borderId="2" xfId="30" applyFont="1" applyFill="1" applyBorder="1"/>
    <xf numFmtId="0" fontId="11"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43" fontId="0" fillId="25" borderId="2" xfId="0" applyNumberFormat="1" applyFill="1" applyBorder="1"/>
    <xf numFmtId="0" fontId="11" fillId="25" borderId="0" xfId="30" applyFont="1" applyFill="1"/>
    <xf numFmtId="0" fontId="11" fillId="14" borderId="2" xfId="30" applyFont="1" applyFill="1" applyBorder="1" applyAlignment="1">
      <alignment horizontal="center"/>
    </xf>
    <xf numFmtId="0" fontId="11" fillId="14" borderId="2" xfId="30" applyFont="1" applyFill="1" applyBorder="1" applyAlignment="1">
      <alignment horizontal="left"/>
    </xf>
    <xf numFmtId="0" fontId="9" fillId="0" borderId="0" xfId="30" applyFont="1"/>
    <xf numFmtId="43" fontId="23" fillId="0" borderId="0" xfId="0" applyNumberFormat="1" applyFont="1" applyBorder="1" applyAlignment="1" applyProtection="1">
      <alignment vertical="center"/>
      <protection hidden="1"/>
    </xf>
    <xf numFmtId="0" fontId="8" fillId="14" borderId="0" xfId="30" applyFont="1" applyFill="1" applyAlignment="1">
      <alignment horizontal="center"/>
    </xf>
    <xf numFmtId="43" fontId="24" fillId="0" borderId="52" xfId="17" applyFont="1" applyFill="1" applyBorder="1" applyAlignment="1" applyProtection="1">
      <alignment horizontal="right" vertical="center" wrapText="1"/>
      <protection hidden="1"/>
    </xf>
    <xf numFmtId="43" fontId="94" fillId="0" borderId="52" xfId="17" applyFont="1" applyFill="1" applyBorder="1" applyAlignment="1" applyProtection="1">
      <alignment horizontal="center" vertical="center" wrapText="1"/>
      <protection hidden="1"/>
    </xf>
    <xf numFmtId="0" fontId="7" fillId="0" borderId="0" xfId="30" applyFont="1"/>
    <xf numFmtId="0" fontId="7" fillId="0" borderId="0" xfId="30" applyFont="1" applyFill="1" applyAlignment="1">
      <alignment horizontal="center"/>
    </xf>
    <xf numFmtId="167" fontId="36" fillId="12" borderId="0" xfId="17" applyNumberFormat="1" applyFont="1" applyFill="1" applyBorder="1" applyAlignment="1" applyProtection="1">
      <alignment horizontal="center" vertical="center"/>
      <protection hidden="1"/>
    </xf>
    <xf numFmtId="0" fontId="6" fillId="0" borderId="0" xfId="30" applyFont="1"/>
    <xf numFmtId="43" fontId="6" fillId="0" borderId="2" xfId="30" applyNumberFormat="1" applyFont="1" applyFill="1" applyBorder="1"/>
    <xf numFmtId="43" fontId="86" fillId="0" borderId="2" xfId="30" applyNumberFormat="1" applyFont="1" applyFill="1" applyBorder="1"/>
    <xf numFmtId="43" fontId="11" fillId="0" borderId="0" xfId="30" applyNumberFormat="1" applyFont="1"/>
    <xf numFmtId="0" fontId="5" fillId="0" borderId="0" xfId="30" applyFont="1"/>
    <xf numFmtId="43" fontId="7" fillId="0" borderId="0" xfId="30" applyNumberFormat="1" applyFont="1"/>
    <xf numFmtId="8" fontId="88" fillId="0" borderId="0" xfId="30" applyNumberFormat="1" applyFont="1"/>
    <xf numFmtId="4" fontId="23" fillId="0" borderId="0" xfId="0" applyNumberFormat="1" applyFont="1" applyAlignment="1" applyProtection="1">
      <alignment vertical="center"/>
      <protection hidden="1"/>
    </xf>
    <xf numFmtId="0" fontId="11" fillId="0" borderId="2" xfId="30" applyFont="1" applyBorder="1" applyAlignment="1">
      <alignment horizontal="left"/>
    </xf>
    <xf numFmtId="0" fontId="6" fillId="14" borderId="0" xfId="30" applyFont="1" applyFill="1"/>
    <xf numFmtId="0" fontId="11" fillId="14" borderId="0" xfId="30" applyFont="1" applyFill="1" applyBorder="1" applyAlignment="1">
      <alignment horizontal="center"/>
    </xf>
    <xf numFmtId="43" fontId="11" fillId="0" borderId="0" xfId="30" applyNumberFormat="1" applyFont="1" applyFill="1" applyBorder="1"/>
    <xf numFmtId="0" fontId="86" fillId="0" borderId="111" xfId="30" applyFont="1" applyFill="1" applyBorder="1"/>
    <xf numFmtId="0" fontId="4" fillId="0" borderId="0" xfId="30" applyFont="1"/>
    <xf numFmtId="10" fontId="23" fillId="14" borderId="0" xfId="25" applyNumberFormat="1" applyFont="1" applyFill="1" applyAlignment="1" applyProtection="1">
      <alignment vertical="center"/>
      <protection hidden="1"/>
    </xf>
    <xf numFmtId="0" fontId="52" fillId="0" borderId="0" xfId="0" applyFont="1" applyBorder="1" applyAlignment="1" applyProtection="1">
      <alignment horizontal="justify" vertical="top" wrapText="1"/>
      <protection hidden="1"/>
    </xf>
    <xf numFmtId="0" fontId="52" fillId="0" borderId="0" xfId="0" applyFont="1" applyBorder="1" applyAlignment="1" applyProtection="1">
      <alignment horizontal="left" vertical="top" wrapText="1"/>
      <protection hidden="1"/>
    </xf>
    <xf numFmtId="0" fontId="52" fillId="0" borderId="0" xfId="0" applyFont="1" applyBorder="1" applyAlignment="1" applyProtection="1">
      <alignment horizontal="justify" vertical="top" wrapText="1"/>
      <protection hidden="1"/>
    </xf>
    <xf numFmtId="0" fontId="11" fillId="0" borderId="2" xfId="30" applyFont="1" applyBorder="1" applyAlignment="1">
      <alignment horizontal="left"/>
    </xf>
    <xf numFmtId="0" fontId="52" fillId="2" borderId="0" xfId="0" applyFont="1" applyFill="1" applyAlignment="1" applyProtection="1">
      <alignment horizontal="center" vertical="center"/>
      <protection hidden="1"/>
    </xf>
    <xf numFmtId="0" fontId="44" fillId="2" borderId="0" xfId="0" quotePrefix="1" applyFont="1" applyFill="1" applyAlignment="1" applyProtection="1">
      <alignment horizontal="center" vertical="center"/>
      <protection hidden="1"/>
    </xf>
    <xf numFmtId="0" fontId="44" fillId="2" borderId="0" xfId="0" applyFont="1" applyFill="1" applyAlignment="1" applyProtection="1">
      <alignment horizontal="center" vertical="center"/>
      <protection hidden="1"/>
    </xf>
    <xf numFmtId="0" fontId="52" fillId="0" borderId="0" xfId="0" applyFont="1" applyBorder="1" applyAlignment="1" applyProtection="1">
      <alignment horizontal="center" vertical="top"/>
      <protection hidden="1"/>
    </xf>
    <xf numFmtId="0" fontId="52" fillId="0" borderId="0" xfId="0" applyFont="1" applyBorder="1" applyAlignment="1" applyProtection="1">
      <alignment horizontal="center" vertical="top" wrapText="1"/>
      <protection hidden="1"/>
    </xf>
    <xf numFmtId="0" fontId="23" fillId="0" borderId="0" xfId="0" applyFont="1" applyFill="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44" fillId="0" borderId="0" xfId="0" applyFont="1" applyFill="1" applyAlignment="1" applyProtection="1">
      <alignment horizontal="center" vertical="center"/>
      <protection hidden="1"/>
    </xf>
    <xf numFmtId="0" fontId="44" fillId="0" borderId="0" xfId="0" quotePrefix="1" applyFont="1" applyFill="1" applyAlignment="1" applyProtection="1">
      <alignment horizontal="center" vertical="center"/>
      <protection hidden="1"/>
    </xf>
    <xf numFmtId="0" fontId="11" fillId="0" borderId="0" xfId="30" applyFont="1" applyBorder="1" applyAlignment="1">
      <alignment horizontal="center"/>
    </xf>
    <xf numFmtId="0" fontId="11" fillId="0" borderId="0" xfId="30" applyFont="1" applyBorder="1" applyAlignment="1">
      <alignment horizontal="left"/>
    </xf>
    <xf numFmtId="0" fontId="96" fillId="0" borderId="0" xfId="0" applyFont="1"/>
    <xf numFmtId="0" fontId="52" fillId="0" borderId="0" xfId="0" applyFont="1" applyBorder="1" applyAlignment="1" applyProtection="1">
      <alignment horizontal="justify" vertical="top" wrapText="1"/>
      <protection hidden="1"/>
    </xf>
    <xf numFmtId="0" fontId="52" fillId="0" borderId="0" xfId="0" applyFont="1" applyBorder="1" applyAlignment="1" applyProtection="1">
      <alignment horizontal="left" vertical="top" wrapText="1"/>
      <protection hidden="1"/>
    </xf>
    <xf numFmtId="0" fontId="75" fillId="0" borderId="0" xfId="21" applyFont="1" applyAlignment="1" applyProtection="1">
      <alignment horizontal="left" vertical="center" wrapText="1"/>
      <protection hidden="1"/>
    </xf>
    <xf numFmtId="43" fontId="24" fillId="0" borderId="113" xfId="17" applyFont="1" applyFill="1" applyBorder="1" applyAlignment="1" applyProtection="1">
      <alignment horizontal="center" vertical="center" wrapText="1"/>
      <protection hidden="1"/>
    </xf>
    <xf numFmtId="2" fontId="47" fillId="0" borderId="113" xfId="0" applyNumberFormat="1" applyFont="1" applyFill="1" applyBorder="1" applyAlignment="1" applyProtection="1">
      <alignment horizontal="right" vertical="center" wrapText="1"/>
      <protection hidden="1"/>
    </xf>
    <xf numFmtId="43" fontId="24" fillId="0" borderId="113" xfId="17" applyFont="1" applyFill="1" applyBorder="1" applyAlignment="1" applyProtection="1">
      <alignment vertical="center" wrapText="1"/>
      <protection hidden="1"/>
    </xf>
    <xf numFmtId="2" fontId="47" fillId="0" borderId="112" xfId="0" applyNumberFormat="1" applyFont="1" applyFill="1" applyBorder="1" applyAlignment="1" applyProtection="1">
      <alignment horizontal="right" vertical="center" wrapText="1"/>
      <protection hidden="1"/>
    </xf>
    <xf numFmtId="171" fontId="94" fillId="12" borderId="68" xfId="17" applyNumberFormat="1" applyFont="1" applyFill="1" applyBorder="1" applyAlignment="1" applyProtection="1">
      <alignment horizontal="center" vertical="center" wrapText="1"/>
      <protection hidden="1"/>
    </xf>
    <xf numFmtId="43" fontId="24" fillId="12" borderId="113" xfId="17"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3" fillId="0" borderId="113" xfId="0" applyNumberFormat="1" applyFont="1" applyFill="1" applyBorder="1" applyAlignment="1" applyProtection="1">
      <alignment horizontal="center" vertical="center" wrapText="1"/>
      <protection hidden="1"/>
    </xf>
    <xf numFmtId="2" fontId="28" fillId="0" borderId="113" xfId="0" applyNumberFormat="1" applyFont="1" applyFill="1" applyBorder="1" applyAlignment="1" applyProtection="1">
      <alignment horizontal="center" vertical="center" wrapText="1"/>
      <protection hidden="1"/>
    </xf>
    <xf numFmtId="2" fontId="47" fillId="0" borderId="113" xfId="0" applyNumberFormat="1" applyFont="1" applyFill="1" applyBorder="1" applyAlignment="1" applyProtection="1">
      <alignment horizontal="center" vertical="center" wrapText="1"/>
      <protection hidden="1"/>
    </xf>
    <xf numFmtId="171" fontId="94" fillId="12" borderId="114" xfId="17" applyNumberFormat="1" applyFont="1" applyFill="1" applyBorder="1" applyAlignment="1" applyProtection="1">
      <alignment horizontal="center" vertical="center" wrapText="1"/>
      <protection hidden="1"/>
    </xf>
    <xf numFmtId="43" fontId="24" fillId="12" borderId="115" xfId="17" applyFont="1" applyFill="1" applyBorder="1" applyAlignment="1" applyProtection="1">
      <alignment horizontal="center" vertical="center" wrapText="1"/>
      <protection hidden="1"/>
    </xf>
    <xf numFmtId="2" fontId="47" fillId="0" borderId="115" xfId="0" applyNumberFormat="1" applyFont="1" applyFill="1" applyBorder="1" applyAlignment="1" applyProtection="1">
      <alignment horizontal="right" vertical="center" wrapText="1"/>
      <protection hidden="1"/>
    </xf>
    <xf numFmtId="2" fontId="24" fillId="0" borderId="115" xfId="0" applyNumberFormat="1" applyFont="1" applyFill="1" applyBorder="1" applyAlignment="1" applyProtection="1">
      <alignment horizontal="center" vertical="center" wrapText="1"/>
      <protection hidden="1"/>
    </xf>
    <xf numFmtId="43" fontId="24" fillId="0" borderId="115" xfId="17" applyFont="1" applyFill="1" applyBorder="1" applyAlignment="1" applyProtection="1">
      <alignment vertical="center" wrapText="1"/>
      <protection hidden="1"/>
    </xf>
    <xf numFmtId="43" fontId="24" fillId="0" borderId="115" xfId="17" applyFont="1" applyFill="1" applyBorder="1" applyAlignment="1" applyProtection="1">
      <alignment horizontal="center" vertical="center" wrapText="1"/>
      <protection hidden="1"/>
    </xf>
    <xf numFmtId="2" fontId="23" fillId="0" borderId="115" xfId="0" applyNumberFormat="1" applyFont="1" applyFill="1" applyBorder="1" applyAlignment="1" applyProtection="1">
      <alignment horizontal="center" vertical="center" wrapText="1"/>
      <protection hidden="1"/>
    </xf>
    <xf numFmtId="2" fontId="28" fillId="0" borderId="115" xfId="0" applyNumberFormat="1" applyFont="1" applyFill="1" applyBorder="1" applyAlignment="1" applyProtection="1">
      <alignment horizontal="center" vertical="center" wrapText="1"/>
      <protection hidden="1"/>
    </xf>
    <xf numFmtId="2" fontId="47" fillId="0" borderId="115" xfId="0" applyNumberFormat="1" applyFont="1" applyFill="1" applyBorder="1" applyAlignment="1" applyProtection="1">
      <alignment horizontal="center" vertical="center" wrapText="1"/>
      <protection hidden="1"/>
    </xf>
    <xf numFmtId="2" fontId="47" fillId="0" borderId="116" xfId="0" applyNumberFormat="1" applyFont="1" applyFill="1" applyBorder="1" applyAlignment="1" applyProtection="1">
      <alignment horizontal="right" vertical="center" wrapText="1"/>
      <protection hidden="1"/>
    </xf>
    <xf numFmtId="4" fontId="23" fillId="0" borderId="64" xfId="0" applyNumberFormat="1" applyFont="1" applyFill="1" applyBorder="1" applyAlignment="1" applyProtection="1">
      <alignment horizontal="right" vertical="center"/>
      <protection hidden="1"/>
    </xf>
    <xf numFmtId="4" fontId="24" fillId="0" borderId="64" xfId="0" applyNumberFormat="1" applyFont="1" applyFill="1" applyBorder="1" applyAlignment="1" applyProtection="1">
      <alignment horizontal="right" vertical="center"/>
      <protection hidden="1"/>
    </xf>
    <xf numFmtId="4" fontId="23" fillId="2" borderId="64" xfId="0" applyNumberFormat="1" applyFont="1" applyFill="1" applyBorder="1" applyAlignment="1" applyProtection="1">
      <alignment horizontal="center" vertical="center"/>
      <protection hidden="1"/>
    </xf>
    <xf numFmtId="4" fontId="23" fillId="2" borderId="65" xfId="0" applyNumberFormat="1" applyFont="1" applyFill="1" applyBorder="1" applyAlignment="1" applyProtection="1">
      <alignment horizontal="right" vertical="center"/>
      <protection hidden="1"/>
    </xf>
    <xf numFmtId="0" fontId="52" fillId="0" borderId="0" xfId="0" applyFont="1" applyBorder="1" applyAlignment="1" applyProtection="1">
      <alignment horizontal="justify" vertical="top" wrapText="1"/>
      <protection hidden="1"/>
    </xf>
    <xf numFmtId="0" fontId="45" fillId="5" borderId="113" xfId="0" quotePrefix="1" applyFont="1" applyFill="1" applyBorder="1" applyAlignment="1" applyProtection="1">
      <alignment horizontal="center" vertical="center" wrapText="1"/>
      <protection hidden="1"/>
    </xf>
    <xf numFmtId="9" fontId="45" fillId="5" borderId="113" xfId="0" quotePrefix="1" applyNumberFormat="1" applyFont="1" applyFill="1" applyBorder="1" applyAlignment="1" applyProtection="1">
      <alignment horizontal="center" vertical="center" wrapText="1"/>
      <protection hidden="1"/>
    </xf>
    <xf numFmtId="43" fontId="24" fillId="0" borderId="68" xfId="17" applyFont="1" applyFill="1" applyBorder="1" applyAlignment="1" applyProtection="1">
      <alignment vertical="center" wrapText="1"/>
      <protection hidden="1"/>
    </xf>
    <xf numFmtId="43" fontId="24" fillId="0" borderId="113" xfId="17"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24" fillId="0" borderId="113" xfId="0" quotePrefix="1" applyNumberFormat="1" applyFont="1" applyFill="1" applyBorder="1" applyAlignment="1" applyProtection="1">
      <alignment horizontal="right" vertical="center" wrapText="1"/>
      <protection hidden="1"/>
    </xf>
    <xf numFmtId="43" fontId="24" fillId="0" borderId="112" xfId="17" applyFont="1" applyFill="1" applyBorder="1" applyAlignment="1" applyProtection="1">
      <alignment horizontal="right" vertical="center" wrapText="1"/>
      <protection hidden="1"/>
    </xf>
    <xf numFmtId="0" fontId="45" fillId="33" borderId="45" xfId="0" quotePrefix="1" applyFont="1" applyFill="1" applyBorder="1" applyAlignment="1" applyProtection="1">
      <alignment horizontal="center" vertical="center" wrapText="1"/>
      <protection hidden="1"/>
    </xf>
    <xf numFmtId="9" fontId="45" fillId="33" borderId="45" xfId="0" quotePrefix="1" applyNumberFormat="1" applyFont="1" applyFill="1" applyBorder="1" applyAlignment="1" applyProtection="1">
      <alignment horizontal="center" vertical="center" wrapText="1"/>
      <protection hidden="1"/>
    </xf>
    <xf numFmtId="0" fontId="52" fillId="0" borderId="0" xfId="0" applyFont="1" applyBorder="1" applyAlignment="1" applyProtection="1">
      <alignment horizontal="justify" vertical="top" wrapText="1"/>
      <protection hidden="1"/>
    </xf>
    <xf numFmtId="43" fontId="24" fillId="0" borderId="117" xfId="17" applyFont="1" applyFill="1" applyBorder="1" applyAlignment="1" applyProtection="1">
      <alignment vertical="center" wrapText="1"/>
      <protection hidden="1"/>
    </xf>
    <xf numFmtId="43" fontId="24" fillId="0" borderId="117" xfId="17" applyFont="1" applyFill="1" applyBorder="1" applyAlignment="1" applyProtection="1">
      <alignment horizontal="center" vertical="center" wrapText="1"/>
      <protection hidden="1"/>
    </xf>
    <xf numFmtId="43" fontId="24" fillId="0" borderId="117" xfId="17" applyFont="1" applyFill="1" applyBorder="1" applyAlignment="1" applyProtection="1">
      <alignment horizontal="right" vertical="center" wrapText="1"/>
      <protection hidden="1"/>
    </xf>
    <xf numFmtId="43" fontId="25" fillId="0" borderId="117" xfId="17" applyFont="1" applyFill="1" applyBorder="1" applyAlignment="1" applyProtection="1">
      <alignment vertical="center" wrapText="1"/>
      <protection hidden="1"/>
    </xf>
    <xf numFmtId="2" fontId="24" fillId="0" borderId="117" xfId="0" quotePrefix="1" applyNumberFormat="1" applyFont="1" applyFill="1" applyBorder="1" applyAlignment="1" applyProtection="1">
      <alignment horizontal="right" vertical="center" wrapText="1"/>
      <protection hidden="1"/>
    </xf>
    <xf numFmtId="43" fontId="24" fillId="0" borderId="76" xfId="17" applyFont="1" applyFill="1" applyBorder="1" applyAlignment="1" applyProtection="1">
      <alignment vertical="center" wrapText="1"/>
      <protection hidden="1"/>
    </xf>
    <xf numFmtId="43" fontId="24" fillId="0" borderId="54" xfId="17" applyFont="1" applyFill="1" applyBorder="1" applyAlignment="1" applyProtection="1">
      <alignment vertical="center" wrapText="1"/>
      <protection hidden="1"/>
    </xf>
    <xf numFmtId="4" fontId="23" fillId="23" borderId="64" xfId="0" applyNumberFormat="1" applyFont="1" applyFill="1" applyBorder="1" applyAlignment="1" applyProtection="1">
      <alignment vertical="center"/>
      <protection hidden="1"/>
    </xf>
    <xf numFmtId="4" fontId="23" fillId="12" borderId="64" xfId="0" applyNumberFormat="1" applyFont="1" applyFill="1" applyBorder="1" applyAlignment="1" applyProtection="1">
      <alignment vertical="center"/>
      <protection hidden="1"/>
    </xf>
    <xf numFmtId="4" fontId="23" fillId="0" borderId="64" xfId="0" applyNumberFormat="1" applyFont="1" applyFill="1" applyBorder="1" applyAlignment="1" applyProtection="1">
      <alignment vertical="center"/>
      <protection hidden="1"/>
    </xf>
    <xf numFmtId="4" fontId="23" fillId="2" borderId="64" xfId="0" applyNumberFormat="1" applyFont="1" applyFill="1" applyBorder="1" applyAlignment="1" applyProtection="1">
      <alignment vertical="center"/>
      <protection hidden="1"/>
    </xf>
    <xf numFmtId="4" fontId="48" fillId="5" borderId="64" xfId="0" applyNumberFormat="1" applyFont="1" applyFill="1" applyBorder="1" applyAlignment="1" applyProtection="1">
      <alignment vertical="center"/>
      <protection hidden="1"/>
    </xf>
    <xf numFmtId="4" fontId="23" fillId="0" borderId="64" xfId="0" applyNumberFormat="1" applyFont="1" applyFill="1" applyBorder="1" applyAlignment="1" applyProtection="1">
      <alignment horizontal="center" vertical="center"/>
      <protection hidden="1"/>
    </xf>
    <xf numFmtId="43" fontId="23" fillId="14" borderId="2" xfId="0" applyNumberFormat="1" applyFont="1" applyFill="1" applyBorder="1" applyAlignment="1" applyProtection="1">
      <alignment vertical="center"/>
      <protection hidden="1"/>
    </xf>
    <xf numFmtId="4" fontId="23" fillId="14" borderId="2" xfId="0" applyNumberFormat="1" applyFont="1" applyFill="1" applyBorder="1" applyAlignment="1" applyProtection="1">
      <alignment vertical="center"/>
      <protection hidden="1"/>
    </xf>
    <xf numFmtId="0" fontId="3" fillId="14" borderId="0" xfId="30" applyFont="1" applyFill="1"/>
    <xf numFmtId="0" fontId="86" fillId="14" borderId="0" xfId="30" applyFont="1" applyFill="1" applyBorder="1" applyAlignment="1">
      <alignment horizontal="center"/>
    </xf>
    <xf numFmtId="0" fontId="86" fillId="0" borderId="0" xfId="30" applyFont="1" applyBorder="1" applyAlignment="1">
      <alignment horizontal="center"/>
    </xf>
    <xf numFmtId="0" fontId="86" fillId="0" borderId="0" xfId="30" applyFont="1" applyBorder="1" applyAlignment="1">
      <alignment horizontal="left"/>
    </xf>
    <xf numFmtId="43" fontId="86" fillId="0" borderId="0" xfId="30" applyNumberFormat="1" applyFont="1" applyFill="1" applyBorder="1"/>
    <xf numFmtId="164" fontId="23" fillId="0" borderId="41" xfId="0" applyNumberFormat="1" applyFont="1" applyFill="1" applyBorder="1" applyAlignment="1" applyProtection="1">
      <alignment horizontal="right" vertical="center"/>
      <protection hidden="1"/>
    </xf>
    <xf numFmtId="0" fontId="11" fillId="0" borderId="2" xfId="30" applyFont="1" applyBorder="1" applyAlignment="1">
      <alignment horizontal="left"/>
    </xf>
    <xf numFmtId="4" fontId="23" fillId="27" borderId="41" xfId="0" applyNumberFormat="1" applyFont="1" applyFill="1" applyBorder="1" applyAlignment="1" applyProtection="1">
      <alignment horizontal="center" vertical="center"/>
      <protection hidden="1"/>
    </xf>
    <xf numFmtId="0" fontId="2" fillId="14" borderId="0" xfId="30" applyFont="1" applyFill="1"/>
    <xf numFmtId="0" fontId="86" fillId="14" borderId="0" xfId="30" applyFont="1" applyFill="1"/>
    <xf numFmtId="43" fontId="46" fillId="0" borderId="0" xfId="0" applyNumberFormat="1" applyFont="1" applyAlignment="1" applyProtection="1">
      <alignment vertical="center"/>
      <protection hidden="1"/>
    </xf>
    <xf numFmtId="43" fontId="23" fillId="2" borderId="0" xfId="0" applyNumberFormat="1" applyFont="1" applyFill="1" applyAlignment="1" applyProtection="1">
      <alignment vertical="center"/>
      <protection hidden="1"/>
    </xf>
    <xf numFmtId="175" fontId="23" fillId="0" borderId="0" xfId="0" applyNumberFormat="1" applyFont="1" applyBorder="1" applyAlignment="1" applyProtection="1">
      <alignment vertical="center"/>
      <protection hidden="1"/>
    </xf>
    <xf numFmtId="176" fontId="23" fillId="0" borderId="0" xfId="0" applyNumberFormat="1" applyFont="1" applyBorder="1" applyAlignment="1" applyProtection="1">
      <alignment vertical="center"/>
      <protection hidden="1"/>
    </xf>
    <xf numFmtId="43" fontId="23" fillId="0" borderId="0" xfId="25" applyNumberFormat="1" applyFont="1" applyBorder="1" applyAlignment="1" applyProtection="1">
      <alignment vertical="center"/>
      <protection hidden="1"/>
    </xf>
    <xf numFmtId="177" fontId="23" fillId="0" borderId="0" xfId="25" applyNumberFormat="1" applyFont="1" applyBorder="1" applyAlignment="1" applyProtection="1">
      <alignment vertical="center"/>
      <protection hidden="1"/>
    </xf>
    <xf numFmtId="41" fontId="23" fillId="0" borderId="0" xfId="31" applyFont="1" applyBorder="1" applyAlignment="1" applyProtection="1">
      <alignment vertical="center"/>
      <protection hidden="1"/>
    </xf>
    <xf numFmtId="0" fontId="1" fillId="14" borderId="0" xfId="30" applyFont="1" applyFill="1"/>
    <xf numFmtId="9" fontId="23" fillId="0" borderId="0" xfId="25" applyFont="1" applyAlignment="1" applyProtection="1">
      <alignment vertical="center"/>
      <protection hidden="1"/>
    </xf>
    <xf numFmtId="9" fontId="46" fillId="0" borderId="0" xfId="25" applyFont="1" applyAlignment="1" applyProtection="1">
      <alignment vertical="center"/>
      <protection hidden="1"/>
    </xf>
    <xf numFmtId="0" fontId="53" fillId="18" borderId="2" xfId="0" applyFont="1" applyFill="1" applyBorder="1" applyAlignment="1">
      <alignment horizontal="center" vertical="center"/>
    </xf>
    <xf numFmtId="0" fontId="54" fillId="18" borderId="2" xfId="0" applyFont="1" applyFill="1" applyBorder="1" applyAlignment="1">
      <alignment horizontal="center" vertical="center"/>
    </xf>
    <xf numFmtId="0" fontId="12" fillId="0" borderId="92" xfId="21" applyBorder="1" applyAlignment="1">
      <alignment horizontal="center"/>
    </xf>
    <xf numFmtId="0" fontId="12" fillId="0" borderId="93" xfId="21" applyBorder="1" applyAlignment="1">
      <alignment horizontal="center"/>
    </xf>
    <xf numFmtId="0" fontId="12" fillId="0" borderId="94" xfId="21" applyBorder="1" applyAlignment="1">
      <alignment horizontal="center"/>
    </xf>
    <xf numFmtId="0" fontId="12" fillId="0" borderId="95" xfId="21" applyBorder="1" applyAlignment="1">
      <alignment horizontal="center"/>
    </xf>
    <xf numFmtId="0" fontId="12" fillId="0" borderId="0" xfId="21" applyBorder="1" applyAlignment="1">
      <alignment horizontal="center"/>
    </xf>
    <xf numFmtId="0" fontId="12" fillId="0" borderId="4" xfId="21" applyBorder="1" applyAlignment="1">
      <alignment horizontal="center"/>
    </xf>
    <xf numFmtId="0" fontId="12" fillId="0" borderId="96" xfId="21" applyBorder="1" applyAlignment="1">
      <alignment horizontal="center"/>
    </xf>
    <xf numFmtId="0" fontId="12" fillId="0" borderId="97" xfId="21" applyBorder="1" applyAlignment="1">
      <alignment horizontal="center"/>
    </xf>
    <xf numFmtId="0" fontId="12" fillId="0" borderId="98" xfId="21" applyBorder="1" applyAlignment="1">
      <alignment horizontal="center"/>
    </xf>
    <xf numFmtId="0" fontId="36" fillId="2" borderId="2" xfId="21" applyFont="1" applyFill="1" applyBorder="1" applyAlignment="1">
      <alignment horizontal="center"/>
    </xf>
    <xf numFmtId="0" fontId="36" fillId="2" borderId="91" xfId="21" applyFont="1" applyFill="1" applyBorder="1" applyAlignment="1">
      <alignment horizontal="center"/>
    </xf>
    <xf numFmtId="0" fontId="12" fillId="0" borderId="100" xfId="21" applyBorder="1" applyAlignment="1">
      <alignment horizontal="center"/>
    </xf>
    <xf numFmtId="0" fontId="12" fillId="0" borderId="101" xfId="21" applyBorder="1" applyAlignment="1">
      <alignment horizontal="center"/>
    </xf>
    <xf numFmtId="0" fontId="38" fillId="24" borderId="8" xfId="21" applyFont="1" applyFill="1" applyBorder="1" applyAlignment="1">
      <alignment horizontal="center"/>
    </xf>
    <xf numFmtId="0" fontId="38" fillId="24" borderId="9" xfId="21" applyFont="1" applyFill="1" applyBorder="1" applyAlignment="1">
      <alignment horizontal="center"/>
    </xf>
    <xf numFmtId="0" fontId="38" fillId="24" borderId="15" xfId="21" applyFont="1" applyFill="1" applyBorder="1" applyAlignment="1">
      <alignment horizontal="center"/>
    </xf>
    <xf numFmtId="0" fontId="38" fillId="24" borderId="5" xfId="21" applyFont="1" applyFill="1" applyBorder="1" applyAlignment="1">
      <alignment horizontal="center" vertical="center" wrapText="1"/>
    </xf>
    <xf numFmtId="0" fontId="38" fillId="24" borderId="6" xfId="21" applyFont="1" applyFill="1" applyBorder="1" applyAlignment="1">
      <alignment horizontal="center" vertical="center" wrapText="1"/>
    </xf>
    <xf numFmtId="0" fontId="38" fillId="24" borderId="11" xfId="21" applyFont="1" applyFill="1" applyBorder="1" applyAlignment="1">
      <alignment horizontal="center" vertical="center" wrapText="1"/>
    </xf>
    <xf numFmtId="0" fontId="38" fillId="24" borderId="13" xfId="21" applyFont="1" applyFill="1" applyBorder="1" applyAlignment="1">
      <alignment horizontal="center" vertical="center" wrapText="1"/>
    </xf>
    <xf numFmtId="10" fontId="38" fillId="24" borderId="3" xfId="26" applyNumberFormat="1" applyFont="1" applyFill="1" applyBorder="1" applyAlignment="1">
      <alignment horizontal="center" vertical="center"/>
    </xf>
    <xf numFmtId="10" fontId="38" fillId="24" borderId="12" xfId="26" applyNumberFormat="1" applyFont="1" applyFill="1" applyBorder="1" applyAlignment="1">
      <alignment horizontal="center" vertical="center"/>
    </xf>
    <xf numFmtId="0" fontId="36" fillId="2" borderId="89" xfId="21" applyFont="1" applyFill="1" applyBorder="1" applyAlignment="1">
      <alignment horizontal="center"/>
    </xf>
    <xf numFmtId="0" fontId="36" fillId="2" borderId="90" xfId="21" applyFont="1" applyFill="1" applyBorder="1" applyAlignment="1">
      <alignment horizontal="center"/>
    </xf>
    <xf numFmtId="0" fontId="38" fillId="12" borderId="0" xfId="21" applyFont="1" applyFill="1" applyBorder="1" applyAlignment="1">
      <alignment horizontal="center"/>
    </xf>
    <xf numFmtId="0" fontId="38" fillId="25" borderId="5" xfId="21" applyFont="1" applyFill="1" applyBorder="1" applyAlignment="1">
      <alignment horizontal="center" vertical="center" wrapText="1"/>
    </xf>
    <xf numFmtId="0" fontId="38" fillId="25" borderId="6" xfId="21" applyFont="1" applyFill="1" applyBorder="1" applyAlignment="1">
      <alignment horizontal="center" vertical="center" wrapText="1"/>
    </xf>
    <xf numFmtId="0" fontId="38" fillId="25" borderId="11" xfId="21" applyFont="1" applyFill="1" applyBorder="1" applyAlignment="1">
      <alignment horizontal="center" vertical="center" wrapText="1"/>
    </xf>
    <xf numFmtId="0" fontId="38" fillId="25" borderId="13" xfId="21" applyFont="1" applyFill="1" applyBorder="1" applyAlignment="1">
      <alignment horizontal="center" vertical="center" wrapText="1"/>
    </xf>
    <xf numFmtId="10" fontId="38" fillId="25" borderId="3" xfId="26" applyNumberFormat="1" applyFont="1" applyFill="1" applyBorder="1" applyAlignment="1">
      <alignment horizontal="center" vertical="center"/>
    </xf>
    <xf numFmtId="10" fontId="38" fillId="25" borderId="12" xfId="26" applyNumberFormat="1" applyFont="1" applyFill="1" applyBorder="1" applyAlignment="1">
      <alignment horizontal="center" vertical="center"/>
    </xf>
    <xf numFmtId="0" fontId="61" fillId="0" borderId="0" xfId="21" applyFont="1" applyAlignment="1">
      <alignment horizontal="justify" wrapText="1"/>
    </xf>
    <xf numFmtId="0" fontId="38" fillId="12" borderId="13" xfId="21" applyFont="1" applyFill="1" applyBorder="1" applyAlignment="1">
      <alignment horizontal="center"/>
    </xf>
    <xf numFmtId="49" fontId="37" fillId="10" borderId="11" xfId="23" quotePrefix="1" applyNumberFormat="1" applyFont="1" applyFill="1" applyBorder="1" applyAlignment="1" applyProtection="1">
      <alignment horizontal="center" vertical="center" wrapText="1"/>
    </xf>
    <xf numFmtId="49" fontId="37" fillId="10" borderId="13" xfId="23" quotePrefix="1" applyNumberFormat="1" applyFont="1" applyFill="1" applyBorder="1" applyAlignment="1" applyProtection="1">
      <alignment horizontal="center" vertical="center" wrapText="1"/>
    </xf>
    <xf numFmtId="49" fontId="37" fillId="10" borderId="12" xfId="23" quotePrefix="1" applyNumberFormat="1" applyFont="1" applyFill="1" applyBorder="1" applyAlignment="1" applyProtection="1">
      <alignment horizontal="center" vertical="center" wrapText="1"/>
    </xf>
    <xf numFmtId="0" fontId="62" fillId="0" borderId="0" xfId="21" applyFont="1" applyAlignment="1">
      <alignment horizontal="left" wrapText="1"/>
    </xf>
    <xf numFmtId="37" fontId="34" fillId="9" borderId="5" xfId="23" applyNumberFormat="1" applyFont="1" applyFill="1" applyBorder="1" applyAlignment="1" applyProtection="1">
      <alignment horizontal="center" vertical="center" wrapText="1"/>
    </xf>
    <xf numFmtId="37" fontId="34" fillId="9" borderId="3" xfId="23" applyNumberFormat="1" applyFont="1" applyFill="1" applyBorder="1" applyAlignment="1" applyProtection="1">
      <alignment horizontal="center" vertical="center" wrapText="1"/>
    </xf>
    <xf numFmtId="37" fontId="34" fillId="9" borderId="11" xfId="23" applyNumberFormat="1" applyFont="1" applyFill="1" applyBorder="1" applyAlignment="1" applyProtection="1">
      <alignment horizontal="center" vertical="center" wrapText="1"/>
    </xf>
    <xf numFmtId="37" fontId="34" fillId="9" borderId="12" xfId="23" applyNumberFormat="1" applyFont="1" applyFill="1" applyBorder="1" applyAlignment="1" applyProtection="1">
      <alignment horizontal="center" vertical="center" wrapText="1"/>
    </xf>
    <xf numFmtId="0" fontId="81" fillId="0" borderId="2" xfId="30" applyFont="1" applyBorder="1" applyAlignment="1">
      <alignment horizontal="left" vertical="center"/>
    </xf>
    <xf numFmtId="0" fontId="82" fillId="0" borderId="105" xfId="30" applyFont="1" applyBorder="1" applyAlignment="1">
      <alignment horizontal="center" vertical="center"/>
    </xf>
    <xf numFmtId="0" fontId="80" fillId="0" borderId="92" xfId="30" applyFont="1" applyBorder="1" applyAlignment="1">
      <alignment horizontal="left"/>
    </xf>
    <xf numFmtId="0" fontId="80" fillId="0" borderId="93" xfId="30" applyFont="1" applyBorder="1" applyAlignment="1">
      <alignment horizontal="left"/>
    </xf>
    <xf numFmtId="0" fontId="80" fillId="0" borderId="106" xfId="30" applyFont="1" applyBorder="1" applyAlignment="1">
      <alignment horizontal="left"/>
    </xf>
    <xf numFmtId="0" fontId="80" fillId="0" borderId="96" xfId="30" applyFont="1" applyBorder="1" applyAlignment="1">
      <alignment horizontal="left"/>
    </xf>
    <xf numFmtId="0" fontId="80" fillId="0" borderId="97" xfId="30" applyFont="1" applyBorder="1" applyAlignment="1">
      <alignment horizontal="left"/>
    </xf>
    <xf numFmtId="0" fontId="80" fillId="0" borderId="107" xfId="30" applyFont="1" applyBorder="1" applyAlignment="1">
      <alignment horizontal="left"/>
    </xf>
    <xf numFmtId="0" fontId="81" fillId="0" borderId="2" xfId="30" applyFont="1" applyBorder="1" applyAlignment="1">
      <alignment horizontal="center" vertical="center"/>
    </xf>
    <xf numFmtId="0" fontId="11" fillId="0" borderId="2" xfId="30" applyFont="1" applyBorder="1" applyAlignment="1">
      <alignment horizontal="left"/>
    </xf>
    <xf numFmtId="0" fontId="11" fillId="29" borderId="2" xfId="30" applyFont="1" applyFill="1" applyBorder="1" applyAlignment="1">
      <alignment horizontal="left"/>
    </xf>
    <xf numFmtId="0" fontId="11" fillId="0" borderId="105" xfId="30" applyFont="1" applyBorder="1" applyAlignment="1">
      <alignment horizontal="center"/>
    </xf>
    <xf numFmtId="0" fontId="11" fillId="0" borderId="109" xfId="30" applyFont="1" applyBorder="1" applyAlignment="1">
      <alignment horizontal="center"/>
    </xf>
    <xf numFmtId="0" fontId="11" fillId="0" borderId="110" xfId="30" applyFont="1" applyBorder="1" applyAlignment="1">
      <alignment horizontal="center"/>
    </xf>
    <xf numFmtId="0" fontId="11" fillId="0" borderId="108" xfId="30" applyFont="1" applyBorder="1" applyAlignment="1">
      <alignment horizontal="left"/>
    </xf>
    <xf numFmtId="0" fontId="11" fillId="0" borderId="2" xfId="30" applyFont="1" applyBorder="1" applyAlignment="1">
      <alignment horizontal="center"/>
    </xf>
    <xf numFmtId="0" fontId="11" fillId="0" borderId="105" xfId="30" applyFont="1" applyBorder="1" applyAlignment="1">
      <alignment horizontal="left"/>
    </xf>
    <xf numFmtId="0" fontId="11" fillId="0" borderId="109" xfId="30" applyFont="1" applyBorder="1" applyAlignment="1">
      <alignment horizontal="left"/>
    </xf>
    <xf numFmtId="0" fontId="11" fillId="0" borderId="110" xfId="30" applyFont="1" applyBorder="1" applyAlignment="1">
      <alignment horizontal="left"/>
    </xf>
    <xf numFmtId="0" fontId="11" fillId="28" borderId="2" xfId="30" applyFont="1" applyFill="1" applyBorder="1" applyAlignment="1">
      <alignment horizontal="left"/>
    </xf>
    <xf numFmtId="0" fontId="11" fillId="29" borderId="111" xfId="30" applyFont="1" applyFill="1" applyBorder="1" applyAlignment="1">
      <alignment horizontal="left"/>
    </xf>
    <xf numFmtId="0" fontId="11" fillId="31" borderId="2" xfId="30" applyFont="1" applyFill="1" applyBorder="1" applyAlignment="1">
      <alignment horizontal="left"/>
    </xf>
    <xf numFmtId="0" fontId="6" fillId="0" borderId="95" xfId="30" applyFont="1" applyBorder="1" applyAlignment="1">
      <alignment horizontal="center"/>
    </xf>
    <xf numFmtId="0" fontId="6" fillId="0" borderId="96" xfId="30" applyFont="1" applyBorder="1" applyAlignment="1">
      <alignment horizontal="center"/>
    </xf>
    <xf numFmtId="0" fontId="25" fillId="2" borderId="0" xfId="0" applyFont="1" applyFill="1" applyBorder="1" applyAlignment="1" applyProtection="1">
      <alignment horizontal="left" vertical="center" wrapText="1"/>
      <protection hidden="1"/>
    </xf>
    <xf numFmtId="0" fontId="25" fillId="2" borderId="0" xfId="0" quotePrefix="1" applyFont="1" applyFill="1" applyBorder="1" applyAlignment="1" applyProtection="1">
      <alignment horizontal="left" vertical="center" wrapText="1"/>
      <protection hidden="1"/>
    </xf>
    <xf numFmtId="0" fontId="52" fillId="0" borderId="0" xfId="0" applyFont="1" applyBorder="1" applyAlignment="1" applyProtection="1">
      <alignment horizontal="justify" vertical="top" wrapText="1"/>
      <protection hidden="1"/>
    </xf>
    <xf numFmtId="0" fontId="45" fillId="5" borderId="70" xfId="0" applyFont="1" applyFill="1" applyBorder="1" applyAlignment="1" applyProtection="1">
      <alignment horizontal="center" vertical="center" wrapText="1"/>
      <protection hidden="1"/>
    </xf>
    <xf numFmtId="0" fontId="45" fillId="5" borderId="71" xfId="0" applyFont="1" applyFill="1" applyBorder="1" applyAlignment="1" applyProtection="1">
      <alignment horizontal="center" vertical="center" wrapText="1"/>
      <protection hidden="1"/>
    </xf>
    <xf numFmtId="0" fontId="45" fillId="5" borderId="67" xfId="0" quotePrefix="1" applyFont="1" applyFill="1" applyBorder="1" applyAlignment="1" applyProtection="1">
      <alignment horizontal="center" vertical="center" wrapText="1"/>
      <protection hidden="1"/>
    </xf>
    <xf numFmtId="0" fontId="45" fillId="5" borderId="52" xfId="0" quotePrefix="1" applyFont="1" applyFill="1" applyBorder="1" applyAlignment="1" applyProtection="1">
      <alignment horizontal="center" vertical="center" wrapText="1"/>
      <protection hidden="1"/>
    </xf>
    <xf numFmtId="0" fontId="45" fillId="5" borderId="68" xfId="0" applyFont="1" applyFill="1" applyBorder="1" applyAlignment="1" applyProtection="1">
      <alignment horizontal="center" vertical="center" wrapText="1"/>
      <protection hidden="1"/>
    </xf>
    <xf numFmtId="0" fontId="45" fillId="5" borderId="69" xfId="0" applyFont="1" applyFill="1" applyBorder="1" applyAlignment="1" applyProtection="1">
      <alignment horizontal="center" vertical="center" wrapText="1"/>
      <protection hidden="1"/>
    </xf>
    <xf numFmtId="0" fontId="50" fillId="15" borderId="59" xfId="0" applyFont="1" applyFill="1" applyBorder="1" applyAlignment="1" applyProtection="1">
      <alignment horizontal="center" vertical="center"/>
      <protection hidden="1"/>
    </xf>
    <xf numFmtId="0" fontId="50" fillId="15" borderId="60" xfId="0" applyFont="1" applyFill="1" applyBorder="1" applyAlignment="1" applyProtection="1">
      <alignment horizontal="center" vertical="center"/>
      <protection hidden="1"/>
    </xf>
    <xf numFmtId="0" fontId="50" fillId="15" borderId="61" xfId="0" applyFont="1" applyFill="1" applyBorder="1" applyAlignment="1" applyProtection="1">
      <alignment horizontal="center" vertical="center"/>
      <protection hidden="1"/>
    </xf>
    <xf numFmtId="0" fontId="52" fillId="0" borderId="0" xfId="0" applyFont="1" applyBorder="1" applyAlignment="1" applyProtection="1">
      <alignment horizontal="left" vertical="top" wrapText="1"/>
      <protection hidden="1"/>
    </xf>
    <xf numFmtId="0" fontId="75" fillId="0" borderId="0" xfId="21" applyFont="1" applyAlignment="1" applyProtection="1">
      <alignment horizontal="left" vertical="center" wrapText="1"/>
      <protection hidden="1"/>
    </xf>
    <xf numFmtId="0" fontId="65" fillId="15" borderId="62" xfId="0" applyFont="1" applyFill="1" applyBorder="1" applyAlignment="1" applyProtection="1">
      <alignment horizontal="center" vertical="center" wrapText="1"/>
      <protection hidden="1"/>
    </xf>
    <xf numFmtId="0" fontId="65" fillId="15" borderId="0" xfId="0" applyFont="1" applyFill="1" applyBorder="1" applyAlignment="1" applyProtection="1">
      <alignment horizontal="center" vertical="center" wrapText="1"/>
      <protection hidden="1"/>
    </xf>
    <xf numFmtId="0" fontId="50" fillId="6" borderId="74" xfId="0" applyFont="1" applyFill="1" applyBorder="1" applyAlignment="1" applyProtection="1">
      <alignment horizontal="center" vertical="center"/>
      <protection hidden="1"/>
    </xf>
    <xf numFmtId="0" fontId="50" fillId="6" borderId="75" xfId="0" applyFont="1" applyFill="1" applyBorder="1" applyAlignment="1" applyProtection="1">
      <alignment horizontal="center" vertical="center"/>
      <protection hidden="1"/>
    </xf>
    <xf numFmtId="0" fontId="45" fillId="5" borderId="72" xfId="0" quotePrefix="1" applyFont="1" applyFill="1" applyBorder="1" applyAlignment="1" applyProtection="1">
      <alignment horizontal="center" vertical="center" wrapText="1"/>
      <protection hidden="1"/>
    </xf>
    <xf numFmtId="0" fontId="45" fillId="5" borderId="73"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justify" vertical="center" wrapText="1"/>
      <protection hidden="1"/>
    </xf>
    <xf numFmtId="0" fontId="52" fillId="0" borderId="0" xfId="0" applyFont="1" applyFill="1" applyAlignment="1" applyProtection="1">
      <alignment horizontal="justify" vertical="center" wrapText="1"/>
      <protection hidden="1"/>
    </xf>
    <xf numFmtId="0" fontId="52" fillId="0" borderId="0" xfId="0" applyFont="1" applyFill="1" applyAlignment="1" applyProtection="1">
      <alignment horizontal="justify" vertical="top" wrapText="1"/>
      <protection hidden="1"/>
    </xf>
    <xf numFmtId="0" fontId="65" fillId="15" borderId="59" xfId="0" applyFont="1" applyFill="1" applyBorder="1" applyAlignment="1" applyProtection="1">
      <alignment horizontal="center" vertical="center" wrapText="1"/>
      <protection hidden="1"/>
    </xf>
    <xf numFmtId="0" fontId="65" fillId="15" borderId="60" xfId="0" applyFont="1" applyFill="1" applyBorder="1" applyAlignment="1" applyProtection="1">
      <alignment horizontal="center" vertical="center" wrapText="1"/>
      <protection hidden="1"/>
    </xf>
    <xf numFmtId="0" fontId="65" fillId="15" borderId="61" xfId="0" applyFont="1" applyFill="1" applyBorder="1" applyAlignment="1" applyProtection="1">
      <alignment horizontal="center" vertical="center" wrapText="1"/>
      <protection hidden="1"/>
    </xf>
    <xf numFmtId="0" fontId="65" fillId="15" borderId="74" xfId="0" applyFont="1" applyFill="1" applyBorder="1" applyAlignment="1" applyProtection="1">
      <alignment horizontal="center" vertical="center" wrapText="1"/>
      <protection hidden="1"/>
    </xf>
    <xf numFmtId="0" fontId="65" fillId="15" borderId="75" xfId="0" applyFont="1" applyFill="1" applyBorder="1" applyAlignment="1" applyProtection="1">
      <alignment horizontal="center" vertical="center" wrapText="1"/>
      <protection hidden="1"/>
    </xf>
    <xf numFmtId="0" fontId="65" fillId="15" borderId="76" xfId="0" applyFont="1" applyFill="1" applyBorder="1" applyAlignment="1" applyProtection="1">
      <alignment horizontal="center" vertical="center" wrapText="1"/>
      <protection hidden="1"/>
    </xf>
    <xf numFmtId="0" fontId="71" fillId="0" borderId="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59" fillId="15" borderId="62" xfId="0" quotePrefix="1" applyFont="1" applyFill="1" applyBorder="1" applyAlignment="1" applyProtection="1">
      <alignment horizontal="center" vertical="center" wrapText="1"/>
      <protection hidden="1"/>
    </xf>
    <xf numFmtId="0" fontId="59" fillId="15" borderId="0" xfId="0" quotePrefix="1" applyFont="1" applyFill="1" applyBorder="1" applyAlignment="1" applyProtection="1">
      <alignment horizontal="center" vertical="center" wrapText="1"/>
      <protection hidden="1"/>
    </xf>
    <xf numFmtId="0" fontId="59" fillId="15" borderId="74" xfId="0" applyFont="1" applyFill="1" applyBorder="1" applyAlignment="1" applyProtection="1">
      <alignment horizontal="center" vertical="center" wrapText="1"/>
      <protection hidden="1"/>
    </xf>
    <xf numFmtId="0" fontId="59" fillId="15" borderId="75" xfId="0" applyFont="1" applyFill="1" applyBorder="1" applyAlignment="1" applyProtection="1">
      <alignment horizontal="center" vertical="center" wrapText="1"/>
      <protection hidden="1"/>
    </xf>
    <xf numFmtId="0" fontId="45" fillId="33" borderId="72" xfId="0" quotePrefix="1" applyFont="1" applyFill="1" applyBorder="1" applyAlignment="1" applyProtection="1">
      <alignment horizontal="center" vertical="center" wrapText="1"/>
      <protection hidden="1"/>
    </xf>
    <xf numFmtId="0" fontId="45" fillId="33" borderId="52" xfId="0" quotePrefix="1" applyFont="1" applyFill="1" applyBorder="1" applyAlignment="1" applyProtection="1">
      <alignment horizontal="center" vertical="center" wrapText="1"/>
      <protection hidden="1"/>
    </xf>
    <xf numFmtId="0" fontId="75" fillId="0" borderId="0" xfId="21" applyFont="1" applyAlignment="1" applyProtection="1">
      <alignment horizontal="justify" vertical="center" wrapText="1"/>
      <protection hidden="1"/>
    </xf>
    <xf numFmtId="0" fontId="59" fillId="6" borderId="77" xfId="0" applyFont="1" applyFill="1" applyBorder="1" applyAlignment="1" applyProtection="1">
      <alignment horizontal="center" vertical="center" wrapText="1"/>
      <protection hidden="1"/>
    </xf>
    <xf numFmtId="0" fontId="59" fillId="6" borderId="78" xfId="0" applyFont="1" applyFill="1" applyBorder="1" applyAlignment="1" applyProtection="1">
      <alignment horizontal="center" vertical="center" wrapText="1"/>
      <protection hidden="1"/>
    </xf>
    <xf numFmtId="0" fontId="59" fillId="6" borderId="83" xfId="0" applyFont="1" applyFill="1" applyBorder="1" applyAlignment="1" applyProtection="1">
      <alignment horizontal="center" vertical="center" wrapText="1"/>
      <protection hidden="1"/>
    </xf>
    <xf numFmtId="0" fontId="59" fillId="6" borderId="84" xfId="0" applyFont="1" applyFill="1" applyBorder="1" applyAlignment="1" applyProtection="1">
      <alignment horizontal="center" vertical="center" wrapText="1"/>
      <protection hidden="1"/>
    </xf>
    <xf numFmtId="0" fontId="45" fillId="5" borderId="80" xfId="0" applyFont="1" applyFill="1" applyBorder="1" applyAlignment="1" applyProtection="1">
      <alignment horizontal="center" vertical="center" wrapText="1"/>
      <protection hidden="1"/>
    </xf>
    <xf numFmtId="0" fontId="45" fillId="5" borderId="81" xfId="0" applyFont="1" applyFill="1" applyBorder="1" applyAlignment="1" applyProtection="1">
      <alignment horizontal="center" vertical="center" wrapText="1"/>
      <protection hidden="1"/>
    </xf>
    <xf numFmtId="0" fontId="45" fillId="5" borderId="82" xfId="0" applyFont="1" applyFill="1" applyBorder="1" applyAlignment="1" applyProtection="1">
      <alignment horizontal="center" vertical="center" wrapText="1"/>
      <protection hidden="1"/>
    </xf>
    <xf numFmtId="0" fontId="45" fillId="5" borderId="85" xfId="0" applyFont="1" applyFill="1" applyBorder="1" applyAlignment="1" applyProtection="1">
      <alignment horizontal="center" vertical="center" wrapText="1"/>
      <protection hidden="1"/>
    </xf>
    <xf numFmtId="0" fontId="45" fillId="5" borderId="57" xfId="0" applyFont="1" applyFill="1" applyBorder="1" applyAlignment="1" applyProtection="1">
      <alignment horizontal="center" vertical="center" wrapText="1"/>
      <protection hidden="1"/>
    </xf>
    <xf numFmtId="0" fontId="52" fillId="0" borderId="0" xfId="0" applyFont="1" applyBorder="1" applyAlignment="1" applyProtection="1">
      <alignment horizontal="justify" vertical="center"/>
      <protection hidden="1"/>
    </xf>
    <xf numFmtId="0" fontId="46" fillId="15" borderId="59" xfId="0" applyFont="1" applyFill="1" applyBorder="1" applyAlignment="1" applyProtection="1">
      <alignment horizontal="center" vertical="center" wrapText="1"/>
      <protection hidden="1"/>
    </xf>
    <xf numFmtId="0" fontId="46" fillId="15" borderId="60" xfId="0" applyFont="1" applyFill="1" applyBorder="1" applyAlignment="1" applyProtection="1">
      <alignment horizontal="center" vertical="center" wrapText="1"/>
      <protection hidden="1"/>
    </xf>
    <xf numFmtId="0" fontId="46" fillId="15" borderId="61" xfId="0" applyFont="1" applyFill="1" applyBorder="1" applyAlignment="1" applyProtection="1">
      <alignment horizontal="center" vertical="center" wrapText="1"/>
      <protection hidden="1"/>
    </xf>
    <xf numFmtId="0" fontId="46" fillId="15" borderId="74" xfId="0" applyFont="1" applyFill="1" applyBorder="1" applyAlignment="1" applyProtection="1">
      <alignment horizontal="center" vertical="center" wrapText="1"/>
      <protection hidden="1"/>
    </xf>
    <xf numFmtId="0" fontId="46" fillId="15" borderId="75" xfId="0" applyFont="1" applyFill="1" applyBorder="1" applyAlignment="1" applyProtection="1">
      <alignment horizontal="center" vertical="center" wrapText="1"/>
      <protection hidden="1"/>
    </xf>
    <xf numFmtId="0" fontId="46" fillId="15" borderId="76" xfId="0" applyFont="1" applyFill="1" applyBorder="1" applyAlignment="1" applyProtection="1">
      <alignment horizontal="center" vertical="center" wrapText="1"/>
      <protection hidden="1"/>
    </xf>
    <xf numFmtId="0" fontId="50" fillId="6" borderId="0" xfId="0" applyFont="1" applyFill="1" applyBorder="1" applyAlignment="1" applyProtection="1">
      <alignment horizontal="center" vertical="center" wrapText="1"/>
      <protection hidden="1"/>
    </xf>
    <xf numFmtId="0" fontId="52" fillId="0" borderId="0" xfId="0" applyFont="1" applyFill="1" applyBorder="1" applyAlignment="1" applyProtection="1">
      <alignment horizontal="left" vertical="center" wrapText="1"/>
      <protection hidden="1"/>
    </xf>
    <xf numFmtId="0" fontId="52" fillId="12" borderId="0" xfId="0" applyFont="1" applyFill="1" applyAlignment="1" applyProtection="1">
      <alignment horizontal="left" vertical="top" wrapText="1"/>
      <protection hidden="1"/>
    </xf>
    <xf numFmtId="166" fontId="48" fillId="2" borderId="0" xfId="24" applyFont="1" applyFill="1" applyAlignment="1" applyProtection="1">
      <alignment horizontal="center" vertical="center"/>
      <protection hidden="1"/>
    </xf>
    <xf numFmtId="0" fontId="52" fillId="2" borderId="0" xfId="0" quotePrefix="1" applyFont="1" applyFill="1" applyBorder="1" applyAlignment="1" applyProtection="1">
      <alignment horizontal="left" vertical="center" wrapText="1"/>
      <protection hidden="1"/>
    </xf>
    <xf numFmtId="0" fontId="52" fillId="2" borderId="0" xfId="0" applyNumberFormat="1" applyFont="1" applyFill="1" applyAlignment="1" applyProtection="1">
      <alignment horizontal="justify" vertical="center" wrapText="1"/>
      <protection hidden="1"/>
    </xf>
    <xf numFmtId="0" fontId="55" fillId="0" borderId="0" xfId="0" applyFont="1" applyFill="1" applyBorder="1" applyAlignment="1" applyProtection="1">
      <alignment horizontal="center" vertical="center" wrapText="1"/>
      <protection hidden="1"/>
    </xf>
    <xf numFmtId="0" fontId="44" fillId="12" borderId="0" xfId="0" applyFont="1" applyFill="1" applyAlignment="1" applyProtection="1">
      <alignment horizontal="fill" vertical="center" wrapText="1"/>
      <protection hidden="1"/>
    </xf>
    <xf numFmtId="0" fontId="23" fillId="12" borderId="0" xfId="0" applyFont="1" applyFill="1" applyAlignment="1" applyProtection="1">
      <alignment vertical="center" wrapText="1"/>
      <protection hidden="1"/>
    </xf>
    <xf numFmtId="0" fontId="44" fillId="22" borderId="0" xfId="0" applyFont="1" applyFill="1" applyAlignment="1" applyProtection="1">
      <alignment horizontal="left" vertical="center" wrapText="1"/>
      <protection hidden="1"/>
    </xf>
    <xf numFmtId="0" fontId="44" fillId="0" borderId="79" xfId="0" applyFont="1" applyFill="1" applyBorder="1" applyAlignment="1" applyProtection="1">
      <alignment horizontal="left" vertical="center" wrapText="1"/>
      <protection hidden="1"/>
    </xf>
    <xf numFmtId="166" fontId="60" fillId="2" borderId="0" xfId="24" applyFont="1" applyFill="1" applyAlignment="1" applyProtection="1">
      <alignment horizontal="center" vertical="center"/>
      <protection hidden="1"/>
    </xf>
    <xf numFmtId="166" fontId="60" fillId="2" borderId="0" xfId="24" applyFont="1" applyFill="1" applyAlignment="1" applyProtection="1">
      <alignment horizontal="center" vertical="center" wrapText="1"/>
      <protection hidden="1"/>
    </xf>
    <xf numFmtId="0" fontId="52" fillId="0" borderId="0" xfId="0" applyFont="1" applyAlignment="1" applyProtection="1">
      <alignment horizontal="left" vertical="center" wrapText="1"/>
      <protection hidden="1"/>
    </xf>
    <xf numFmtId="0" fontId="52" fillId="0" borderId="0" xfId="0" applyFont="1" applyAlignment="1" applyProtection="1">
      <alignment horizontal="justify" vertical="center" wrapText="1"/>
      <protection hidden="1"/>
    </xf>
    <xf numFmtId="41" fontId="23" fillId="0" borderId="64" xfId="31" applyFont="1" applyFill="1" applyBorder="1" applyAlignment="1" applyProtection="1">
      <alignment horizontal="right" vertical="center"/>
      <protection hidden="1"/>
    </xf>
    <xf numFmtId="41" fontId="23" fillId="0" borderId="45" xfId="31" applyFont="1" applyFill="1" applyBorder="1" applyAlignment="1" applyProtection="1">
      <alignment horizontal="right" vertical="center"/>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topLeftCell="A12" workbookViewId="0">
      <selection activeCell="C29" sqref="C29"/>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8" t="s">
        <v>366</v>
      </c>
      <c r="C1" s="469">
        <v>490</v>
      </c>
    </row>
    <row r="2" spans="2:4">
      <c r="B2" s="468" t="s">
        <v>367</v>
      </c>
      <c r="C2" s="469">
        <v>469</v>
      </c>
    </row>
    <row r="3" spans="2:4">
      <c r="B3" s="468" t="s">
        <v>349</v>
      </c>
      <c r="C3" s="469">
        <v>930</v>
      </c>
    </row>
    <row r="4" spans="2:4" hidden="1" outlineLevel="1">
      <c r="B4" s="468" t="s">
        <v>350</v>
      </c>
      <c r="C4" s="469">
        <v>1109.5455419999998</v>
      </c>
    </row>
    <row r="5" spans="2:4" hidden="1" outlineLevel="1">
      <c r="B5" s="468" t="s">
        <v>351</v>
      </c>
      <c r="C5" s="469">
        <v>529.41173003999995</v>
      </c>
    </row>
    <row r="6" spans="2:4" collapsed="1">
      <c r="B6" s="468" t="s">
        <v>355</v>
      </c>
      <c r="C6" s="469">
        <v>965.24</v>
      </c>
    </row>
    <row r="7" spans="2:4">
      <c r="B7" s="468" t="s">
        <v>357</v>
      </c>
      <c r="C7" s="469">
        <v>1021.31</v>
      </c>
    </row>
    <row r="8" spans="2:4">
      <c r="B8" s="468" t="s">
        <v>356</v>
      </c>
      <c r="C8" s="469">
        <v>639.51</v>
      </c>
    </row>
    <row r="9" spans="2:4">
      <c r="B9" s="468" t="s">
        <v>381</v>
      </c>
      <c r="C9" s="469">
        <v>597.75187500000004</v>
      </c>
    </row>
    <row r="10" spans="2:4">
      <c r="B10" s="468" t="s">
        <v>369</v>
      </c>
      <c r="C10" s="469">
        <v>135</v>
      </c>
    </row>
    <row r="11" spans="2:4">
      <c r="B11" s="468" t="s">
        <v>370</v>
      </c>
      <c r="C11" s="469">
        <v>152</v>
      </c>
    </row>
    <row r="12" spans="2:4">
      <c r="B12" s="468" t="s">
        <v>371</v>
      </c>
      <c r="C12" s="469">
        <v>148</v>
      </c>
    </row>
    <row r="13" spans="2:4">
      <c r="B13" s="468" t="s">
        <v>372</v>
      </c>
      <c r="C13" s="469">
        <v>177</v>
      </c>
    </row>
    <row r="14" spans="2:4">
      <c r="B14" s="467" t="s">
        <v>382</v>
      </c>
      <c r="C14" s="475">
        <v>5.7500000000000002E-2</v>
      </c>
    </row>
    <row r="15" spans="2:4">
      <c r="B15" s="467" t="s">
        <v>644</v>
      </c>
      <c r="C15" s="475">
        <v>4.0899999999999999E-2</v>
      </c>
      <c r="D15" s="476"/>
    </row>
    <row r="16" spans="2:4">
      <c r="B16" s="467" t="s">
        <v>670</v>
      </c>
      <c r="C16" s="475">
        <v>3.1800000000000002E-2</v>
      </c>
      <c r="D16" s="476"/>
    </row>
    <row r="17" spans="2:12" s="138" customFormat="1">
      <c r="B17" s="657" t="str">
        <f>+'COMBUSTIBLES '!A1</f>
        <v>1 DE MARZO 2020</v>
      </c>
      <c r="C17" s="145" t="s">
        <v>270</v>
      </c>
      <c r="E17" s="657" t="s">
        <v>8</v>
      </c>
      <c r="F17" s="657"/>
      <c r="G17" s="657"/>
    </row>
    <row r="18" spans="2:12" s="138" customFormat="1">
      <c r="B18" s="657"/>
      <c r="C18" s="146" t="s">
        <v>175</v>
      </c>
      <c r="D18" s="147"/>
      <c r="E18" s="658" t="s">
        <v>175</v>
      </c>
      <c r="F18" s="658"/>
      <c r="G18" s="658"/>
    </row>
    <row r="19" spans="2:12" s="138" customFormat="1">
      <c r="B19" s="657"/>
      <c r="C19" s="148" t="s">
        <v>179</v>
      </c>
      <c r="D19" s="147"/>
      <c r="E19" s="148" t="s">
        <v>176</v>
      </c>
      <c r="F19" s="148" t="s">
        <v>177</v>
      </c>
      <c r="G19" s="148" t="s">
        <v>178</v>
      </c>
      <c r="I19" s="138">
        <f>1555*1.0244</f>
        <v>1592.942</v>
      </c>
    </row>
    <row r="20" spans="2:12" ht="15">
      <c r="B20" s="142" t="s">
        <v>25</v>
      </c>
      <c r="C20" s="460">
        <v>546.26</v>
      </c>
      <c r="D20" s="140"/>
      <c r="E20" s="143">
        <v>5078.7700000000004</v>
      </c>
      <c r="F20" s="143">
        <v>1900</v>
      </c>
      <c r="G20" s="143">
        <v>1900</v>
      </c>
      <c r="H20" s="300"/>
      <c r="I20" s="295"/>
      <c r="J20" s="295"/>
      <c r="K20" s="295"/>
      <c r="L20" s="295"/>
    </row>
    <row r="21" spans="2:12" ht="15">
      <c r="B21" s="142" t="s">
        <v>187</v>
      </c>
      <c r="C21" s="460">
        <f>+C20</f>
        <v>546.26</v>
      </c>
      <c r="D21" s="140"/>
      <c r="E21" s="143">
        <f t="shared" ref="E21:G22" si="0">+E20</f>
        <v>5078.7700000000004</v>
      </c>
      <c r="F21" s="143">
        <f t="shared" si="0"/>
        <v>1900</v>
      </c>
      <c r="G21" s="143">
        <f t="shared" si="0"/>
        <v>1900</v>
      </c>
      <c r="H21" s="300">
        <f>+C21*16%</f>
        <v>87.401600000000002</v>
      </c>
      <c r="I21" s="295">
        <f>+H21*92%</f>
        <v>80.409472000000008</v>
      </c>
      <c r="J21" s="295"/>
      <c r="K21" s="295"/>
      <c r="L21" s="295"/>
    </row>
    <row r="22" spans="2:12" ht="15">
      <c r="B22" s="142" t="s">
        <v>188</v>
      </c>
      <c r="C22" s="460">
        <f>+C21</f>
        <v>546.26</v>
      </c>
      <c r="D22" s="140"/>
      <c r="E22" s="143">
        <f t="shared" si="0"/>
        <v>5078.7700000000004</v>
      </c>
      <c r="F22" s="143">
        <f t="shared" si="0"/>
        <v>1900</v>
      </c>
      <c r="G22" s="143">
        <f t="shared" si="0"/>
        <v>1900</v>
      </c>
      <c r="H22" s="300">
        <f>+C22*16%</f>
        <v>87.401600000000002</v>
      </c>
      <c r="I22" s="295">
        <f>+H22*92%</f>
        <v>80.409472000000008</v>
      </c>
      <c r="J22" s="295"/>
      <c r="K22" s="295"/>
      <c r="L22" s="295"/>
    </row>
    <row r="23" spans="2:12" ht="15">
      <c r="B23" s="142" t="s">
        <v>10</v>
      </c>
      <c r="C23" s="460">
        <v>1036.78</v>
      </c>
      <c r="D23" s="140"/>
      <c r="E23" s="143">
        <v>7107.81</v>
      </c>
      <c r="F23" s="143" t="s">
        <v>158</v>
      </c>
      <c r="G23" s="143" t="s">
        <v>158</v>
      </c>
      <c r="H23" s="300">
        <f>+C23*90%</f>
        <v>933.10199999999998</v>
      </c>
      <c r="I23" s="295">
        <f>+C23*92%</f>
        <v>953.83760000000007</v>
      </c>
      <c r="J23" s="295"/>
      <c r="K23" s="295"/>
      <c r="L23" s="295"/>
    </row>
    <row r="24" spans="2:12" ht="15">
      <c r="B24" s="142" t="s">
        <v>353</v>
      </c>
      <c r="C24" s="460">
        <v>1076.06</v>
      </c>
      <c r="D24" s="140"/>
      <c r="E24" s="470"/>
      <c r="F24" s="470"/>
      <c r="G24" s="470"/>
      <c r="H24" s="300"/>
      <c r="I24" s="295"/>
      <c r="J24" s="295"/>
      <c r="K24" s="295"/>
      <c r="L24" s="295"/>
    </row>
    <row r="25" spans="2:12" ht="15">
      <c r="B25" s="142" t="s">
        <v>358</v>
      </c>
      <c r="C25" s="460">
        <v>1138.57</v>
      </c>
      <c r="D25" s="527" t="s">
        <v>646</v>
      </c>
      <c r="E25" s="470"/>
      <c r="F25" s="470"/>
      <c r="G25" s="470"/>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60">
        <v>522.85</v>
      </c>
      <c r="D27" s="140"/>
      <c r="E27" s="143">
        <v>5024.59</v>
      </c>
      <c r="F27" s="143">
        <v>1900</v>
      </c>
      <c r="G27" s="143">
        <v>3400</v>
      </c>
      <c r="H27" s="300"/>
      <c r="I27" s="295"/>
      <c r="J27" s="295"/>
      <c r="K27" s="295"/>
      <c r="L27" s="295"/>
    </row>
    <row r="28" spans="2:12">
      <c r="B28" s="142" t="s">
        <v>171</v>
      </c>
      <c r="C28" s="461">
        <f>+C27</f>
        <v>522.85</v>
      </c>
      <c r="D28" s="140"/>
      <c r="E28" s="143">
        <f t="shared" ref="E28:G31" si="1">+E27</f>
        <v>5024.59</v>
      </c>
      <c r="F28" s="143">
        <f t="shared" si="1"/>
        <v>1900</v>
      </c>
      <c r="G28" s="143">
        <f t="shared" si="1"/>
        <v>3400</v>
      </c>
      <c r="H28" s="295"/>
      <c r="I28" s="295"/>
      <c r="J28" s="295"/>
      <c r="K28" s="295"/>
      <c r="L28" s="295"/>
    </row>
    <row r="29" spans="2:12">
      <c r="B29" s="142" t="s">
        <v>172</v>
      </c>
      <c r="C29" s="461">
        <f>+C28</f>
        <v>522.85</v>
      </c>
      <c r="D29" s="140"/>
      <c r="E29" s="143">
        <f t="shared" si="1"/>
        <v>5024.59</v>
      </c>
      <c r="F29" s="143">
        <f t="shared" si="1"/>
        <v>1900</v>
      </c>
      <c r="G29" s="143">
        <f t="shared" si="1"/>
        <v>3400</v>
      </c>
      <c r="J29" s="295"/>
      <c r="K29" s="295"/>
      <c r="L29" s="295"/>
    </row>
    <row r="30" spans="2:12">
      <c r="B30" s="142" t="s">
        <v>173</v>
      </c>
      <c r="C30" s="461">
        <f>+C29</f>
        <v>522.85</v>
      </c>
      <c r="D30" s="140"/>
      <c r="E30" s="143">
        <f t="shared" si="1"/>
        <v>5024.59</v>
      </c>
      <c r="F30" s="143">
        <f t="shared" si="1"/>
        <v>1900</v>
      </c>
      <c r="G30" s="143">
        <f t="shared" si="1"/>
        <v>3400</v>
      </c>
      <c r="H30" s="295">
        <f>+C30*98%</f>
        <v>512.39300000000003</v>
      </c>
      <c r="I30" s="295">
        <f>+C30*92%</f>
        <v>481.02200000000005</v>
      </c>
    </row>
    <row r="31" spans="2:12">
      <c r="B31" s="142" t="s">
        <v>174</v>
      </c>
      <c r="C31" s="461">
        <f>+C30</f>
        <v>522.85</v>
      </c>
      <c r="D31" s="140"/>
      <c r="E31" s="143">
        <f t="shared" si="1"/>
        <v>5024.59</v>
      </c>
      <c r="F31" s="143">
        <f t="shared" si="1"/>
        <v>1900</v>
      </c>
      <c r="G31" s="143">
        <f t="shared" si="1"/>
        <v>3400</v>
      </c>
      <c r="H31" s="295">
        <f>+C29*0.96</f>
        <v>501.93599999999998</v>
      </c>
      <c r="I31" s="295">
        <f>+C31*90%</f>
        <v>470.56500000000005</v>
      </c>
    </row>
    <row r="32" spans="2:12">
      <c r="B32" s="142" t="s">
        <v>301</v>
      </c>
      <c r="C32" s="461">
        <f>C27</f>
        <v>522.85</v>
      </c>
    </row>
    <row r="33" spans="2:7">
      <c r="B33" s="142" t="s">
        <v>352</v>
      </c>
      <c r="C33" s="461">
        <v>666.38</v>
      </c>
    </row>
    <row r="34" spans="2:7">
      <c r="B34" s="142" t="s">
        <v>354</v>
      </c>
      <c r="C34" s="460">
        <v>712.94</v>
      </c>
    </row>
    <row r="36" spans="2:7">
      <c r="B36" s="142" t="s">
        <v>189</v>
      </c>
      <c r="C36" s="144" t="s">
        <v>11</v>
      </c>
      <c r="D36" s="140"/>
      <c r="E36" s="143"/>
      <c r="F36" s="143"/>
      <c r="G36" s="143"/>
    </row>
    <row r="37" spans="2:7">
      <c r="B37" s="142" t="s">
        <v>190</v>
      </c>
      <c r="C37" s="144" t="s">
        <v>11</v>
      </c>
      <c r="D37" s="140"/>
      <c r="E37" s="143"/>
      <c r="F37" s="143"/>
      <c r="G37" s="143"/>
    </row>
    <row r="39" spans="2:7">
      <c r="B39" s="142" t="s">
        <v>271</v>
      </c>
      <c r="C39" s="143">
        <v>0.19</v>
      </c>
    </row>
    <row r="40" spans="2:7">
      <c r="C40" s="296"/>
    </row>
    <row r="41" spans="2:7">
      <c r="B41" s="467" t="s">
        <v>726</v>
      </c>
      <c r="C41" s="475" t="s">
        <v>159</v>
      </c>
    </row>
    <row r="42" spans="2:7">
      <c r="B42" s="467"/>
      <c r="C42" s="475" t="s">
        <v>159</v>
      </c>
    </row>
    <row r="43" spans="2:7">
      <c r="B43" s="657" t="str">
        <f>B17</f>
        <v>1 DE MARZO 2020</v>
      </c>
      <c r="C43" s="473" t="s">
        <v>368</v>
      </c>
    </row>
    <row r="44" spans="2:7">
      <c r="B44" s="657"/>
      <c r="C44" s="474" t="s">
        <v>175</v>
      </c>
    </row>
    <row r="45" spans="2:7">
      <c r="B45" s="657"/>
      <c r="C45" s="148" t="s">
        <v>179</v>
      </c>
    </row>
    <row r="46" spans="2:7">
      <c r="B46" s="142" t="s">
        <v>373</v>
      </c>
      <c r="C46" s="526">
        <v>155</v>
      </c>
    </row>
    <row r="47" spans="2:7">
      <c r="B47" s="142" t="s">
        <v>18</v>
      </c>
      <c r="C47" s="526">
        <v>174</v>
      </c>
    </row>
    <row r="48" spans="2:7">
      <c r="B48" s="142" t="s">
        <v>374</v>
      </c>
      <c r="C48" s="526">
        <v>170</v>
      </c>
    </row>
    <row r="49" spans="2:3">
      <c r="B49" s="142" t="s">
        <v>375</v>
      </c>
      <c r="C49" s="526">
        <v>203</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H42"/>
  <sheetViews>
    <sheetView topLeftCell="B1" zoomScale="80" zoomScaleNormal="80" workbookViewId="0">
      <selection activeCell="K2" sqref="K2"/>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1.28515625" style="12" bestFit="1" customWidth="1"/>
    <col min="9" max="16384" width="9.85546875" style="12"/>
  </cols>
  <sheetData>
    <row r="1" spans="2:8" s="59" customFormat="1" ht="20.25" customHeight="1">
      <c r="B1" s="778" t="s">
        <v>13</v>
      </c>
      <c r="C1" s="778"/>
      <c r="D1" s="778"/>
      <c r="E1" s="778"/>
      <c r="F1" s="778"/>
    </row>
    <row r="2" spans="2:8" s="59" customFormat="1" ht="20.25" customHeight="1">
      <c r="B2" s="778" t="s">
        <v>214</v>
      </c>
      <c r="C2" s="778"/>
      <c r="D2" s="778"/>
      <c r="E2" s="778"/>
      <c r="F2" s="778"/>
    </row>
    <row r="3" spans="2:8" s="59" customFormat="1" ht="20.25">
      <c r="B3" s="778" t="s">
        <v>14</v>
      </c>
      <c r="C3" s="778"/>
      <c r="D3" s="778"/>
      <c r="E3" s="778"/>
      <c r="F3" s="778"/>
    </row>
    <row r="4" spans="2:8" ht="15">
      <c r="B4" s="27"/>
      <c r="C4" s="27"/>
      <c r="D4" s="27"/>
      <c r="E4" s="27"/>
    </row>
    <row r="5" spans="2:8" ht="15.75" thickBot="1">
      <c r="B5" s="49"/>
    </row>
    <row r="6" spans="2:8" ht="45" customHeight="1" thickTop="1">
      <c r="B6" s="98" t="s">
        <v>15</v>
      </c>
      <c r="C6" s="99" t="s">
        <v>16</v>
      </c>
      <c r="D6" s="99" t="s">
        <v>17</v>
      </c>
      <c r="E6" s="99" t="s">
        <v>18</v>
      </c>
      <c r="F6" s="100" t="s">
        <v>406</v>
      </c>
    </row>
    <row r="7" spans="2:8" ht="30" customHeight="1" thickBot="1">
      <c r="B7" s="118"/>
      <c r="C7" s="74" t="str">
        <f>+'COMBUSTIBLES '!B6</f>
        <v>1 DE MARZO 2020</v>
      </c>
      <c r="D7" s="74" t="str">
        <f>+C7</f>
        <v>1 DE MARZO 2020</v>
      </c>
      <c r="E7" s="74" t="str">
        <f>+D7</f>
        <v>1 DE MARZO 2020</v>
      </c>
      <c r="F7" s="75" t="str">
        <f>+E7</f>
        <v>1 DE MARZO 2020</v>
      </c>
    </row>
    <row r="8" spans="2:8" ht="27" customHeight="1" thickTop="1">
      <c r="B8" s="115" t="s">
        <v>19</v>
      </c>
      <c r="C8" s="116">
        <f>'COMBUSTIBLES '!B7-578.67</f>
        <v>4996.88</v>
      </c>
      <c r="D8" s="116">
        <f>'COMBUSTIBLES '!D7</f>
        <v>7270.2889821668068</v>
      </c>
      <c r="E8" s="116">
        <f>'COMBUSTIBLES '!E7-575.63</f>
        <v>5235.3099999999995</v>
      </c>
      <c r="F8" s="117">
        <f>+(E8*98%)+BIODIESEL!E9</f>
        <v>5371.3337999999985</v>
      </c>
    </row>
    <row r="9" spans="2:8" ht="27" customHeight="1">
      <c r="B9" s="370" t="s">
        <v>241</v>
      </c>
      <c r="C9" s="102" t="s">
        <v>59</v>
      </c>
      <c r="D9" s="102" t="str">
        <f>+C9</f>
        <v>(*****)</v>
      </c>
      <c r="E9" s="102" t="str">
        <f>+C9</f>
        <v>(*****)</v>
      </c>
      <c r="F9" s="103" t="str">
        <f>+D9</f>
        <v>(*****)</v>
      </c>
    </row>
    <row r="10" spans="2:8" ht="27" customHeight="1">
      <c r="B10" s="101" t="s">
        <v>298</v>
      </c>
      <c r="C10" s="102">
        <f>+'COMBUSTIBLES '!B8</f>
        <v>8.1370000000000005</v>
      </c>
      <c r="D10" s="102">
        <f>+C10</f>
        <v>8.1370000000000005</v>
      </c>
      <c r="E10" s="102">
        <f>+'COMBUSTIBLES '!E8</f>
        <v>8.1370000000000005</v>
      </c>
      <c r="F10" s="103">
        <f>+BIODIESEL!F14</f>
        <v>8.1370000000000005</v>
      </c>
    </row>
    <row r="11" spans="2:8" ht="27" customHeight="1">
      <c r="B11" s="104" t="s">
        <v>242</v>
      </c>
      <c r="C11" s="102">
        <f>'COMBUSTIBLES '!B10</f>
        <v>71.510000000000005</v>
      </c>
      <c r="D11" s="102">
        <f>'COMBUSTIBLES '!B10</f>
        <v>71.510000000000005</v>
      </c>
      <c r="E11" s="102">
        <f>'COMBUSTIBLES '!E10</f>
        <v>71.510000000000005</v>
      </c>
      <c r="F11" s="103">
        <f>+E11</f>
        <v>71.510000000000005</v>
      </c>
      <c r="H11" s="371">
        <f>+E8*0.98</f>
        <v>5130.603799999999</v>
      </c>
    </row>
    <row r="12" spans="2:8" ht="27" customHeight="1">
      <c r="B12" s="101" t="s">
        <v>379</v>
      </c>
      <c r="C12" s="102">
        <f>Variables!C24</f>
        <v>1076.06</v>
      </c>
      <c r="D12" s="102">
        <f>Variables!C25</f>
        <v>1138.57</v>
      </c>
      <c r="E12" s="102">
        <f>Variables!C34</f>
        <v>712.94</v>
      </c>
      <c r="F12" s="103">
        <f>E12*98%</f>
        <v>698.68119999999999</v>
      </c>
      <c r="H12" s="647">
        <f>+BIODIESEL!E9</f>
        <v>240.73</v>
      </c>
    </row>
    <row r="13" spans="2:8" s="305" customFormat="1" ht="27" customHeight="1">
      <c r="B13" s="101" t="s">
        <v>274</v>
      </c>
      <c r="C13" s="105"/>
      <c r="D13" s="105"/>
      <c r="E13" s="105"/>
      <c r="F13" s="106"/>
      <c r="H13" s="647">
        <f>+H11+H12</f>
        <v>5371.3337999999985</v>
      </c>
    </row>
    <row r="14" spans="2:8" s="305" customFormat="1" ht="27" customHeight="1">
      <c r="B14" s="101" t="s">
        <v>365</v>
      </c>
      <c r="C14" s="105">
        <f>'COMBUSTIBLES '!B13</f>
        <v>155</v>
      </c>
      <c r="D14" s="105">
        <f>'COMBUSTIBLES '!C13</f>
        <v>155</v>
      </c>
      <c r="E14" s="105">
        <f>'COMBUSTIBLES '!E13</f>
        <v>174</v>
      </c>
      <c r="F14" s="106">
        <f>+BIODIESEL!E13</f>
        <v>170.52</v>
      </c>
      <c r="G14" s="305" t="s">
        <v>159</v>
      </c>
    </row>
    <row r="15" spans="2:8" ht="44.25" customHeight="1">
      <c r="B15" s="107" t="s">
        <v>23</v>
      </c>
      <c r="C15" s="108">
        <f>SUM(C8:C14)</f>
        <v>6307.5869999999995</v>
      </c>
      <c r="D15" s="108">
        <f>SUM(D8:D14)</f>
        <v>8643.5059821668074</v>
      </c>
      <c r="E15" s="108">
        <f>SUM(E8:E14)</f>
        <v>6201.896999999999</v>
      </c>
      <c r="F15" s="109">
        <f>SUM(F8:F14)</f>
        <v>6320.1819999999989</v>
      </c>
    </row>
    <row r="16" spans="2:8" ht="32.25" customHeight="1">
      <c r="B16" s="101" t="s">
        <v>4</v>
      </c>
      <c r="C16" s="110" t="s">
        <v>12</v>
      </c>
      <c r="D16" s="102"/>
      <c r="E16" s="110" t="str">
        <f>+C16</f>
        <v>(**)</v>
      </c>
      <c r="F16" s="111" t="str">
        <f>+E16</f>
        <v>(**)</v>
      </c>
    </row>
    <row r="17" spans="2:7" s="50" customFormat="1" ht="29.25" customHeight="1">
      <c r="B17" s="136" t="s">
        <v>246</v>
      </c>
      <c r="C17" s="110" t="s">
        <v>22</v>
      </c>
      <c r="D17" s="110" t="str">
        <f>+C17</f>
        <v>(***)</v>
      </c>
      <c r="E17" s="110" t="str">
        <f>+D17</f>
        <v>(***)</v>
      </c>
      <c r="F17" s="111" t="str">
        <f>+E17</f>
        <v>(***)</v>
      </c>
    </row>
    <row r="18" spans="2:7" s="305" customFormat="1" ht="30" customHeight="1" thickBot="1">
      <c r="B18" s="112" t="s">
        <v>213</v>
      </c>
      <c r="C18" s="113" t="s">
        <v>228</v>
      </c>
      <c r="D18" s="113" t="str">
        <f>+C18</f>
        <v>(****)</v>
      </c>
      <c r="E18" s="113" t="str">
        <f>+D18</f>
        <v>(****)</v>
      </c>
      <c r="F18" s="114" t="str">
        <f>+E18</f>
        <v>(****)</v>
      </c>
    </row>
    <row r="19" spans="2:7" ht="15" thickTop="1"/>
    <row r="20" spans="2:7" s="97" customFormat="1" ht="40.5" customHeight="1">
      <c r="B20" s="779" t="s">
        <v>240</v>
      </c>
      <c r="C20" s="779"/>
      <c r="D20" s="779"/>
      <c r="E20" s="779"/>
    </row>
    <row r="21" spans="2:7" s="97" customFormat="1" ht="30.75" customHeight="1">
      <c r="B21" s="744" t="s">
        <v>283</v>
      </c>
      <c r="C21" s="744"/>
      <c r="D21" s="744"/>
      <c r="E21" s="744"/>
    </row>
    <row r="22" spans="2:7" s="97" customFormat="1" ht="5.25" customHeight="1">
      <c r="B22" s="331"/>
      <c r="C22" s="331"/>
      <c r="D22" s="331"/>
      <c r="E22" s="331"/>
    </row>
    <row r="23" spans="2:7" s="97" customFormat="1" ht="17.25" customHeight="1">
      <c r="B23" s="779" t="s">
        <v>243</v>
      </c>
      <c r="C23" s="779"/>
      <c r="D23" s="779"/>
      <c r="E23" s="779"/>
    </row>
    <row r="24" spans="2:7" s="97" customFormat="1" ht="3.75" customHeight="1">
      <c r="B24" s="306"/>
      <c r="C24" s="306"/>
      <c r="D24" s="306"/>
      <c r="E24" s="306"/>
    </row>
    <row r="25" spans="2:7" s="97" customFormat="1" ht="17.25" customHeight="1">
      <c r="B25" s="779" t="s">
        <v>261</v>
      </c>
      <c r="C25" s="779"/>
      <c r="D25" s="779"/>
      <c r="E25" s="779"/>
    </row>
    <row r="26" spans="2:7" s="97" customFormat="1" ht="8.25" customHeight="1">
      <c r="B26" s="306"/>
      <c r="C26" s="306"/>
      <c r="D26" s="306"/>
      <c r="E26" s="306"/>
    </row>
    <row r="27" spans="2:7" s="97" customFormat="1" ht="25.5" customHeight="1">
      <c r="B27" s="779" t="s">
        <v>244</v>
      </c>
      <c r="C27" s="779"/>
      <c r="D27" s="779"/>
      <c r="E27" s="779"/>
    </row>
    <row r="28" spans="2:7" ht="7.5" customHeight="1">
      <c r="B28" s="308"/>
      <c r="C28" s="308"/>
      <c r="D28" s="308"/>
      <c r="E28" s="308"/>
    </row>
    <row r="29" spans="2:7" s="305" customFormat="1" ht="45.75" customHeight="1">
      <c r="B29" s="726" t="s">
        <v>344</v>
      </c>
      <c r="C29" s="726"/>
      <c r="D29" s="726"/>
      <c r="E29" s="726"/>
    </row>
    <row r="30" spans="2:7" s="305" customFormat="1" ht="8.25" customHeight="1">
      <c r="B30" s="308"/>
      <c r="C30" s="308"/>
      <c r="D30" s="308"/>
      <c r="E30" s="308"/>
    </row>
    <row r="31" spans="2:7" ht="39.75" customHeight="1">
      <c r="B31" s="726" t="s">
        <v>300</v>
      </c>
      <c r="C31" s="726"/>
      <c r="D31" s="726"/>
      <c r="E31" s="726"/>
      <c r="F31" s="726"/>
      <c r="G31" s="726"/>
    </row>
    <row r="32" spans="2:7" ht="9.75" customHeight="1"/>
    <row r="33" spans="2:6">
      <c r="B33" s="744" t="s">
        <v>299</v>
      </c>
      <c r="C33" s="744"/>
      <c r="D33" s="744"/>
      <c r="E33" s="744"/>
    </row>
    <row r="35" spans="2:6">
      <c r="B35" s="744" t="s">
        <v>380</v>
      </c>
      <c r="C35" s="744"/>
      <c r="D35" s="744"/>
      <c r="E35" s="744"/>
    </row>
    <row r="36" spans="2:6" s="305" customFormat="1">
      <c r="B36" s="480"/>
      <c r="C36" s="480"/>
      <c r="D36" s="480"/>
      <c r="E36" s="480"/>
    </row>
    <row r="37" spans="2:6" ht="86.25" customHeight="1">
      <c r="B37" s="737" t="s">
        <v>340</v>
      </c>
      <c r="C37" s="737"/>
      <c r="D37" s="737"/>
      <c r="E37" s="737"/>
      <c r="F37" s="737"/>
    </row>
    <row r="42" spans="2:6">
      <c r="B42" s="726"/>
      <c r="C42" s="726"/>
      <c r="D42" s="726"/>
      <c r="E42" s="726"/>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1"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L115"/>
  <sheetViews>
    <sheetView zoomScale="70" zoomScaleNormal="70" workbookViewId="0">
      <selection activeCell="M4" sqref="M4"/>
    </sheetView>
  </sheetViews>
  <sheetFormatPr baseColWidth="10" defaultColWidth="9.85546875" defaultRowHeight="14.25" outlineLevelRow="2"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6384" width="9.85546875" style="3"/>
  </cols>
  <sheetData>
    <row r="1" spans="3:12" ht="15">
      <c r="C1" s="781" t="s">
        <v>210</v>
      </c>
      <c r="D1" s="781"/>
      <c r="E1" s="781"/>
      <c r="F1" s="781"/>
      <c r="G1" s="781"/>
      <c r="H1" s="781"/>
    </row>
    <row r="2" spans="3:12" ht="15">
      <c r="C2" s="781" t="s">
        <v>33</v>
      </c>
      <c r="D2" s="781"/>
      <c r="E2" s="781"/>
      <c r="F2" s="781"/>
      <c r="G2" s="781"/>
      <c r="H2" s="781"/>
    </row>
    <row r="3" spans="3:12" ht="15">
      <c r="C3" s="781" t="s">
        <v>14</v>
      </c>
      <c r="D3" s="781"/>
      <c r="E3" s="781"/>
      <c r="F3" s="781"/>
      <c r="G3" s="781"/>
      <c r="H3" s="781"/>
    </row>
    <row r="4" spans="3:12" ht="24.75" customHeight="1" thickBot="1">
      <c r="C4" s="303" t="str">
        <f>'SAN-ANDRES + GENERACION'!C7</f>
        <v>1 DE MARZO 2020</v>
      </c>
      <c r="D4" s="31"/>
      <c r="E4" s="32"/>
      <c r="F4" s="784"/>
      <c r="G4" s="784"/>
      <c r="H4" s="454"/>
      <c r="I4" s="454"/>
    </row>
    <row r="5" spans="3:12" ht="45" customHeight="1" thickTop="1">
      <c r="C5" s="120" t="s">
        <v>15</v>
      </c>
      <c r="D5" s="341" t="s">
        <v>215</v>
      </c>
      <c r="E5" s="341" t="s">
        <v>266</v>
      </c>
      <c r="F5" s="341" t="s">
        <v>341</v>
      </c>
      <c r="I5" s="341" t="s">
        <v>267</v>
      </c>
      <c r="J5" s="342" t="s">
        <v>711</v>
      </c>
    </row>
    <row r="6" spans="3:12" ht="22.5" customHeight="1">
      <c r="C6" s="343" t="s">
        <v>19</v>
      </c>
      <c r="D6" s="336">
        <f>'COMBUSTIBLES '!E7</f>
        <v>5810.94</v>
      </c>
      <c r="E6" s="336">
        <f>+D6</f>
        <v>5810.94</v>
      </c>
      <c r="F6" s="336">
        <f>+E6*80%</f>
        <v>4648.7519999999995</v>
      </c>
      <c r="I6" s="336">
        <f>+BIODIESEL!B7*4%+(F6)*96%</f>
        <v>4944.2623199999989</v>
      </c>
      <c r="J6" s="345">
        <f>+BIODIESEL!B7*2%+(F6)*98%</f>
        <v>4796.5071599999992</v>
      </c>
      <c r="L6" s="35"/>
    </row>
    <row r="7" spans="3:12" ht="22.5" customHeight="1">
      <c r="C7" s="346" t="str">
        <f>+'GASOLINA CORRIENTE OXIGENADA'!A11</f>
        <v>Impuesto Nacional a la Gasolina y al ACPM</v>
      </c>
      <c r="D7" s="339">
        <f>Variables!C32</f>
        <v>522.85</v>
      </c>
      <c r="E7" s="339">
        <f>Variables!C33</f>
        <v>666.38</v>
      </c>
      <c r="F7" s="339">
        <f>+E7</f>
        <v>666.38</v>
      </c>
      <c r="G7" s="83"/>
      <c r="H7" s="83"/>
      <c r="I7" s="339">
        <f>ROUND(F7*96%,2)</f>
        <v>639.72</v>
      </c>
      <c r="J7" s="121">
        <f>ROUND(E7*98%,2)</f>
        <v>653.04999999999995</v>
      </c>
    </row>
    <row r="8" spans="3:12" ht="22.5" customHeight="1">
      <c r="C8" s="346" t="str">
        <f>+'GASOLINA CORRIENTE OXIGENADA'!A12</f>
        <v>Impuesto sobre las Ventas</v>
      </c>
      <c r="D8" s="483" t="str">
        <f>'COMBUSTIBLES '!E12</f>
        <v>(3)</v>
      </c>
      <c r="E8" s="483" t="str">
        <f>'COMBUSTIBLES '!E12</f>
        <v>(3)</v>
      </c>
      <c r="F8" s="483" t="str">
        <f>+E8</f>
        <v>(3)</v>
      </c>
      <c r="G8" s="484"/>
      <c r="H8" s="484"/>
      <c r="I8" s="483" t="str">
        <f>+F8</f>
        <v>(3)</v>
      </c>
      <c r="J8" s="485" t="str">
        <f>+I8</f>
        <v>(3)</v>
      </c>
    </row>
    <row r="9" spans="3:12" ht="22.5" customHeight="1">
      <c r="C9" s="346" t="str">
        <f>+'GASOLINA CORRIENTE OXIGENADA'!A13</f>
        <v>Impuesto al carbono</v>
      </c>
      <c r="D9" s="336">
        <f>'COMBUSTIBLES '!E13</f>
        <v>174</v>
      </c>
      <c r="E9" s="336">
        <f>'COMBUSTIBLES '!E13</f>
        <v>174</v>
      </c>
      <c r="F9" s="336">
        <f>'COMBUSTIBLES '!E13</f>
        <v>174</v>
      </c>
      <c r="I9" s="336">
        <f>ROUND(F9*96%,2)</f>
        <v>167.04</v>
      </c>
      <c r="J9" s="345">
        <f>ROUND(E9*98%,2)</f>
        <v>170.52</v>
      </c>
    </row>
    <row r="10" spans="3:12" ht="22.5" customHeight="1">
      <c r="C10" s="343" t="s">
        <v>245</v>
      </c>
      <c r="D10" s="338" t="str">
        <f>+I10</f>
        <v>(*)</v>
      </c>
      <c r="E10" s="338" t="str">
        <f>+D10</f>
        <v>(*)</v>
      </c>
      <c r="F10" s="338" t="str">
        <f>+E10</f>
        <v>(*)</v>
      </c>
      <c r="I10" s="338" t="s">
        <v>11</v>
      </c>
      <c r="J10" s="412" t="str">
        <f>+I10</f>
        <v>(*)</v>
      </c>
    </row>
    <row r="11" spans="3:12" ht="22.5" customHeight="1">
      <c r="C11" s="104" t="s">
        <v>242</v>
      </c>
      <c r="D11" s="339">
        <f>'COMBUSTIBLES '!E10</f>
        <v>71.510000000000005</v>
      </c>
      <c r="E11" s="339">
        <f>+D11</f>
        <v>71.510000000000005</v>
      </c>
      <c r="F11" s="339">
        <f>+E11</f>
        <v>71.510000000000005</v>
      </c>
      <c r="I11" s="339">
        <f>+F11</f>
        <v>71.510000000000005</v>
      </c>
      <c r="J11" s="121">
        <f>+I11</f>
        <v>71.510000000000005</v>
      </c>
    </row>
    <row r="12" spans="3:12" ht="22.5" customHeight="1">
      <c r="C12" s="347" t="s">
        <v>218</v>
      </c>
      <c r="D12" s="340">
        <f>SUM(D6:D11)</f>
        <v>6579.3</v>
      </c>
      <c r="E12" s="340">
        <f>SUM(E6:E11)</f>
        <v>6722.83</v>
      </c>
      <c r="F12" s="340">
        <f>SUM(F6:F11)</f>
        <v>5560.6419999999998</v>
      </c>
      <c r="I12" s="340">
        <f>SUM(I6:I11)</f>
        <v>5822.5323199999993</v>
      </c>
      <c r="J12" s="348">
        <f>SUM(J6:J11)</f>
        <v>5691.58716</v>
      </c>
    </row>
    <row r="13" spans="3:12" ht="22.5" customHeight="1" thickBot="1">
      <c r="C13" s="349" t="s">
        <v>8</v>
      </c>
      <c r="D13" s="350">
        <f>'COMBUSTIBLES '!E16</f>
        <v>301.48</v>
      </c>
      <c r="E13" s="350"/>
      <c r="F13" s="350"/>
      <c r="I13" s="350"/>
      <c r="J13" s="351"/>
    </row>
    <row r="14" spans="3:12" ht="12" customHeight="1" thickTop="1">
      <c r="C14" s="335"/>
      <c r="D14" s="29"/>
      <c r="E14" s="29"/>
      <c r="F14" s="455"/>
      <c r="G14" s="455"/>
      <c r="H14" s="455"/>
      <c r="I14" s="454"/>
    </row>
    <row r="15" spans="3:12" ht="18.75" customHeight="1">
      <c r="C15" s="782" t="s">
        <v>262</v>
      </c>
      <c r="D15" s="782"/>
      <c r="E15" s="782"/>
      <c r="F15" s="782"/>
      <c r="G15" s="782"/>
      <c r="H15" s="782"/>
    </row>
    <row r="16" spans="3:12" ht="49.5" customHeight="1">
      <c r="C16" s="783" t="s">
        <v>264</v>
      </c>
      <c r="D16" s="783"/>
      <c r="E16" s="783"/>
      <c r="F16" s="783"/>
      <c r="G16" s="783"/>
      <c r="H16" s="783"/>
    </row>
    <row r="17" spans="3:11" ht="34.5" customHeight="1">
      <c r="C17" s="726" t="s">
        <v>300</v>
      </c>
      <c r="D17" s="726"/>
      <c r="E17" s="726"/>
      <c r="F17" s="726"/>
      <c r="G17" s="726"/>
      <c r="H17" s="726"/>
    </row>
    <row r="18" spans="3:11">
      <c r="C18" s="726" t="s">
        <v>342</v>
      </c>
      <c r="D18" s="726"/>
      <c r="E18" s="726"/>
      <c r="F18" s="726"/>
      <c r="G18" s="726"/>
      <c r="H18" s="726"/>
    </row>
    <row r="19" spans="3:11" ht="28.5" customHeight="1">
      <c r="C19" s="352"/>
      <c r="D19" s="352"/>
      <c r="E19" s="352"/>
      <c r="F19" s="352"/>
      <c r="G19" s="352"/>
      <c r="H19" s="352"/>
    </row>
    <row r="20" spans="3:11">
      <c r="C20" s="736" t="s">
        <v>385</v>
      </c>
      <c r="D20" s="736"/>
      <c r="E20" s="736"/>
      <c r="F20" s="736"/>
      <c r="G20" s="736"/>
      <c r="H20" s="736"/>
      <c r="I20" s="736"/>
      <c r="J20" s="3" t="s">
        <v>159</v>
      </c>
    </row>
    <row r="21" spans="3:11">
      <c r="C21" s="736" t="s">
        <v>383</v>
      </c>
      <c r="D21" s="736"/>
      <c r="E21" s="736"/>
      <c r="F21" s="736"/>
      <c r="G21" s="736"/>
      <c r="H21" s="736"/>
      <c r="I21" s="736"/>
    </row>
    <row r="22" spans="3:11">
      <c r="C22" s="736" t="s">
        <v>384</v>
      </c>
      <c r="D22" s="736"/>
      <c r="E22" s="736"/>
      <c r="F22" s="736"/>
      <c r="G22" s="736"/>
      <c r="H22" s="736"/>
      <c r="I22" s="736"/>
    </row>
    <row r="23" spans="3:11">
      <c r="C23" s="479"/>
      <c r="D23" s="479"/>
      <c r="E23" s="479"/>
      <c r="F23" s="479"/>
      <c r="G23" s="479"/>
      <c r="H23" s="479"/>
      <c r="I23" s="479"/>
    </row>
    <row r="24" spans="3:11">
      <c r="C24" s="479"/>
      <c r="D24" s="479"/>
      <c r="E24" s="479"/>
      <c r="F24" s="479"/>
      <c r="G24" s="479"/>
      <c r="H24" s="479"/>
      <c r="I24" s="479"/>
    </row>
    <row r="25" spans="3:11" ht="15">
      <c r="C25" s="781" t="s">
        <v>45</v>
      </c>
      <c r="D25" s="781"/>
      <c r="E25" s="781"/>
      <c r="F25" s="781"/>
      <c r="G25" s="781"/>
      <c r="H25" s="781"/>
      <c r="J25" s="3" t="s">
        <v>159</v>
      </c>
    </row>
    <row r="26" spans="3:11" ht="15">
      <c r="C26" s="781" t="s">
        <v>37</v>
      </c>
      <c r="D26" s="781"/>
      <c r="E26" s="781"/>
      <c r="F26" s="781"/>
      <c r="G26" s="781"/>
      <c r="H26" s="781"/>
    </row>
    <row r="27" spans="3:11" ht="15">
      <c r="C27" s="781" t="s">
        <v>14</v>
      </c>
      <c r="D27" s="781"/>
      <c r="E27" s="781"/>
      <c r="F27" s="781"/>
      <c r="G27" s="781"/>
      <c r="H27" s="781"/>
    </row>
    <row r="28" spans="3:11" ht="15.75" thickBot="1">
      <c r="C28" s="303" t="str">
        <f>+C4</f>
        <v>1 DE MARZO 2020</v>
      </c>
      <c r="D28" s="31"/>
      <c r="E28" s="32"/>
      <c r="F28"/>
    </row>
    <row r="29" spans="3:11" ht="45" customHeight="1" thickTop="1">
      <c r="C29" s="120" t="s">
        <v>15</v>
      </c>
      <c r="D29" s="341" t="str">
        <f>+D5</f>
        <v xml:space="preserve">DIESEL MARINO </v>
      </c>
      <c r="E29" s="341" t="str">
        <f>+E5</f>
        <v>DIESEL MARINO CON CUPO (ART 174 LEY 1607/12)</v>
      </c>
      <c r="F29" s="341" t="str">
        <f>+F5</f>
        <v>DIESEL MARINO CON CUPO (ART 174 LEY 1607/12) CON DESCUENTO****</v>
      </c>
      <c r="G29" s="341" t="s">
        <v>304</v>
      </c>
      <c r="H29" s="341" t="s">
        <v>305</v>
      </c>
      <c r="J29" s="341" t="s">
        <v>706</v>
      </c>
    </row>
    <row r="30" spans="3:11" ht="23.25" customHeight="1">
      <c r="C30" s="343" t="s">
        <v>19</v>
      </c>
      <c r="D30" s="336">
        <f>+'SAN-ANDRES + GENERACION'!E8</f>
        <v>5235.3099999999995</v>
      </c>
      <c r="E30" s="336">
        <f>+D30</f>
        <v>5235.3099999999995</v>
      </c>
      <c r="F30" s="337">
        <f>+D30*80%</f>
        <v>4188.2479999999996</v>
      </c>
      <c r="G30" s="629">
        <v>1903.2</v>
      </c>
      <c r="H30" s="344">
        <v>1280.03</v>
      </c>
      <c r="J30" s="344">
        <f>+(F30*98%)+(BIODIESEL!B7*2%)</f>
        <v>4345.2132399999991</v>
      </c>
      <c r="K30" s="35">
        <f>+F30-E30</f>
        <v>-1047.0619999999999</v>
      </c>
    </row>
    <row r="31" spans="3:11" ht="23.25" customHeight="1">
      <c r="C31" s="346" t="str">
        <f>+C7</f>
        <v>Impuesto Nacional a la Gasolina y al ACPM</v>
      </c>
      <c r="D31" s="339">
        <f>+Variables!C33</f>
        <v>666.38</v>
      </c>
      <c r="E31" s="339">
        <f>D31</f>
        <v>666.38</v>
      </c>
      <c r="F31" s="339">
        <f>E31</f>
        <v>666.38</v>
      </c>
      <c r="G31" s="630">
        <f>+D31</f>
        <v>666.38</v>
      </c>
      <c r="H31" s="345">
        <f>+F31</f>
        <v>666.38</v>
      </c>
      <c r="J31" s="121">
        <f>ROUND(F31*98%,2)</f>
        <v>653.04999999999995</v>
      </c>
    </row>
    <row r="32" spans="3:11" ht="23.25" customHeight="1">
      <c r="C32" s="346" t="str">
        <f t="shared" ref="C32:F33" si="0">+C8</f>
        <v>Impuesto sobre las Ventas</v>
      </c>
      <c r="D32" s="336"/>
      <c r="E32" s="336"/>
      <c r="F32" s="336"/>
      <c r="G32" s="630"/>
      <c r="H32" s="345"/>
      <c r="J32" s="345"/>
    </row>
    <row r="33" spans="1:10" ht="23.25" customHeight="1">
      <c r="C33" s="346" t="str">
        <f t="shared" si="0"/>
        <v>Impuesto al carbono</v>
      </c>
      <c r="D33" s="336">
        <f t="shared" si="0"/>
        <v>174</v>
      </c>
      <c r="E33" s="336">
        <f t="shared" si="0"/>
        <v>174</v>
      </c>
      <c r="F33" s="336">
        <f t="shared" si="0"/>
        <v>174</v>
      </c>
      <c r="G33" s="630"/>
      <c r="H33" s="345"/>
      <c r="J33" s="121">
        <f>ROUND(F33*98%,2)</f>
        <v>170.52</v>
      </c>
    </row>
    <row r="34" spans="1:10" ht="23.25" customHeight="1">
      <c r="C34" s="343" t="s">
        <v>21</v>
      </c>
      <c r="D34" s="339" t="str">
        <f>+D10</f>
        <v>(*)</v>
      </c>
      <c r="E34" s="339" t="str">
        <f>+D34</f>
        <v>(*)</v>
      </c>
      <c r="F34" s="339" t="str">
        <f>+E34</f>
        <v>(*)</v>
      </c>
      <c r="G34" s="631" t="str">
        <f>+F34</f>
        <v>(*)</v>
      </c>
      <c r="H34" s="121" t="str">
        <f>+G34</f>
        <v>(*)</v>
      </c>
      <c r="J34" s="121">
        <f>+I34</f>
        <v>0</v>
      </c>
    </row>
    <row r="35" spans="1:10" ht="23.25" customHeight="1">
      <c r="C35" s="104" t="s">
        <v>242</v>
      </c>
      <c r="D35" s="336">
        <f>+D11</f>
        <v>71.510000000000005</v>
      </c>
      <c r="E35" s="336">
        <f>+E11</f>
        <v>71.510000000000005</v>
      </c>
      <c r="F35" s="336">
        <f>+F11</f>
        <v>71.510000000000005</v>
      </c>
      <c r="G35" s="632">
        <f>+I11</f>
        <v>71.510000000000005</v>
      </c>
      <c r="H35" s="345">
        <f>+J11</f>
        <v>71.510000000000005</v>
      </c>
      <c r="J35" s="345">
        <f>+J11</f>
        <v>71.510000000000005</v>
      </c>
    </row>
    <row r="36" spans="1:10" ht="23.25" customHeight="1">
      <c r="C36" s="353" t="s">
        <v>38</v>
      </c>
      <c r="D36" s="340">
        <f>SUM(D30:D35)</f>
        <v>6147.2</v>
      </c>
      <c r="E36" s="340">
        <f>SUM(E30:E35)</f>
        <v>6147.2</v>
      </c>
      <c r="F36" s="340">
        <f>SUM(F30:F35)</f>
        <v>5100.1379999999999</v>
      </c>
      <c r="G36" s="633">
        <f>SUM(G30:G35)</f>
        <v>2641.09</v>
      </c>
      <c r="H36" s="348">
        <f>SUM(H30:H35)</f>
        <v>2017.9199999999998</v>
      </c>
      <c r="J36" s="348">
        <f>SUM(J30:J35)</f>
        <v>5240.29324</v>
      </c>
    </row>
    <row r="37" spans="1:10" ht="23.25" customHeight="1">
      <c r="C37" s="122" t="s">
        <v>246</v>
      </c>
      <c r="D37" s="102" t="s">
        <v>11</v>
      </c>
      <c r="E37" s="102" t="str">
        <f>+D37</f>
        <v>(*)</v>
      </c>
      <c r="F37" s="102" t="str">
        <f>E37</f>
        <v>(*)</v>
      </c>
      <c r="G37" s="634" t="str">
        <f>+F37</f>
        <v>(*)</v>
      </c>
      <c r="H37" s="103" t="str">
        <f>G37</f>
        <v>(*)</v>
      </c>
      <c r="J37" s="103" t="str">
        <f>+F37</f>
        <v>(*)</v>
      </c>
    </row>
    <row r="38" spans="1:10" ht="23.25" customHeight="1">
      <c r="C38" s="122" t="s">
        <v>248</v>
      </c>
      <c r="D38" s="102" t="s">
        <v>12</v>
      </c>
      <c r="E38" s="102" t="str">
        <f>+D38</f>
        <v>(**)</v>
      </c>
      <c r="F38" s="102" t="str">
        <f>E38</f>
        <v>(**)</v>
      </c>
      <c r="G38" s="634" t="str">
        <f>+F38</f>
        <v>(**)</v>
      </c>
      <c r="H38" s="103" t="str">
        <f>G38</f>
        <v>(**)</v>
      </c>
      <c r="I38" s="35"/>
      <c r="J38" s="103" t="str">
        <f>+F37</f>
        <v>(*)</v>
      </c>
    </row>
    <row r="39" spans="1:10" ht="23.25" customHeight="1">
      <c r="C39" s="347" t="s">
        <v>39</v>
      </c>
      <c r="D39" s="340">
        <f>SUM(D36:D38)</f>
        <v>6147.2</v>
      </c>
      <c r="E39" s="340">
        <f>SUM(E36:E38)</f>
        <v>6147.2</v>
      </c>
      <c r="F39" s="340">
        <f>SUM(F36:F38)</f>
        <v>5100.1379999999999</v>
      </c>
      <c r="G39" s="633">
        <f>SUM(G36:G38)</f>
        <v>2641.09</v>
      </c>
      <c r="H39" s="348">
        <f>SUM(H36:H38)</f>
        <v>2017.9199999999998</v>
      </c>
      <c r="J39" s="348">
        <f>SUM(J36:J38)</f>
        <v>5240.29324</v>
      </c>
    </row>
    <row r="40" spans="1:10" ht="23.25" customHeight="1" thickBot="1">
      <c r="C40" s="349" t="s">
        <v>8</v>
      </c>
      <c r="D40" s="350">
        <f>'COMBUSTIBLES '!E16</f>
        <v>301.48</v>
      </c>
      <c r="E40" s="350"/>
      <c r="F40" s="350"/>
      <c r="G40" s="610"/>
      <c r="H40" s="351"/>
      <c r="J40" s="351"/>
    </row>
    <row r="41" spans="1:10" ht="15" thickTop="1">
      <c r="A41" s="3" t="s">
        <v>159</v>
      </c>
      <c r="C41" s="37" t="s">
        <v>159</v>
      </c>
      <c r="D41" s="38"/>
      <c r="E41" s="38"/>
      <c r="F41" s="83"/>
      <c r="G41" s="83"/>
      <c r="H41" s="83"/>
    </row>
    <row r="42" spans="1:10" ht="14.25" customHeight="1">
      <c r="C42" s="779" t="s">
        <v>263</v>
      </c>
      <c r="D42" s="779"/>
      <c r="E42" s="779"/>
      <c r="F42" s="779"/>
      <c r="G42" s="779"/>
      <c r="H42" s="779"/>
      <c r="I42" s="779"/>
      <c r="J42" s="779"/>
    </row>
    <row r="43" spans="1:10" ht="18" customHeight="1">
      <c r="C43" s="779" t="s">
        <v>247</v>
      </c>
      <c r="D43" s="779"/>
      <c r="E43" s="779"/>
      <c r="F43" s="779"/>
      <c r="G43" s="779"/>
      <c r="H43" s="779"/>
      <c r="I43" s="779"/>
      <c r="J43" s="779"/>
    </row>
    <row r="44" spans="1:10" ht="65.25" customHeight="1">
      <c r="C44" s="744" t="s">
        <v>306</v>
      </c>
      <c r="D44" s="744"/>
      <c r="E44" s="744"/>
      <c r="F44" s="744"/>
      <c r="G44" s="744"/>
      <c r="H44" s="744"/>
      <c r="I44" s="744"/>
      <c r="J44" s="744"/>
    </row>
    <row r="45" spans="1:10" ht="15" customHeight="1">
      <c r="C45" s="726" t="s">
        <v>342</v>
      </c>
      <c r="D45" s="726"/>
      <c r="E45" s="726"/>
      <c r="F45" s="726"/>
      <c r="G45" s="726"/>
      <c r="H45" s="726"/>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 DE MARZO 2020</v>
      </c>
      <c r="D51" s="31"/>
      <c r="E51" s="32"/>
      <c r="F51"/>
    </row>
    <row r="52" spans="3:10" ht="29.25" thickTop="1">
      <c r="C52" s="120" t="s">
        <v>15</v>
      </c>
      <c r="D52" s="341" t="s">
        <v>250</v>
      </c>
      <c r="E52" s="341" t="s">
        <v>268</v>
      </c>
      <c r="F52" s="342" t="s">
        <v>269</v>
      </c>
    </row>
    <row r="53" spans="3:10" ht="26.25" customHeight="1">
      <c r="C53" s="343" t="s">
        <v>251</v>
      </c>
      <c r="D53" s="336">
        <f>+BIODIESEL!E10</f>
        <v>5935.45</v>
      </c>
      <c r="E53" s="336">
        <f>+D53</f>
        <v>5935.45</v>
      </c>
      <c r="F53" s="344">
        <f>+BIODIESEL!B7*2%+('COMBUSTIBLES '!E7*77%)*98%</f>
        <v>4625.6655239999991</v>
      </c>
      <c r="G53" s="433"/>
      <c r="J53" s="35"/>
    </row>
    <row r="54" spans="3:10" ht="26.25" customHeight="1">
      <c r="C54" s="343" t="str">
        <f>+C31</f>
        <v>Impuesto Nacional a la Gasolina y al ACPM</v>
      </c>
      <c r="D54" s="339">
        <f>+D7*98%</f>
        <v>512.39300000000003</v>
      </c>
      <c r="E54" s="339">
        <f>+J7</f>
        <v>653.04999999999995</v>
      </c>
      <c r="F54" s="121">
        <f>E54</f>
        <v>653.04999999999995</v>
      </c>
      <c r="G54" s="35"/>
    </row>
    <row r="55" spans="3:10" ht="26.25" customHeight="1">
      <c r="C55" s="343" t="str">
        <f>+C32</f>
        <v>Impuesto sobre las Ventas</v>
      </c>
      <c r="D55" s="483" t="str">
        <f>+'COMBUSTIBLES '!C12</f>
        <v>(3)</v>
      </c>
      <c r="E55" s="483" t="str">
        <f>+D55</f>
        <v>(3)</v>
      </c>
      <c r="F55" s="485" t="str">
        <f>+E55</f>
        <v>(3)</v>
      </c>
      <c r="G55" s="35"/>
    </row>
    <row r="56" spans="3:10" ht="26.25" customHeight="1">
      <c r="C56" s="343" t="str">
        <f>+C33</f>
        <v>Impuesto al carbono</v>
      </c>
      <c r="D56" s="336">
        <f>+D9*98%</f>
        <v>170.52</v>
      </c>
      <c r="E56" s="336">
        <f>+E33*98%</f>
        <v>170.52</v>
      </c>
      <c r="F56" s="345">
        <f>E56</f>
        <v>170.52</v>
      </c>
      <c r="G56" s="35"/>
    </row>
    <row r="57" spans="3:10" ht="26.25" customHeight="1">
      <c r="C57" s="343" t="s">
        <v>249</v>
      </c>
      <c r="D57" s="644" t="s">
        <v>11</v>
      </c>
      <c r="E57" s="102" t="str">
        <f>+D57</f>
        <v>(*)</v>
      </c>
      <c r="F57" s="103" t="str">
        <f>+E57</f>
        <v>(*)</v>
      </c>
    </row>
    <row r="58" spans="3:10" ht="26.25" customHeight="1">
      <c r="C58" s="343" t="s">
        <v>237</v>
      </c>
      <c r="D58" s="464">
        <f>+[9]Tarifas!$K$33</f>
        <v>23.284926973210073</v>
      </c>
      <c r="E58" s="339">
        <f>+D58</f>
        <v>23.284926973210073</v>
      </c>
      <c r="F58" s="121">
        <f>+E58</f>
        <v>23.284926973210073</v>
      </c>
    </row>
    <row r="59" spans="3:10" ht="26.25" customHeight="1">
      <c r="C59" s="104" t="s">
        <v>242</v>
      </c>
      <c r="D59" s="336">
        <f>D35</f>
        <v>71.510000000000005</v>
      </c>
      <c r="E59" s="336">
        <f>E35</f>
        <v>71.510000000000005</v>
      </c>
      <c r="F59" s="345">
        <f>F35</f>
        <v>71.510000000000005</v>
      </c>
    </row>
    <row r="60" spans="3:10" ht="26.25" customHeight="1">
      <c r="C60" s="343" t="s">
        <v>36</v>
      </c>
      <c r="D60" s="354">
        <f>SUM(D53:D59)</f>
        <v>6713.1579269732101</v>
      </c>
      <c r="E60" s="354">
        <f>SUM(E53:E59)</f>
        <v>6853.8149269732103</v>
      </c>
      <c r="F60" s="355">
        <f>SUM(F53:F59)</f>
        <v>5544.0304509732096</v>
      </c>
      <c r="I60" s="35"/>
    </row>
    <row r="61" spans="3:10" ht="36.950000000000003" customHeight="1">
      <c r="C61" s="347" t="s">
        <v>43</v>
      </c>
      <c r="D61" s="356">
        <f>SUM(D60:D60)</f>
        <v>6713.1579269732101</v>
      </c>
      <c r="E61" s="356">
        <f>SUM(E60:E60)</f>
        <v>6853.8149269732103</v>
      </c>
      <c r="F61" s="357">
        <f>SUM(F60:F60)</f>
        <v>5544.0304509732096</v>
      </c>
    </row>
    <row r="62" spans="3:10" ht="36.950000000000003" customHeight="1" thickBot="1">
      <c r="C62" s="349" t="s">
        <v>55</v>
      </c>
      <c r="D62" s="350">
        <f>D40</f>
        <v>301.48</v>
      </c>
      <c r="E62" s="350"/>
      <c r="F62" s="351"/>
    </row>
    <row r="63" spans="3:10" ht="18.75" customHeight="1" thickTop="1">
      <c r="C63" s="785" t="s">
        <v>159</v>
      </c>
      <c r="D63" s="786"/>
      <c r="E63" s="786"/>
      <c r="F63" s="83"/>
    </row>
    <row r="64" spans="3:10" ht="18.75" customHeight="1">
      <c r="C64" s="780" t="s">
        <v>713</v>
      </c>
      <c r="D64" s="780"/>
      <c r="E64" s="780"/>
      <c r="F64" s="780"/>
    </row>
    <row r="65" spans="3:9" ht="18.75" customHeight="1">
      <c r="C65" s="780" t="s">
        <v>376</v>
      </c>
      <c r="D65" s="780"/>
      <c r="E65" s="780"/>
      <c r="F65" s="780"/>
    </row>
    <row r="66" spans="3:9" ht="18.75" customHeight="1">
      <c r="C66" s="481"/>
      <c r="D66" s="481"/>
      <c r="E66" s="481"/>
      <c r="F66" s="481"/>
    </row>
    <row r="67" spans="3:9" ht="40.5" customHeight="1">
      <c r="C67" s="736" t="s">
        <v>702</v>
      </c>
      <c r="D67" s="736"/>
      <c r="E67" s="736"/>
      <c r="F67" s="736"/>
      <c r="G67" s="736"/>
      <c r="H67" s="736"/>
      <c r="I67" s="736"/>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 DE MARZO 2020</v>
      </c>
      <c r="D72" s="31"/>
      <c r="E72" s="32"/>
      <c r="F72"/>
    </row>
    <row r="73" spans="3:9" ht="45" hidden="1" customHeight="1" thickTop="1">
      <c r="C73" s="53" t="s">
        <v>15</v>
      </c>
      <c r="D73" s="302" t="s">
        <v>215</v>
      </c>
      <c r="E73" s="54" t="s">
        <v>216</v>
      </c>
      <c r="F73" s="54" t="s">
        <v>217</v>
      </c>
      <c r="G73"/>
    </row>
    <row r="74" spans="3:9" ht="27.75" hidden="1" customHeight="1">
      <c r="C74" s="309" t="s">
        <v>19</v>
      </c>
      <c r="D74" s="310">
        <f>+D6</f>
        <v>5810.94</v>
      </c>
      <c r="E74" s="311">
        <f>+D74</f>
        <v>5810.94</v>
      </c>
      <c r="F74" s="311">
        <f>+D74*77%</f>
        <v>4474.4237999999996</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8" t="s">
        <v>191</v>
      </c>
      <c r="D82" s="788"/>
      <c r="E82" s="788"/>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 DE MARZO 2020</v>
      </c>
      <c r="D87" s="45"/>
    </row>
    <row r="88" spans="1:7" ht="28.5" hidden="1" customHeight="1" thickTop="1">
      <c r="A88" s="46"/>
      <c r="B88" s="46"/>
      <c r="C88" s="53" t="s">
        <v>15</v>
      </c>
      <c r="D88" s="54" t="s">
        <v>54</v>
      </c>
    </row>
    <row r="89" spans="1:7" hidden="1">
      <c r="C89" s="309" t="s">
        <v>19</v>
      </c>
      <c r="D89" s="311">
        <f>+D6</f>
        <v>5810.94</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0" ht="40.5" hidden="1" customHeight="1">
      <c r="C97" s="787" t="s">
        <v>58</v>
      </c>
      <c r="D97" s="787"/>
    </row>
    <row r="98" spans="3:10" hidden="1"/>
    <row r="99" spans="3:10" hidden="1"/>
    <row r="100" spans="3:10" hidden="1"/>
    <row r="101" spans="3:10" hidden="1"/>
    <row r="102" spans="3:10" hidden="1"/>
    <row r="103" spans="3:10" hidden="1"/>
    <row r="104" spans="3:10" hidden="1"/>
    <row r="106" spans="3:10" ht="19.5" hidden="1" customHeight="1" outlineLevel="2">
      <c r="C106" s="299" t="s">
        <v>641</v>
      </c>
      <c r="D106" s="299" t="s">
        <v>204</v>
      </c>
      <c r="E106" s="299" t="s">
        <v>205</v>
      </c>
      <c r="F106" s="299" t="s">
        <v>206</v>
      </c>
    </row>
    <row r="107" spans="3:10" ht="19.5" hidden="1" customHeight="1" outlineLevel="2">
      <c r="C107" s="297" t="s">
        <v>207</v>
      </c>
      <c r="D107" s="298">
        <f>+E6</f>
        <v>5810.94</v>
      </c>
      <c r="E107" s="298">
        <f>+F6</f>
        <v>4648.7519999999995</v>
      </c>
      <c r="F107" s="512">
        <f t="shared" ref="F107:F112" si="1">+D107-E107</f>
        <v>1162.1880000000001</v>
      </c>
      <c r="I107" s="567" t="s">
        <v>671</v>
      </c>
      <c r="J107" s="3" t="s">
        <v>696</v>
      </c>
    </row>
    <row r="108" spans="3:10" ht="19.5" hidden="1" customHeight="1" outlineLevel="2">
      <c r="C108" s="297" t="s">
        <v>406</v>
      </c>
      <c r="D108" s="635">
        <f>+BIODIESEL!E10</f>
        <v>5935.45</v>
      </c>
      <c r="E108" s="636">
        <f>+J6</f>
        <v>4796.5071599999992</v>
      </c>
      <c r="F108" s="636">
        <f t="shared" si="1"/>
        <v>1138.9428400000006</v>
      </c>
      <c r="I108" s="513" t="s">
        <v>671</v>
      </c>
      <c r="J108" s="3" t="s">
        <v>159</v>
      </c>
    </row>
    <row r="109" spans="3:10" ht="20.25" hidden="1" customHeight="1" outlineLevel="2">
      <c r="C109" s="297" t="s">
        <v>211</v>
      </c>
      <c r="D109" s="297">
        <f>+BIODIESEL!E10</f>
        <v>5935.45</v>
      </c>
      <c r="E109" s="298">
        <f>+J6</f>
        <v>4796.5071599999992</v>
      </c>
      <c r="F109" s="512">
        <f t="shared" si="1"/>
        <v>1138.9428400000006</v>
      </c>
      <c r="I109" s="567" t="s">
        <v>671</v>
      </c>
      <c r="J109" s="3" t="s">
        <v>696</v>
      </c>
    </row>
    <row r="110" spans="3:10" ht="19.5" hidden="1" customHeight="1" outlineLevel="2">
      <c r="C110" s="514" t="s">
        <v>640</v>
      </c>
      <c r="D110" s="515">
        <f>+E6</f>
        <v>5810.94</v>
      </c>
      <c r="E110" s="515">
        <f>+D110*77%</f>
        <v>4474.4237999999996</v>
      </c>
      <c r="F110" s="516">
        <f t="shared" si="1"/>
        <v>1336.5162</v>
      </c>
      <c r="I110" s="567" t="s">
        <v>671</v>
      </c>
      <c r="J110" s="3" t="s">
        <v>673</v>
      </c>
    </row>
    <row r="111" spans="3:10" ht="19.5" hidden="1" customHeight="1" outlineLevel="2">
      <c r="C111" s="514" t="s">
        <v>639</v>
      </c>
      <c r="D111" s="515">
        <f>D53</f>
        <v>5935.45</v>
      </c>
      <c r="E111" s="515">
        <f>F53</f>
        <v>4625.6655239999991</v>
      </c>
      <c r="F111" s="516">
        <f t="shared" si="1"/>
        <v>1309.7844760000007</v>
      </c>
      <c r="I111" s="567"/>
      <c r="J111" s="3" t="s">
        <v>673</v>
      </c>
    </row>
    <row r="112" spans="3:10" hidden="1" outlineLevel="1">
      <c r="C112" s="3" t="s">
        <v>725</v>
      </c>
      <c r="D112" s="648">
        <f>+D30</f>
        <v>5235.3099999999995</v>
      </c>
      <c r="E112" s="35">
        <f>+F30</f>
        <v>4188.2479999999996</v>
      </c>
      <c r="F112" s="35">
        <f t="shared" si="1"/>
        <v>1047.0619999999999</v>
      </c>
    </row>
    <row r="113" spans="3:7" collapsed="1"/>
    <row r="115" spans="3:7" ht="93.75" customHeight="1">
      <c r="C115" s="737" t="s">
        <v>340</v>
      </c>
      <c r="D115" s="737"/>
      <c r="E115" s="737"/>
      <c r="F115" s="737"/>
      <c r="G115" s="737"/>
    </row>
  </sheetData>
  <sheetProtection password="C712" sheet="1" objects="1" scenarios="1"/>
  <mergeCells count="25">
    <mergeCell ref="C115:G115"/>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 ref="C64:F64"/>
    <mergeCell ref="C42:J42"/>
    <mergeCell ref="C43:J43"/>
    <mergeCell ref="C22:I22"/>
    <mergeCell ref="C1:H1"/>
    <mergeCell ref="C2:H2"/>
    <mergeCell ref="C3:H3"/>
    <mergeCell ref="C15:H15"/>
    <mergeCell ref="C16:H16"/>
  </mergeCells>
  <phoneticPr fontId="21"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tabSelected="1" zoomScale="80" zoomScaleNormal="80" workbookViewId="0">
      <selection activeCell="C11" sqref="C11"/>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hidden="1"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25" s="16" customFormat="1" ht="18">
      <c r="A1" s="789" t="s">
        <v>31</v>
      </c>
      <c r="B1" s="789"/>
      <c r="C1" s="789"/>
      <c r="D1" s="789"/>
      <c r="E1" s="789"/>
      <c r="F1" s="789"/>
      <c r="G1" s="789"/>
      <c r="H1" s="789"/>
      <c r="I1" s="789"/>
      <c r="J1" s="789"/>
    </row>
    <row r="2" spans="1:25" s="16" customFormat="1" ht="56.25" customHeight="1">
      <c r="A2" s="790" t="s">
        <v>361</v>
      </c>
      <c r="B2" s="790"/>
      <c r="C2" s="790"/>
      <c r="D2" s="790"/>
      <c r="E2" s="790"/>
      <c r="F2" s="790"/>
      <c r="G2" s="790"/>
      <c r="H2" s="790"/>
      <c r="I2" s="790"/>
      <c r="J2" s="790"/>
      <c r="M2" s="465"/>
    </row>
    <row r="3" spans="1:25" ht="24.75" customHeight="1">
      <c r="A3" s="781" t="s">
        <v>24</v>
      </c>
      <c r="B3" s="781"/>
      <c r="C3" s="781"/>
      <c r="D3" s="781"/>
      <c r="E3" s="781"/>
      <c r="F3" s="781"/>
      <c r="G3" s="472"/>
      <c r="I3" s="560"/>
      <c r="J3" s="560"/>
      <c r="K3" s="560"/>
      <c r="L3" s="560"/>
      <c r="M3" s="560"/>
      <c r="N3" s="560"/>
      <c r="O3" s="560"/>
    </row>
    <row r="4" spans="1:25" ht="15">
      <c r="A4" s="27"/>
    </row>
    <row r="5" spans="1:25" ht="15.75" thickBot="1">
      <c r="A5" s="24" t="str">
        <f>+'COMBUSTIBLES '!A1</f>
        <v>1 DE MARZO 2020</v>
      </c>
      <c r="B5" s="186">
        <v>0</v>
      </c>
      <c r="C5" s="186">
        <v>0.02</v>
      </c>
      <c r="D5" s="186">
        <v>0</v>
      </c>
      <c r="E5" s="187">
        <v>0.02</v>
      </c>
      <c r="F5" s="186">
        <v>0</v>
      </c>
      <c r="G5" s="186">
        <v>0</v>
      </c>
      <c r="H5" s="187">
        <v>0.02</v>
      </c>
      <c r="I5" s="186">
        <v>0</v>
      </c>
      <c r="J5" s="187">
        <v>0</v>
      </c>
    </row>
    <row r="6" spans="1:25" ht="47.25" customHeight="1" thickTop="1">
      <c r="A6" s="358" t="s">
        <v>15</v>
      </c>
      <c r="B6" s="359" t="s">
        <v>66</v>
      </c>
      <c r="C6" s="359" t="s">
        <v>708</v>
      </c>
      <c r="D6" s="359" t="s">
        <v>161</v>
      </c>
      <c r="E6" s="359" t="s">
        <v>709</v>
      </c>
      <c r="F6" s="359" t="s">
        <v>162</v>
      </c>
      <c r="G6" s="359" t="s">
        <v>348</v>
      </c>
      <c r="H6" s="359" t="s">
        <v>710</v>
      </c>
      <c r="I6" s="359" t="s">
        <v>303</v>
      </c>
      <c r="J6" s="360" t="s">
        <v>302</v>
      </c>
    </row>
    <row r="7" spans="1:25" ht="27.75" customHeight="1">
      <c r="A7" s="119" t="s">
        <v>253</v>
      </c>
      <c r="B7" s="338">
        <v>6074.6891801818447</v>
      </c>
      <c r="C7" s="642">
        <v>5769.2203926860257</v>
      </c>
      <c r="D7" s="338">
        <v>6875.1811988924737</v>
      </c>
      <c r="E7" s="338">
        <v>6151.119180181845</v>
      </c>
      <c r="F7" s="338">
        <v>6794.4669776671717</v>
      </c>
      <c r="G7" s="338">
        <v>6537.1057563440854</v>
      </c>
      <c r="H7" s="338">
        <v>6188.3128462079358</v>
      </c>
      <c r="I7" s="607">
        <f>+C7</f>
        <v>5769.2203926860257</v>
      </c>
      <c r="J7" s="412">
        <f>+I7</f>
        <v>5769.2203926860257</v>
      </c>
      <c r="M7" s="305" t="s">
        <v>701</v>
      </c>
    </row>
    <row r="8" spans="1:25" ht="27.75" customHeight="1">
      <c r="A8" s="346" t="s">
        <v>67</v>
      </c>
      <c r="B8" s="361">
        <v>0</v>
      </c>
      <c r="C8" s="362">
        <f>+BIODIESEL!B7</f>
        <v>12036.51</v>
      </c>
      <c r="D8" s="361">
        <v>0</v>
      </c>
      <c r="E8" s="361">
        <f>+C8</f>
        <v>12036.51</v>
      </c>
      <c r="F8" s="361">
        <v>0</v>
      </c>
      <c r="G8" s="361">
        <v>0</v>
      </c>
      <c r="H8" s="361">
        <f>+E8</f>
        <v>12036.51</v>
      </c>
      <c r="I8" s="793">
        <f>+D8</f>
        <v>0</v>
      </c>
      <c r="J8" s="794">
        <f>+D8</f>
        <v>0</v>
      </c>
      <c r="L8" s="305" t="s">
        <v>159</v>
      </c>
      <c r="M8" s="371"/>
      <c r="N8" s="371"/>
      <c r="O8" s="371"/>
      <c r="P8" s="371"/>
      <c r="Q8" s="371"/>
      <c r="R8" s="371"/>
      <c r="S8" s="371"/>
      <c r="T8" s="371"/>
      <c r="U8" s="371"/>
      <c r="V8" s="371"/>
      <c r="W8" s="371"/>
      <c r="X8" s="371"/>
      <c r="Y8" s="371"/>
    </row>
    <row r="9" spans="1:25" ht="35.25" customHeight="1">
      <c r="A9" s="363" t="s">
        <v>160</v>
      </c>
      <c r="B9" s="364">
        <f t="shared" ref="B9:G9" si="0">+B8*B5+B7*(1-B5)</f>
        <v>6074.6891801818447</v>
      </c>
      <c r="C9" s="364">
        <f>+C8*C5+C7*(1-C5)</f>
        <v>5894.5661848323052</v>
      </c>
      <c r="D9" s="364">
        <f>+D8*D5+D7*(1-D5)</f>
        <v>6875.1811988924737</v>
      </c>
      <c r="E9" s="435">
        <f>(E8*E5)+E7*(1-E5)</f>
        <v>6268.8269965782083</v>
      </c>
      <c r="F9" s="364">
        <f t="shared" si="0"/>
        <v>6794.4669776671717</v>
      </c>
      <c r="G9" s="364">
        <f t="shared" si="0"/>
        <v>6537.1057563440854</v>
      </c>
      <c r="H9" s="364">
        <f>+H8*H5+H7*(1-H5)-0.01</f>
        <v>6305.2667892837762</v>
      </c>
      <c r="I9" s="608">
        <f>+I7</f>
        <v>5769.2203926860257</v>
      </c>
      <c r="J9" s="436">
        <f>+J7</f>
        <v>5769.2203926860257</v>
      </c>
      <c r="L9" s="655" t="s">
        <v>159</v>
      </c>
      <c r="M9" s="371">
        <v>7145.2578199393547</v>
      </c>
      <c r="N9" s="371">
        <v>6978.4077749146245</v>
      </c>
      <c r="O9" s="371">
        <v>6875.1811988924737</v>
      </c>
      <c r="P9" s="371">
        <v>7272.6860170874797</v>
      </c>
      <c r="Q9" s="371">
        <v>6794.4669776671717</v>
      </c>
      <c r="R9" s="371">
        <v>6537.1057563440854</v>
      </c>
      <c r="S9" s="371">
        <v>7022.1892934113339</v>
      </c>
      <c r="T9" s="371">
        <v>6875.1811988924737</v>
      </c>
      <c r="U9" s="371">
        <v>6875.1811988924737</v>
      </c>
      <c r="V9" s="371"/>
      <c r="W9" s="371"/>
      <c r="X9" s="371"/>
      <c r="Y9" s="371"/>
    </row>
    <row r="10" spans="1:25" ht="27.75" customHeight="1">
      <c r="A10" s="346" t="s">
        <v>65</v>
      </c>
      <c r="B10" s="362">
        <f>+'COMBUSTIBLES '!E8</f>
        <v>8.1370000000000005</v>
      </c>
      <c r="C10" s="362">
        <f>+BIODIESEL!F14</f>
        <v>8.1370000000000005</v>
      </c>
      <c r="D10" s="362">
        <f>+'COMBUSTIBLES '!E8</f>
        <v>8.1370000000000005</v>
      </c>
      <c r="E10" s="362">
        <f>+BIODIESEL!E14</f>
        <v>8.1370000000000005</v>
      </c>
      <c r="F10" s="362">
        <f>'COMBUSTIBLES '!E8</f>
        <v>8.1370000000000005</v>
      </c>
      <c r="G10" s="362">
        <f>E10</f>
        <v>8.1370000000000005</v>
      </c>
      <c r="H10" s="362">
        <f>+BIODIESEL!E14</f>
        <v>8.1370000000000005</v>
      </c>
      <c r="I10" s="607">
        <v>0</v>
      </c>
      <c r="J10" s="412">
        <v>0</v>
      </c>
      <c r="M10" s="371">
        <v>6474.0480291453787</v>
      </c>
      <c r="N10" s="371">
        <v>6414.6173003313961</v>
      </c>
      <c r="O10" s="371">
        <v>6875.1811988924737</v>
      </c>
      <c r="P10" s="371">
        <v>6660.1986685624715</v>
      </c>
      <c r="Q10" s="371">
        <v>6794.4669776671717</v>
      </c>
      <c r="R10" s="371">
        <v>6537.1057563440854</v>
      </c>
      <c r="S10" s="371">
        <v>6414.6173003313961</v>
      </c>
      <c r="T10" s="371">
        <v>6875.1811988924737</v>
      </c>
      <c r="U10" s="371">
        <v>6875.1811988924737</v>
      </c>
      <c r="V10" s="371"/>
      <c r="W10" s="371"/>
      <c r="X10" s="371"/>
      <c r="Y10" s="371"/>
    </row>
    <row r="11" spans="1:25" ht="27.75" customHeight="1">
      <c r="A11" s="346" t="s">
        <v>193</v>
      </c>
      <c r="B11" s="338">
        <v>21.91</v>
      </c>
      <c r="C11" s="362">
        <f>+B11</f>
        <v>21.91</v>
      </c>
      <c r="D11" s="362">
        <f>+B11</f>
        <v>21.91</v>
      </c>
      <c r="E11" s="362">
        <f>+B11</f>
        <v>21.91</v>
      </c>
      <c r="F11" s="362">
        <f>+B11</f>
        <v>21.91</v>
      </c>
      <c r="G11" s="362">
        <f>+C11</f>
        <v>21.91</v>
      </c>
      <c r="H11" s="362">
        <f>+B11</f>
        <v>21.91</v>
      </c>
      <c r="I11" s="607">
        <f>+D11</f>
        <v>21.91</v>
      </c>
      <c r="J11" s="412">
        <f>+D11</f>
        <v>21.91</v>
      </c>
      <c r="M11" s="656">
        <f>+(M10-M9)/M9</f>
        <v>-9.3937798706285575E-2</v>
      </c>
      <c r="N11" s="656">
        <f t="shared" ref="N11:U11" si="1">+(N10-N9)/N9</f>
        <v>-8.0790703663075336E-2</v>
      </c>
      <c r="O11" s="656">
        <f t="shared" si="1"/>
        <v>0</v>
      </c>
      <c r="P11" s="656">
        <f t="shared" si="1"/>
        <v>-8.4217488158562545E-2</v>
      </c>
      <c r="Q11" s="656">
        <f t="shared" si="1"/>
        <v>0</v>
      </c>
      <c r="R11" s="656">
        <f t="shared" si="1"/>
        <v>0</v>
      </c>
      <c r="S11" s="656">
        <f t="shared" si="1"/>
        <v>-8.6521733848730145E-2</v>
      </c>
      <c r="T11" s="656">
        <f t="shared" si="1"/>
        <v>0</v>
      </c>
      <c r="U11" s="656">
        <f t="shared" si="1"/>
        <v>0</v>
      </c>
      <c r="V11" s="371"/>
      <c r="W11" s="371"/>
      <c r="X11" s="371"/>
      <c r="Y11" s="371"/>
    </row>
    <row r="12" spans="1:25" ht="27.75" customHeight="1">
      <c r="A12" s="104" t="s">
        <v>242</v>
      </c>
      <c r="B12" s="362">
        <f>+'COMBUSTIBLES '!E10</f>
        <v>71.510000000000005</v>
      </c>
      <c r="C12" s="362">
        <f>+B12</f>
        <v>71.510000000000005</v>
      </c>
      <c r="D12" s="362">
        <f>+C12</f>
        <v>71.510000000000005</v>
      </c>
      <c r="E12" s="362">
        <f>+D12</f>
        <v>71.510000000000005</v>
      </c>
      <c r="F12" s="362">
        <f>+E12</f>
        <v>71.510000000000005</v>
      </c>
      <c r="G12" s="362">
        <f>+F12</f>
        <v>71.510000000000005</v>
      </c>
      <c r="H12" s="362">
        <f>+F12</f>
        <v>71.510000000000005</v>
      </c>
      <c r="I12" s="607">
        <f>+D12</f>
        <v>71.510000000000005</v>
      </c>
      <c r="J12" s="412">
        <f>+D12</f>
        <v>71.510000000000005</v>
      </c>
      <c r="M12" s="371"/>
      <c r="N12" s="371"/>
      <c r="O12" s="371"/>
      <c r="P12" s="371"/>
      <c r="Q12" s="371"/>
      <c r="R12" s="371"/>
      <c r="S12" s="371"/>
      <c r="T12" s="371"/>
      <c r="U12" s="371"/>
      <c r="V12" s="371"/>
      <c r="W12" s="371"/>
      <c r="X12" s="371"/>
      <c r="Y12" s="371"/>
    </row>
    <row r="13" spans="1:25" ht="27.75" customHeight="1">
      <c r="A13" s="346" t="str">
        <f>+'COMBUSTIBLES '!A11</f>
        <v>Impuesto Nacional a la Gasolina y al ACPM</v>
      </c>
      <c r="B13" s="362">
        <f>+'COMBUSTIBLES '!E11</f>
        <v>522.85</v>
      </c>
      <c r="C13" s="362">
        <f>+BIODIESEL!E11</f>
        <v>512.39</v>
      </c>
      <c r="D13" s="362">
        <f>+'COMBUSTIBLES '!E11</f>
        <v>522.85</v>
      </c>
      <c r="E13" s="362">
        <f>+BIODIESEL!E11</f>
        <v>512.39</v>
      </c>
      <c r="F13" s="362">
        <f>+'COMBUSTIBLES '!E11</f>
        <v>522.85</v>
      </c>
      <c r="G13" s="362">
        <f>+F13</f>
        <v>522.85</v>
      </c>
      <c r="H13" s="362">
        <f>+BIODIESEL!E11</f>
        <v>512.39</v>
      </c>
      <c r="I13" s="607">
        <f>'DIESEL MARINO '!D7</f>
        <v>522.85</v>
      </c>
      <c r="J13" s="412">
        <f>+'DIESEL MARINO '!F7</f>
        <v>666.38</v>
      </c>
    </row>
    <row r="14" spans="1:25" ht="27.75" customHeight="1">
      <c r="A14" s="346" t="s">
        <v>274</v>
      </c>
      <c r="B14" s="483" t="str">
        <f>+'COMBUSTIBLES '!C12</f>
        <v>(3)</v>
      </c>
      <c r="C14" s="483" t="str">
        <f>+'COMBUSTIBLES '!D12</f>
        <v>(3)</v>
      </c>
      <c r="D14" s="483" t="str">
        <f>+B14</f>
        <v>(3)</v>
      </c>
      <c r="E14" s="483" t="str">
        <f>+D14</f>
        <v>(3)</v>
      </c>
      <c r="F14" s="483" t="str">
        <f>+D14</f>
        <v>(3)</v>
      </c>
      <c r="G14" s="483" t="str">
        <f>+E14</f>
        <v>(3)</v>
      </c>
      <c r="H14" s="483" t="str">
        <f>+F14</f>
        <v>(3)</v>
      </c>
      <c r="I14" s="609" t="str">
        <f>+G14</f>
        <v>(3)</v>
      </c>
      <c r="J14" s="103" t="str">
        <f>+H14</f>
        <v>(3)</v>
      </c>
    </row>
    <row r="15" spans="1:25" ht="27.75" customHeight="1">
      <c r="A15" s="305" t="s">
        <v>365</v>
      </c>
      <c r="B15" s="362">
        <f>+'COMBUSTIBLES '!E13</f>
        <v>174</v>
      </c>
      <c r="C15" s="362">
        <f>+BIODIESEL!E13</f>
        <v>170.52</v>
      </c>
      <c r="D15" s="362">
        <f>+B15</f>
        <v>174</v>
      </c>
      <c r="E15" s="362">
        <f>+BIODIESEL!E13</f>
        <v>170.52</v>
      </c>
      <c r="F15" s="362">
        <f>+'COMBUSTIBLES '!E13</f>
        <v>174</v>
      </c>
      <c r="G15" s="362"/>
      <c r="H15" s="362">
        <f>+E15</f>
        <v>170.52</v>
      </c>
      <c r="I15" s="607">
        <f>+D15</f>
        <v>174</v>
      </c>
      <c r="J15" s="412">
        <f>+I15</f>
        <v>174</v>
      </c>
      <c r="L15" s="478"/>
    </row>
    <row r="16" spans="1:25" ht="27.75" customHeight="1">
      <c r="A16" s="346" t="s">
        <v>255</v>
      </c>
      <c r="B16" s="365" t="s">
        <v>22</v>
      </c>
      <c r="C16" s="362" t="s">
        <v>22</v>
      </c>
      <c r="D16" s="362" t="str">
        <f t="shared" ref="D16:G17" si="2">+C16</f>
        <v>(***)</v>
      </c>
      <c r="E16" s="362" t="str">
        <f t="shared" si="2"/>
        <v>(***)</v>
      </c>
      <c r="F16" s="362" t="str">
        <f t="shared" si="2"/>
        <v>(***)</v>
      </c>
      <c r="G16" s="362" t="str">
        <f t="shared" si="2"/>
        <v>(***)</v>
      </c>
      <c r="H16" s="362" t="str">
        <f>+F16</f>
        <v>(***)</v>
      </c>
      <c r="I16" s="607" t="str">
        <f>+D16</f>
        <v>(***)</v>
      </c>
      <c r="J16" s="412" t="s">
        <v>22</v>
      </c>
    </row>
    <row r="17" spans="1:11" ht="27.75" customHeight="1">
      <c r="A17" s="346" t="s">
        <v>254</v>
      </c>
      <c r="B17" s="362" t="s">
        <v>228</v>
      </c>
      <c r="C17" s="362" t="str">
        <f>+B17</f>
        <v>(****)</v>
      </c>
      <c r="D17" s="362" t="str">
        <f t="shared" si="2"/>
        <v>(****)</v>
      </c>
      <c r="E17" s="362" t="str">
        <f t="shared" si="2"/>
        <v>(****)</v>
      </c>
      <c r="F17" s="362" t="str">
        <f t="shared" si="2"/>
        <v>(****)</v>
      </c>
      <c r="G17" s="362" t="str">
        <f t="shared" si="2"/>
        <v>(****)</v>
      </c>
      <c r="H17" s="362" t="str">
        <f>+F17</f>
        <v>(****)</v>
      </c>
      <c r="I17" s="607" t="str">
        <f>+D17</f>
        <v>(****)</v>
      </c>
      <c r="J17" s="412" t="s">
        <v>228</v>
      </c>
    </row>
    <row r="18" spans="1:11" ht="27.75" customHeight="1" thickBot="1">
      <c r="A18" s="366" t="s">
        <v>55</v>
      </c>
      <c r="B18" s="350">
        <f>+'COMBUSTIBLES '!E16</f>
        <v>301.48</v>
      </c>
      <c r="C18" s="350">
        <f>+B18</f>
        <v>301.48</v>
      </c>
      <c r="D18" s="350">
        <f>+B18</f>
        <v>301.48</v>
      </c>
      <c r="E18" s="350">
        <f>+B18</f>
        <v>301.48</v>
      </c>
      <c r="F18" s="350">
        <f>+D18</f>
        <v>301.48</v>
      </c>
      <c r="G18" s="350">
        <f>+E18</f>
        <v>301.48</v>
      </c>
      <c r="H18" s="350">
        <f>+F18</f>
        <v>301.48</v>
      </c>
      <c r="I18" s="610">
        <f>+D18</f>
        <v>301.48</v>
      </c>
      <c r="J18" s="351"/>
    </row>
    <row r="19" spans="1:11" s="371" customFormat="1" ht="15.75" customHeight="1" thickTop="1">
      <c r="A19" s="25"/>
      <c r="B19" s="26"/>
      <c r="C19" s="26"/>
      <c r="D19" s="26"/>
      <c r="I19" s="26"/>
    </row>
    <row r="20" spans="1:11" s="371" customFormat="1" ht="15.75" customHeight="1">
      <c r="A20" s="471" t="s">
        <v>362</v>
      </c>
      <c r="B20" s="26"/>
      <c r="C20" s="26"/>
      <c r="D20" s="26"/>
      <c r="I20" s="26"/>
    </row>
    <row r="21" spans="1:11" s="371" customFormat="1" ht="15.75" customHeight="1">
      <c r="A21" s="25"/>
      <c r="B21" s="26"/>
      <c r="C21" s="26"/>
      <c r="D21" s="26"/>
      <c r="I21" s="26"/>
    </row>
    <row r="22" spans="1:11" s="371" customFormat="1" ht="15.75" customHeight="1">
      <c r="A22" s="368" t="s">
        <v>30</v>
      </c>
      <c r="B22" s="26"/>
      <c r="C22" s="26"/>
      <c r="D22" s="26"/>
      <c r="I22" s="26"/>
    </row>
    <row r="23" spans="1:11" s="371" customFormat="1" ht="3.75" customHeight="1">
      <c r="A23" s="25"/>
      <c r="B23" s="26"/>
      <c r="C23" s="26"/>
      <c r="D23" s="26"/>
      <c r="I23" s="26"/>
    </row>
    <row r="24" spans="1:11" s="19" customFormat="1" ht="15">
      <c r="A24" s="367" t="s">
        <v>165</v>
      </c>
      <c r="B24" s="18"/>
      <c r="C24" s="18"/>
    </row>
    <row r="25" spans="1:11" s="19" customFormat="1" ht="5.25" customHeight="1">
      <c r="A25" s="17"/>
      <c r="B25" s="18"/>
      <c r="C25" s="18"/>
    </row>
    <row r="26" spans="1:11" s="19" customFormat="1" ht="15">
      <c r="A26" s="367" t="s">
        <v>166</v>
      </c>
      <c r="B26" s="18"/>
      <c r="C26" s="18"/>
      <c r="K26" s="19" t="s">
        <v>159</v>
      </c>
    </row>
    <row r="27" spans="1:11" s="19" customFormat="1" ht="11.25" customHeight="1">
      <c r="A27" s="17"/>
      <c r="B27" s="18"/>
      <c r="C27" s="18"/>
    </row>
    <row r="28" spans="1:11" s="19" customFormat="1" ht="32.25" customHeight="1">
      <c r="A28" s="791" t="s">
        <v>252</v>
      </c>
      <c r="B28" s="791"/>
      <c r="C28" s="791"/>
      <c r="D28" s="791"/>
      <c r="E28" s="791"/>
      <c r="F28" s="791"/>
      <c r="G28" s="791"/>
      <c r="H28" s="791"/>
      <c r="I28" s="791"/>
      <c r="J28" s="791"/>
    </row>
    <row r="29" spans="1:11" s="19" customFormat="1" ht="8.25" customHeight="1">
      <c r="A29" s="17"/>
      <c r="B29" s="18"/>
      <c r="C29" s="18"/>
    </row>
    <row r="30" spans="1:11" s="19" customFormat="1" ht="30.75" customHeight="1">
      <c r="A30" s="791" t="s">
        <v>257</v>
      </c>
      <c r="B30" s="791"/>
      <c r="C30" s="791"/>
      <c r="D30" s="791"/>
      <c r="E30" s="791"/>
      <c r="F30" s="791"/>
      <c r="G30" s="791"/>
      <c r="H30" s="791"/>
      <c r="I30" s="791"/>
      <c r="J30" s="791"/>
    </row>
    <row r="31" spans="1:11" s="19" customFormat="1" ht="5.25" customHeight="1">
      <c r="A31" s="17"/>
      <c r="B31" s="18"/>
      <c r="C31" s="18"/>
    </row>
    <row r="32" spans="1:11" s="19" customFormat="1" ht="38.25" customHeight="1">
      <c r="A32" s="791" t="s">
        <v>223</v>
      </c>
      <c r="B32" s="791"/>
      <c r="C32" s="791"/>
      <c r="D32" s="791"/>
      <c r="E32" s="791"/>
      <c r="F32" s="791"/>
      <c r="G32" s="791"/>
      <c r="H32" s="791"/>
      <c r="I32" s="791"/>
      <c r="J32" s="791"/>
    </row>
    <row r="33" spans="1:10" s="19" customFormat="1" ht="15">
      <c r="A33" s="17" t="s">
        <v>159</v>
      </c>
      <c r="B33" s="18"/>
      <c r="C33" s="18"/>
    </row>
    <row r="34" spans="1:10" s="19" customFormat="1" ht="14.25" customHeight="1">
      <c r="A34" s="792" t="s">
        <v>693</v>
      </c>
      <c r="B34" s="792"/>
      <c r="C34" s="792"/>
      <c r="D34" s="792"/>
      <c r="E34" s="792"/>
      <c r="F34" s="792"/>
      <c r="G34" s="792"/>
      <c r="H34" s="792"/>
      <c r="I34" s="792"/>
      <c r="J34" s="792"/>
    </row>
    <row r="35" spans="1:10" ht="54" customHeight="1">
      <c r="A35" s="792"/>
      <c r="B35" s="792"/>
      <c r="C35" s="792"/>
      <c r="D35" s="792"/>
      <c r="E35" s="792"/>
      <c r="F35" s="792"/>
      <c r="G35" s="792"/>
      <c r="H35" s="792"/>
      <c r="I35" s="792"/>
      <c r="J35" s="792"/>
    </row>
    <row r="36" spans="1:10">
      <c r="A36" s="736" t="s">
        <v>159</v>
      </c>
      <c r="B36" s="736"/>
      <c r="C36" s="736"/>
      <c r="D36" s="736"/>
      <c r="E36" s="736"/>
      <c r="F36" s="736"/>
      <c r="G36" s="736"/>
    </row>
    <row r="51" spans="4:12">
      <c r="D51" s="560"/>
      <c r="E51" s="560"/>
      <c r="F51" s="560"/>
      <c r="G51" s="560"/>
      <c r="H51" s="560"/>
      <c r="I51" s="560"/>
      <c r="J51" s="560"/>
      <c r="K51" s="560"/>
      <c r="L51" s="560"/>
    </row>
    <row r="52" spans="4:12">
      <c r="D52" s="560"/>
      <c r="E52" s="560"/>
      <c r="F52" s="560"/>
      <c r="G52" s="560"/>
      <c r="H52" s="560"/>
      <c r="I52" s="560"/>
      <c r="J52" s="560"/>
      <c r="K52" s="560"/>
      <c r="L52" s="560"/>
    </row>
  </sheetData>
  <sheetProtection password="C712" sheet="1" objects="1" scenarios="1"/>
  <mergeCells count="8">
    <mergeCell ref="A1:J1"/>
    <mergeCell ref="A2:J2"/>
    <mergeCell ref="A36:G36"/>
    <mergeCell ref="A3:F3"/>
    <mergeCell ref="A28:J28"/>
    <mergeCell ref="A30:J30"/>
    <mergeCell ref="A32:J32"/>
    <mergeCell ref="A34:J35"/>
  </mergeCells>
  <phoneticPr fontId="21"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topLeftCell="A52" workbookViewId="0">
      <selection activeCell="C29" sqref="C29"/>
    </sheetView>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91" t="s">
        <v>68</v>
      </c>
      <c r="AB1" s="691"/>
      <c r="AC1" s="691"/>
      <c r="AD1" s="691" t="s">
        <v>69</v>
      </c>
      <c r="AE1" s="691"/>
      <c r="AF1" s="691"/>
      <c r="AG1" s="691" t="s">
        <v>167</v>
      </c>
      <c r="AH1" s="691"/>
      <c r="AI1" s="691"/>
      <c r="AJ1" s="691" t="s">
        <v>194</v>
      </c>
      <c r="AK1" s="691"/>
      <c r="AL1" s="691"/>
      <c r="AM1" s="189"/>
      <c r="AN1" s="683" t="s">
        <v>278</v>
      </c>
      <c r="AO1" s="683"/>
      <c r="AP1" s="683"/>
      <c r="AQ1" s="189"/>
      <c r="AR1" s="672" t="s">
        <v>343</v>
      </c>
      <c r="AS1" s="673"/>
      <c r="AT1" s="674"/>
      <c r="AU1" s="672" t="s">
        <v>345</v>
      </c>
      <c r="AV1" s="673"/>
      <c r="AW1" s="674"/>
      <c r="AX1" s="672" t="s">
        <v>359</v>
      </c>
      <c r="AY1" s="673"/>
      <c r="AZ1" s="674"/>
      <c r="BA1" s="672" t="s">
        <v>377</v>
      </c>
      <c r="BB1" s="673"/>
      <c r="BC1" s="674"/>
      <c r="BD1" s="672" t="s">
        <v>645</v>
      </c>
      <c r="BE1" s="673"/>
      <c r="BF1" s="674"/>
      <c r="BG1" s="672" t="s">
        <v>668</v>
      </c>
      <c r="BH1" s="673"/>
      <c r="BI1" s="674"/>
    </row>
    <row r="2" spans="1:61" ht="15" customHeight="1">
      <c r="A2" s="696" t="s">
        <v>70</v>
      </c>
      <c r="B2" s="697"/>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88"/>
      <c r="AN2" s="684" t="s">
        <v>73</v>
      </c>
      <c r="AO2" s="685"/>
      <c r="AP2" s="688">
        <v>0.03</v>
      </c>
      <c r="AQ2" s="456"/>
      <c r="AR2" s="675" t="s">
        <v>73</v>
      </c>
      <c r="AS2" s="676"/>
      <c r="AT2" s="679">
        <v>0.03</v>
      </c>
      <c r="AU2" s="675" t="s">
        <v>73</v>
      </c>
      <c r="AV2" s="676"/>
      <c r="AW2" s="679">
        <v>0.03</v>
      </c>
      <c r="AX2" s="675" t="s">
        <v>73</v>
      </c>
      <c r="AY2" s="676"/>
      <c r="AZ2" s="679">
        <v>0.03</v>
      </c>
      <c r="BA2" s="675" t="s">
        <v>73</v>
      </c>
      <c r="BB2" s="676"/>
      <c r="BC2" s="679">
        <v>0.03</v>
      </c>
      <c r="BD2" s="675" t="s">
        <v>73</v>
      </c>
      <c r="BE2" s="676"/>
      <c r="BF2" s="679">
        <v>0.03</v>
      </c>
      <c r="BG2" s="675" t="s">
        <v>73</v>
      </c>
      <c r="BH2" s="676"/>
      <c r="BI2" s="679">
        <v>0.03</v>
      </c>
    </row>
    <row r="3" spans="1:61" ht="55.5" customHeight="1" thickBot="1">
      <c r="A3" s="698"/>
      <c r="B3" s="699"/>
      <c r="C3" s="692" t="s">
        <v>74</v>
      </c>
      <c r="D3" s="693"/>
      <c r="E3" s="694"/>
      <c r="F3" s="692" t="s">
        <v>75</v>
      </c>
      <c r="G3" s="693"/>
      <c r="H3" s="694"/>
      <c r="I3" s="692" t="s">
        <v>76</v>
      </c>
      <c r="J3" s="693"/>
      <c r="K3" s="694"/>
      <c r="L3" s="692" t="s">
        <v>77</v>
      </c>
      <c r="M3" s="693"/>
      <c r="N3" s="694"/>
      <c r="O3" s="692" t="s">
        <v>78</v>
      </c>
      <c r="P3" s="693"/>
      <c r="Q3" s="694"/>
      <c r="R3" s="692" t="s">
        <v>79</v>
      </c>
      <c r="S3" s="693"/>
      <c r="T3" s="694"/>
      <c r="U3" s="692" t="s">
        <v>80</v>
      </c>
      <c r="V3" s="693"/>
      <c r="W3" s="694"/>
      <c r="X3" s="692" t="s">
        <v>81</v>
      </c>
      <c r="Y3" s="693"/>
      <c r="Z3" s="694"/>
      <c r="AA3" s="692"/>
      <c r="AB3" s="693"/>
      <c r="AC3" s="694"/>
      <c r="AD3" s="692"/>
      <c r="AE3" s="693"/>
      <c r="AF3" s="694"/>
      <c r="AG3" s="692"/>
      <c r="AH3" s="693"/>
      <c r="AI3" s="694"/>
      <c r="AJ3" s="692"/>
      <c r="AK3" s="693"/>
      <c r="AL3" s="694"/>
      <c r="AM3" s="389"/>
      <c r="AN3" s="686"/>
      <c r="AO3" s="687"/>
      <c r="AP3" s="689"/>
      <c r="AQ3" s="457"/>
      <c r="AR3" s="677"/>
      <c r="AS3" s="678"/>
      <c r="AT3" s="680"/>
      <c r="AU3" s="677"/>
      <c r="AV3" s="678"/>
      <c r="AW3" s="680"/>
      <c r="AX3" s="677"/>
      <c r="AY3" s="678"/>
      <c r="AZ3" s="680"/>
      <c r="BA3" s="677"/>
      <c r="BB3" s="678"/>
      <c r="BC3" s="680"/>
      <c r="BD3" s="677"/>
      <c r="BE3" s="678"/>
      <c r="BF3" s="680"/>
      <c r="BG3" s="677"/>
      <c r="BH3" s="678"/>
      <c r="BI3" s="680"/>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195</v>
      </c>
      <c r="AH4" s="203" t="s">
        <v>83</v>
      </c>
      <c r="AI4" s="202" t="s">
        <v>84</v>
      </c>
      <c r="AJ4" s="202" t="s">
        <v>209</v>
      </c>
      <c r="AK4" s="203" t="s">
        <v>83</v>
      </c>
      <c r="AL4" s="202" t="s">
        <v>84</v>
      </c>
      <c r="AM4" s="390"/>
      <c r="AN4" s="391" t="s">
        <v>279</v>
      </c>
      <c r="AO4" s="391" t="s">
        <v>83</v>
      </c>
      <c r="AP4" s="391" t="s">
        <v>84</v>
      </c>
      <c r="AQ4" s="458"/>
      <c r="AR4" s="459" t="s">
        <v>279</v>
      </c>
      <c r="AS4" s="459" t="s">
        <v>83</v>
      </c>
      <c r="AT4" s="459" t="s">
        <v>84</v>
      </c>
      <c r="AU4" s="459" t="s">
        <v>279</v>
      </c>
      <c r="AV4" s="459" t="s">
        <v>83</v>
      </c>
      <c r="AW4" s="459" t="s">
        <v>84</v>
      </c>
      <c r="AX4" s="459" t="s">
        <v>279</v>
      </c>
      <c r="AY4" s="459" t="s">
        <v>83</v>
      </c>
      <c r="AZ4" s="459" t="s">
        <v>84</v>
      </c>
      <c r="BA4" s="459" t="s">
        <v>279</v>
      </c>
      <c r="BB4" s="459" t="s">
        <v>83</v>
      </c>
      <c r="BC4" s="459" t="s">
        <v>84</v>
      </c>
      <c r="BD4" s="459" t="s">
        <v>279</v>
      </c>
      <c r="BE4" s="459" t="s">
        <v>83</v>
      </c>
      <c r="BF4" s="459" t="s">
        <v>84</v>
      </c>
      <c r="BG4" s="459" t="s">
        <v>279</v>
      </c>
      <c r="BH4" s="459" t="s">
        <v>83</v>
      </c>
      <c r="BI4" s="459"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4" t="s">
        <v>92</v>
      </c>
      <c r="AN7" s="392">
        <v>69.694128060000011</v>
      </c>
      <c r="AO7" s="393">
        <v>69.694128060000011</v>
      </c>
      <c r="AP7" s="394">
        <v>2927.1533785200004</v>
      </c>
      <c r="AQ7" s="374" t="s">
        <v>92</v>
      </c>
      <c r="AR7" s="392">
        <f>AN7*(1+$AT$2)</f>
        <v>71.784951901800014</v>
      </c>
      <c r="AS7" s="393">
        <f>AO7*(1+$AT$2)</f>
        <v>71.784951901800014</v>
      </c>
      <c r="AT7" s="394">
        <f>AP7*(1+$AT$2)</f>
        <v>3014.9679798756006</v>
      </c>
      <c r="AU7" s="392">
        <f>AR7*(1+$AW$2)</f>
        <v>73.938500458854023</v>
      </c>
      <c r="AV7" s="393">
        <f>AS7*(1+$AW$2)</f>
        <v>73.938500458854023</v>
      </c>
      <c r="AW7" s="394">
        <f>AT7*(1+$AW$2)</f>
        <v>3105.4170192718689</v>
      </c>
      <c r="AX7" s="392">
        <f>AU7*(1+$AZ$2)</f>
        <v>76.156655472619647</v>
      </c>
      <c r="AY7" s="393">
        <f>AV7*(1+$AZ$2)</f>
        <v>76.156655472619647</v>
      </c>
      <c r="AZ7" s="394">
        <f>AW7*(1+$AZ$2)</f>
        <v>3198.5795298500252</v>
      </c>
      <c r="BA7" s="392">
        <f>AX7*(1+$BC$2)</f>
        <v>78.441355136798236</v>
      </c>
      <c r="BB7" s="393">
        <f t="shared" ref="BB7:BB38" si="0">AY7*(1+$BC$2)</f>
        <v>78.441355136798236</v>
      </c>
      <c r="BC7" s="394">
        <f t="shared" ref="BC7:BC38" si="1">AZ7*(1+$BC$2)</f>
        <v>3294.5369157455261</v>
      </c>
      <c r="BD7" s="392">
        <f t="shared" ref="BD7:BD38" si="2">BA7*(1+$BF$2)</f>
        <v>80.794595790902179</v>
      </c>
      <c r="BE7" s="393">
        <f t="shared" ref="BE7:BE38" si="3">BB7*(1+$BF$2)</f>
        <v>80.794595790902179</v>
      </c>
      <c r="BF7" s="394">
        <f t="shared" ref="BF7:BF38" si="4">BC7*(1+$BF$2)</f>
        <v>3393.3730232178918</v>
      </c>
      <c r="BG7" s="392">
        <f t="shared" ref="BG7:BG61" si="5">BD7*(1+$BF$2)</f>
        <v>83.218433664629245</v>
      </c>
      <c r="BH7" s="393">
        <f t="shared" ref="BH7:BH61" si="6">BE7*(1+$BF$2)</f>
        <v>83.218433664629245</v>
      </c>
      <c r="BI7" s="394">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5" t="s">
        <v>93</v>
      </c>
      <c r="AN8" s="395">
        <v>69.694128060000011</v>
      </c>
      <c r="AO8" s="396">
        <v>69.694128060000011</v>
      </c>
      <c r="AP8" s="397">
        <v>2927.1533785200004</v>
      </c>
      <c r="AQ8" s="375" t="s">
        <v>93</v>
      </c>
      <c r="AR8" s="395">
        <f t="shared" ref="AR8:AR61" si="10">AN8*(1+$AT$2)</f>
        <v>71.784951901800014</v>
      </c>
      <c r="AS8" s="396">
        <f t="shared" ref="AS8:AS61" si="11">AO8*(1+$AT$2)</f>
        <v>71.784951901800014</v>
      </c>
      <c r="AT8" s="397">
        <f t="shared" ref="AT8:AT61" si="12">AP8*(1+$AT$2)</f>
        <v>3014.9679798756006</v>
      </c>
      <c r="AU8" s="395">
        <f t="shared" ref="AU8:AU61" si="13">AR8*(1+$AW$2)</f>
        <v>73.938500458854023</v>
      </c>
      <c r="AV8" s="396">
        <f t="shared" ref="AV8:AV61" si="14">AS8*(1+$AW$2)</f>
        <v>73.938500458854023</v>
      </c>
      <c r="AW8" s="397">
        <f t="shared" ref="AW8:AW61" si="15">AT8*(1+$AW$2)</f>
        <v>3105.4170192718689</v>
      </c>
      <c r="AX8" s="395">
        <f t="shared" ref="AX8:AX61" si="16">AU8*(1+$AZ$2)</f>
        <v>76.156655472619647</v>
      </c>
      <c r="AY8" s="396">
        <f t="shared" ref="AY8:AY61" si="17">AV8*(1+$AZ$2)</f>
        <v>76.156655472619647</v>
      </c>
      <c r="AZ8" s="397">
        <f t="shared" ref="AZ8:AZ61" si="18">AW8*(1+$AZ$2)</f>
        <v>3198.5795298500252</v>
      </c>
      <c r="BA8" s="395">
        <f t="shared" ref="BA8:BA38" si="19">AX8*(1+$BC$2)</f>
        <v>78.441355136798236</v>
      </c>
      <c r="BB8" s="396">
        <f t="shared" si="0"/>
        <v>78.441355136798236</v>
      </c>
      <c r="BC8" s="397">
        <f t="shared" si="1"/>
        <v>3294.5369157455261</v>
      </c>
      <c r="BD8" s="395">
        <f t="shared" si="2"/>
        <v>80.794595790902179</v>
      </c>
      <c r="BE8" s="396">
        <f t="shared" si="3"/>
        <v>80.794595790902179</v>
      </c>
      <c r="BF8" s="397">
        <f t="shared" si="4"/>
        <v>3393.3730232178918</v>
      </c>
      <c r="BG8" s="395">
        <f t="shared" si="5"/>
        <v>83.218433664629245</v>
      </c>
      <c r="BH8" s="396">
        <f t="shared" si="6"/>
        <v>83.218433664629245</v>
      </c>
      <c r="BI8" s="397">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6" t="s">
        <v>94</v>
      </c>
      <c r="AN9" s="398">
        <v>102.10441088000003</v>
      </c>
      <c r="AO9" s="399">
        <v>102.10441088000003</v>
      </c>
      <c r="AP9" s="400">
        <v>4288.3852569600012</v>
      </c>
      <c r="AQ9" s="376" t="s">
        <v>94</v>
      </c>
      <c r="AR9" s="398">
        <f t="shared" si="10"/>
        <v>105.16754320640004</v>
      </c>
      <c r="AS9" s="399">
        <f t="shared" si="11"/>
        <v>105.16754320640004</v>
      </c>
      <c r="AT9" s="400">
        <f t="shared" si="12"/>
        <v>4417.0368146688015</v>
      </c>
      <c r="AU9" s="398">
        <f t="shared" si="13"/>
        <v>108.32256950259205</v>
      </c>
      <c r="AV9" s="399">
        <f t="shared" si="14"/>
        <v>108.32256950259205</v>
      </c>
      <c r="AW9" s="400">
        <f t="shared" si="15"/>
        <v>4549.5479191088652</v>
      </c>
      <c r="AX9" s="398">
        <f t="shared" si="16"/>
        <v>111.57224658766981</v>
      </c>
      <c r="AY9" s="399">
        <f t="shared" si="17"/>
        <v>111.57224658766981</v>
      </c>
      <c r="AZ9" s="400">
        <f t="shared" si="18"/>
        <v>4686.0343566821311</v>
      </c>
      <c r="BA9" s="398">
        <f t="shared" si="19"/>
        <v>114.91941398529991</v>
      </c>
      <c r="BB9" s="399">
        <f t="shared" si="0"/>
        <v>114.91941398529991</v>
      </c>
      <c r="BC9" s="400">
        <f t="shared" si="1"/>
        <v>4826.6153873825951</v>
      </c>
      <c r="BD9" s="398">
        <f t="shared" si="2"/>
        <v>118.36699640485891</v>
      </c>
      <c r="BE9" s="399">
        <f t="shared" si="3"/>
        <v>118.36699640485891</v>
      </c>
      <c r="BF9" s="400">
        <f t="shared" si="4"/>
        <v>4971.4138490040732</v>
      </c>
      <c r="BG9" s="398">
        <f t="shared" si="5"/>
        <v>121.91800629700468</v>
      </c>
      <c r="BH9" s="399">
        <f t="shared" si="6"/>
        <v>121.91800629700468</v>
      </c>
      <c r="BI9" s="400">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7" t="s">
        <v>95</v>
      </c>
      <c r="AN10" s="395">
        <v>62.143384490000003</v>
      </c>
      <c r="AO10" s="396">
        <v>62.143384490000003</v>
      </c>
      <c r="AP10" s="397">
        <v>2610.0221485800002</v>
      </c>
      <c r="AQ10" s="377" t="s">
        <v>95</v>
      </c>
      <c r="AR10" s="395">
        <f t="shared" si="10"/>
        <v>64.007686024700007</v>
      </c>
      <c r="AS10" s="396">
        <f t="shared" si="11"/>
        <v>64.007686024700007</v>
      </c>
      <c r="AT10" s="397">
        <f t="shared" si="12"/>
        <v>2688.3228130374005</v>
      </c>
      <c r="AU10" s="395">
        <f t="shared" si="13"/>
        <v>65.927916605441013</v>
      </c>
      <c r="AV10" s="396">
        <f t="shared" si="14"/>
        <v>65.927916605441013</v>
      </c>
      <c r="AW10" s="397">
        <f t="shared" si="15"/>
        <v>2768.9724974285227</v>
      </c>
      <c r="AX10" s="395">
        <f t="shared" si="16"/>
        <v>67.905754103604238</v>
      </c>
      <c r="AY10" s="396">
        <f t="shared" si="17"/>
        <v>67.905754103604238</v>
      </c>
      <c r="AZ10" s="397">
        <f t="shared" si="18"/>
        <v>2852.0416723513786</v>
      </c>
      <c r="BA10" s="395">
        <f t="shared" si="19"/>
        <v>69.942926726712372</v>
      </c>
      <c r="BB10" s="396">
        <f t="shared" si="0"/>
        <v>69.942926726712372</v>
      </c>
      <c r="BC10" s="397">
        <f t="shared" si="1"/>
        <v>2937.6029225219199</v>
      </c>
      <c r="BD10" s="395">
        <f t="shared" si="2"/>
        <v>72.041214528513748</v>
      </c>
      <c r="BE10" s="396">
        <f t="shared" si="3"/>
        <v>72.041214528513748</v>
      </c>
      <c r="BF10" s="397">
        <f t="shared" si="4"/>
        <v>3025.7310101975777</v>
      </c>
      <c r="BG10" s="395">
        <f t="shared" si="5"/>
        <v>74.202450964369163</v>
      </c>
      <c r="BH10" s="396">
        <f t="shared" si="6"/>
        <v>74.202450964369163</v>
      </c>
      <c r="BI10" s="397">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6" t="s">
        <v>96</v>
      </c>
      <c r="AN11" s="398">
        <v>62.143384490000003</v>
      </c>
      <c r="AO11" s="399">
        <v>62.143384490000003</v>
      </c>
      <c r="AP11" s="400">
        <v>2610.0221485800002</v>
      </c>
      <c r="AQ11" s="376" t="s">
        <v>96</v>
      </c>
      <c r="AR11" s="398">
        <f t="shared" si="10"/>
        <v>64.007686024700007</v>
      </c>
      <c r="AS11" s="399">
        <f t="shared" si="11"/>
        <v>64.007686024700007</v>
      </c>
      <c r="AT11" s="400">
        <f t="shared" si="12"/>
        <v>2688.3228130374005</v>
      </c>
      <c r="AU11" s="398">
        <f t="shared" si="13"/>
        <v>65.927916605441013</v>
      </c>
      <c r="AV11" s="399">
        <f t="shared" si="14"/>
        <v>65.927916605441013</v>
      </c>
      <c r="AW11" s="400">
        <f t="shared" si="15"/>
        <v>2768.9724974285227</v>
      </c>
      <c r="AX11" s="398">
        <f t="shared" si="16"/>
        <v>67.905754103604238</v>
      </c>
      <c r="AY11" s="399">
        <f t="shared" si="17"/>
        <v>67.905754103604238</v>
      </c>
      <c r="AZ11" s="400">
        <f t="shared" si="18"/>
        <v>2852.0416723513786</v>
      </c>
      <c r="BA11" s="398">
        <f t="shared" si="19"/>
        <v>69.942926726712372</v>
      </c>
      <c r="BB11" s="399">
        <f t="shared" si="0"/>
        <v>69.942926726712372</v>
      </c>
      <c r="BC11" s="400">
        <f t="shared" si="1"/>
        <v>2937.6029225219199</v>
      </c>
      <c r="BD11" s="398">
        <f t="shared" si="2"/>
        <v>72.041214528513748</v>
      </c>
      <c r="BE11" s="399">
        <f t="shared" si="3"/>
        <v>72.041214528513748</v>
      </c>
      <c r="BF11" s="400">
        <f t="shared" si="4"/>
        <v>3025.7310101975777</v>
      </c>
      <c r="BG11" s="398">
        <f t="shared" si="5"/>
        <v>74.202450964369163</v>
      </c>
      <c r="BH11" s="399">
        <f t="shared" si="6"/>
        <v>74.202450964369163</v>
      </c>
      <c r="BI11" s="400">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7" t="s">
        <v>97</v>
      </c>
      <c r="AN12" s="395">
        <v>81.211470640000002</v>
      </c>
      <c r="AO12" s="396">
        <v>81.211470640000002</v>
      </c>
      <c r="AP12" s="397">
        <v>3410.8817668800002</v>
      </c>
      <c r="AQ12" s="377" t="s">
        <v>97</v>
      </c>
      <c r="AR12" s="395">
        <f t="shared" si="10"/>
        <v>83.647814759200003</v>
      </c>
      <c r="AS12" s="396">
        <f t="shared" si="11"/>
        <v>83.647814759200003</v>
      </c>
      <c r="AT12" s="397">
        <f t="shared" si="12"/>
        <v>3513.2082198864005</v>
      </c>
      <c r="AU12" s="395">
        <f t="shared" si="13"/>
        <v>86.157249201976001</v>
      </c>
      <c r="AV12" s="396">
        <f t="shared" si="14"/>
        <v>86.157249201976001</v>
      </c>
      <c r="AW12" s="397">
        <f t="shared" si="15"/>
        <v>3618.6044664829924</v>
      </c>
      <c r="AX12" s="395">
        <f t="shared" si="16"/>
        <v>88.741966678035283</v>
      </c>
      <c r="AY12" s="396">
        <f t="shared" si="17"/>
        <v>88.741966678035283</v>
      </c>
      <c r="AZ12" s="397">
        <f t="shared" si="18"/>
        <v>3727.1626004774821</v>
      </c>
      <c r="BA12" s="395">
        <f t="shared" si="19"/>
        <v>91.404225678376349</v>
      </c>
      <c r="BB12" s="396">
        <f t="shared" si="0"/>
        <v>91.404225678376349</v>
      </c>
      <c r="BC12" s="397">
        <f t="shared" si="1"/>
        <v>3838.9774784918068</v>
      </c>
      <c r="BD12" s="395">
        <f t="shared" si="2"/>
        <v>94.14635244872764</v>
      </c>
      <c r="BE12" s="396">
        <f t="shared" si="3"/>
        <v>94.14635244872764</v>
      </c>
      <c r="BF12" s="397">
        <f t="shared" si="4"/>
        <v>3954.1468028465611</v>
      </c>
      <c r="BG12" s="395">
        <f t="shared" si="5"/>
        <v>96.970743022189467</v>
      </c>
      <c r="BH12" s="396">
        <f t="shared" si="6"/>
        <v>96.970743022189467</v>
      </c>
      <c r="BI12" s="397">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7" t="s">
        <v>98</v>
      </c>
      <c r="AN13" s="395">
        <v>139.10414710000001</v>
      </c>
      <c r="AO13" s="396">
        <v>139.10414710000001</v>
      </c>
      <c r="AP13" s="397">
        <v>5842.3741782000006</v>
      </c>
      <c r="AQ13" s="377" t="s">
        <v>98</v>
      </c>
      <c r="AR13" s="395">
        <f t="shared" si="10"/>
        <v>143.27727151300002</v>
      </c>
      <c r="AS13" s="396">
        <f t="shared" si="11"/>
        <v>143.27727151300002</v>
      </c>
      <c r="AT13" s="397">
        <f t="shared" si="12"/>
        <v>6017.645403546001</v>
      </c>
      <c r="AU13" s="395">
        <f t="shared" si="13"/>
        <v>147.57558965839002</v>
      </c>
      <c r="AV13" s="396">
        <f t="shared" si="14"/>
        <v>147.57558965839002</v>
      </c>
      <c r="AW13" s="397">
        <f t="shared" si="15"/>
        <v>6198.1747656523812</v>
      </c>
      <c r="AX13" s="395">
        <f t="shared" si="16"/>
        <v>152.00285734814173</v>
      </c>
      <c r="AY13" s="396">
        <f t="shared" si="17"/>
        <v>152.00285734814173</v>
      </c>
      <c r="AZ13" s="397">
        <f t="shared" si="18"/>
        <v>6384.1200086219524</v>
      </c>
      <c r="BA13" s="395">
        <f t="shared" si="19"/>
        <v>156.56294306858598</v>
      </c>
      <c r="BB13" s="396">
        <f t="shared" si="0"/>
        <v>156.56294306858598</v>
      </c>
      <c r="BC13" s="397">
        <f t="shared" si="1"/>
        <v>6575.6436088806113</v>
      </c>
      <c r="BD13" s="395">
        <f t="shared" si="2"/>
        <v>161.25983136064357</v>
      </c>
      <c r="BE13" s="396">
        <f t="shared" si="3"/>
        <v>161.25983136064357</v>
      </c>
      <c r="BF13" s="397">
        <f t="shared" si="4"/>
        <v>6772.9129171470295</v>
      </c>
      <c r="BG13" s="395">
        <f t="shared" si="5"/>
        <v>166.0976263014629</v>
      </c>
      <c r="BH13" s="396">
        <f t="shared" si="6"/>
        <v>166.0976263014629</v>
      </c>
      <c r="BI13" s="397">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7" t="s">
        <v>99</v>
      </c>
      <c r="AN14" s="395">
        <v>103.59051960000001</v>
      </c>
      <c r="AO14" s="396">
        <v>103.59051960000001</v>
      </c>
      <c r="AP14" s="397">
        <v>4350.8018232000004</v>
      </c>
      <c r="AQ14" s="377" t="s">
        <v>99</v>
      </c>
      <c r="AR14" s="395">
        <f t="shared" si="10"/>
        <v>106.69823518800001</v>
      </c>
      <c r="AS14" s="396">
        <f t="shared" si="11"/>
        <v>106.69823518800001</v>
      </c>
      <c r="AT14" s="397">
        <f t="shared" si="12"/>
        <v>4481.3258778960007</v>
      </c>
      <c r="AU14" s="395">
        <f t="shared" si="13"/>
        <v>109.89918224364001</v>
      </c>
      <c r="AV14" s="396">
        <f t="shared" si="14"/>
        <v>109.89918224364001</v>
      </c>
      <c r="AW14" s="397">
        <f t="shared" si="15"/>
        <v>4615.7656542328805</v>
      </c>
      <c r="AX14" s="395">
        <f t="shared" si="16"/>
        <v>113.19615771094922</v>
      </c>
      <c r="AY14" s="396">
        <f t="shared" si="17"/>
        <v>113.19615771094922</v>
      </c>
      <c r="AZ14" s="397">
        <f t="shared" si="18"/>
        <v>4754.2386238598674</v>
      </c>
      <c r="BA14" s="395">
        <f t="shared" si="19"/>
        <v>116.5920424422777</v>
      </c>
      <c r="BB14" s="396">
        <f t="shared" si="0"/>
        <v>116.5920424422777</v>
      </c>
      <c r="BC14" s="397">
        <f t="shared" si="1"/>
        <v>4896.8657825756636</v>
      </c>
      <c r="BD14" s="395">
        <f t="shared" si="2"/>
        <v>120.08980371554604</v>
      </c>
      <c r="BE14" s="396">
        <f t="shared" si="3"/>
        <v>120.08980371554604</v>
      </c>
      <c r="BF14" s="397">
        <f t="shared" si="4"/>
        <v>5043.7717560529336</v>
      </c>
      <c r="BG14" s="395">
        <f t="shared" si="5"/>
        <v>123.69249782701243</v>
      </c>
      <c r="BH14" s="396">
        <f t="shared" si="6"/>
        <v>123.69249782701243</v>
      </c>
      <c r="BI14" s="397">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8" t="s">
        <v>275</v>
      </c>
      <c r="AN15" s="398">
        <v>0.45629000000000003</v>
      </c>
      <c r="AO15" s="399">
        <v>104.04680960000002</v>
      </c>
      <c r="AP15" s="400">
        <v>4369.9660032000002</v>
      </c>
      <c r="AQ15" s="378" t="s">
        <v>275</v>
      </c>
      <c r="AR15" s="398">
        <f t="shared" si="10"/>
        <v>0.46997870000000003</v>
      </c>
      <c r="AS15" s="399">
        <f t="shared" si="11"/>
        <v>107.16821388800003</v>
      </c>
      <c r="AT15" s="400">
        <f t="shared" si="12"/>
        <v>4501.0649832960007</v>
      </c>
      <c r="AU15" s="398">
        <f t="shared" si="13"/>
        <v>0.48407806100000006</v>
      </c>
      <c r="AV15" s="399">
        <f t="shared" si="14"/>
        <v>110.38326030464003</v>
      </c>
      <c r="AW15" s="400">
        <f t="shared" si="15"/>
        <v>4636.0969327948806</v>
      </c>
      <c r="AX15" s="398">
        <f t="shared" si="16"/>
        <v>0.49860040283000007</v>
      </c>
      <c r="AY15" s="399">
        <f t="shared" si="17"/>
        <v>113.69475811377923</v>
      </c>
      <c r="AZ15" s="400">
        <f t="shared" si="18"/>
        <v>4775.1798407787273</v>
      </c>
      <c r="BA15" s="398">
        <f t="shared" si="19"/>
        <v>0.51355841491490006</v>
      </c>
      <c r="BB15" s="399">
        <f t="shared" si="0"/>
        <v>117.10560085719261</v>
      </c>
      <c r="BC15" s="400">
        <f t="shared" si="1"/>
        <v>4918.4352360020894</v>
      </c>
      <c r="BD15" s="398">
        <f t="shared" si="2"/>
        <v>0.52896516736234711</v>
      </c>
      <c r="BE15" s="399">
        <f t="shared" si="3"/>
        <v>120.6187688829084</v>
      </c>
      <c r="BF15" s="400">
        <f t="shared" si="4"/>
        <v>5065.9882930821523</v>
      </c>
      <c r="BG15" s="398">
        <f t="shared" si="5"/>
        <v>0.54483412238321749</v>
      </c>
      <c r="BH15" s="399">
        <f t="shared" si="6"/>
        <v>124.23733194939565</v>
      </c>
      <c r="BI15" s="400">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7" t="s">
        <v>97</v>
      </c>
      <c r="AN16" s="395">
        <v>81.211470640000002</v>
      </c>
      <c r="AO16" s="396">
        <v>81.211470640000002</v>
      </c>
      <c r="AP16" s="397">
        <v>3410.8817668800002</v>
      </c>
      <c r="AQ16" s="377" t="s">
        <v>97</v>
      </c>
      <c r="AR16" s="395">
        <f t="shared" si="10"/>
        <v>83.647814759200003</v>
      </c>
      <c r="AS16" s="396">
        <f t="shared" si="11"/>
        <v>83.647814759200003</v>
      </c>
      <c r="AT16" s="397">
        <f t="shared" si="12"/>
        <v>3513.2082198864005</v>
      </c>
      <c r="AU16" s="395">
        <f t="shared" si="13"/>
        <v>86.157249201976001</v>
      </c>
      <c r="AV16" s="396">
        <f t="shared" si="14"/>
        <v>86.157249201976001</v>
      </c>
      <c r="AW16" s="397">
        <f t="shared" si="15"/>
        <v>3618.6044664829924</v>
      </c>
      <c r="AX16" s="395">
        <f t="shared" si="16"/>
        <v>88.741966678035283</v>
      </c>
      <c r="AY16" s="396">
        <f t="shared" si="17"/>
        <v>88.741966678035283</v>
      </c>
      <c r="AZ16" s="397">
        <f t="shared" si="18"/>
        <v>3727.1626004774821</v>
      </c>
      <c r="BA16" s="395">
        <f t="shared" si="19"/>
        <v>91.404225678376349</v>
      </c>
      <c r="BB16" s="396">
        <f t="shared" si="0"/>
        <v>91.404225678376349</v>
      </c>
      <c r="BC16" s="397">
        <f t="shared" si="1"/>
        <v>3838.9774784918068</v>
      </c>
      <c r="BD16" s="395">
        <f t="shared" si="2"/>
        <v>94.14635244872764</v>
      </c>
      <c r="BE16" s="396">
        <f t="shared" si="3"/>
        <v>94.14635244872764</v>
      </c>
      <c r="BF16" s="397">
        <f t="shared" si="4"/>
        <v>3954.1468028465611</v>
      </c>
      <c r="BG16" s="395">
        <f t="shared" si="5"/>
        <v>96.970743022189467</v>
      </c>
      <c r="BH16" s="396">
        <f t="shared" si="6"/>
        <v>96.970743022189467</v>
      </c>
      <c r="BI16" s="397">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7" t="s">
        <v>100</v>
      </c>
      <c r="AN17" s="395">
        <v>157.31990619000001</v>
      </c>
      <c r="AO17" s="396">
        <v>157.31990619000001</v>
      </c>
      <c r="AP17" s="397">
        <v>6607.4360599800002</v>
      </c>
      <c r="AQ17" s="377" t="s">
        <v>100</v>
      </c>
      <c r="AR17" s="395">
        <f t="shared" si="10"/>
        <v>162.03950337570001</v>
      </c>
      <c r="AS17" s="396">
        <f t="shared" si="11"/>
        <v>162.03950337570001</v>
      </c>
      <c r="AT17" s="397">
        <f t="shared" si="12"/>
        <v>6805.6591417794007</v>
      </c>
      <c r="AU17" s="395">
        <f t="shared" si="13"/>
        <v>166.900688476971</v>
      </c>
      <c r="AV17" s="396">
        <f t="shared" si="14"/>
        <v>166.900688476971</v>
      </c>
      <c r="AW17" s="397">
        <f t="shared" si="15"/>
        <v>7009.8289160327831</v>
      </c>
      <c r="AX17" s="395">
        <f t="shared" si="16"/>
        <v>171.90770913128014</v>
      </c>
      <c r="AY17" s="396">
        <f t="shared" si="17"/>
        <v>171.90770913128014</v>
      </c>
      <c r="AZ17" s="397">
        <f t="shared" si="18"/>
        <v>7220.1237835137672</v>
      </c>
      <c r="BA17" s="395">
        <f t="shared" si="19"/>
        <v>177.06494040521855</v>
      </c>
      <c r="BB17" s="396">
        <f t="shared" si="0"/>
        <v>177.06494040521855</v>
      </c>
      <c r="BC17" s="397">
        <f t="shared" si="1"/>
        <v>7436.7274970191802</v>
      </c>
      <c r="BD17" s="395">
        <f t="shared" si="2"/>
        <v>182.3768886173751</v>
      </c>
      <c r="BE17" s="396">
        <f t="shared" si="3"/>
        <v>182.3768886173751</v>
      </c>
      <c r="BF17" s="397">
        <f t="shared" si="4"/>
        <v>7659.8293219297557</v>
      </c>
      <c r="BG17" s="395">
        <f t="shared" si="5"/>
        <v>187.84819527589636</v>
      </c>
      <c r="BH17" s="396">
        <f t="shared" si="6"/>
        <v>187.84819527589636</v>
      </c>
      <c r="BI17" s="397">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9" t="s">
        <v>101</v>
      </c>
      <c r="AN18" s="398">
        <v>190.86662508999999</v>
      </c>
      <c r="AO18" s="399">
        <v>348.18653128000005</v>
      </c>
      <c r="AP18" s="400">
        <v>14623.83431376</v>
      </c>
      <c r="AQ18" s="379" t="s">
        <v>101</v>
      </c>
      <c r="AR18" s="398">
        <f t="shared" si="10"/>
        <v>196.59262384269999</v>
      </c>
      <c r="AS18" s="399">
        <f t="shared" si="11"/>
        <v>358.63212721840006</v>
      </c>
      <c r="AT18" s="400">
        <f t="shared" si="12"/>
        <v>15062.549343172801</v>
      </c>
      <c r="AU18" s="398">
        <f t="shared" si="13"/>
        <v>202.49040255798099</v>
      </c>
      <c r="AV18" s="399">
        <f t="shared" si="14"/>
        <v>369.39109103495207</v>
      </c>
      <c r="AW18" s="400">
        <f t="shared" si="15"/>
        <v>15514.425823467986</v>
      </c>
      <c r="AX18" s="398">
        <f t="shared" si="16"/>
        <v>208.56511463472043</v>
      </c>
      <c r="AY18" s="399">
        <f t="shared" si="17"/>
        <v>380.47282376600066</v>
      </c>
      <c r="AZ18" s="400">
        <f t="shared" si="18"/>
        <v>15979.858598172026</v>
      </c>
      <c r="BA18" s="398">
        <f t="shared" si="19"/>
        <v>214.82206807376204</v>
      </c>
      <c r="BB18" s="399">
        <f t="shared" si="0"/>
        <v>391.8870084789807</v>
      </c>
      <c r="BC18" s="400">
        <f t="shared" si="1"/>
        <v>16459.254356117188</v>
      </c>
      <c r="BD18" s="398">
        <f t="shared" si="2"/>
        <v>221.26673011597489</v>
      </c>
      <c r="BE18" s="399">
        <f t="shared" si="3"/>
        <v>403.64361873335014</v>
      </c>
      <c r="BF18" s="400">
        <f t="shared" si="4"/>
        <v>16953.031986800703</v>
      </c>
      <c r="BG18" s="398">
        <f t="shared" si="5"/>
        <v>227.90473201945414</v>
      </c>
      <c r="BH18" s="399">
        <f t="shared" si="6"/>
        <v>415.75292729535067</v>
      </c>
      <c r="BI18" s="400">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7" t="s">
        <v>97</v>
      </c>
      <c r="AN19" s="395">
        <v>81.211470640000002</v>
      </c>
      <c r="AO19" s="396">
        <v>81.211470640000002</v>
      </c>
      <c r="AP19" s="397">
        <v>3410.8817668800002</v>
      </c>
      <c r="AQ19" s="377" t="s">
        <v>97</v>
      </c>
      <c r="AR19" s="395">
        <f t="shared" si="10"/>
        <v>83.647814759200003</v>
      </c>
      <c r="AS19" s="396">
        <f t="shared" si="11"/>
        <v>83.647814759200003</v>
      </c>
      <c r="AT19" s="397">
        <f t="shared" si="12"/>
        <v>3513.2082198864005</v>
      </c>
      <c r="AU19" s="395">
        <f t="shared" si="13"/>
        <v>86.157249201976001</v>
      </c>
      <c r="AV19" s="396">
        <f t="shared" si="14"/>
        <v>86.157249201976001</v>
      </c>
      <c r="AW19" s="397">
        <f t="shared" si="15"/>
        <v>3618.6044664829924</v>
      </c>
      <c r="AX19" s="395">
        <f t="shared" si="16"/>
        <v>88.741966678035283</v>
      </c>
      <c r="AY19" s="396">
        <f t="shared" si="17"/>
        <v>88.741966678035283</v>
      </c>
      <c r="AZ19" s="397">
        <f t="shared" si="18"/>
        <v>3727.1626004774821</v>
      </c>
      <c r="BA19" s="395">
        <f t="shared" si="19"/>
        <v>91.404225678376349</v>
      </c>
      <c r="BB19" s="396">
        <f t="shared" si="0"/>
        <v>91.404225678376349</v>
      </c>
      <c r="BC19" s="397">
        <f t="shared" si="1"/>
        <v>3838.9774784918068</v>
      </c>
      <c r="BD19" s="395">
        <f t="shared" si="2"/>
        <v>94.14635244872764</v>
      </c>
      <c r="BE19" s="396">
        <f t="shared" si="3"/>
        <v>94.14635244872764</v>
      </c>
      <c r="BF19" s="397">
        <f t="shared" si="4"/>
        <v>3954.1468028465611</v>
      </c>
      <c r="BG19" s="395">
        <f t="shared" si="5"/>
        <v>96.970743022189467</v>
      </c>
      <c r="BH19" s="396">
        <f t="shared" si="6"/>
        <v>96.970743022189467</v>
      </c>
      <c r="BI19" s="397">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7" t="s">
        <v>100</v>
      </c>
      <c r="AN20" s="395">
        <v>157.31990619000001</v>
      </c>
      <c r="AO20" s="396">
        <v>157.31990619000001</v>
      </c>
      <c r="AP20" s="397">
        <v>6607.4360599800002</v>
      </c>
      <c r="AQ20" s="377" t="s">
        <v>100</v>
      </c>
      <c r="AR20" s="395">
        <f t="shared" si="10"/>
        <v>162.03950337570001</v>
      </c>
      <c r="AS20" s="396">
        <f t="shared" si="11"/>
        <v>162.03950337570001</v>
      </c>
      <c r="AT20" s="397">
        <f t="shared" si="12"/>
        <v>6805.6591417794007</v>
      </c>
      <c r="AU20" s="395">
        <f t="shared" si="13"/>
        <v>166.900688476971</v>
      </c>
      <c r="AV20" s="396">
        <f t="shared" si="14"/>
        <v>166.900688476971</v>
      </c>
      <c r="AW20" s="397">
        <f t="shared" si="15"/>
        <v>7009.8289160327831</v>
      </c>
      <c r="AX20" s="395">
        <f t="shared" si="16"/>
        <v>171.90770913128014</v>
      </c>
      <c r="AY20" s="396">
        <f t="shared" si="17"/>
        <v>171.90770913128014</v>
      </c>
      <c r="AZ20" s="397">
        <f t="shared" si="18"/>
        <v>7220.1237835137672</v>
      </c>
      <c r="BA20" s="395">
        <f t="shared" si="19"/>
        <v>177.06494040521855</v>
      </c>
      <c r="BB20" s="396">
        <f t="shared" si="0"/>
        <v>177.06494040521855</v>
      </c>
      <c r="BC20" s="397">
        <f t="shared" si="1"/>
        <v>7436.7274970191802</v>
      </c>
      <c r="BD20" s="395">
        <f t="shared" si="2"/>
        <v>182.3768886173751</v>
      </c>
      <c r="BE20" s="396">
        <f t="shared" si="3"/>
        <v>182.3768886173751</v>
      </c>
      <c r="BF20" s="397">
        <f t="shared" si="4"/>
        <v>7659.8293219297557</v>
      </c>
      <c r="BG20" s="395">
        <f t="shared" si="5"/>
        <v>187.84819527589636</v>
      </c>
      <c r="BH20" s="396">
        <f t="shared" si="6"/>
        <v>187.84819527589636</v>
      </c>
      <c r="BI20" s="397">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7" t="s">
        <v>102</v>
      </c>
      <c r="AN21" s="395">
        <v>32.672537300000002</v>
      </c>
      <c r="AO21" s="396">
        <v>189.99244349</v>
      </c>
      <c r="AP21" s="397">
        <v>7979.6826265800009</v>
      </c>
      <c r="AQ21" s="377" t="s">
        <v>102</v>
      </c>
      <c r="AR21" s="395">
        <f t="shared" si="10"/>
        <v>33.652713419000001</v>
      </c>
      <c r="AS21" s="396">
        <f t="shared" si="11"/>
        <v>195.69221679470002</v>
      </c>
      <c r="AT21" s="397">
        <f t="shared" si="12"/>
        <v>8219.0731053774016</v>
      </c>
      <c r="AU21" s="395">
        <f t="shared" si="13"/>
        <v>34.662294821570001</v>
      </c>
      <c r="AV21" s="396">
        <f t="shared" si="14"/>
        <v>201.56298329854101</v>
      </c>
      <c r="AW21" s="397">
        <f t="shared" si="15"/>
        <v>8465.6452985387241</v>
      </c>
      <c r="AX21" s="395">
        <f t="shared" si="16"/>
        <v>35.702163666217103</v>
      </c>
      <c r="AY21" s="396">
        <f t="shared" si="17"/>
        <v>207.60987279749725</v>
      </c>
      <c r="AZ21" s="397">
        <f t="shared" si="18"/>
        <v>8719.6146574948853</v>
      </c>
      <c r="BA21" s="395">
        <f t="shared" si="19"/>
        <v>36.773228576203614</v>
      </c>
      <c r="BB21" s="396">
        <f t="shared" si="0"/>
        <v>213.83816898142217</v>
      </c>
      <c r="BC21" s="397">
        <f t="shared" si="1"/>
        <v>8981.2030972197317</v>
      </c>
      <c r="BD21" s="395">
        <f t="shared" si="2"/>
        <v>37.876425433489722</v>
      </c>
      <c r="BE21" s="396">
        <f t="shared" si="3"/>
        <v>220.25331405086484</v>
      </c>
      <c r="BF21" s="397">
        <f t="shared" si="4"/>
        <v>9250.639190136324</v>
      </c>
      <c r="BG21" s="395">
        <f t="shared" si="5"/>
        <v>39.012718196494411</v>
      </c>
      <c r="BH21" s="396">
        <f t="shared" si="6"/>
        <v>226.86091347239079</v>
      </c>
      <c r="BI21" s="397">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7" t="s">
        <v>103</v>
      </c>
      <c r="AN22" s="395">
        <v>59.172112590000012</v>
      </c>
      <c r="AO22" s="396">
        <v>216.49232777999998</v>
      </c>
      <c r="AP22" s="397">
        <v>9092.6777667599981</v>
      </c>
      <c r="AQ22" s="377" t="s">
        <v>103</v>
      </c>
      <c r="AR22" s="395">
        <f t="shared" si="10"/>
        <v>60.947275967700016</v>
      </c>
      <c r="AS22" s="396">
        <f t="shared" si="11"/>
        <v>222.98709761339998</v>
      </c>
      <c r="AT22" s="397">
        <f t="shared" si="12"/>
        <v>9365.4580997627982</v>
      </c>
      <c r="AU22" s="395">
        <f t="shared" si="13"/>
        <v>62.775694246731021</v>
      </c>
      <c r="AV22" s="396">
        <f t="shared" si="14"/>
        <v>229.67671054180198</v>
      </c>
      <c r="AW22" s="397">
        <f t="shared" si="15"/>
        <v>9646.4218427556825</v>
      </c>
      <c r="AX22" s="395">
        <f t="shared" si="16"/>
        <v>64.658965074132951</v>
      </c>
      <c r="AY22" s="396">
        <f t="shared" si="17"/>
        <v>236.56701185805605</v>
      </c>
      <c r="AZ22" s="397">
        <f t="shared" si="18"/>
        <v>9935.8144980383531</v>
      </c>
      <c r="BA22" s="395">
        <f t="shared" si="19"/>
        <v>66.598734026356937</v>
      </c>
      <c r="BB22" s="396">
        <f t="shared" si="0"/>
        <v>243.66402221379775</v>
      </c>
      <c r="BC22" s="397">
        <f t="shared" si="1"/>
        <v>10233.888932979504</v>
      </c>
      <c r="BD22" s="395">
        <f t="shared" si="2"/>
        <v>68.596696047147645</v>
      </c>
      <c r="BE22" s="396">
        <f t="shared" si="3"/>
        <v>250.97394288021169</v>
      </c>
      <c r="BF22" s="397">
        <f t="shared" si="4"/>
        <v>10540.905600968888</v>
      </c>
      <c r="BG22" s="395">
        <f t="shared" si="5"/>
        <v>70.654596928562071</v>
      </c>
      <c r="BH22" s="396">
        <f t="shared" si="6"/>
        <v>258.50316116661804</v>
      </c>
      <c r="BI22" s="397">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7" t="s">
        <v>104</v>
      </c>
      <c r="AN23" s="395">
        <v>109.49124540000001</v>
      </c>
      <c r="AO23" s="396">
        <v>325.98357318000001</v>
      </c>
      <c r="AP23" s="397">
        <v>13691.31007356</v>
      </c>
      <c r="AQ23" s="377" t="s">
        <v>104</v>
      </c>
      <c r="AR23" s="395">
        <f t="shared" si="10"/>
        <v>112.77598276200001</v>
      </c>
      <c r="AS23" s="396">
        <f t="shared" si="11"/>
        <v>335.76308037540002</v>
      </c>
      <c r="AT23" s="397">
        <f t="shared" si="12"/>
        <v>14102.049375766801</v>
      </c>
      <c r="AU23" s="395">
        <f t="shared" si="13"/>
        <v>116.15926224486002</v>
      </c>
      <c r="AV23" s="396">
        <f t="shared" si="14"/>
        <v>345.83597278666201</v>
      </c>
      <c r="AW23" s="397">
        <f t="shared" si="15"/>
        <v>14525.110857039805</v>
      </c>
      <c r="AX23" s="395">
        <f t="shared" si="16"/>
        <v>119.64404011220581</v>
      </c>
      <c r="AY23" s="396">
        <f t="shared" si="17"/>
        <v>356.21105197026191</v>
      </c>
      <c r="AZ23" s="397">
        <f t="shared" si="18"/>
        <v>14960.864182751</v>
      </c>
      <c r="BA23" s="395">
        <f t="shared" si="19"/>
        <v>123.233361315572</v>
      </c>
      <c r="BB23" s="396">
        <f t="shared" si="0"/>
        <v>366.89738352936979</v>
      </c>
      <c r="BC23" s="397">
        <f t="shared" si="1"/>
        <v>15409.69010823353</v>
      </c>
      <c r="BD23" s="395">
        <f t="shared" si="2"/>
        <v>126.93036215503916</v>
      </c>
      <c r="BE23" s="396">
        <f t="shared" si="3"/>
        <v>377.9043050352509</v>
      </c>
      <c r="BF23" s="397">
        <f t="shared" si="4"/>
        <v>15871.980811480536</v>
      </c>
      <c r="BG23" s="395">
        <f t="shared" si="5"/>
        <v>130.73827301969035</v>
      </c>
      <c r="BH23" s="396">
        <f t="shared" si="6"/>
        <v>389.24143418630842</v>
      </c>
      <c r="BI23" s="397">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7" t="s">
        <v>105</v>
      </c>
      <c r="AN24" s="395">
        <v>22.213258100000004</v>
      </c>
      <c r="AO24" s="396">
        <v>348.18653128000005</v>
      </c>
      <c r="AP24" s="397">
        <v>14623.83431376</v>
      </c>
      <c r="AQ24" s="377" t="s">
        <v>105</v>
      </c>
      <c r="AR24" s="395">
        <f t="shared" si="10"/>
        <v>22.879655843000005</v>
      </c>
      <c r="AS24" s="396">
        <f t="shared" si="11"/>
        <v>358.63212721840006</v>
      </c>
      <c r="AT24" s="397">
        <f t="shared" si="12"/>
        <v>15062.549343172801</v>
      </c>
      <c r="AU24" s="395">
        <f t="shared" si="13"/>
        <v>23.566045518290007</v>
      </c>
      <c r="AV24" s="396">
        <f t="shared" si="14"/>
        <v>369.39109103495207</v>
      </c>
      <c r="AW24" s="397">
        <f t="shared" si="15"/>
        <v>15514.425823467986</v>
      </c>
      <c r="AX24" s="395">
        <f t="shared" si="16"/>
        <v>24.273026883838707</v>
      </c>
      <c r="AY24" s="396">
        <f t="shared" si="17"/>
        <v>380.47282376600066</v>
      </c>
      <c r="AZ24" s="397">
        <f t="shared" si="18"/>
        <v>15979.858598172026</v>
      </c>
      <c r="BA24" s="395">
        <f t="shared" si="19"/>
        <v>25.001217690353869</v>
      </c>
      <c r="BB24" s="396">
        <f t="shared" si="0"/>
        <v>391.8870084789807</v>
      </c>
      <c r="BC24" s="397">
        <f t="shared" si="1"/>
        <v>16459.254356117188</v>
      </c>
      <c r="BD24" s="395">
        <f t="shared" si="2"/>
        <v>25.751254221064485</v>
      </c>
      <c r="BE24" s="396">
        <f t="shared" si="3"/>
        <v>403.64361873335014</v>
      </c>
      <c r="BF24" s="397">
        <f t="shared" si="4"/>
        <v>16953.031986800703</v>
      </c>
      <c r="BG24" s="395">
        <f t="shared" si="5"/>
        <v>26.523791847696419</v>
      </c>
      <c r="BH24" s="396">
        <f t="shared" si="6"/>
        <v>415.75292729535067</v>
      </c>
      <c r="BI24" s="397">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9" t="s">
        <v>106</v>
      </c>
      <c r="AN25" s="398">
        <v>0</v>
      </c>
      <c r="AO25" s="399">
        <v>0</v>
      </c>
      <c r="AP25" s="400">
        <v>0</v>
      </c>
      <c r="AQ25" s="379" t="s">
        <v>106</v>
      </c>
      <c r="AR25" s="398">
        <f t="shared" si="10"/>
        <v>0</v>
      </c>
      <c r="AS25" s="399">
        <f t="shared" si="11"/>
        <v>0</v>
      </c>
      <c r="AT25" s="400">
        <f t="shared" si="12"/>
        <v>0</v>
      </c>
      <c r="AU25" s="398">
        <f t="shared" si="13"/>
        <v>0</v>
      </c>
      <c r="AV25" s="399">
        <f t="shared" si="14"/>
        <v>0</v>
      </c>
      <c r="AW25" s="400">
        <f t="shared" si="15"/>
        <v>0</v>
      </c>
      <c r="AX25" s="398">
        <f t="shared" si="16"/>
        <v>0</v>
      </c>
      <c r="AY25" s="399">
        <f t="shared" si="17"/>
        <v>0</v>
      </c>
      <c r="AZ25" s="400">
        <f t="shared" si="18"/>
        <v>0</v>
      </c>
      <c r="BA25" s="398">
        <f t="shared" si="19"/>
        <v>0</v>
      </c>
      <c r="BB25" s="399">
        <f t="shared" si="0"/>
        <v>0</v>
      </c>
      <c r="BC25" s="400">
        <f t="shared" si="1"/>
        <v>0</v>
      </c>
      <c r="BD25" s="398">
        <f t="shared" si="2"/>
        <v>0</v>
      </c>
      <c r="BE25" s="399">
        <f t="shared" si="3"/>
        <v>0</v>
      </c>
      <c r="BF25" s="400">
        <f t="shared" si="4"/>
        <v>0</v>
      </c>
      <c r="BG25" s="398">
        <f t="shared" si="5"/>
        <v>0</v>
      </c>
      <c r="BH25" s="399">
        <f t="shared" si="6"/>
        <v>0</v>
      </c>
      <c r="BI25" s="400">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7" t="s">
        <v>97</v>
      </c>
      <c r="AN26" s="395">
        <v>81.211470640000002</v>
      </c>
      <c r="AO26" s="396">
        <v>81.211470640000002</v>
      </c>
      <c r="AP26" s="397">
        <v>3410.8817668800002</v>
      </c>
      <c r="AQ26" s="377" t="s">
        <v>97</v>
      </c>
      <c r="AR26" s="395">
        <f t="shared" si="10"/>
        <v>83.647814759200003</v>
      </c>
      <c r="AS26" s="396">
        <f t="shared" si="11"/>
        <v>83.647814759200003</v>
      </c>
      <c r="AT26" s="397">
        <f t="shared" si="12"/>
        <v>3513.2082198864005</v>
      </c>
      <c r="AU26" s="395">
        <f t="shared" si="13"/>
        <v>86.157249201976001</v>
      </c>
      <c r="AV26" s="396">
        <f t="shared" si="14"/>
        <v>86.157249201976001</v>
      </c>
      <c r="AW26" s="397">
        <f t="shared" si="15"/>
        <v>3618.6044664829924</v>
      </c>
      <c r="AX26" s="395">
        <f t="shared" si="16"/>
        <v>88.741966678035283</v>
      </c>
      <c r="AY26" s="396">
        <f t="shared" si="17"/>
        <v>88.741966678035283</v>
      </c>
      <c r="AZ26" s="397">
        <f t="shared" si="18"/>
        <v>3727.1626004774821</v>
      </c>
      <c r="BA26" s="395">
        <f t="shared" si="19"/>
        <v>91.404225678376349</v>
      </c>
      <c r="BB26" s="396">
        <f t="shared" si="0"/>
        <v>91.404225678376349</v>
      </c>
      <c r="BC26" s="397">
        <f t="shared" si="1"/>
        <v>3838.9774784918068</v>
      </c>
      <c r="BD26" s="395">
        <f t="shared" si="2"/>
        <v>94.14635244872764</v>
      </c>
      <c r="BE26" s="396">
        <f t="shared" si="3"/>
        <v>94.14635244872764</v>
      </c>
      <c r="BF26" s="397">
        <f t="shared" si="4"/>
        <v>3954.1468028465611</v>
      </c>
      <c r="BG26" s="395">
        <f t="shared" si="5"/>
        <v>96.970743022189467</v>
      </c>
      <c r="BH26" s="396">
        <f t="shared" si="6"/>
        <v>96.970743022189467</v>
      </c>
      <c r="BI26" s="397">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7" t="s">
        <v>100</v>
      </c>
      <c r="AN27" s="395">
        <v>157.31990619000001</v>
      </c>
      <c r="AO27" s="396">
        <v>157.31990619000001</v>
      </c>
      <c r="AP27" s="397">
        <v>6607.4360599800002</v>
      </c>
      <c r="AQ27" s="377" t="s">
        <v>100</v>
      </c>
      <c r="AR27" s="395">
        <f t="shared" si="10"/>
        <v>162.03950337570001</v>
      </c>
      <c r="AS27" s="396">
        <f t="shared" si="11"/>
        <v>162.03950337570001</v>
      </c>
      <c r="AT27" s="397">
        <f t="shared" si="12"/>
        <v>6805.6591417794007</v>
      </c>
      <c r="AU27" s="395">
        <f t="shared" si="13"/>
        <v>166.900688476971</v>
      </c>
      <c r="AV27" s="396">
        <f t="shared" si="14"/>
        <v>166.900688476971</v>
      </c>
      <c r="AW27" s="397">
        <f t="shared" si="15"/>
        <v>7009.8289160327831</v>
      </c>
      <c r="AX27" s="395">
        <f t="shared" si="16"/>
        <v>171.90770913128014</v>
      </c>
      <c r="AY27" s="396">
        <f t="shared" si="17"/>
        <v>171.90770913128014</v>
      </c>
      <c r="AZ27" s="397">
        <f t="shared" si="18"/>
        <v>7220.1237835137672</v>
      </c>
      <c r="BA27" s="395">
        <f t="shared" si="19"/>
        <v>177.06494040521855</v>
      </c>
      <c r="BB27" s="396">
        <f t="shared" si="0"/>
        <v>177.06494040521855</v>
      </c>
      <c r="BC27" s="397">
        <f t="shared" si="1"/>
        <v>7436.7274970191802</v>
      </c>
      <c r="BD27" s="395">
        <f t="shared" si="2"/>
        <v>182.3768886173751</v>
      </c>
      <c r="BE27" s="396">
        <f t="shared" si="3"/>
        <v>182.3768886173751</v>
      </c>
      <c r="BF27" s="397">
        <f t="shared" si="4"/>
        <v>7659.8293219297557</v>
      </c>
      <c r="BG27" s="395">
        <f t="shared" si="5"/>
        <v>187.84819527589636</v>
      </c>
      <c r="BH27" s="396">
        <f t="shared" si="6"/>
        <v>187.84819527589636</v>
      </c>
      <c r="BI27" s="397">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7" t="s">
        <v>102</v>
      </c>
      <c r="AN28" s="395">
        <v>32.672537300000002</v>
      </c>
      <c r="AO28" s="396">
        <v>189.99244349</v>
      </c>
      <c r="AP28" s="397">
        <v>7979.6826265800009</v>
      </c>
      <c r="AQ28" s="377" t="s">
        <v>102</v>
      </c>
      <c r="AR28" s="395">
        <f t="shared" si="10"/>
        <v>33.652713419000001</v>
      </c>
      <c r="AS28" s="396">
        <f t="shared" si="11"/>
        <v>195.69221679470002</v>
      </c>
      <c r="AT28" s="397">
        <f t="shared" si="12"/>
        <v>8219.0731053774016</v>
      </c>
      <c r="AU28" s="395">
        <f t="shared" si="13"/>
        <v>34.662294821570001</v>
      </c>
      <c r="AV28" s="396">
        <f t="shared" si="14"/>
        <v>201.56298329854101</v>
      </c>
      <c r="AW28" s="397">
        <f t="shared" si="15"/>
        <v>8465.6452985387241</v>
      </c>
      <c r="AX28" s="395">
        <f t="shared" si="16"/>
        <v>35.702163666217103</v>
      </c>
      <c r="AY28" s="396">
        <f t="shared" si="17"/>
        <v>207.60987279749725</v>
      </c>
      <c r="AZ28" s="397">
        <f t="shared" si="18"/>
        <v>8719.6146574948853</v>
      </c>
      <c r="BA28" s="395">
        <f t="shared" si="19"/>
        <v>36.773228576203614</v>
      </c>
      <c r="BB28" s="396">
        <f t="shared" si="0"/>
        <v>213.83816898142217</v>
      </c>
      <c r="BC28" s="397">
        <f t="shared" si="1"/>
        <v>8981.2030972197317</v>
      </c>
      <c r="BD28" s="395">
        <f t="shared" si="2"/>
        <v>37.876425433489722</v>
      </c>
      <c r="BE28" s="396">
        <f t="shared" si="3"/>
        <v>220.25331405086484</v>
      </c>
      <c r="BF28" s="397">
        <f t="shared" si="4"/>
        <v>9250.639190136324</v>
      </c>
      <c r="BG28" s="395">
        <f t="shared" si="5"/>
        <v>39.012718196494411</v>
      </c>
      <c r="BH28" s="396">
        <f t="shared" si="6"/>
        <v>226.86091347239079</v>
      </c>
      <c r="BI28" s="397">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7" t="s">
        <v>103</v>
      </c>
      <c r="AN29" s="395">
        <v>59.172112590000012</v>
      </c>
      <c r="AO29" s="396">
        <v>216.49232777999998</v>
      </c>
      <c r="AP29" s="397">
        <v>9092.6777667599981</v>
      </c>
      <c r="AQ29" s="377" t="s">
        <v>103</v>
      </c>
      <c r="AR29" s="395">
        <f t="shared" si="10"/>
        <v>60.947275967700016</v>
      </c>
      <c r="AS29" s="396">
        <f t="shared" si="11"/>
        <v>222.98709761339998</v>
      </c>
      <c r="AT29" s="397">
        <f t="shared" si="12"/>
        <v>9365.4580997627982</v>
      </c>
      <c r="AU29" s="395">
        <f t="shared" si="13"/>
        <v>62.775694246731021</v>
      </c>
      <c r="AV29" s="396">
        <f t="shared" si="14"/>
        <v>229.67671054180198</v>
      </c>
      <c r="AW29" s="397">
        <f t="shared" si="15"/>
        <v>9646.4218427556825</v>
      </c>
      <c r="AX29" s="395">
        <f t="shared" si="16"/>
        <v>64.658965074132951</v>
      </c>
      <c r="AY29" s="396">
        <f t="shared" si="17"/>
        <v>236.56701185805605</v>
      </c>
      <c r="AZ29" s="397">
        <f t="shared" si="18"/>
        <v>9935.8144980383531</v>
      </c>
      <c r="BA29" s="395">
        <f t="shared" si="19"/>
        <v>66.598734026356937</v>
      </c>
      <c r="BB29" s="396">
        <f t="shared" si="0"/>
        <v>243.66402221379775</v>
      </c>
      <c r="BC29" s="397">
        <f t="shared" si="1"/>
        <v>10233.888932979504</v>
      </c>
      <c r="BD29" s="395">
        <f t="shared" si="2"/>
        <v>68.596696047147645</v>
      </c>
      <c r="BE29" s="396">
        <f t="shared" si="3"/>
        <v>250.97394288021169</v>
      </c>
      <c r="BF29" s="397">
        <f t="shared" si="4"/>
        <v>10540.905600968888</v>
      </c>
      <c r="BG29" s="395">
        <f t="shared" si="5"/>
        <v>70.654596928562071</v>
      </c>
      <c r="BH29" s="396">
        <f t="shared" si="6"/>
        <v>258.50316116661804</v>
      </c>
      <c r="BI29" s="397">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7" t="s">
        <v>107</v>
      </c>
      <c r="AN30" s="395">
        <v>24.093684810000006</v>
      </c>
      <c r="AO30" s="396">
        <v>240.58570359000001</v>
      </c>
      <c r="AP30" s="397">
        <v>10104.59955078</v>
      </c>
      <c r="AQ30" s="377" t="s">
        <v>107</v>
      </c>
      <c r="AR30" s="395">
        <f t="shared" si="10"/>
        <v>24.816495354300006</v>
      </c>
      <c r="AS30" s="396">
        <f t="shared" si="11"/>
        <v>247.8032746977</v>
      </c>
      <c r="AT30" s="397">
        <f t="shared" si="12"/>
        <v>10407.737537303399</v>
      </c>
      <c r="AU30" s="395">
        <f t="shared" si="13"/>
        <v>25.560990214929006</v>
      </c>
      <c r="AV30" s="396">
        <f t="shared" si="14"/>
        <v>255.23737293863101</v>
      </c>
      <c r="AW30" s="397">
        <f t="shared" si="15"/>
        <v>10719.969663422502</v>
      </c>
      <c r="AX30" s="395">
        <f t="shared" si="16"/>
        <v>26.327819921376879</v>
      </c>
      <c r="AY30" s="396">
        <f t="shared" si="17"/>
        <v>262.89449412678994</v>
      </c>
      <c r="AZ30" s="397">
        <f t="shared" si="18"/>
        <v>11041.568753325177</v>
      </c>
      <c r="BA30" s="395">
        <f t="shared" si="19"/>
        <v>27.117654519018185</v>
      </c>
      <c r="BB30" s="396">
        <f t="shared" si="0"/>
        <v>270.78132895059366</v>
      </c>
      <c r="BC30" s="397">
        <f t="shared" si="1"/>
        <v>11372.815815924932</v>
      </c>
      <c r="BD30" s="395">
        <f t="shared" si="2"/>
        <v>27.931184154588731</v>
      </c>
      <c r="BE30" s="396">
        <f t="shared" si="3"/>
        <v>278.9047688191115</v>
      </c>
      <c r="BF30" s="397">
        <f t="shared" si="4"/>
        <v>11714.000290402681</v>
      </c>
      <c r="BG30" s="395">
        <f t="shared" si="5"/>
        <v>28.769119679226392</v>
      </c>
      <c r="BH30" s="396">
        <f t="shared" si="6"/>
        <v>287.27191188368482</v>
      </c>
      <c r="BI30" s="397">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7" t="s">
        <v>108</v>
      </c>
      <c r="AN31" s="395">
        <v>81.396915960000015</v>
      </c>
      <c r="AO31" s="396">
        <v>297.88893474000008</v>
      </c>
      <c r="AP31" s="397">
        <v>12511.335259080002</v>
      </c>
      <c r="AQ31" s="377" t="s">
        <v>108</v>
      </c>
      <c r="AR31" s="395">
        <f t="shared" si="10"/>
        <v>83.83882343880002</v>
      </c>
      <c r="AS31" s="396">
        <f t="shared" si="11"/>
        <v>306.82560278220006</v>
      </c>
      <c r="AT31" s="397">
        <f t="shared" si="12"/>
        <v>12886.675316852403</v>
      </c>
      <c r="AU31" s="395">
        <f t="shared" si="13"/>
        <v>86.353988141964024</v>
      </c>
      <c r="AV31" s="396">
        <f t="shared" si="14"/>
        <v>316.0303708656661</v>
      </c>
      <c r="AW31" s="397">
        <f t="shared" si="15"/>
        <v>13273.275576357975</v>
      </c>
      <c r="AX31" s="395">
        <f t="shared" si="16"/>
        <v>88.944607786222946</v>
      </c>
      <c r="AY31" s="396">
        <f t="shared" si="17"/>
        <v>325.51128199163611</v>
      </c>
      <c r="AZ31" s="397">
        <f t="shared" si="18"/>
        <v>13671.473843648715</v>
      </c>
      <c r="BA31" s="395">
        <f t="shared" si="19"/>
        <v>91.612946019809641</v>
      </c>
      <c r="BB31" s="396">
        <f t="shared" si="0"/>
        <v>335.27662045138521</v>
      </c>
      <c r="BC31" s="397">
        <f t="shared" si="1"/>
        <v>14081.618058958176</v>
      </c>
      <c r="BD31" s="395">
        <f t="shared" si="2"/>
        <v>94.361334400403933</v>
      </c>
      <c r="BE31" s="396">
        <f t="shared" si="3"/>
        <v>345.33491906492679</v>
      </c>
      <c r="BF31" s="397">
        <f t="shared" si="4"/>
        <v>14504.066600726923</v>
      </c>
      <c r="BG31" s="395">
        <f t="shared" si="5"/>
        <v>97.192174432416053</v>
      </c>
      <c r="BH31" s="396">
        <f t="shared" si="6"/>
        <v>355.6949666368746</v>
      </c>
      <c r="BI31" s="397">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6" t="s">
        <v>109</v>
      </c>
      <c r="AN32" s="398">
        <v>76.938908069999997</v>
      </c>
      <c r="AO32" s="399">
        <v>374.82784280999999</v>
      </c>
      <c r="AP32" s="400">
        <v>15742.76939802</v>
      </c>
      <c r="AQ32" s="376" t="s">
        <v>109</v>
      </c>
      <c r="AR32" s="398">
        <f t="shared" si="10"/>
        <v>79.247075312099994</v>
      </c>
      <c r="AS32" s="399">
        <f t="shared" si="11"/>
        <v>386.07267809429999</v>
      </c>
      <c r="AT32" s="400">
        <f t="shared" si="12"/>
        <v>16215.052479960601</v>
      </c>
      <c r="AU32" s="398">
        <f t="shared" si="13"/>
        <v>81.624487571462993</v>
      </c>
      <c r="AV32" s="399">
        <f t="shared" si="14"/>
        <v>397.65485843712901</v>
      </c>
      <c r="AW32" s="400">
        <f t="shared" si="15"/>
        <v>16701.504054359419</v>
      </c>
      <c r="AX32" s="398">
        <f t="shared" si="16"/>
        <v>84.073222198606885</v>
      </c>
      <c r="AY32" s="399">
        <f t="shared" si="17"/>
        <v>409.58450419024291</v>
      </c>
      <c r="AZ32" s="400">
        <f t="shared" si="18"/>
        <v>17202.549175990203</v>
      </c>
      <c r="BA32" s="398">
        <f t="shared" si="19"/>
        <v>86.59541886456509</v>
      </c>
      <c r="BB32" s="399">
        <f t="shared" si="0"/>
        <v>421.87203931595019</v>
      </c>
      <c r="BC32" s="400">
        <f t="shared" si="1"/>
        <v>17718.625651269911</v>
      </c>
      <c r="BD32" s="398">
        <f t="shared" si="2"/>
        <v>89.19328143050204</v>
      </c>
      <c r="BE32" s="399">
        <f t="shared" si="3"/>
        <v>434.52820049542873</v>
      </c>
      <c r="BF32" s="400">
        <f t="shared" si="4"/>
        <v>18250.184420808007</v>
      </c>
      <c r="BG32" s="398">
        <f t="shared" si="5"/>
        <v>91.869079873417107</v>
      </c>
      <c r="BH32" s="399">
        <f t="shared" si="6"/>
        <v>447.56404651029163</v>
      </c>
      <c r="BI32" s="400">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80" t="s">
        <v>97</v>
      </c>
      <c r="AN33" s="392">
        <v>81.211470640000002</v>
      </c>
      <c r="AO33" s="393">
        <v>81.211470640000002</v>
      </c>
      <c r="AP33" s="394">
        <v>3410.8817668800002</v>
      </c>
      <c r="AQ33" s="380" t="s">
        <v>97</v>
      </c>
      <c r="AR33" s="392">
        <f t="shared" si="10"/>
        <v>83.647814759200003</v>
      </c>
      <c r="AS33" s="393">
        <f t="shared" si="11"/>
        <v>83.647814759200003</v>
      </c>
      <c r="AT33" s="394">
        <f t="shared" si="12"/>
        <v>3513.2082198864005</v>
      </c>
      <c r="AU33" s="392">
        <f t="shared" si="13"/>
        <v>86.157249201976001</v>
      </c>
      <c r="AV33" s="393">
        <f t="shared" si="14"/>
        <v>86.157249201976001</v>
      </c>
      <c r="AW33" s="394">
        <f t="shared" si="15"/>
        <v>3618.6044664829924</v>
      </c>
      <c r="AX33" s="392">
        <f t="shared" si="16"/>
        <v>88.741966678035283</v>
      </c>
      <c r="AY33" s="393">
        <f t="shared" si="17"/>
        <v>88.741966678035283</v>
      </c>
      <c r="AZ33" s="394">
        <f t="shared" si="18"/>
        <v>3727.1626004774821</v>
      </c>
      <c r="BA33" s="392">
        <f t="shared" si="19"/>
        <v>91.404225678376349</v>
      </c>
      <c r="BB33" s="393">
        <f t="shared" si="0"/>
        <v>91.404225678376349</v>
      </c>
      <c r="BC33" s="394">
        <f t="shared" si="1"/>
        <v>3838.9774784918068</v>
      </c>
      <c r="BD33" s="392">
        <f t="shared" si="2"/>
        <v>94.14635244872764</v>
      </c>
      <c r="BE33" s="393">
        <f t="shared" si="3"/>
        <v>94.14635244872764</v>
      </c>
      <c r="BF33" s="394">
        <f t="shared" si="4"/>
        <v>3954.1468028465611</v>
      </c>
      <c r="BG33" s="392">
        <f t="shared" si="5"/>
        <v>96.970743022189467</v>
      </c>
      <c r="BH33" s="393">
        <f t="shared" si="6"/>
        <v>96.970743022189467</v>
      </c>
      <c r="BI33" s="394">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7" t="s">
        <v>100</v>
      </c>
      <c r="AN34" s="395">
        <v>157.31990619000001</v>
      </c>
      <c r="AO34" s="396">
        <v>157.31990619000001</v>
      </c>
      <c r="AP34" s="397">
        <v>6607.4360599800002</v>
      </c>
      <c r="AQ34" s="377" t="s">
        <v>100</v>
      </c>
      <c r="AR34" s="395">
        <f t="shared" si="10"/>
        <v>162.03950337570001</v>
      </c>
      <c r="AS34" s="396">
        <f t="shared" si="11"/>
        <v>162.03950337570001</v>
      </c>
      <c r="AT34" s="397">
        <f t="shared" si="12"/>
        <v>6805.6591417794007</v>
      </c>
      <c r="AU34" s="395">
        <f t="shared" si="13"/>
        <v>166.900688476971</v>
      </c>
      <c r="AV34" s="396">
        <f t="shared" si="14"/>
        <v>166.900688476971</v>
      </c>
      <c r="AW34" s="397">
        <f t="shared" si="15"/>
        <v>7009.8289160327831</v>
      </c>
      <c r="AX34" s="395">
        <f t="shared" si="16"/>
        <v>171.90770913128014</v>
      </c>
      <c r="AY34" s="396">
        <f t="shared" si="17"/>
        <v>171.90770913128014</v>
      </c>
      <c r="AZ34" s="397">
        <f t="shared" si="18"/>
        <v>7220.1237835137672</v>
      </c>
      <c r="BA34" s="395">
        <f t="shared" si="19"/>
        <v>177.06494040521855</v>
      </c>
      <c r="BB34" s="396">
        <f t="shared" si="0"/>
        <v>177.06494040521855</v>
      </c>
      <c r="BC34" s="397">
        <f t="shared" si="1"/>
        <v>7436.7274970191802</v>
      </c>
      <c r="BD34" s="395">
        <f t="shared" si="2"/>
        <v>182.3768886173751</v>
      </c>
      <c r="BE34" s="396">
        <f t="shared" si="3"/>
        <v>182.3768886173751</v>
      </c>
      <c r="BF34" s="397">
        <f t="shared" si="4"/>
        <v>7659.8293219297557</v>
      </c>
      <c r="BG34" s="395">
        <f t="shared" si="5"/>
        <v>187.84819527589636</v>
      </c>
      <c r="BH34" s="396">
        <f t="shared" si="6"/>
        <v>187.84819527589636</v>
      </c>
      <c r="BI34" s="397">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7" t="s">
        <v>110</v>
      </c>
      <c r="AN35" s="395">
        <v>16.500177700000002</v>
      </c>
      <c r="AO35" s="396">
        <v>315.85273934999998</v>
      </c>
      <c r="AP35" s="397">
        <v>13265.8150527</v>
      </c>
      <c r="AQ35" s="377" t="s">
        <v>110</v>
      </c>
      <c r="AR35" s="395">
        <f t="shared" si="10"/>
        <v>16.995183031000003</v>
      </c>
      <c r="AS35" s="396">
        <f t="shared" si="11"/>
        <v>325.32832153049998</v>
      </c>
      <c r="AT35" s="397">
        <f t="shared" si="12"/>
        <v>13663.789504281</v>
      </c>
      <c r="AU35" s="395">
        <f t="shared" si="13"/>
        <v>17.505038521930004</v>
      </c>
      <c r="AV35" s="396">
        <f t="shared" si="14"/>
        <v>335.08817117641496</v>
      </c>
      <c r="AW35" s="397">
        <f t="shared" si="15"/>
        <v>14073.703189409431</v>
      </c>
      <c r="AX35" s="395">
        <f t="shared" si="16"/>
        <v>18.030189677587906</v>
      </c>
      <c r="AY35" s="396">
        <f t="shared" si="17"/>
        <v>345.1408163117074</v>
      </c>
      <c r="AZ35" s="397">
        <f t="shared" si="18"/>
        <v>14495.914285091714</v>
      </c>
      <c r="BA35" s="395">
        <f t="shared" si="19"/>
        <v>18.571095367915543</v>
      </c>
      <c r="BB35" s="396">
        <f t="shared" si="0"/>
        <v>355.49504080105862</v>
      </c>
      <c r="BC35" s="397">
        <f t="shared" si="1"/>
        <v>14930.791713644467</v>
      </c>
      <c r="BD35" s="395">
        <f t="shared" si="2"/>
        <v>19.128228228953009</v>
      </c>
      <c r="BE35" s="396">
        <f t="shared" si="3"/>
        <v>366.15989202509041</v>
      </c>
      <c r="BF35" s="397">
        <f t="shared" si="4"/>
        <v>15378.715465053801</v>
      </c>
      <c r="BG35" s="395">
        <f t="shared" si="5"/>
        <v>19.7020750758216</v>
      </c>
      <c r="BH35" s="396">
        <f t="shared" si="6"/>
        <v>377.14468878584313</v>
      </c>
      <c r="BI35" s="397">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7" t="s">
        <v>111</v>
      </c>
      <c r="AN36" s="395">
        <v>142.03265546</v>
      </c>
      <c r="AO36" s="396">
        <v>299.35256164999998</v>
      </c>
      <c r="AP36" s="397">
        <v>12572.8075893</v>
      </c>
      <c r="AQ36" s="377" t="s">
        <v>111</v>
      </c>
      <c r="AR36" s="395">
        <f t="shared" si="10"/>
        <v>146.29363512380002</v>
      </c>
      <c r="AS36" s="396">
        <f t="shared" si="11"/>
        <v>308.33313849949997</v>
      </c>
      <c r="AT36" s="397">
        <f t="shared" si="12"/>
        <v>12949.991816979002</v>
      </c>
      <c r="AU36" s="395">
        <f t="shared" si="13"/>
        <v>150.68244417751401</v>
      </c>
      <c r="AV36" s="396">
        <f t="shared" si="14"/>
        <v>317.58313265448498</v>
      </c>
      <c r="AW36" s="397">
        <f t="shared" si="15"/>
        <v>13338.491571488372</v>
      </c>
      <c r="AX36" s="395">
        <f t="shared" si="16"/>
        <v>155.20291750283943</v>
      </c>
      <c r="AY36" s="396">
        <f t="shared" si="17"/>
        <v>327.11062663411957</v>
      </c>
      <c r="AZ36" s="397">
        <f t="shared" si="18"/>
        <v>13738.646318633024</v>
      </c>
      <c r="BA36" s="395">
        <f t="shared" si="19"/>
        <v>159.85900502792461</v>
      </c>
      <c r="BB36" s="396">
        <f t="shared" si="0"/>
        <v>336.92394543314316</v>
      </c>
      <c r="BC36" s="397">
        <f t="shared" si="1"/>
        <v>14150.805708192014</v>
      </c>
      <c r="BD36" s="395">
        <f t="shared" si="2"/>
        <v>164.65477517876235</v>
      </c>
      <c r="BE36" s="396">
        <f t="shared" si="3"/>
        <v>347.03166379613748</v>
      </c>
      <c r="BF36" s="397">
        <f t="shared" si="4"/>
        <v>14575.329879437775</v>
      </c>
      <c r="BG36" s="395">
        <f t="shared" si="5"/>
        <v>169.59441843412523</v>
      </c>
      <c r="BH36" s="396">
        <f t="shared" si="6"/>
        <v>357.44261371002159</v>
      </c>
      <c r="BI36" s="397">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7" t="s">
        <v>112</v>
      </c>
      <c r="AN37" s="395">
        <v>118.91149768000001</v>
      </c>
      <c r="AO37" s="396">
        <v>276.23171287000002</v>
      </c>
      <c r="AP37" s="397">
        <v>11601.731940540001</v>
      </c>
      <c r="AQ37" s="377" t="s">
        <v>112</v>
      </c>
      <c r="AR37" s="395">
        <f t="shared" si="10"/>
        <v>122.47884261040001</v>
      </c>
      <c r="AS37" s="396">
        <f t="shared" si="11"/>
        <v>284.51866425610001</v>
      </c>
      <c r="AT37" s="397">
        <f t="shared" si="12"/>
        <v>11949.783898756201</v>
      </c>
      <c r="AU37" s="395">
        <f t="shared" si="13"/>
        <v>126.15320788871202</v>
      </c>
      <c r="AV37" s="396">
        <f t="shared" si="14"/>
        <v>293.05422418378299</v>
      </c>
      <c r="AW37" s="397">
        <f t="shared" si="15"/>
        <v>12308.277415718887</v>
      </c>
      <c r="AX37" s="395">
        <f t="shared" si="16"/>
        <v>129.93780412537339</v>
      </c>
      <c r="AY37" s="396">
        <f t="shared" si="17"/>
        <v>301.84585090929647</v>
      </c>
      <c r="AZ37" s="397">
        <f t="shared" si="18"/>
        <v>12677.525738190454</v>
      </c>
      <c r="BA37" s="395">
        <f t="shared" si="19"/>
        <v>133.83593824913459</v>
      </c>
      <c r="BB37" s="396">
        <f t="shared" si="0"/>
        <v>310.90122643657537</v>
      </c>
      <c r="BC37" s="397">
        <f t="shared" si="1"/>
        <v>13057.851510336168</v>
      </c>
      <c r="BD37" s="395">
        <f t="shared" si="2"/>
        <v>137.85101639660863</v>
      </c>
      <c r="BE37" s="396">
        <f t="shared" si="3"/>
        <v>320.22826322967262</v>
      </c>
      <c r="BF37" s="397">
        <f t="shared" si="4"/>
        <v>13449.587055646252</v>
      </c>
      <c r="BG37" s="395">
        <f t="shared" si="5"/>
        <v>141.98654688850689</v>
      </c>
      <c r="BH37" s="396">
        <f t="shared" si="6"/>
        <v>329.83511112656282</v>
      </c>
      <c r="BI37" s="397">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7" t="s">
        <v>113</v>
      </c>
      <c r="AN38" s="395">
        <v>41.435889570000022</v>
      </c>
      <c r="AO38" s="396">
        <v>340.78845122000001</v>
      </c>
      <c r="AP38" s="397">
        <v>14313.114951240001</v>
      </c>
      <c r="AQ38" s="377" t="s">
        <v>113</v>
      </c>
      <c r="AR38" s="395">
        <f t="shared" si="10"/>
        <v>42.678966257100022</v>
      </c>
      <c r="AS38" s="396">
        <f t="shared" si="11"/>
        <v>351.01210475660002</v>
      </c>
      <c r="AT38" s="397">
        <f t="shared" si="12"/>
        <v>14742.508399777202</v>
      </c>
      <c r="AU38" s="395">
        <f t="shared" si="13"/>
        <v>43.959335244813026</v>
      </c>
      <c r="AV38" s="396">
        <f t="shared" si="14"/>
        <v>361.54246789929806</v>
      </c>
      <c r="AW38" s="397">
        <f t="shared" si="15"/>
        <v>15184.783651770518</v>
      </c>
      <c r="AX38" s="395">
        <f t="shared" si="16"/>
        <v>45.278115302157417</v>
      </c>
      <c r="AY38" s="396">
        <f t="shared" si="17"/>
        <v>372.38874193627703</v>
      </c>
      <c r="AZ38" s="397">
        <f t="shared" si="18"/>
        <v>15640.327161323634</v>
      </c>
      <c r="BA38" s="395">
        <f t="shared" si="19"/>
        <v>46.636458761222144</v>
      </c>
      <c r="BB38" s="396">
        <f t="shared" si="0"/>
        <v>383.56040419436533</v>
      </c>
      <c r="BC38" s="397">
        <f t="shared" si="1"/>
        <v>16109.536976163343</v>
      </c>
      <c r="BD38" s="395">
        <f t="shared" si="2"/>
        <v>48.035552524058808</v>
      </c>
      <c r="BE38" s="396">
        <f t="shared" si="3"/>
        <v>395.06721632019628</v>
      </c>
      <c r="BF38" s="397">
        <f t="shared" si="4"/>
        <v>16592.823085448243</v>
      </c>
      <c r="BG38" s="395">
        <f t="shared" si="5"/>
        <v>49.476619099780571</v>
      </c>
      <c r="BH38" s="396">
        <f t="shared" si="6"/>
        <v>406.91923280980217</v>
      </c>
      <c r="BI38" s="397">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7" t="s">
        <v>114</v>
      </c>
      <c r="AN39" s="395">
        <v>27.012211440000002</v>
      </c>
      <c r="AO39" s="396">
        <v>367.80098093000004</v>
      </c>
      <c r="AP39" s="397">
        <v>15447.641199060003</v>
      </c>
      <c r="AQ39" s="377" t="s">
        <v>114</v>
      </c>
      <c r="AR39" s="395">
        <f t="shared" si="10"/>
        <v>27.822577783200003</v>
      </c>
      <c r="AS39" s="396">
        <f t="shared" si="11"/>
        <v>378.83501035790005</v>
      </c>
      <c r="AT39" s="397">
        <f t="shared" si="12"/>
        <v>15911.070435031803</v>
      </c>
      <c r="AU39" s="395">
        <f t="shared" si="13"/>
        <v>28.657255116696003</v>
      </c>
      <c r="AV39" s="396">
        <f t="shared" si="14"/>
        <v>390.20006066863704</v>
      </c>
      <c r="AW39" s="397">
        <f t="shared" si="15"/>
        <v>16388.402548082759</v>
      </c>
      <c r="AX39" s="395">
        <f t="shared" si="16"/>
        <v>29.516972770196883</v>
      </c>
      <c r="AY39" s="396">
        <f t="shared" si="17"/>
        <v>401.90606248869614</v>
      </c>
      <c r="AZ39" s="397">
        <f t="shared" si="18"/>
        <v>16880.054624525241</v>
      </c>
      <c r="BA39" s="395">
        <f t="shared" ref="BA39:BA61" si="26">AX39*(1+$BC$2)</f>
        <v>30.402481953302789</v>
      </c>
      <c r="BB39" s="396">
        <f t="shared" ref="BB39:BB61" si="27">AY39*(1+$BC$2)</f>
        <v>413.96324436335703</v>
      </c>
      <c r="BC39" s="397">
        <f t="shared" ref="BC39:BC61" si="28">AZ39*(1+$BC$2)</f>
        <v>17386.456263261</v>
      </c>
      <c r="BD39" s="395">
        <f t="shared" ref="BD39:BD61" si="29">BA39*(1+$BF$2)</f>
        <v>31.314556411901872</v>
      </c>
      <c r="BE39" s="396">
        <f t="shared" ref="BE39:BE61" si="30">BB39*(1+$BF$2)</f>
        <v>426.38214169425777</v>
      </c>
      <c r="BF39" s="397">
        <f t="shared" ref="BF39:BF61" si="31">BC39*(1+$BF$2)</f>
        <v>17908.049951158831</v>
      </c>
      <c r="BG39" s="395">
        <f t="shared" si="5"/>
        <v>32.253993104258932</v>
      </c>
      <c r="BH39" s="396">
        <f t="shared" si="6"/>
        <v>439.17360594508551</v>
      </c>
      <c r="BI39" s="397">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9">
        <f t="shared" si="25"/>
        <v>371.08160199999998</v>
      </c>
      <c r="AL40" s="162">
        <f t="shared" si="22"/>
        <v>15585.427283999999</v>
      </c>
      <c r="AM40" s="377" t="s">
        <v>115</v>
      </c>
      <c r="AN40" s="395">
        <v>13.123651270000002</v>
      </c>
      <c r="AO40" s="396">
        <v>380.92463220000008</v>
      </c>
      <c r="AP40" s="397">
        <v>15998.834552400003</v>
      </c>
      <c r="AQ40" s="377" t="s">
        <v>115</v>
      </c>
      <c r="AR40" s="395">
        <f t="shared" si="10"/>
        <v>13.517360808100001</v>
      </c>
      <c r="AS40" s="396">
        <f t="shared" si="11"/>
        <v>392.35237116600007</v>
      </c>
      <c r="AT40" s="397">
        <f t="shared" si="12"/>
        <v>16478.799588972004</v>
      </c>
      <c r="AU40" s="395">
        <f t="shared" si="13"/>
        <v>13.922881632343001</v>
      </c>
      <c r="AV40" s="396">
        <f t="shared" si="14"/>
        <v>404.12294230098007</v>
      </c>
      <c r="AW40" s="397">
        <f t="shared" si="15"/>
        <v>16973.163576641164</v>
      </c>
      <c r="AX40" s="395">
        <f t="shared" si="16"/>
        <v>14.340568081313291</v>
      </c>
      <c r="AY40" s="396">
        <f t="shared" si="17"/>
        <v>416.24663057000947</v>
      </c>
      <c r="AZ40" s="397">
        <f t="shared" si="18"/>
        <v>17482.358483940399</v>
      </c>
      <c r="BA40" s="395">
        <f t="shared" si="26"/>
        <v>14.77078512375269</v>
      </c>
      <c r="BB40" s="396">
        <f t="shared" si="27"/>
        <v>428.73402948710975</v>
      </c>
      <c r="BC40" s="397">
        <f t="shared" si="28"/>
        <v>18006.829238458613</v>
      </c>
      <c r="BD40" s="395">
        <f t="shared" si="29"/>
        <v>15.213908677465271</v>
      </c>
      <c r="BE40" s="396">
        <f t="shared" si="30"/>
        <v>441.59605037172304</v>
      </c>
      <c r="BF40" s="397">
        <f t="shared" si="31"/>
        <v>18547.034115612372</v>
      </c>
      <c r="BG40" s="395">
        <f t="shared" si="5"/>
        <v>15.670325937789229</v>
      </c>
      <c r="BH40" s="396">
        <f t="shared" si="6"/>
        <v>454.84393188287476</v>
      </c>
      <c r="BI40" s="397">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7" t="s">
        <v>116</v>
      </c>
      <c r="AN41" s="395">
        <v>41.425280569999998</v>
      </c>
      <c r="AO41" s="409">
        <v>382.21405005999998</v>
      </c>
      <c r="AP41" s="397">
        <v>16052.99010252</v>
      </c>
      <c r="AQ41" s="377" t="s">
        <v>116</v>
      </c>
      <c r="AR41" s="395">
        <f t="shared" si="10"/>
        <v>42.668038987099997</v>
      </c>
      <c r="AS41" s="409">
        <f t="shared" si="11"/>
        <v>393.6804715618</v>
      </c>
      <c r="AT41" s="397">
        <f t="shared" si="12"/>
        <v>16534.5798055956</v>
      </c>
      <c r="AU41" s="395">
        <f t="shared" si="13"/>
        <v>43.948080156712997</v>
      </c>
      <c r="AV41" s="409">
        <f t="shared" si="14"/>
        <v>405.49088570865399</v>
      </c>
      <c r="AW41" s="397">
        <f t="shared" si="15"/>
        <v>17030.61719976347</v>
      </c>
      <c r="AX41" s="395">
        <f t="shared" si="16"/>
        <v>45.266522561414391</v>
      </c>
      <c r="AY41" s="409">
        <f>AV41*(1+$AZ$2)</f>
        <v>417.65561227991361</v>
      </c>
      <c r="AZ41" s="397">
        <f t="shared" si="18"/>
        <v>17541.535715756374</v>
      </c>
      <c r="BA41" s="395">
        <f t="shared" si="26"/>
        <v>46.624518238256826</v>
      </c>
      <c r="BB41" s="409">
        <f t="shared" si="27"/>
        <v>430.18528064831105</v>
      </c>
      <c r="BC41" s="397">
        <f t="shared" si="28"/>
        <v>18067.781787229065</v>
      </c>
      <c r="BD41" s="395">
        <f t="shared" si="29"/>
        <v>48.023253785404535</v>
      </c>
      <c r="BE41" s="409">
        <f t="shared" si="30"/>
        <v>443.09083906776038</v>
      </c>
      <c r="BF41" s="397">
        <f t="shared" si="31"/>
        <v>18609.815240845939</v>
      </c>
      <c r="BG41" s="395">
        <f t="shared" si="5"/>
        <v>49.463951398966671</v>
      </c>
      <c r="BH41" s="409">
        <f t="shared" si="6"/>
        <v>456.3835642397932</v>
      </c>
      <c r="BI41" s="397">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7" t="s">
        <v>117</v>
      </c>
      <c r="AN42" s="395">
        <v>0</v>
      </c>
      <c r="AO42" s="396">
        <v>0</v>
      </c>
      <c r="AP42" s="397">
        <v>0</v>
      </c>
      <c r="AQ42" s="377" t="s">
        <v>117</v>
      </c>
      <c r="AR42" s="395">
        <f t="shared" si="10"/>
        <v>0</v>
      </c>
      <c r="AS42" s="396">
        <f t="shared" si="11"/>
        <v>0</v>
      </c>
      <c r="AT42" s="397">
        <f t="shared" si="12"/>
        <v>0</v>
      </c>
      <c r="AU42" s="395">
        <f t="shared" si="13"/>
        <v>0</v>
      </c>
      <c r="AV42" s="396">
        <f t="shared" si="14"/>
        <v>0</v>
      </c>
      <c r="AW42" s="397">
        <f t="shared" si="15"/>
        <v>0</v>
      </c>
      <c r="AX42" s="395">
        <f t="shared" si="16"/>
        <v>0</v>
      </c>
      <c r="AY42" s="396">
        <f t="shared" si="17"/>
        <v>0</v>
      </c>
      <c r="AZ42" s="397">
        <f t="shared" si="18"/>
        <v>0</v>
      </c>
      <c r="BA42" s="395">
        <f t="shared" si="26"/>
        <v>0</v>
      </c>
      <c r="BB42" s="396">
        <f t="shared" si="27"/>
        <v>0</v>
      </c>
      <c r="BC42" s="397">
        <f t="shared" si="28"/>
        <v>0</v>
      </c>
      <c r="BD42" s="395">
        <f t="shared" si="29"/>
        <v>0</v>
      </c>
      <c r="BE42" s="396">
        <f t="shared" si="30"/>
        <v>0</v>
      </c>
      <c r="BF42" s="397">
        <f t="shared" si="31"/>
        <v>0</v>
      </c>
      <c r="BG42" s="395">
        <f t="shared" si="5"/>
        <v>0</v>
      </c>
      <c r="BH42" s="396">
        <f t="shared" si="6"/>
        <v>0</v>
      </c>
      <c r="BI42" s="397">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7" t="s">
        <v>118</v>
      </c>
      <c r="AN43" s="395">
        <v>54.766849970000003</v>
      </c>
      <c r="AO43" s="396">
        <v>436.98090003000004</v>
      </c>
      <c r="AP43" s="397">
        <v>18353.197801260001</v>
      </c>
      <c r="AQ43" s="377" t="s">
        <v>118</v>
      </c>
      <c r="AR43" s="395">
        <f t="shared" si="10"/>
        <v>56.409855469100002</v>
      </c>
      <c r="AS43" s="396">
        <f t="shared" si="11"/>
        <v>450.09032703090008</v>
      </c>
      <c r="AT43" s="397">
        <f t="shared" si="12"/>
        <v>18903.793735297801</v>
      </c>
      <c r="AU43" s="395">
        <f t="shared" si="13"/>
        <v>58.102151133173003</v>
      </c>
      <c r="AV43" s="396">
        <f t="shared" si="14"/>
        <v>463.59303684182709</v>
      </c>
      <c r="AW43" s="397">
        <f t="shared" si="15"/>
        <v>19470.907547356735</v>
      </c>
      <c r="AX43" s="395">
        <f t="shared" si="16"/>
        <v>59.845215667168198</v>
      </c>
      <c r="AY43" s="396">
        <f t="shared" si="17"/>
        <v>477.50082794708192</v>
      </c>
      <c r="AZ43" s="397">
        <f t="shared" si="18"/>
        <v>20055.034773777439</v>
      </c>
      <c r="BA43" s="395">
        <f t="shared" si="26"/>
        <v>61.640572137183248</v>
      </c>
      <c r="BB43" s="396">
        <f t="shared" si="27"/>
        <v>491.82585278549436</v>
      </c>
      <c r="BC43" s="397">
        <f t="shared" si="28"/>
        <v>20656.685816990765</v>
      </c>
      <c r="BD43" s="395">
        <f t="shared" si="29"/>
        <v>63.48978930129875</v>
      </c>
      <c r="BE43" s="396">
        <f t="shared" si="30"/>
        <v>506.58062836905918</v>
      </c>
      <c r="BF43" s="397">
        <f t="shared" si="31"/>
        <v>21276.386391500488</v>
      </c>
      <c r="BG43" s="395">
        <f t="shared" si="5"/>
        <v>65.394482980337713</v>
      </c>
      <c r="BH43" s="396">
        <f t="shared" si="6"/>
        <v>521.77804722013093</v>
      </c>
      <c r="BI43" s="397">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7" t="s">
        <v>119</v>
      </c>
      <c r="AN44" s="395">
        <v>54.766849970000003</v>
      </c>
      <c r="AO44" s="396">
        <v>491.74900454000004</v>
      </c>
      <c r="AP44" s="397">
        <v>20653.458190680001</v>
      </c>
      <c r="AQ44" s="377" t="s">
        <v>119</v>
      </c>
      <c r="AR44" s="395">
        <f t="shared" si="10"/>
        <v>56.409855469100002</v>
      </c>
      <c r="AS44" s="396">
        <f t="shared" si="11"/>
        <v>506.50147467620008</v>
      </c>
      <c r="AT44" s="397">
        <f t="shared" si="12"/>
        <v>21273.061936400401</v>
      </c>
      <c r="AU44" s="395">
        <f t="shared" si="13"/>
        <v>58.102151133173003</v>
      </c>
      <c r="AV44" s="396">
        <f t="shared" si="14"/>
        <v>521.69651891648607</v>
      </c>
      <c r="AW44" s="397">
        <f t="shared" si="15"/>
        <v>21911.253794492415</v>
      </c>
      <c r="AX44" s="395">
        <f t="shared" si="16"/>
        <v>59.845215667168198</v>
      </c>
      <c r="AY44" s="396">
        <f t="shared" si="17"/>
        <v>537.34741448398063</v>
      </c>
      <c r="AZ44" s="397">
        <f t="shared" si="18"/>
        <v>22568.591408327189</v>
      </c>
      <c r="BA44" s="395">
        <f t="shared" si="26"/>
        <v>61.640572137183248</v>
      </c>
      <c r="BB44" s="396">
        <f t="shared" si="27"/>
        <v>553.4678369185001</v>
      </c>
      <c r="BC44" s="397">
        <f t="shared" si="28"/>
        <v>23245.649150577006</v>
      </c>
      <c r="BD44" s="395">
        <f t="shared" si="29"/>
        <v>63.48978930129875</v>
      </c>
      <c r="BE44" s="396">
        <f t="shared" si="30"/>
        <v>570.07187202605508</v>
      </c>
      <c r="BF44" s="397">
        <f t="shared" si="31"/>
        <v>23943.018625094319</v>
      </c>
      <c r="BG44" s="395">
        <f t="shared" si="5"/>
        <v>65.394482980337713</v>
      </c>
      <c r="BH44" s="396">
        <f t="shared" si="6"/>
        <v>587.17402818683672</v>
      </c>
      <c r="BI44" s="397">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6" t="s">
        <v>120</v>
      </c>
      <c r="AN45" s="398">
        <v>436.99245457000001</v>
      </c>
      <c r="AO45" s="399">
        <v>436.99245457000001</v>
      </c>
      <c r="AP45" s="400">
        <v>18353.683091940002</v>
      </c>
      <c r="AQ45" s="376" t="s">
        <v>120</v>
      </c>
      <c r="AR45" s="398">
        <f t="shared" si="10"/>
        <v>450.10222820710004</v>
      </c>
      <c r="AS45" s="399">
        <f t="shared" si="11"/>
        <v>450.10222820710004</v>
      </c>
      <c r="AT45" s="400">
        <f t="shared" si="12"/>
        <v>18904.293584698204</v>
      </c>
      <c r="AU45" s="398">
        <f t="shared" si="13"/>
        <v>463.60529505331306</v>
      </c>
      <c r="AV45" s="399">
        <f t="shared" si="14"/>
        <v>463.60529505331306</v>
      </c>
      <c r="AW45" s="400">
        <f t="shared" si="15"/>
        <v>19471.42239223915</v>
      </c>
      <c r="AX45" s="398">
        <f t="shared" si="16"/>
        <v>477.51345390491247</v>
      </c>
      <c r="AY45" s="399">
        <f t="shared" si="17"/>
        <v>477.51345390491247</v>
      </c>
      <c r="AZ45" s="400">
        <f t="shared" si="18"/>
        <v>20055.565064006325</v>
      </c>
      <c r="BA45" s="398">
        <f t="shared" si="26"/>
        <v>491.83885752205987</v>
      </c>
      <c r="BB45" s="399">
        <f t="shared" si="27"/>
        <v>491.83885752205987</v>
      </c>
      <c r="BC45" s="400">
        <f t="shared" si="28"/>
        <v>20657.232015926515</v>
      </c>
      <c r="BD45" s="398">
        <f t="shared" si="29"/>
        <v>506.59402324772168</v>
      </c>
      <c r="BE45" s="399">
        <f t="shared" si="30"/>
        <v>506.59402324772168</v>
      </c>
      <c r="BF45" s="400">
        <f t="shared" si="31"/>
        <v>21276.94897640431</v>
      </c>
      <c r="BG45" s="398">
        <f t="shared" si="5"/>
        <v>521.79184394515335</v>
      </c>
      <c r="BH45" s="399">
        <f t="shared" si="6"/>
        <v>521.79184394515335</v>
      </c>
      <c r="BI45" s="400">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7" t="s">
        <v>97</v>
      </c>
      <c r="AN46" s="392">
        <v>81.211470640000002</v>
      </c>
      <c r="AO46" s="393">
        <v>81.211470640000002</v>
      </c>
      <c r="AP46" s="394">
        <v>3410.8817668800002</v>
      </c>
      <c r="AQ46" s="377" t="s">
        <v>97</v>
      </c>
      <c r="AR46" s="392">
        <f t="shared" si="10"/>
        <v>83.647814759200003</v>
      </c>
      <c r="AS46" s="393">
        <f t="shared" si="11"/>
        <v>83.647814759200003</v>
      </c>
      <c r="AT46" s="394">
        <f t="shared" si="12"/>
        <v>3513.2082198864005</v>
      </c>
      <c r="AU46" s="392">
        <f t="shared" si="13"/>
        <v>86.157249201976001</v>
      </c>
      <c r="AV46" s="393">
        <f t="shared" si="14"/>
        <v>86.157249201976001</v>
      </c>
      <c r="AW46" s="394">
        <f t="shared" si="15"/>
        <v>3618.6044664829924</v>
      </c>
      <c r="AX46" s="392">
        <f t="shared" si="16"/>
        <v>88.741966678035283</v>
      </c>
      <c r="AY46" s="393">
        <f t="shared" si="17"/>
        <v>88.741966678035283</v>
      </c>
      <c r="AZ46" s="394">
        <f t="shared" si="18"/>
        <v>3727.1626004774821</v>
      </c>
      <c r="BA46" s="392">
        <f t="shared" si="26"/>
        <v>91.404225678376349</v>
      </c>
      <c r="BB46" s="393">
        <f t="shared" si="27"/>
        <v>91.404225678376349</v>
      </c>
      <c r="BC46" s="394">
        <f t="shared" si="28"/>
        <v>3838.9774784918068</v>
      </c>
      <c r="BD46" s="392">
        <f t="shared" si="29"/>
        <v>94.14635244872764</v>
      </c>
      <c r="BE46" s="393">
        <f t="shared" si="30"/>
        <v>94.14635244872764</v>
      </c>
      <c r="BF46" s="394">
        <f t="shared" si="31"/>
        <v>3954.1468028465611</v>
      </c>
      <c r="BG46" s="392">
        <f t="shared" si="5"/>
        <v>96.970743022189467</v>
      </c>
      <c r="BH46" s="393">
        <f t="shared" si="6"/>
        <v>96.970743022189467</v>
      </c>
      <c r="BI46" s="394">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7" t="s">
        <v>100</v>
      </c>
      <c r="AN47" s="395">
        <v>157.31990619000001</v>
      </c>
      <c r="AO47" s="396">
        <v>157.31990619000001</v>
      </c>
      <c r="AP47" s="397">
        <v>6607.4360599800002</v>
      </c>
      <c r="AQ47" s="377" t="s">
        <v>100</v>
      </c>
      <c r="AR47" s="395">
        <f t="shared" si="10"/>
        <v>162.03950337570001</v>
      </c>
      <c r="AS47" s="396">
        <f t="shared" si="11"/>
        <v>162.03950337570001</v>
      </c>
      <c r="AT47" s="397">
        <f t="shared" si="12"/>
        <v>6805.6591417794007</v>
      </c>
      <c r="AU47" s="395">
        <f t="shared" si="13"/>
        <v>166.900688476971</v>
      </c>
      <c r="AV47" s="396">
        <f t="shared" si="14"/>
        <v>166.900688476971</v>
      </c>
      <c r="AW47" s="397">
        <f t="shared" si="15"/>
        <v>7009.8289160327831</v>
      </c>
      <c r="AX47" s="395">
        <f t="shared" si="16"/>
        <v>171.90770913128014</v>
      </c>
      <c r="AY47" s="396">
        <f t="shared" si="17"/>
        <v>171.90770913128014</v>
      </c>
      <c r="AZ47" s="397">
        <f t="shared" si="18"/>
        <v>7220.1237835137672</v>
      </c>
      <c r="BA47" s="395">
        <f t="shared" si="26"/>
        <v>177.06494040521855</v>
      </c>
      <c r="BB47" s="396">
        <f t="shared" si="27"/>
        <v>177.06494040521855</v>
      </c>
      <c r="BC47" s="397">
        <f t="shared" si="28"/>
        <v>7436.7274970191802</v>
      </c>
      <c r="BD47" s="395">
        <f t="shared" si="29"/>
        <v>182.3768886173751</v>
      </c>
      <c r="BE47" s="396">
        <f t="shared" si="30"/>
        <v>182.3768886173751</v>
      </c>
      <c r="BF47" s="397">
        <f t="shared" si="31"/>
        <v>7659.8293219297557</v>
      </c>
      <c r="BG47" s="395">
        <f t="shared" si="5"/>
        <v>187.84819527589636</v>
      </c>
      <c r="BH47" s="396">
        <f t="shared" si="6"/>
        <v>187.84819527589636</v>
      </c>
      <c r="BI47" s="397">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7" t="s">
        <v>102</v>
      </c>
      <c r="AN48" s="395">
        <v>32.672537300000002</v>
      </c>
      <c r="AO48" s="396">
        <v>189.99244349</v>
      </c>
      <c r="AP48" s="397">
        <v>7979.6826265800009</v>
      </c>
      <c r="AQ48" s="377" t="s">
        <v>102</v>
      </c>
      <c r="AR48" s="395">
        <f t="shared" si="10"/>
        <v>33.652713419000001</v>
      </c>
      <c r="AS48" s="396">
        <f t="shared" si="11"/>
        <v>195.69221679470002</v>
      </c>
      <c r="AT48" s="397">
        <f t="shared" si="12"/>
        <v>8219.0731053774016</v>
      </c>
      <c r="AU48" s="395">
        <f t="shared" si="13"/>
        <v>34.662294821570001</v>
      </c>
      <c r="AV48" s="396">
        <f t="shared" si="14"/>
        <v>201.56298329854101</v>
      </c>
      <c r="AW48" s="397">
        <f t="shared" si="15"/>
        <v>8465.6452985387241</v>
      </c>
      <c r="AX48" s="395">
        <f t="shared" si="16"/>
        <v>35.702163666217103</v>
      </c>
      <c r="AY48" s="396">
        <f t="shared" si="17"/>
        <v>207.60987279749725</v>
      </c>
      <c r="AZ48" s="397">
        <f t="shared" si="18"/>
        <v>8719.6146574948853</v>
      </c>
      <c r="BA48" s="395">
        <f t="shared" si="26"/>
        <v>36.773228576203614</v>
      </c>
      <c r="BB48" s="396">
        <f t="shared" si="27"/>
        <v>213.83816898142217</v>
      </c>
      <c r="BC48" s="397">
        <f t="shared" si="28"/>
        <v>8981.2030972197317</v>
      </c>
      <c r="BD48" s="395">
        <f t="shared" si="29"/>
        <v>37.876425433489722</v>
      </c>
      <c r="BE48" s="396">
        <f t="shared" si="30"/>
        <v>220.25331405086484</v>
      </c>
      <c r="BF48" s="397">
        <f t="shared" si="31"/>
        <v>9250.639190136324</v>
      </c>
      <c r="BG48" s="395">
        <f t="shared" si="5"/>
        <v>39.012718196494411</v>
      </c>
      <c r="BH48" s="396">
        <f t="shared" si="6"/>
        <v>226.86091347239079</v>
      </c>
      <c r="BI48" s="397">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7" t="s">
        <v>103</v>
      </c>
      <c r="AN49" s="395">
        <v>59.172112590000012</v>
      </c>
      <c r="AO49" s="396">
        <v>216.49232777999998</v>
      </c>
      <c r="AP49" s="397">
        <v>9092.6777667599981</v>
      </c>
      <c r="AQ49" s="377" t="s">
        <v>103</v>
      </c>
      <c r="AR49" s="395">
        <f t="shared" si="10"/>
        <v>60.947275967700016</v>
      </c>
      <c r="AS49" s="396">
        <f t="shared" si="11"/>
        <v>222.98709761339998</v>
      </c>
      <c r="AT49" s="397">
        <f t="shared" si="12"/>
        <v>9365.4580997627982</v>
      </c>
      <c r="AU49" s="395">
        <f t="shared" si="13"/>
        <v>62.775694246731021</v>
      </c>
      <c r="AV49" s="396">
        <f t="shared" si="14"/>
        <v>229.67671054180198</v>
      </c>
      <c r="AW49" s="397">
        <f t="shared" si="15"/>
        <v>9646.4218427556825</v>
      </c>
      <c r="AX49" s="395">
        <f t="shared" si="16"/>
        <v>64.658965074132951</v>
      </c>
      <c r="AY49" s="396">
        <f t="shared" si="17"/>
        <v>236.56701185805605</v>
      </c>
      <c r="AZ49" s="397">
        <f t="shared" si="18"/>
        <v>9935.8144980383531</v>
      </c>
      <c r="BA49" s="395">
        <f t="shared" si="26"/>
        <v>66.598734026356937</v>
      </c>
      <c r="BB49" s="396">
        <f t="shared" si="27"/>
        <v>243.66402221379775</v>
      </c>
      <c r="BC49" s="397">
        <f t="shared" si="28"/>
        <v>10233.888932979504</v>
      </c>
      <c r="BD49" s="395">
        <f t="shared" si="29"/>
        <v>68.596696047147645</v>
      </c>
      <c r="BE49" s="396">
        <f t="shared" si="30"/>
        <v>250.97394288021169</v>
      </c>
      <c r="BF49" s="397">
        <f t="shared" si="31"/>
        <v>10540.905600968888</v>
      </c>
      <c r="BG49" s="395">
        <f t="shared" si="5"/>
        <v>70.654596928562071</v>
      </c>
      <c r="BH49" s="396">
        <f t="shared" si="6"/>
        <v>258.50316116661804</v>
      </c>
      <c r="BI49" s="397">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7" t="s">
        <v>121</v>
      </c>
      <c r="AN50" s="395">
        <v>124.29612344000002</v>
      </c>
      <c r="AO50" s="396">
        <v>340.78845122000001</v>
      </c>
      <c r="AP50" s="397">
        <v>14313.114951239999</v>
      </c>
      <c r="AQ50" s="377" t="s">
        <v>121</v>
      </c>
      <c r="AR50" s="395">
        <f t="shared" si="10"/>
        <v>128.02500714320001</v>
      </c>
      <c r="AS50" s="396">
        <f t="shared" si="11"/>
        <v>351.01210475660002</v>
      </c>
      <c r="AT50" s="397">
        <f t="shared" si="12"/>
        <v>14742.5083997772</v>
      </c>
      <c r="AU50" s="395">
        <f t="shared" si="13"/>
        <v>131.86575735749602</v>
      </c>
      <c r="AV50" s="396">
        <f t="shared" si="14"/>
        <v>361.54246789929806</v>
      </c>
      <c r="AW50" s="397">
        <f t="shared" si="15"/>
        <v>15184.783651770516</v>
      </c>
      <c r="AX50" s="395">
        <f t="shared" si="16"/>
        <v>135.8217300782209</v>
      </c>
      <c r="AY50" s="396">
        <f t="shared" si="17"/>
        <v>372.38874193627703</v>
      </c>
      <c r="AZ50" s="397">
        <f t="shared" si="18"/>
        <v>15640.327161323632</v>
      </c>
      <c r="BA50" s="395">
        <f t="shared" si="26"/>
        <v>139.89638198056753</v>
      </c>
      <c r="BB50" s="396">
        <f t="shared" si="27"/>
        <v>383.56040419436533</v>
      </c>
      <c r="BC50" s="397">
        <f t="shared" si="28"/>
        <v>16109.536976163341</v>
      </c>
      <c r="BD50" s="395">
        <f t="shared" si="29"/>
        <v>144.09327343998456</v>
      </c>
      <c r="BE50" s="396">
        <f t="shared" si="30"/>
        <v>395.06721632019628</v>
      </c>
      <c r="BF50" s="397">
        <f t="shared" si="31"/>
        <v>16592.823085448243</v>
      </c>
      <c r="BG50" s="395">
        <f t="shared" si="5"/>
        <v>148.4160716431841</v>
      </c>
      <c r="BH50" s="396">
        <f t="shared" si="6"/>
        <v>406.91923280980217</v>
      </c>
      <c r="BI50" s="397">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6" t="s">
        <v>122</v>
      </c>
      <c r="AN51" s="398">
        <v>124.29612344000002</v>
      </c>
      <c r="AO51" s="401">
        <v>340.78845122000001</v>
      </c>
      <c r="AP51" s="400">
        <v>14313.114951239999</v>
      </c>
      <c r="AQ51" s="376" t="s">
        <v>122</v>
      </c>
      <c r="AR51" s="398">
        <f t="shared" si="10"/>
        <v>128.02500714320001</v>
      </c>
      <c r="AS51" s="401">
        <f t="shared" si="11"/>
        <v>351.01210475660002</v>
      </c>
      <c r="AT51" s="400">
        <f t="shared" si="12"/>
        <v>14742.5083997772</v>
      </c>
      <c r="AU51" s="398">
        <f t="shared" si="13"/>
        <v>131.86575735749602</v>
      </c>
      <c r="AV51" s="401">
        <f t="shared" si="14"/>
        <v>361.54246789929806</v>
      </c>
      <c r="AW51" s="400">
        <f t="shared" si="15"/>
        <v>15184.783651770516</v>
      </c>
      <c r="AX51" s="398">
        <f t="shared" si="16"/>
        <v>135.8217300782209</v>
      </c>
      <c r="AY51" s="401">
        <f t="shared" si="17"/>
        <v>372.38874193627703</v>
      </c>
      <c r="AZ51" s="400">
        <f t="shared" si="18"/>
        <v>15640.327161323632</v>
      </c>
      <c r="BA51" s="398">
        <f t="shared" si="26"/>
        <v>139.89638198056753</v>
      </c>
      <c r="BB51" s="401">
        <f t="shared" si="27"/>
        <v>383.56040419436533</v>
      </c>
      <c r="BC51" s="400">
        <f t="shared" si="28"/>
        <v>16109.536976163341</v>
      </c>
      <c r="BD51" s="398">
        <f t="shared" si="29"/>
        <v>144.09327343998456</v>
      </c>
      <c r="BE51" s="401">
        <f t="shared" si="30"/>
        <v>395.06721632019628</v>
      </c>
      <c r="BF51" s="400">
        <f t="shared" si="31"/>
        <v>16592.823085448243</v>
      </c>
      <c r="BG51" s="398">
        <f t="shared" si="5"/>
        <v>148.4160716431841</v>
      </c>
      <c r="BH51" s="401">
        <f t="shared" si="6"/>
        <v>406.91923280980217</v>
      </c>
      <c r="BI51" s="400">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80" t="s">
        <v>97</v>
      </c>
      <c r="AN52" s="392">
        <v>81.211470640000002</v>
      </c>
      <c r="AO52" s="393">
        <v>81.211470640000002</v>
      </c>
      <c r="AP52" s="394">
        <v>3410.8817668800002</v>
      </c>
      <c r="AQ52" s="380" t="s">
        <v>97</v>
      </c>
      <c r="AR52" s="392">
        <f t="shared" si="10"/>
        <v>83.647814759200003</v>
      </c>
      <c r="AS52" s="393">
        <f t="shared" si="11"/>
        <v>83.647814759200003</v>
      </c>
      <c r="AT52" s="394">
        <f t="shared" si="12"/>
        <v>3513.2082198864005</v>
      </c>
      <c r="AU52" s="392">
        <f t="shared" si="13"/>
        <v>86.157249201976001</v>
      </c>
      <c r="AV52" s="393">
        <f t="shared" si="14"/>
        <v>86.157249201976001</v>
      </c>
      <c r="AW52" s="394">
        <f t="shared" si="15"/>
        <v>3618.6044664829924</v>
      </c>
      <c r="AX52" s="392">
        <f t="shared" si="16"/>
        <v>88.741966678035283</v>
      </c>
      <c r="AY52" s="393">
        <f t="shared" si="17"/>
        <v>88.741966678035283</v>
      </c>
      <c r="AZ52" s="394">
        <f t="shared" si="18"/>
        <v>3727.1626004774821</v>
      </c>
      <c r="BA52" s="392">
        <f t="shared" si="26"/>
        <v>91.404225678376349</v>
      </c>
      <c r="BB52" s="393">
        <f t="shared" si="27"/>
        <v>91.404225678376349</v>
      </c>
      <c r="BC52" s="394">
        <f t="shared" si="28"/>
        <v>3838.9774784918068</v>
      </c>
      <c r="BD52" s="392">
        <f t="shared" si="29"/>
        <v>94.14635244872764</v>
      </c>
      <c r="BE52" s="393">
        <f t="shared" si="30"/>
        <v>94.14635244872764</v>
      </c>
      <c r="BF52" s="394">
        <f t="shared" si="31"/>
        <v>3954.1468028465611</v>
      </c>
      <c r="BG52" s="392">
        <f t="shared" si="5"/>
        <v>96.970743022189467</v>
      </c>
      <c r="BH52" s="393">
        <f t="shared" si="6"/>
        <v>96.970743022189467</v>
      </c>
      <c r="BI52" s="394">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7" t="s">
        <v>100</v>
      </c>
      <c r="AN53" s="395">
        <v>157.31990619000001</v>
      </c>
      <c r="AO53" s="396">
        <v>157.31990619000001</v>
      </c>
      <c r="AP53" s="397">
        <v>6607.4360599800002</v>
      </c>
      <c r="AQ53" s="377" t="s">
        <v>100</v>
      </c>
      <c r="AR53" s="395">
        <f t="shared" si="10"/>
        <v>162.03950337570001</v>
      </c>
      <c r="AS53" s="396">
        <f t="shared" si="11"/>
        <v>162.03950337570001</v>
      </c>
      <c r="AT53" s="397">
        <f t="shared" si="12"/>
        <v>6805.6591417794007</v>
      </c>
      <c r="AU53" s="395">
        <f t="shared" si="13"/>
        <v>166.900688476971</v>
      </c>
      <c r="AV53" s="396">
        <f t="shared" si="14"/>
        <v>166.900688476971</v>
      </c>
      <c r="AW53" s="397">
        <f t="shared" si="15"/>
        <v>7009.8289160327831</v>
      </c>
      <c r="AX53" s="395">
        <f t="shared" si="16"/>
        <v>171.90770913128014</v>
      </c>
      <c r="AY53" s="396">
        <f t="shared" si="17"/>
        <v>171.90770913128014</v>
      </c>
      <c r="AZ53" s="397">
        <f t="shared" si="18"/>
        <v>7220.1237835137672</v>
      </c>
      <c r="BA53" s="395">
        <f t="shared" si="26"/>
        <v>177.06494040521855</v>
      </c>
      <c r="BB53" s="396">
        <f t="shared" si="27"/>
        <v>177.06494040521855</v>
      </c>
      <c r="BC53" s="397">
        <f t="shared" si="28"/>
        <v>7436.7274970191802</v>
      </c>
      <c r="BD53" s="395">
        <f t="shared" si="29"/>
        <v>182.3768886173751</v>
      </c>
      <c r="BE53" s="396">
        <f t="shared" si="30"/>
        <v>182.3768886173751</v>
      </c>
      <c r="BF53" s="397">
        <f t="shared" si="31"/>
        <v>7659.8293219297557</v>
      </c>
      <c r="BG53" s="395">
        <f t="shared" si="5"/>
        <v>187.84819527589636</v>
      </c>
      <c r="BH53" s="396">
        <f t="shared" si="6"/>
        <v>187.84819527589636</v>
      </c>
      <c r="BI53" s="397">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7" t="s">
        <v>102</v>
      </c>
      <c r="AN54" s="395">
        <v>32.672537300000002</v>
      </c>
      <c r="AO54" s="396">
        <v>189.99244349</v>
      </c>
      <c r="AP54" s="397">
        <v>7979.6826265800009</v>
      </c>
      <c r="AQ54" s="377" t="s">
        <v>102</v>
      </c>
      <c r="AR54" s="395">
        <f t="shared" si="10"/>
        <v>33.652713419000001</v>
      </c>
      <c r="AS54" s="396">
        <f t="shared" si="11"/>
        <v>195.69221679470002</v>
      </c>
      <c r="AT54" s="397">
        <f t="shared" si="12"/>
        <v>8219.0731053774016</v>
      </c>
      <c r="AU54" s="395">
        <f t="shared" si="13"/>
        <v>34.662294821570001</v>
      </c>
      <c r="AV54" s="396">
        <f t="shared" si="14"/>
        <v>201.56298329854101</v>
      </c>
      <c r="AW54" s="397">
        <f t="shared" si="15"/>
        <v>8465.6452985387241</v>
      </c>
      <c r="AX54" s="395">
        <f t="shared" si="16"/>
        <v>35.702163666217103</v>
      </c>
      <c r="AY54" s="396">
        <f t="shared" si="17"/>
        <v>207.60987279749725</v>
      </c>
      <c r="AZ54" s="397">
        <f t="shared" si="18"/>
        <v>8719.6146574948853</v>
      </c>
      <c r="BA54" s="395">
        <f t="shared" si="26"/>
        <v>36.773228576203614</v>
      </c>
      <c r="BB54" s="396">
        <f t="shared" si="27"/>
        <v>213.83816898142217</v>
      </c>
      <c r="BC54" s="397">
        <f t="shared" si="28"/>
        <v>8981.2030972197317</v>
      </c>
      <c r="BD54" s="395">
        <f t="shared" si="29"/>
        <v>37.876425433489722</v>
      </c>
      <c r="BE54" s="396">
        <f t="shared" si="30"/>
        <v>220.25331405086484</v>
      </c>
      <c r="BF54" s="397">
        <f t="shared" si="31"/>
        <v>9250.639190136324</v>
      </c>
      <c r="BG54" s="395">
        <f t="shared" si="5"/>
        <v>39.012718196494411</v>
      </c>
      <c r="BH54" s="396">
        <f t="shared" si="6"/>
        <v>226.86091347239079</v>
      </c>
      <c r="BI54" s="397">
        <f t="shared" si="7"/>
        <v>9528.1583658404143</v>
      </c>
    </row>
    <row r="55" spans="1:61" ht="15" thickBot="1">
      <c r="A55" s="159"/>
      <c r="B55" s="150" t="s">
        <v>181</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7" t="s">
        <v>103</v>
      </c>
      <c r="AN55" s="395">
        <v>59.172112590000012</v>
      </c>
      <c r="AO55" s="396">
        <v>216.49232777999998</v>
      </c>
      <c r="AP55" s="397">
        <v>9092.6777667599981</v>
      </c>
      <c r="AQ55" s="377" t="s">
        <v>103</v>
      </c>
      <c r="AR55" s="395">
        <f t="shared" si="10"/>
        <v>60.947275967700016</v>
      </c>
      <c r="AS55" s="396">
        <f t="shared" si="11"/>
        <v>222.98709761339998</v>
      </c>
      <c r="AT55" s="397">
        <f t="shared" si="12"/>
        <v>9365.4580997627982</v>
      </c>
      <c r="AU55" s="395">
        <f t="shared" si="13"/>
        <v>62.775694246731021</v>
      </c>
      <c r="AV55" s="396">
        <f t="shared" si="14"/>
        <v>229.67671054180198</v>
      </c>
      <c r="AW55" s="397">
        <f t="shared" si="15"/>
        <v>9646.4218427556825</v>
      </c>
      <c r="AX55" s="395">
        <f t="shared" si="16"/>
        <v>64.658965074132951</v>
      </c>
      <c r="AY55" s="396">
        <f t="shared" si="17"/>
        <v>236.56701185805605</v>
      </c>
      <c r="AZ55" s="397">
        <f t="shared" si="18"/>
        <v>9935.8144980383531</v>
      </c>
      <c r="BA55" s="395">
        <f t="shared" si="26"/>
        <v>66.598734026356937</v>
      </c>
      <c r="BB55" s="396">
        <f t="shared" si="27"/>
        <v>243.66402221379775</v>
      </c>
      <c r="BC55" s="397">
        <f t="shared" si="28"/>
        <v>10233.888932979504</v>
      </c>
      <c r="BD55" s="395">
        <f t="shared" si="29"/>
        <v>68.596696047147645</v>
      </c>
      <c r="BE55" s="396">
        <f t="shared" si="30"/>
        <v>250.97394288021169</v>
      </c>
      <c r="BF55" s="397">
        <f t="shared" si="31"/>
        <v>10540.905600968888</v>
      </c>
      <c r="BG55" s="395">
        <f t="shared" si="5"/>
        <v>70.654596928562071</v>
      </c>
      <c r="BH55" s="396">
        <f t="shared" si="6"/>
        <v>258.50316116661804</v>
      </c>
      <c r="BI55" s="397">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7" t="s">
        <v>181</v>
      </c>
      <c r="AN56" s="398">
        <v>53.436400000000006</v>
      </c>
      <c r="AO56" s="399">
        <v>269.92872777999997</v>
      </c>
      <c r="AP56" s="400">
        <v>11337.006566759999</v>
      </c>
      <c r="AQ56" s="377" t="s">
        <v>181</v>
      </c>
      <c r="AR56" s="398">
        <f t="shared" si="10"/>
        <v>55.03949200000001</v>
      </c>
      <c r="AS56" s="399">
        <f t="shared" si="11"/>
        <v>278.02658961340001</v>
      </c>
      <c r="AT56" s="400">
        <f t="shared" si="12"/>
        <v>11677.116763762799</v>
      </c>
      <c r="AU56" s="398">
        <f t="shared" si="13"/>
        <v>56.690676760000009</v>
      </c>
      <c r="AV56" s="399">
        <f t="shared" si="14"/>
        <v>286.36738730180201</v>
      </c>
      <c r="AW56" s="400">
        <f t="shared" si="15"/>
        <v>12027.430266675683</v>
      </c>
      <c r="AX56" s="398">
        <f t="shared" si="16"/>
        <v>58.39139706280001</v>
      </c>
      <c r="AY56" s="399">
        <f t="shared" si="17"/>
        <v>294.95840892085607</v>
      </c>
      <c r="AZ56" s="400">
        <f t="shared" si="18"/>
        <v>12388.253174675954</v>
      </c>
      <c r="BA56" s="398">
        <f t="shared" si="26"/>
        <v>60.143138974684014</v>
      </c>
      <c r="BB56" s="399">
        <f t="shared" si="27"/>
        <v>303.80716118848176</v>
      </c>
      <c r="BC56" s="400">
        <f t="shared" si="28"/>
        <v>12759.900769916234</v>
      </c>
      <c r="BD56" s="398">
        <f t="shared" si="29"/>
        <v>61.947433143924535</v>
      </c>
      <c r="BE56" s="399">
        <f t="shared" si="30"/>
        <v>312.92137602413624</v>
      </c>
      <c r="BF56" s="400">
        <f t="shared" si="31"/>
        <v>13142.697793013722</v>
      </c>
      <c r="BG56" s="398">
        <f t="shared" si="5"/>
        <v>63.80585613824227</v>
      </c>
      <c r="BH56" s="399">
        <f t="shared" si="6"/>
        <v>322.30901730486033</v>
      </c>
      <c r="BI56" s="400">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80" t="s">
        <v>97</v>
      </c>
      <c r="AN57" s="392">
        <v>81.211470640000002</v>
      </c>
      <c r="AO57" s="393">
        <v>81.211470640000002</v>
      </c>
      <c r="AP57" s="394">
        <v>3410.8817668800002</v>
      </c>
      <c r="AQ57" s="380" t="s">
        <v>97</v>
      </c>
      <c r="AR57" s="392">
        <f t="shared" si="10"/>
        <v>83.647814759200003</v>
      </c>
      <c r="AS57" s="393">
        <f t="shared" si="11"/>
        <v>83.647814759200003</v>
      </c>
      <c r="AT57" s="394">
        <f t="shared" si="12"/>
        <v>3513.2082198864005</v>
      </c>
      <c r="AU57" s="392">
        <f t="shared" si="13"/>
        <v>86.157249201976001</v>
      </c>
      <c r="AV57" s="393">
        <f t="shared" si="14"/>
        <v>86.157249201976001</v>
      </c>
      <c r="AW57" s="394">
        <f t="shared" si="15"/>
        <v>3618.6044664829924</v>
      </c>
      <c r="AX57" s="392">
        <f t="shared" si="16"/>
        <v>88.741966678035283</v>
      </c>
      <c r="AY57" s="393">
        <f t="shared" si="17"/>
        <v>88.741966678035283</v>
      </c>
      <c r="AZ57" s="394">
        <f t="shared" si="18"/>
        <v>3727.1626004774821</v>
      </c>
      <c r="BA57" s="392">
        <f t="shared" si="26"/>
        <v>91.404225678376349</v>
      </c>
      <c r="BB57" s="393">
        <f t="shared" si="27"/>
        <v>91.404225678376349</v>
      </c>
      <c r="BC57" s="394">
        <f t="shared" si="28"/>
        <v>3838.9774784918068</v>
      </c>
      <c r="BD57" s="392">
        <f t="shared" si="29"/>
        <v>94.14635244872764</v>
      </c>
      <c r="BE57" s="393">
        <f t="shared" si="30"/>
        <v>94.14635244872764</v>
      </c>
      <c r="BF57" s="394">
        <f t="shared" si="31"/>
        <v>3954.1468028465611</v>
      </c>
      <c r="BG57" s="392">
        <f t="shared" si="5"/>
        <v>96.970743022189467</v>
      </c>
      <c r="BH57" s="393">
        <f t="shared" si="6"/>
        <v>96.970743022189467</v>
      </c>
      <c r="BI57" s="394">
        <f t="shared" si="7"/>
        <v>4072.7712069319582</v>
      </c>
    </row>
    <row r="58" spans="1:61" ht="14.25">
      <c r="A58" s="228"/>
      <c r="B58" s="215" t="s">
        <v>196</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7" t="s">
        <v>100</v>
      </c>
      <c r="AN58" s="395">
        <v>157.31990619000001</v>
      </c>
      <c r="AO58" s="396">
        <v>157.31990619000001</v>
      </c>
      <c r="AP58" s="397">
        <v>6607.4360599800002</v>
      </c>
      <c r="AQ58" s="377" t="s">
        <v>100</v>
      </c>
      <c r="AR58" s="395">
        <f t="shared" si="10"/>
        <v>162.03950337570001</v>
      </c>
      <c r="AS58" s="396">
        <f t="shared" si="11"/>
        <v>162.03950337570001</v>
      </c>
      <c r="AT58" s="397">
        <f t="shared" si="12"/>
        <v>6805.6591417794007</v>
      </c>
      <c r="AU58" s="395">
        <f t="shared" si="13"/>
        <v>166.900688476971</v>
      </c>
      <c r="AV58" s="396">
        <f t="shared" si="14"/>
        <v>166.900688476971</v>
      </c>
      <c r="AW58" s="397">
        <f t="shared" si="15"/>
        <v>7009.8289160327831</v>
      </c>
      <c r="AX58" s="395">
        <f t="shared" si="16"/>
        <v>171.90770913128014</v>
      </c>
      <c r="AY58" s="396">
        <f t="shared" si="17"/>
        <v>171.90770913128014</v>
      </c>
      <c r="AZ58" s="397">
        <f t="shared" si="18"/>
        <v>7220.1237835137672</v>
      </c>
      <c r="BA58" s="395">
        <f t="shared" si="26"/>
        <v>177.06494040521855</v>
      </c>
      <c r="BB58" s="396">
        <f t="shared" si="27"/>
        <v>177.06494040521855</v>
      </c>
      <c r="BC58" s="397">
        <f t="shared" si="28"/>
        <v>7436.7274970191802</v>
      </c>
      <c r="BD58" s="395">
        <f t="shared" si="29"/>
        <v>182.3768886173751</v>
      </c>
      <c r="BE58" s="396">
        <f t="shared" si="30"/>
        <v>182.3768886173751</v>
      </c>
      <c r="BF58" s="397">
        <f t="shared" si="31"/>
        <v>7659.8293219297557</v>
      </c>
      <c r="BG58" s="395">
        <f t="shared" si="5"/>
        <v>187.84819527589636</v>
      </c>
      <c r="BH58" s="396">
        <f t="shared" si="6"/>
        <v>187.84819527589636</v>
      </c>
      <c r="BI58" s="397">
        <f t="shared" si="7"/>
        <v>7889.6242015876487</v>
      </c>
    </row>
    <row r="59" spans="1:61" ht="15" thickBot="1">
      <c r="A59" s="207"/>
      <c r="B59" s="227" t="s">
        <v>197</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7" t="s">
        <v>196</v>
      </c>
      <c r="AN59" s="395">
        <v>127.0617238937528</v>
      </c>
      <c r="AO59" s="396">
        <v>284.38163008375284</v>
      </c>
      <c r="AP59" s="397">
        <v>11944.028463517619</v>
      </c>
      <c r="AQ59" s="377" t="s">
        <v>196</v>
      </c>
      <c r="AR59" s="395">
        <f t="shared" si="10"/>
        <v>130.87357561056538</v>
      </c>
      <c r="AS59" s="396">
        <f t="shared" si="11"/>
        <v>292.91307898626542</v>
      </c>
      <c r="AT59" s="397">
        <f t="shared" si="12"/>
        <v>12302.349317423148</v>
      </c>
      <c r="AU59" s="395">
        <f t="shared" si="13"/>
        <v>134.79978287888235</v>
      </c>
      <c r="AV59" s="396">
        <f t="shared" si="14"/>
        <v>301.70047135585338</v>
      </c>
      <c r="AW59" s="397">
        <f t="shared" si="15"/>
        <v>12671.419796945844</v>
      </c>
      <c r="AX59" s="395">
        <f t="shared" si="16"/>
        <v>138.84377636524883</v>
      </c>
      <c r="AY59" s="396">
        <f t="shared" si="17"/>
        <v>310.75148549652897</v>
      </c>
      <c r="AZ59" s="397">
        <f t="shared" si="18"/>
        <v>13051.56239085422</v>
      </c>
      <c r="BA59" s="395">
        <f t="shared" si="26"/>
        <v>143.0090896562063</v>
      </c>
      <c r="BB59" s="396">
        <f t="shared" si="27"/>
        <v>320.07403006142482</v>
      </c>
      <c r="BC59" s="397">
        <f t="shared" si="28"/>
        <v>13443.109262579846</v>
      </c>
      <c r="BD59" s="395">
        <f t="shared" si="29"/>
        <v>147.29936234589249</v>
      </c>
      <c r="BE59" s="396">
        <f t="shared" si="30"/>
        <v>329.67625096326759</v>
      </c>
      <c r="BF59" s="397">
        <f t="shared" si="31"/>
        <v>13846.402540457242</v>
      </c>
      <c r="BG59" s="395">
        <f t="shared" si="5"/>
        <v>151.71834321626926</v>
      </c>
      <c r="BH59" s="396">
        <f t="shared" si="6"/>
        <v>339.56653849216565</v>
      </c>
      <c r="BI59" s="397">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6" t="s">
        <v>197</v>
      </c>
      <c r="AN60" s="398">
        <v>218.163476</v>
      </c>
      <c r="AO60" s="399">
        <v>502.54510608375284</v>
      </c>
      <c r="AP60" s="400">
        <v>21106.89445551762</v>
      </c>
      <c r="AQ60" s="376" t="s">
        <v>197</v>
      </c>
      <c r="AR60" s="398">
        <f t="shared" si="10"/>
        <v>224.70838028</v>
      </c>
      <c r="AS60" s="399">
        <f t="shared" si="11"/>
        <v>517.62145926626545</v>
      </c>
      <c r="AT60" s="400">
        <f t="shared" si="12"/>
        <v>21740.101289183149</v>
      </c>
      <c r="AU60" s="398">
        <f t="shared" si="13"/>
        <v>231.44963168840002</v>
      </c>
      <c r="AV60" s="399">
        <f t="shared" si="14"/>
        <v>533.15010304425346</v>
      </c>
      <c r="AW60" s="400">
        <f t="shared" si="15"/>
        <v>22392.304327858645</v>
      </c>
      <c r="AX60" s="398">
        <f t="shared" si="16"/>
        <v>238.39312063905203</v>
      </c>
      <c r="AY60" s="399">
        <f t="shared" si="17"/>
        <v>549.14460613558106</v>
      </c>
      <c r="AZ60" s="400">
        <f t="shared" si="18"/>
        <v>23064.073457694405</v>
      </c>
      <c r="BA60" s="398">
        <f t="shared" si="26"/>
        <v>245.5449142582236</v>
      </c>
      <c r="BB60" s="399">
        <f t="shared" si="27"/>
        <v>565.61894431964845</v>
      </c>
      <c r="BC60" s="400">
        <f t="shared" si="28"/>
        <v>23755.995661425237</v>
      </c>
      <c r="BD60" s="398">
        <f t="shared" si="29"/>
        <v>252.91126168597032</v>
      </c>
      <c r="BE60" s="399">
        <f t="shared" si="30"/>
        <v>582.58751264923796</v>
      </c>
      <c r="BF60" s="400">
        <f t="shared" si="31"/>
        <v>24468.675531267996</v>
      </c>
      <c r="BG60" s="398">
        <f t="shared" si="5"/>
        <v>260.49859953654942</v>
      </c>
      <c r="BH60" s="399">
        <f t="shared" si="6"/>
        <v>600.06513802871507</v>
      </c>
      <c r="BI60" s="400">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81" t="s">
        <v>276</v>
      </c>
      <c r="AN61" s="402">
        <v>43.568999999999996</v>
      </c>
      <c r="AO61" s="403">
        <v>43.568999999999996</v>
      </c>
      <c r="AP61" s="400">
        <v>1829.8979999999999</v>
      </c>
      <c r="AQ61" s="381" t="s">
        <v>276</v>
      </c>
      <c r="AR61" s="402">
        <f t="shared" si="10"/>
        <v>44.876069999999999</v>
      </c>
      <c r="AS61" s="403">
        <f t="shared" si="11"/>
        <v>44.876069999999999</v>
      </c>
      <c r="AT61" s="400">
        <f t="shared" si="12"/>
        <v>1884.79494</v>
      </c>
      <c r="AU61" s="402">
        <f t="shared" si="13"/>
        <v>46.222352100000002</v>
      </c>
      <c r="AV61" s="403">
        <f t="shared" si="14"/>
        <v>46.222352100000002</v>
      </c>
      <c r="AW61" s="400">
        <f t="shared" si="15"/>
        <v>1941.3387882</v>
      </c>
      <c r="AX61" s="402">
        <f t="shared" si="16"/>
        <v>47.609022663000005</v>
      </c>
      <c r="AY61" s="403">
        <f t="shared" si="17"/>
        <v>47.609022663000005</v>
      </c>
      <c r="AZ61" s="400">
        <f t="shared" si="18"/>
        <v>1999.5789518460001</v>
      </c>
      <c r="BA61" s="402">
        <f t="shared" si="26"/>
        <v>49.037293342890003</v>
      </c>
      <c r="BB61" s="403">
        <f t="shared" si="27"/>
        <v>49.037293342890003</v>
      </c>
      <c r="BC61" s="400">
        <f t="shared" si="28"/>
        <v>2059.5663204013804</v>
      </c>
      <c r="BD61" s="402">
        <f t="shared" si="29"/>
        <v>50.508412143176706</v>
      </c>
      <c r="BE61" s="403">
        <f t="shared" si="30"/>
        <v>50.508412143176706</v>
      </c>
      <c r="BF61" s="400">
        <f t="shared" si="31"/>
        <v>2121.3533100134218</v>
      </c>
      <c r="BG61" s="402">
        <f t="shared" si="5"/>
        <v>52.023664507472006</v>
      </c>
      <c r="BH61" s="403">
        <f t="shared" si="6"/>
        <v>52.023664507472006</v>
      </c>
      <c r="BI61" s="400">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182</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198</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199</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200</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200</v>
      </c>
      <c r="AK69" s="260"/>
      <c r="AL69" s="259"/>
      <c r="AM69" s="382"/>
      <c r="AQ69" s="382"/>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3" t="s">
        <v>277</v>
      </c>
      <c r="AN71" s="404" t="s">
        <v>280</v>
      </c>
      <c r="AO71" s="405"/>
      <c r="AP71" s="406">
        <v>2.4400000000000002E-2</v>
      </c>
      <c r="AQ71" s="383" t="s">
        <v>277</v>
      </c>
      <c r="AR71" s="404" t="s">
        <v>346</v>
      </c>
      <c r="AS71" s="405"/>
      <c r="AT71" s="406">
        <v>1.9400000000000001E-2</v>
      </c>
      <c r="AU71" s="404" t="s">
        <v>347</v>
      </c>
      <c r="AV71" s="405"/>
      <c r="AW71" s="406">
        <v>3.6600000000000001E-2</v>
      </c>
      <c r="AX71" s="404" t="s">
        <v>360</v>
      </c>
      <c r="AY71" s="405"/>
      <c r="AZ71" s="406">
        <v>6.7699999999999996E-2</v>
      </c>
      <c r="BA71" s="404" t="s">
        <v>378</v>
      </c>
      <c r="BB71" s="405"/>
      <c r="BC71" s="406">
        <v>5.7500000000000002E-2</v>
      </c>
      <c r="BD71" s="404" t="s">
        <v>378</v>
      </c>
      <c r="BE71" s="405"/>
      <c r="BF71" s="406">
        <v>5.7500000000000002E-2</v>
      </c>
      <c r="BG71" s="404" t="s">
        <v>378</v>
      </c>
      <c r="BH71" s="405"/>
      <c r="BI71" s="406">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4" t="s">
        <v>130</v>
      </c>
      <c r="AN72" s="681" t="s">
        <v>281</v>
      </c>
      <c r="AO72" s="681"/>
      <c r="AP72" s="682"/>
      <c r="AQ72" s="384" t="s">
        <v>130</v>
      </c>
      <c r="AR72" s="681" t="s">
        <v>281</v>
      </c>
      <c r="AS72" s="681"/>
      <c r="AT72" s="682"/>
      <c r="AU72" s="681" t="s">
        <v>281</v>
      </c>
      <c r="AV72" s="681"/>
      <c r="AW72" s="682"/>
      <c r="AX72" s="681" t="s">
        <v>281</v>
      </c>
      <c r="AY72" s="681"/>
      <c r="AZ72" s="682"/>
      <c r="BA72" s="681" t="s">
        <v>281</v>
      </c>
      <c r="BB72" s="681"/>
      <c r="BC72" s="682"/>
      <c r="BD72" s="681" t="s">
        <v>281</v>
      </c>
      <c r="BE72" s="681"/>
      <c r="BF72" s="682"/>
      <c r="BG72" s="681" t="s">
        <v>281</v>
      </c>
      <c r="BH72" s="681"/>
      <c r="BI72" s="682"/>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5" t="s">
        <v>140</v>
      </c>
      <c r="AN73" s="407">
        <v>513.24140203400077</v>
      </c>
      <c r="AO73" s="407">
        <v>513.24140203400077</v>
      </c>
      <c r="AP73" s="408">
        <v>21556.13888542803</v>
      </c>
      <c r="AQ73" s="385" t="s">
        <v>140</v>
      </c>
      <c r="AR73" s="407">
        <f>AN73*(1+$AT$71)</f>
        <v>523.19828523346041</v>
      </c>
      <c r="AS73" s="407">
        <f>AO73*(1+$AT$71)</f>
        <v>523.19828523346041</v>
      </c>
      <c r="AT73" s="407">
        <f>AP73*(1+$AT$71)</f>
        <v>21974.327979805337</v>
      </c>
      <c r="AU73" s="407">
        <f>AR73*(1+$AW$71)</f>
        <v>542.34734247300503</v>
      </c>
      <c r="AV73" s="407">
        <f>AS73*(1+$AW$71)</f>
        <v>542.34734247300503</v>
      </c>
      <c r="AW73" s="407">
        <f>AT73*(1+$AW$71)</f>
        <v>22778.588383866212</v>
      </c>
      <c r="AX73" s="407">
        <f>AU73*(1+$AZ$71)</f>
        <v>579.06425755842747</v>
      </c>
      <c r="AY73" s="407">
        <f>AV73*(1+$AZ$71)</f>
        <v>579.06425755842747</v>
      </c>
      <c r="AZ73" s="407">
        <f>AW73*(1+$AZ$71)</f>
        <v>24320.698817453958</v>
      </c>
      <c r="BA73" s="407">
        <f t="shared" ref="BA73:BF73" si="35">AX73*(1+$BC$71)</f>
        <v>612.36045236803716</v>
      </c>
      <c r="BB73" s="407">
        <f t="shared" si="35"/>
        <v>612.36045236803716</v>
      </c>
      <c r="BC73" s="407">
        <f t="shared" si="35"/>
        <v>25719.138999457562</v>
      </c>
      <c r="BD73" s="407">
        <f t="shared" si="35"/>
        <v>647.57117837919941</v>
      </c>
      <c r="BE73" s="407">
        <f t="shared" si="35"/>
        <v>647.57117837919941</v>
      </c>
      <c r="BF73" s="407">
        <f t="shared" si="35"/>
        <v>27197.989491926375</v>
      </c>
      <c r="BG73" s="407">
        <f>BD73*(1+$BC$71)</f>
        <v>684.80652113600343</v>
      </c>
      <c r="BH73" s="407">
        <f>BE73*(1+$BC$71)</f>
        <v>684.80652113600343</v>
      </c>
      <c r="BI73" s="407">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200</v>
      </c>
      <c r="AK74" s="278"/>
      <c r="AL74" s="279"/>
      <c r="AM74" s="385" t="s">
        <v>141</v>
      </c>
      <c r="AN74" s="668" t="s">
        <v>282</v>
      </c>
      <c r="AO74" s="668"/>
      <c r="AP74" s="669"/>
      <c r="AQ74" s="385" t="s">
        <v>141</v>
      </c>
      <c r="AR74" s="668"/>
      <c r="AS74" s="668"/>
      <c r="AT74" s="669"/>
      <c r="AU74" s="668"/>
      <c r="AV74" s="668"/>
      <c r="AW74" s="669"/>
      <c r="AX74" s="668"/>
      <c r="AY74" s="668"/>
      <c r="AZ74" s="669"/>
      <c r="BA74" s="668"/>
      <c r="BB74" s="668"/>
      <c r="BC74" s="669"/>
      <c r="BD74" s="668"/>
      <c r="BE74" s="668"/>
      <c r="BF74" s="669"/>
      <c r="BG74" s="668"/>
      <c r="BH74" s="668"/>
      <c r="BI74" s="669"/>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5" t="s">
        <v>143</v>
      </c>
      <c r="AN75" s="407">
        <v>505.85237467218178</v>
      </c>
      <c r="AO75" s="407">
        <v>505.85237467218178</v>
      </c>
      <c r="AP75" s="408">
        <v>21245.799736231635</v>
      </c>
      <c r="AQ75" s="385" t="s">
        <v>143</v>
      </c>
      <c r="AR75" s="407">
        <f>AN75*(1+$AT$71)</f>
        <v>515.66591074082214</v>
      </c>
      <c r="AS75" s="407">
        <f>AO75*(1+$AT$71)</f>
        <v>515.66591074082214</v>
      </c>
      <c r="AT75" s="407">
        <f>AP75*(1+$AT$71)</f>
        <v>21657.968251114529</v>
      </c>
      <c r="AU75" s="407">
        <f>AR75*(1+$AW$71)</f>
        <v>534.53928307393619</v>
      </c>
      <c r="AV75" s="407">
        <f>AS75*(1+$AW$71)</f>
        <v>534.53928307393619</v>
      </c>
      <c r="AW75" s="407">
        <f>AT75*(1+$AW$71)</f>
        <v>22450.64988910532</v>
      </c>
      <c r="AX75" s="407">
        <f>AU75*(1+$AZ$71)</f>
        <v>570.72759253804168</v>
      </c>
      <c r="AY75" s="407">
        <f>AV75*(1+$AZ$71)</f>
        <v>570.72759253804168</v>
      </c>
      <c r="AZ75" s="407">
        <f>AW75*(1+$AZ$71)</f>
        <v>23970.558886597752</v>
      </c>
      <c r="BA75" s="407">
        <f t="shared" ref="BA75:BF75" si="36">AX75*(1+$BC$71)</f>
        <v>603.5444291089791</v>
      </c>
      <c r="BB75" s="407">
        <f t="shared" si="36"/>
        <v>603.5444291089791</v>
      </c>
      <c r="BC75" s="407">
        <f t="shared" si="36"/>
        <v>25348.866022577124</v>
      </c>
      <c r="BD75" s="407">
        <f t="shared" si="36"/>
        <v>638.2482337827455</v>
      </c>
      <c r="BE75" s="407">
        <f t="shared" si="36"/>
        <v>638.2482337827455</v>
      </c>
      <c r="BF75" s="407">
        <f t="shared" si="36"/>
        <v>26806.425818875312</v>
      </c>
      <c r="BG75" s="407">
        <f>BD75*(1+$BC$71)</f>
        <v>674.94750722525339</v>
      </c>
      <c r="BH75" s="407">
        <f>BE75*(1+$BC$71)</f>
        <v>674.94750722525339</v>
      </c>
      <c r="BI75" s="407">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10">
        <f>AG76*(1+AL66)</f>
        <v>59.191789097100013</v>
      </c>
      <c r="AM76" s="385" t="s">
        <v>141</v>
      </c>
      <c r="AN76" s="659"/>
      <c r="AO76" s="660"/>
      <c r="AP76" s="661"/>
      <c r="AQ76" s="385" t="s">
        <v>141</v>
      </c>
      <c r="AR76" s="659"/>
      <c r="AS76" s="660"/>
      <c r="AT76" s="661"/>
      <c r="AU76" s="659"/>
      <c r="AV76" s="660"/>
      <c r="AW76" s="661"/>
      <c r="AX76" s="659"/>
      <c r="AY76" s="660"/>
      <c r="AZ76" s="661"/>
      <c r="BA76" s="659"/>
      <c r="BB76" s="660"/>
      <c r="BC76" s="661"/>
      <c r="BD76" s="659"/>
      <c r="BE76" s="660"/>
      <c r="BF76" s="661"/>
      <c r="BG76" s="659"/>
      <c r="BH76" s="660"/>
      <c r="BI76" s="661"/>
    </row>
    <row r="77" spans="1:61">
      <c r="A77" s="290" t="s">
        <v>151</v>
      </c>
      <c r="B77" s="191"/>
      <c r="C77" s="191"/>
      <c r="D77" s="191"/>
      <c r="E77" s="191"/>
      <c r="F77" s="262"/>
      <c r="G77" s="191"/>
      <c r="H77" s="191"/>
      <c r="I77" s="191"/>
      <c r="J77" s="191"/>
      <c r="K77" s="191"/>
      <c r="L77" s="191"/>
      <c r="M77" s="191"/>
      <c r="N77" s="191"/>
      <c r="O77" s="191"/>
      <c r="P77" s="191"/>
      <c r="Q77" s="191"/>
      <c r="AM77" s="386" t="s">
        <v>144</v>
      </c>
      <c r="AN77" s="662"/>
      <c r="AO77" s="663"/>
      <c r="AP77" s="664"/>
      <c r="AQ77" s="386" t="s">
        <v>144</v>
      </c>
      <c r="AR77" s="662"/>
      <c r="AS77" s="663"/>
      <c r="AT77" s="664"/>
      <c r="AU77" s="662"/>
      <c r="AV77" s="663"/>
      <c r="AW77" s="664"/>
      <c r="AX77" s="662"/>
      <c r="AY77" s="663"/>
      <c r="AZ77" s="664"/>
      <c r="BA77" s="662"/>
      <c r="BB77" s="663"/>
      <c r="BC77" s="664"/>
      <c r="BD77" s="662"/>
      <c r="BE77" s="663"/>
      <c r="BF77" s="664"/>
      <c r="BG77" s="662"/>
      <c r="BH77" s="663"/>
      <c r="BI77" s="664"/>
    </row>
    <row r="78" spans="1:61">
      <c r="A78" s="290" t="s">
        <v>152</v>
      </c>
      <c r="B78" s="191"/>
      <c r="C78" s="191"/>
      <c r="D78" s="191"/>
      <c r="E78" s="191"/>
      <c r="F78" s="262"/>
      <c r="G78" s="191"/>
      <c r="H78" s="191"/>
      <c r="I78" s="191"/>
      <c r="J78" s="191"/>
      <c r="K78" s="191"/>
      <c r="L78" s="291"/>
      <c r="M78" s="191"/>
      <c r="N78" s="191"/>
      <c r="O78" s="292"/>
      <c r="P78" s="191"/>
      <c r="Q78" s="191"/>
      <c r="AC78" s="293"/>
      <c r="AM78" s="385" t="s">
        <v>147</v>
      </c>
      <c r="AN78" s="665"/>
      <c r="AO78" s="666"/>
      <c r="AP78" s="667"/>
      <c r="AQ78" s="385" t="s">
        <v>147</v>
      </c>
      <c r="AR78" s="665"/>
      <c r="AS78" s="666"/>
      <c r="AT78" s="667"/>
      <c r="AU78" s="665"/>
      <c r="AV78" s="666"/>
      <c r="AW78" s="667"/>
      <c r="AX78" s="665"/>
      <c r="AY78" s="666"/>
      <c r="AZ78" s="667"/>
      <c r="BA78" s="665"/>
      <c r="BB78" s="666"/>
      <c r="BC78" s="667"/>
      <c r="BD78" s="665"/>
      <c r="BE78" s="666"/>
      <c r="BF78" s="667"/>
      <c r="BG78" s="665"/>
      <c r="BH78" s="666"/>
      <c r="BI78" s="667"/>
    </row>
    <row r="79" spans="1:61">
      <c r="A79" s="287"/>
      <c r="B79" s="191"/>
      <c r="C79" s="191"/>
      <c r="D79" s="191"/>
      <c r="E79" s="191"/>
      <c r="F79" s="191"/>
      <c r="G79" s="191"/>
      <c r="H79" s="191"/>
      <c r="I79" s="191"/>
      <c r="J79" s="191"/>
      <c r="K79" s="191"/>
      <c r="L79" s="191"/>
      <c r="M79" s="191"/>
      <c r="N79" s="191"/>
      <c r="O79" s="191"/>
      <c r="P79" s="191"/>
      <c r="Q79" s="191"/>
      <c r="AC79" s="271"/>
      <c r="AM79" s="385" t="s">
        <v>130</v>
      </c>
      <c r="AN79" s="668" t="s">
        <v>282</v>
      </c>
      <c r="AO79" s="668"/>
      <c r="AP79" s="669"/>
      <c r="AQ79" s="385" t="s">
        <v>130</v>
      </c>
      <c r="AR79" s="668"/>
      <c r="AS79" s="668"/>
      <c r="AT79" s="669"/>
      <c r="AU79" s="668"/>
      <c r="AV79" s="668"/>
      <c r="AW79" s="669"/>
      <c r="AX79" s="668"/>
      <c r="AY79" s="668"/>
      <c r="AZ79" s="669"/>
      <c r="BA79" s="668"/>
      <c r="BB79" s="668"/>
      <c r="BC79" s="669"/>
      <c r="BD79" s="668"/>
      <c r="BE79" s="668"/>
      <c r="BF79" s="669"/>
      <c r="BG79" s="668"/>
      <c r="BH79" s="668"/>
      <c r="BI79" s="669"/>
    </row>
    <row r="80" spans="1:61">
      <c r="A80" s="191"/>
      <c r="B80" s="191"/>
      <c r="C80" s="191"/>
      <c r="D80" s="191"/>
      <c r="E80" s="191"/>
      <c r="F80" s="191"/>
      <c r="G80" s="191"/>
      <c r="H80" s="191"/>
      <c r="I80" s="191"/>
      <c r="J80" s="191"/>
      <c r="K80" s="191"/>
      <c r="L80" s="191"/>
      <c r="M80" s="191"/>
      <c r="N80" s="191"/>
      <c r="O80" s="191"/>
      <c r="P80" s="191"/>
      <c r="Q80" s="191"/>
      <c r="AM80" s="385" t="s">
        <v>141</v>
      </c>
      <c r="AN80" s="407">
        <v>442.85011881106925</v>
      </c>
      <c r="AO80" s="407">
        <v>442.85011881106925</v>
      </c>
      <c r="AP80" s="408">
        <v>18599.704990064907</v>
      </c>
      <c r="AQ80" s="385" t="s">
        <v>141</v>
      </c>
      <c r="AR80" s="407">
        <f>AN80*(1+$AT$71)</f>
        <v>451.44141111600402</v>
      </c>
      <c r="AS80" s="407">
        <f>AO80*(1+$AT$71)</f>
        <v>451.44141111600402</v>
      </c>
      <c r="AT80" s="407">
        <f>AP80*(1+$AT$71)</f>
        <v>18960.539266872169</v>
      </c>
      <c r="AU80" s="407">
        <f>AR80*(1+$AW$71)</f>
        <v>467.96416676284974</v>
      </c>
      <c r="AV80" s="407">
        <f>AS80*(1+$AW$71)</f>
        <v>467.96416676284974</v>
      </c>
      <c r="AW80" s="407">
        <f>AT80*(1+$AW$71)</f>
        <v>19654.495004039691</v>
      </c>
      <c r="AX80" s="407">
        <f>AU80*(1+$AZ$71)</f>
        <v>499.64534085269469</v>
      </c>
      <c r="AY80" s="407">
        <f>AV80*(1+$AZ$71)</f>
        <v>499.64534085269469</v>
      </c>
      <c r="AZ80" s="407">
        <f>AW80*(1+$AZ$71)</f>
        <v>20985.10431581318</v>
      </c>
      <c r="BA80" s="407">
        <f t="shared" ref="BA80:BF80" si="37">AX80*(1+$BC$71)</f>
        <v>528.37494795172472</v>
      </c>
      <c r="BB80" s="407">
        <f t="shared" si="37"/>
        <v>528.37494795172472</v>
      </c>
      <c r="BC80" s="407">
        <f t="shared" si="37"/>
        <v>22191.747813972441</v>
      </c>
      <c r="BD80" s="407">
        <f t="shared" si="37"/>
        <v>558.75650745894893</v>
      </c>
      <c r="BE80" s="407">
        <f t="shared" si="37"/>
        <v>558.75650745894893</v>
      </c>
      <c r="BF80" s="407">
        <f t="shared" si="37"/>
        <v>23467.773313275859</v>
      </c>
      <c r="BG80" s="407">
        <f>BD80*(1+$BC$71)</f>
        <v>590.8850066378385</v>
      </c>
      <c r="BH80" s="407">
        <f>BE80*(1+$BC$71)</f>
        <v>590.8850066378385</v>
      </c>
      <c r="BI80" s="407">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95" t="s">
        <v>153</v>
      </c>
      <c r="AA81" s="695"/>
      <c r="AD81" s="695" t="s">
        <v>154</v>
      </c>
      <c r="AE81" s="695"/>
      <c r="AG81" s="695" t="s">
        <v>201</v>
      </c>
      <c r="AH81" s="695"/>
      <c r="AJ81" s="695" t="s">
        <v>201</v>
      </c>
      <c r="AK81" s="695"/>
      <c r="AM81" s="387" t="s">
        <v>150</v>
      </c>
      <c r="AN81" s="411">
        <v>60.636068751069253</v>
      </c>
      <c r="AO81" s="670"/>
      <c r="AP81" s="671"/>
      <c r="AQ81" s="387" t="s">
        <v>150</v>
      </c>
      <c r="AR81" s="411">
        <f>AN81*(1+$AT$71)</f>
        <v>61.812408484839999</v>
      </c>
      <c r="AS81" s="670"/>
      <c r="AT81" s="671"/>
      <c r="AU81" s="411">
        <f>AR81*(1+$AW$71)</f>
        <v>64.074742635385135</v>
      </c>
      <c r="AV81" s="670"/>
      <c r="AW81" s="671"/>
      <c r="AX81" s="411">
        <f>AU81*(1+$AZ$71)</f>
        <v>68.412602711800716</v>
      </c>
      <c r="AY81" s="670"/>
      <c r="AZ81" s="671"/>
      <c r="BA81" s="411">
        <f>AX81*(1+$BC$71)</f>
        <v>72.346327367729259</v>
      </c>
      <c r="BB81" s="670"/>
      <c r="BC81" s="671"/>
      <c r="BD81" s="411">
        <f>BA81*(1+$BC$71)</f>
        <v>76.506241191373704</v>
      </c>
      <c r="BE81" s="670"/>
      <c r="BF81" s="671"/>
      <c r="BG81" s="411">
        <f>BD81*(1+$BC$71)</f>
        <v>80.905350059877705</v>
      </c>
      <c r="BH81" s="670"/>
      <c r="BI81" s="671"/>
    </row>
    <row r="82" spans="1:61">
      <c r="A82" s="191"/>
      <c r="B82" s="191"/>
      <c r="C82" s="191"/>
      <c r="D82" s="191"/>
      <c r="E82" s="191"/>
      <c r="F82" s="191"/>
      <c r="G82" s="191"/>
      <c r="H82" s="191"/>
      <c r="I82" s="191"/>
      <c r="J82" s="191"/>
      <c r="K82" s="191"/>
      <c r="L82" s="191"/>
      <c r="M82" s="191"/>
      <c r="N82" s="191"/>
      <c r="O82" s="191"/>
      <c r="P82" s="191"/>
      <c r="Q82" s="191"/>
      <c r="Z82" s="695"/>
      <c r="AA82" s="695"/>
      <c r="AD82" s="695"/>
      <c r="AE82" s="695"/>
      <c r="AG82" s="695"/>
      <c r="AH82" s="695"/>
      <c r="AJ82" s="695"/>
      <c r="AK82" s="695"/>
    </row>
    <row r="83" spans="1:61" ht="83.25" customHeight="1">
      <c r="A83" s="191"/>
      <c r="B83" s="191"/>
      <c r="C83" s="191"/>
      <c r="D83" s="191"/>
      <c r="E83" s="191"/>
      <c r="F83" s="191"/>
      <c r="G83" s="191"/>
      <c r="H83" s="191"/>
      <c r="I83" s="191"/>
      <c r="J83" s="191"/>
      <c r="K83" s="191"/>
      <c r="L83" s="191"/>
      <c r="M83" s="191"/>
      <c r="N83" s="191"/>
      <c r="O83" s="191"/>
      <c r="P83" s="191"/>
      <c r="Q83" s="191"/>
      <c r="Z83" s="690" t="s">
        <v>155</v>
      </c>
      <c r="AA83" s="690"/>
      <c r="AD83" s="690" t="s">
        <v>156</v>
      </c>
      <c r="AE83" s="690"/>
      <c r="AG83" s="294" t="s">
        <v>202</v>
      </c>
      <c r="AJ83" s="294" t="s">
        <v>202</v>
      </c>
    </row>
    <row r="84" spans="1:61">
      <c r="A84" s="191"/>
      <c r="B84" s="191"/>
      <c r="C84" s="191"/>
      <c r="D84" s="191"/>
      <c r="E84" s="191"/>
      <c r="F84" s="191"/>
      <c r="G84" s="191"/>
      <c r="H84" s="191"/>
      <c r="I84" s="191"/>
      <c r="J84" s="191"/>
      <c r="K84" s="191"/>
      <c r="L84" s="191"/>
      <c r="M84" s="191"/>
      <c r="N84" s="191"/>
      <c r="O84" s="191"/>
      <c r="P84" s="191"/>
      <c r="Q84" s="191"/>
      <c r="AD84" s="690"/>
      <c r="AE84" s="690"/>
    </row>
    <row r="85" spans="1:61">
      <c r="A85" s="191"/>
      <c r="B85" s="191"/>
      <c r="C85" s="191"/>
      <c r="D85" s="191"/>
      <c r="E85" s="191"/>
      <c r="F85" s="191"/>
      <c r="G85" s="191"/>
      <c r="H85" s="191"/>
      <c r="I85" s="191"/>
      <c r="J85" s="191"/>
      <c r="K85" s="191"/>
      <c r="L85" s="191"/>
      <c r="M85" s="191"/>
      <c r="N85" s="191"/>
      <c r="O85" s="191"/>
      <c r="P85" s="191"/>
      <c r="Q85" s="191"/>
      <c r="AD85" s="690"/>
      <c r="AE85" s="690"/>
    </row>
    <row r="86" spans="1:61">
      <c r="A86" s="191"/>
      <c r="B86" s="191"/>
      <c r="C86" s="191"/>
      <c r="D86" s="191"/>
      <c r="E86" s="191"/>
      <c r="F86" s="191"/>
      <c r="G86" s="191"/>
      <c r="H86" s="191"/>
      <c r="I86" s="191"/>
      <c r="J86" s="191"/>
      <c r="K86" s="191"/>
      <c r="L86" s="191"/>
      <c r="M86" s="191"/>
      <c r="N86" s="191"/>
      <c r="O86" s="191"/>
      <c r="P86" s="191"/>
      <c r="Q86" s="191"/>
      <c r="AD86" s="690"/>
      <c r="AE86" s="690"/>
    </row>
    <row r="87" spans="1:61">
      <c r="A87" s="191"/>
      <c r="B87" s="191"/>
      <c r="C87" s="191"/>
      <c r="D87" s="191"/>
      <c r="E87" s="191"/>
      <c r="F87" s="191"/>
      <c r="G87" s="191"/>
      <c r="H87" s="191"/>
      <c r="I87" s="191"/>
      <c r="J87" s="191"/>
      <c r="K87" s="191"/>
      <c r="L87" s="191"/>
      <c r="M87" s="191"/>
      <c r="N87" s="191"/>
      <c r="O87" s="191"/>
      <c r="P87" s="191"/>
      <c r="Q87" s="191"/>
      <c r="AD87" s="690"/>
      <c r="AE87" s="690"/>
    </row>
    <row r="88" spans="1:61">
      <c r="A88" s="191"/>
      <c r="B88" s="191"/>
      <c r="C88" s="191"/>
      <c r="D88" s="191"/>
      <c r="E88" s="191"/>
      <c r="F88" s="191"/>
      <c r="G88" s="191"/>
      <c r="H88" s="191"/>
      <c r="I88" s="191"/>
      <c r="J88" s="191"/>
      <c r="K88" s="191"/>
      <c r="L88" s="191"/>
      <c r="M88" s="191"/>
      <c r="N88" s="191"/>
      <c r="O88" s="191"/>
      <c r="P88" s="191"/>
      <c r="Q88" s="191"/>
      <c r="AD88" s="690"/>
      <c r="AE88" s="690"/>
    </row>
    <row r="89" spans="1:61">
      <c r="A89" s="191"/>
      <c r="B89" s="191"/>
      <c r="C89" s="191"/>
      <c r="D89" s="191"/>
      <c r="E89" s="191"/>
      <c r="F89" s="191"/>
      <c r="G89" s="191"/>
      <c r="H89" s="191"/>
      <c r="I89" s="191"/>
      <c r="J89" s="191"/>
      <c r="K89" s="191"/>
      <c r="L89" s="191"/>
      <c r="M89" s="191"/>
      <c r="N89" s="191"/>
      <c r="O89" s="191"/>
      <c r="P89" s="191"/>
      <c r="Q89" s="191"/>
      <c r="AD89" s="690"/>
      <c r="AE89" s="690"/>
    </row>
    <row r="90" spans="1:61">
      <c r="A90" s="191"/>
      <c r="B90" s="191"/>
      <c r="C90" s="191"/>
      <c r="D90" s="191"/>
      <c r="E90" s="191"/>
      <c r="F90" s="191"/>
      <c r="G90" s="191"/>
      <c r="H90" s="191"/>
      <c r="I90" s="191"/>
      <c r="J90" s="191"/>
      <c r="K90" s="191"/>
      <c r="L90" s="191"/>
      <c r="M90" s="191"/>
      <c r="N90" s="191"/>
      <c r="O90" s="191"/>
      <c r="P90" s="191"/>
      <c r="Q90" s="191"/>
      <c r="AD90" s="191" t="s">
        <v>157</v>
      </c>
      <c r="AG90" s="192" t="s">
        <v>203</v>
      </c>
      <c r="AJ90" s="192" t="s">
        <v>203</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 ref="BG76:BI78"/>
    <mergeCell ref="BG79:BI79"/>
    <mergeCell ref="BH81:BI81"/>
    <mergeCell ref="BG1:BI1"/>
    <mergeCell ref="BG2:BH3"/>
    <mergeCell ref="BI2:BI3"/>
    <mergeCell ref="BG72:BI72"/>
    <mergeCell ref="BG74:BI74"/>
  </mergeCells>
  <phoneticPr fontId="21"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Y339"/>
  <sheetViews>
    <sheetView topLeftCell="C66" zoomScale="85" zoomScaleNormal="85" workbookViewId="0">
      <selection activeCell="C29" sqref="C29"/>
    </sheetView>
  </sheetViews>
  <sheetFormatPr baseColWidth="10" defaultRowHeight="15" outlineLevelRow="1"/>
  <cols>
    <col min="1" max="1" width="0" style="487" hidden="1" customWidth="1"/>
    <col min="2" max="2" width="30.5703125" style="487" bestFit="1" customWidth="1"/>
    <col min="3" max="3" width="3.85546875" style="487" customWidth="1"/>
    <col min="4" max="4" width="108" style="487" customWidth="1"/>
    <col min="5" max="5" width="23.7109375" style="488" hidden="1" customWidth="1"/>
    <col min="6" max="6" width="21.28515625" style="487" customWidth="1"/>
    <col min="7" max="8" width="11.42578125" style="487"/>
    <col min="9" max="9" width="3.140625" style="487" customWidth="1"/>
    <col min="10" max="10" width="11.42578125" style="487" hidden="1" customWidth="1"/>
    <col min="11" max="11" width="13.85546875" style="487" customWidth="1"/>
    <col min="12" max="15" width="11.42578125" style="487"/>
    <col min="16" max="16" width="16" style="487" customWidth="1"/>
    <col min="17" max="17" width="33.28515625" style="487" bestFit="1" customWidth="1"/>
    <col min="18" max="18" width="11.42578125" style="487"/>
    <col min="19" max="19" width="33.28515625" style="487" bestFit="1" customWidth="1"/>
    <col min="20" max="16384" width="11.42578125" style="487"/>
  </cols>
  <sheetData>
    <row r="2" spans="2:25" ht="36">
      <c r="B2" s="486">
        <v>1</v>
      </c>
      <c r="D2" s="487" t="s">
        <v>387</v>
      </c>
      <c r="P2" s="545" t="s">
        <v>665</v>
      </c>
    </row>
    <row r="3" spans="2:25">
      <c r="P3" s="487" t="s">
        <v>658</v>
      </c>
    </row>
    <row r="4" spans="2:25" ht="21">
      <c r="D4" s="489" t="s">
        <v>388</v>
      </c>
      <c r="E4" s="490" t="s">
        <v>389</v>
      </c>
      <c r="F4" s="491" t="s">
        <v>390</v>
      </c>
      <c r="P4" s="537" t="s">
        <v>653</v>
      </c>
      <c r="Q4" s="537" t="s">
        <v>654</v>
      </c>
      <c r="R4" s="537" t="s">
        <v>655</v>
      </c>
      <c r="S4" s="537" t="s">
        <v>659</v>
      </c>
      <c r="T4" s="537" t="s">
        <v>656</v>
      </c>
      <c r="U4" s="537" t="s">
        <v>657</v>
      </c>
      <c r="V4" s="537"/>
      <c r="W4" s="537"/>
      <c r="X4" s="537" t="s">
        <v>652</v>
      </c>
      <c r="Y4" s="537" t="s">
        <v>651</v>
      </c>
    </row>
    <row r="5" spans="2:25" ht="21">
      <c r="D5" s="489"/>
      <c r="E5" s="490"/>
      <c r="F5" s="491" t="s">
        <v>617</v>
      </c>
      <c r="P5" s="538">
        <v>30000009113</v>
      </c>
      <c r="Q5" s="539" t="s">
        <v>648</v>
      </c>
      <c r="R5" s="541">
        <f>+'COMBUSTIBLES '!B7</f>
        <v>5575.55</v>
      </c>
      <c r="S5" s="538" t="s">
        <v>649</v>
      </c>
      <c r="T5" s="538">
        <v>1</v>
      </c>
      <c r="U5" s="538" t="s">
        <v>650</v>
      </c>
      <c r="V5" s="538"/>
      <c r="W5" s="538"/>
      <c r="X5" s="540" t="s">
        <v>666</v>
      </c>
      <c r="Y5" s="540" t="s">
        <v>667</v>
      </c>
    </row>
    <row r="6" spans="2:25">
      <c r="D6" s="492" t="s">
        <v>392</v>
      </c>
      <c r="E6" s="493" t="s">
        <v>393</v>
      </c>
      <c r="F6" s="709" t="s">
        <v>394</v>
      </c>
      <c r="G6" s="709"/>
      <c r="H6" s="709"/>
      <c r="I6" s="709"/>
      <c r="J6" s="709"/>
    </row>
    <row r="7" spans="2:25">
      <c r="D7" s="492" t="s">
        <v>395</v>
      </c>
      <c r="E7" s="493" t="s">
        <v>173</v>
      </c>
      <c r="F7" s="709" t="s">
        <v>394</v>
      </c>
      <c r="G7" s="709"/>
      <c r="H7" s="709"/>
      <c r="I7" s="709"/>
      <c r="J7" s="709"/>
    </row>
    <row r="8" spans="2:25">
      <c r="D8" s="492" t="s">
        <v>396</v>
      </c>
      <c r="E8" s="493" t="s">
        <v>208</v>
      </c>
      <c r="F8" s="709" t="s">
        <v>394</v>
      </c>
      <c r="G8" s="709"/>
      <c r="H8" s="709"/>
      <c r="I8" s="709"/>
      <c r="J8" s="709"/>
      <c r="P8" s="542" t="s">
        <v>660</v>
      </c>
    </row>
    <row r="9" spans="2:25">
      <c r="D9" s="492" t="s">
        <v>397</v>
      </c>
      <c r="E9" s="493" t="s">
        <v>398</v>
      </c>
      <c r="F9" s="709" t="s">
        <v>399</v>
      </c>
      <c r="G9" s="709"/>
      <c r="H9" s="709"/>
      <c r="I9" s="709"/>
      <c r="J9" s="709"/>
    </row>
    <row r="10" spans="2:25">
      <c r="D10" s="492" t="s">
        <v>400</v>
      </c>
      <c r="E10" s="493" t="s">
        <v>172</v>
      </c>
      <c r="F10" s="709" t="s">
        <v>394</v>
      </c>
      <c r="G10" s="709"/>
      <c r="H10" s="709"/>
      <c r="I10" s="709"/>
      <c r="J10" s="709"/>
    </row>
    <row r="11" spans="2:25">
      <c r="D11" s="492" t="s">
        <v>401</v>
      </c>
      <c r="E11" s="493" t="s">
        <v>402</v>
      </c>
      <c r="F11" s="709" t="s">
        <v>394</v>
      </c>
      <c r="G11" s="709"/>
      <c r="H11" s="709"/>
      <c r="I11" s="709"/>
      <c r="J11" s="709"/>
    </row>
    <row r="12" spans="2:25">
      <c r="D12" s="492" t="s">
        <v>403</v>
      </c>
      <c r="E12" s="493" t="s">
        <v>404</v>
      </c>
      <c r="F12" s="709" t="s">
        <v>394</v>
      </c>
      <c r="G12" s="709"/>
      <c r="H12" s="709"/>
      <c r="I12" s="709"/>
      <c r="J12" s="709"/>
    </row>
    <row r="13" spans="2:25">
      <c r="D13" s="492" t="s">
        <v>405</v>
      </c>
      <c r="E13" s="493" t="s">
        <v>406</v>
      </c>
      <c r="F13" s="709" t="s">
        <v>394</v>
      </c>
      <c r="G13" s="709"/>
      <c r="H13" s="709"/>
      <c r="I13" s="709"/>
      <c r="J13" s="709"/>
    </row>
    <row r="14" spans="2:25">
      <c r="D14" s="492" t="s">
        <v>407</v>
      </c>
      <c r="E14" s="493" t="s">
        <v>408</v>
      </c>
      <c r="F14" s="709" t="s">
        <v>399</v>
      </c>
      <c r="G14" s="709"/>
      <c r="H14" s="709"/>
      <c r="I14" s="709"/>
      <c r="J14" s="709"/>
    </row>
    <row r="15" spans="2:25">
      <c r="D15" s="508" t="s">
        <v>409</v>
      </c>
      <c r="E15" s="509"/>
      <c r="F15" s="721" t="s">
        <v>410</v>
      </c>
      <c r="G15" s="721"/>
      <c r="H15" s="721"/>
      <c r="I15" s="721"/>
      <c r="J15" s="721"/>
    </row>
    <row r="16" spans="2:25">
      <c r="D16" s="508" t="s">
        <v>411</v>
      </c>
      <c r="E16" s="509"/>
      <c r="F16" s="721" t="s">
        <v>410</v>
      </c>
      <c r="G16" s="721"/>
      <c r="H16" s="721"/>
      <c r="I16" s="721"/>
      <c r="J16" s="721"/>
    </row>
    <row r="17" spans="4:10">
      <c r="D17" s="492" t="s">
        <v>412</v>
      </c>
      <c r="E17" s="493" t="s">
        <v>413</v>
      </c>
      <c r="F17" s="709" t="s">
        <v>414</v>
      </c>
      <c r="G17" s="709"/>
      <c r="H17" s="709"/>
      <c r="I17" s="709"/>
      <c r="J17" s="709"/>
    </row>
    <row r="18" spans="4:10">
      <c r="D18" s="492" t="s">
        <v>415</v>
      </c>
      <c r="E18" s="493" t="s">
        <v>413</v>
      </c>
      <c r="F18" s="709" t="s">
        <v>414</v>
      </c>
      <c r="G18" s="709"/>
      <c r="H18" s="709"/>
      <c r="I18" s="709"/>
      <c r="J18" s="709"/>
    </row>
    <row r="19" spans="4:10">
      <c r="D19" s="492" t="s">
        <v>416</v>
      </c>
      <c r="E19" s="493" t="s">
        <v>413</v>
      </c>
      <c r="F19" s="709" t="s">
        <v>414</v>
      </c>
      <c r="G19" s="709"/>
      <c r="H19" s="709"/>
      <c r="I19" s="709"/>
      <c r="J19" s="709"/>
    </row>
    <row r="20" spans="4:10">
      <c r="D20" s="492" t="s">
        <v>417</v>
      </c>
      <c r="E20" s="493" t="s">
        <v>418</v>
      </c>
      <c r="F20" s="709" t="s">
        <v>414</v>
      </c>
      <c r="G20" s="709"/>
      <c r="H20" s="709"/>
      <c r="I20" s="709"/>
      <c r="J20" s="709"/>
    </row>
    <row r="21" spans="4:10">
      <c r="D21" s="495" t="s">
        <v>419</v>
      </c>
      <c r="E21" s="493" t="s">
        <v>418</v>
      </c>
      <c r="F21" s="709" t="s">
        <v>414</v>
      </c>
      <c r="G21" s="709"/>
      <c r="H21" s="709"/>
      <c r="I21" s="709"/>
      <c r="J21" s="709"/>
    </row>
    <row r="22" spans="4:10">
      <c r="D22" s="495" t="s">
        <v>420</v>
      </c>
      <c r="E22" s="493" t="s">
        <v>421</v>
      </c>
      <c r="F22" s="709" t="s">
        <v>422</v>
      </c>
      <c r="G22" s="709"/>
      <c r="H22" s="709"/>
      <c r="I22" s="709"/>
      <c r="J22" s="709"/>
    </row>
    <row r="23" spans="4:10">
      <c r="D23" s="495" t="s">
        <v>423</v>
      </c>
      <c r="E23" s="493" t="s">
        <v>421</v>
      </c>
      <c r="F23" s="709" t="s">
        <v>422</v>
      </c>
      <c r="G23" s="709"/>
      <c r="H23" s="709"/>
      <c r="I23" s="709"/>
      <c r="J23" s="709"/>
    </row>
    <row r="24" spans="4:10">
      <c r="D24" s="495" t="s">
        <v>424</v>
      </c>
      <c r="E24" s="493" t="s">
        <v>425</v>
      </c>
      <c r="F24" s="709" t="s">
        <v>422</v>
      </c>
      <c r="G24" s="709"/>
      <c r="H24" s="709"/>
      <c r="I24" s="709"/>
      <c r="J24" s="709"/>
    </row>
    <row r="25" spans="4:10">
      <c r="D25" s="495" t="s">
        <v>426</v>
      </c>
      <c r="E25" s="493" t="s">
        <v>418</v>
      </c>
      <c r="F25" s="709" t="s">
        <v>422</v>
      </c>
      <c r="G25" s="709"/>
      <c r="H25" s="709"/>
      <c r="I25" s="709"/>
      <c r="J25" s="709"/>
    </row>
    <row r="28" spans="4:10" ht="21">
      <c r="D28" s="489" t="s">
        <v>427</v>
      </c>
    </row>
    <row r="29" spans="4:10">
      <c r="D29" s="496" t="s">
        <v>428</v>
      </c>
    </row>
    <row r="30" spans="4:10">
      <c r="D30" s="497" t="s">
        <v>429</v>
      </c>
    </row>
    <row r="31" spans="4:10">
      <c r="D31" s="487" t="s">
        <v>430</v>
      </c>
    </row>
    <row r="32" spans="4:10">
      <c r="D32" s="487" t="s">
        <v>431</v>
      </c>
    </row>
    <row r="33" spans="4:19">
      <c r="D33" s="487" t="s">
        <v>432</v>
      </c>
    </row>
    <row r="34" spans="4:19">
      <c r="D34" s="487" t="s">
        <v>433</v>
      </c>
    </row>
    <row r="37" spans="4:19">
      <c r="O37" s="487">
        <v>1</v>
      </c>
      <c r="P37" s="497" t="s">
        <v>434</v>
      </c>
    </row>
    <row r="38" spans="4:19">
      <c r="O38" s="487">
        <v>2</v>
      </c>
      <c r="P38" s="497" t="s">
        <v>435</v>
      </c>
    </row>
    <row r="39" spans="4:19" ht="21">
      <c r="D39" s="700" t="s">
        <v>436</v>
      </c>
      <c r="E39" s="701" t="s">
        <v>389</v>
      </c>
      <c r="F39" s="702" t="s">
        <v>390</v>
      </c>
      <c r="G39" s="703"/>
      <c r="H39" s="703"/>
      <c r="I39" s="703"/>
      <c r="J39" s="704"/>
      <c r="K39" s="722" t="s">
        <v>674</v>
      </c>
      <c r="O39" s="487">
        <v>3</v>
      </c>
      <c r="P39" s="497" t="s">
        <v>437</v>
      </c>
    </row>
    <row r="40" spans="4:19" ht="21">
      <c r="D40" s="700"/>
      <c r="E40" s="701"/>
      <c r="F40" s="705" t="s">
        <v>438</v>
      </c>
      <c r="G40" s="706"/>
      <c r="H40" s="706"/>
      <c r="I40" s="706"/>
      <c r="J40" s="707"/>
      <c r="K40" s="723"/>
      <c r="O40" s="487">
        <v>4</v>
      </c>
      <c r="P40" s="497" t="s">
        <v>439</v>
      </c>
    </row>
    <row r="41" spans="4:19">
      <c r="D41" s="498" t="s">
        <v>440</v>
      </c>
      <c r="E41" s="530"/>
      <c r="F41" s="714" t="s">
        <v>441</v>
      </c>
      <c r="G41" s="714"/>
      <c r="H41" s="714"/>
      <c r="I41" s="714"/>
      <c r="J41" s="714"/>
      <c r="K41" s="504"/>
      <c r="L41" s="645"/>
      <c r="M41" s="637"/>
      <c r="P41" s="497"/>
    </row>
    <row r="42" spans="4:19">
      <c r="D42" s="498" t="s">
        <v>442</v>
      </c>
      <c r="E42" s="543"/>
      <c r="F42" s="709" t="s">
        <v>441</v>
      </c>
      <c r="G42" s="709"/>
      <c r="H42" s="709"/>
      <c r="I42" s="709"/>
      <c r="J42" s="709"/>
      <c r="K42" s="504"/>
      <c r="L42" s="645"/>
      <c r="M42" s="637"/>
      <c r="P42" s="497"/>
      <c r="S42" s="185" t="s">
        <v>417</v>
      </c>
    </row>
    <row r="43" spans="4:19">
      <c r="D43" s="498" t="s">
        <v>443</v>
      </c>
      <c r="E43" s="543"/>
      <c r="F43" s="709" t="s">
        <v>441</v>
      </c>
      <c r="G43" s="709"/>
      <c r="H43" s="709"/>
      <c r="I43" s="709"/>
      <c r="J43" s="709"/>
      <c r="K43" s="504"/>
      <c r="L43" s="645"/>
      <c r="M43" s="637"/>
      <c r="O43" s="487">
        <v>5</v>
      </c>
      <c r="P43" s="497" t="s">
        <v>444</v>
      </c>
      <c r="S43" s="185" t="s">
        <v>419</v>
      </c>
    </row>
    <row r="44" spans="4:19">
      <c r="D44" s="498" t="s">
        <v>445</v>
      </c>
      <c r="E44" s="543" t="s">
        <v>413</v>
      </c>
      <c r="F44" s="709" t="s">
        <v>414</v>
      </c>
      <c r="G44" s="709"/>
      <c r="H44" s="709"/>
      <c r="I44" s="709"/>
      <c r="J44" s="709"/>
      <c r="K44" s="533">
        <f>+'COMBUSTIBLES '!E7</f>
        <v>5810.94</v>
      </c>
      <c r="L44" s="654" t="s">
        <v>673</v>
      </c>
      <c r="M44" s="637"/>
      <c r="S44" s="185" t="s">
        <v>412</v>
      </c>
    </row>
    <row r="45" spans="4:19">
      <c r="D45" s="498" t="s">
        <v>446</v>
      </c>
      <c r="E45" s="543" t="s">
        <v>447</v>
      </c>
      <c r="F45" s="709" t="s">
        <v>414</v>
      </c>
      <c r="G45" s="709"/>
      <c r="H45" s="709"/>
      <c r="I45" s="709"/>
      <c r="J45" s="709"/>
      <c r="K45" s="554">
        <f>+'COMBUSTIBLES '!E8</f>
        <v>8.1370000000000005</v>
      </c>
      <c r="L45" s="654" t="s">
        <v>673</v>
      </c>
      <c r="M45" s="637"/>
      <c r="S45" s="185" t="s">
        <v>415</v>
      </c>
    </row>
    <row r="46" spans="4:19">
      <c r="D46" s="498" t="s">
        <v>448</v>
      </c>
      <c r="E46" s="543"/>
      <c r="F46" s="710" t="s">
        <v>449</v>
      </c>
      <c r="G46" s="710"/>
      <c r="H46" s="710"/>
      <c r="I46" s="710"/>
      <c r="J46" s="710"/>
      <c r="K46" s="533">
        <f>+Variables!E27</f>
        <v>5024.59</v>
      </c>
      <c r="L46" s="654" t="s">
        <v>673</v>
      </c>
      <c r="M46" s="637"/>
      <c r="S46" s="185" t="s">
        <v>416</v>
      </c>
    </row>
    <row r="47" spans="4:19">
      <c r="D47" s="498" t="s">
        <v>452</v>
      </c>
      <c r="E47" s="543" t="s">
        <v>453</v>
      </c>
      <c r="F47" s="709" t="s">
        <v>414</v>
      </c>
      <c r="G47" s="709"/>
      <c r="H47" s="709"/>
      <c r="I47" s="709"/>
      <c r="J47" s="709"/>
      <c r="K47" s="533">
        <f>+'COMBUSTIBLES '!B8</f>
        <v>8.1370000000000005</v>
      </c>
      <c r="L47" s="654" t="s">
        <v>673</v>
      </c>
      <c r="M47" s="637"/>
      <c r="S47" s="185" t="s">
        <v>420</v>
      </c>
    </row>
    <row r="48" spans="4:19">
      <c r="D48" s="498" t="s">
        <v>454</v>
      </c>
      <c r="E48" s="543" t="s">
        <v>418</v>
      </c>
      <c r="F48" s="709" t="s">
        <v>414</v>
      </c>
      <c r="G48" s="709"/>
      <c r="H48" s="709"/>
      <c r="I48" s="709"/>
      <c r="J48" s="709"/>
      <c r="K48" s="533">
        <f>+'COMBUSTIBLES '!B7</f>
        <v>5575.55</v>
      </c>
      <c r="L48" s="654" t="s">
        <v>673</v>
      </c>
      <c r="M48" s="637"/>
      <c r="S48" s="185" t="s">
        <v>423</v>
      </c>
    </row>
    <row r="49" spans="4:19">
      <c r="D49" s="498" t="s">
        <v>450</v>
      </c>
      <c r="E49" s="544" t="s">
        <v>451</v>
      </c>
      <c r="F49" s="710" t="s">
        <v>449</v>
      </c>
      <c r="G49" s="710"/>
      <c r="H49" s="710"/>
      <c r="I49" s="710"/>
      <c r="J49" s="710"/>
      <c r="K49" s="533">
        <f>+Variables!E20</f>
        <v>5078.7700000000004</v>
      </c>
      <c r="L49" s="654" t="s">
        <v>673</v>
      </c>
      <c r="M49" s="637"/>
      <c r="S49" s="185" t="s">
        <v>426</v>
      </c>
    </row>
    <row r="50" spans="4:19">
      <c r="D50" s="498" t="s">
        <v>455</v>
      </c>
      <c r="E50" s="543" t="s">
        <v>447</v>
      </c>
      <c r="F50" s="709" t="s">
        <v>456</v>
      </c>
      <c r="G50" s="709"/>
      <c r="H50" s="709"/>
      <c r="I50" s="709"/>
      <c r="J50" s="709"/>
      <c r="K50" s="533">
        <f>+BIODIESEL!E8</f>
        <v>5694.72</v>
      </c>
      <c r="L50" s="654" t="s">
        <v>673</v>
      </c>
      <c r="M50" s="637"/>
    </row>
    <row r="51" spans="4:19">
      <c r="D51" s="498" t="s">
        <v>457</v>
      </c>
      <c r="E51" s="543" t="s">
        <v>421</v>
      </c>
      <c r="F51" s="709" t="s">
        <v>456</v>
      </c>
      <c r="G51" s="709"/>
      <c r="H51" s="709"/>
      <c r="I51" s="709"/>
      <c r="J51" s="709"/>
      <c r="K51" s="533">
        <f>+BIODIESEL!E10</f>
        <v>5935.45</v>
      </c>
      <c r="L51" s="654" t="s">
        <v>673</v>
      </c>
      <c r="M51" s="637"/>
    </row>
    <row r="52" spans="4:19">
      <c r="D52" s="498" t="s">
        <v>458</v>
      </c>
      <c r="E52" s="543" t="s">
        <v>459</v>
      </c>
      <c r="F52" s="709" t="s">
        <v>456</v>
      </c>
      <c r="G52" s="709"/>
      <c r="H52" s="709"/>
      <c r="I52" s="709"/>
      <c r="J52" s="709"/>
      <c r="K52" s="533">
        <f>+BIODIESEL!E14</f>
        <v>8.1370000000000005</v>
      </c>
      <c r="L52" s="654" t="s">
        <v>673</v>
      </c>
      <c r="M52" s="637"/>
    </row>
    <row r="53" spans="4:19">
      <c r="D53" s="498" t="s">
        <v>460</v>
      </c>
      <c r="E53" s="543" t="s">
        <v>461</v>
      </c>
      <c r="F53" s="709" t="s">
        <v>456</v>
      </c>
      <c r="G53" s="709"/>
      <c r="H53" s="709"/>
      <c r="I53" s="709"/>
      <c r="J53" s="709"/>
      <c r="K53" s="533">
        <f>+BIODIESEL!E9</f>
        <v>240.73</v>
      </c>
      <c r="L53" s="654" t="s">
        <v>673</v>
      </c>
      <c r="M53" s="637"/>
    </row>
    <row r="54" spans="4:19">
      <c r="D54" s="498" t="s">
        <v>462</v>
      </c>
      <c r="E54" s="544" t="s">
        <v>451</v>
      </c>
      <c r="F54" s="710" t="s">
        <v>449</v>
      </c>
      <c r="G54" s="710"/>
      <c r="H54" s="710"/>
      <c r="I54" s="710"/>
      <c r="J54" s="710"/>
      <c r="K54" s="533">
        <f>+Variables!E27</f>
        <v>5024.59</v>
      </c>
      <c r="L54" s="654" t="s">
        <v>673</v>
      </c>
      <c r="M54" s="637"/>
    </row>
    <row r="55" spans="4:19">
      <c r="D55" s="498" t="s">
        <v>463</v>
      </c>
      <c r="E55" s="543" t="s">
        <v>447</v>
      </c>
      <c r="F55" s="709" t="s">
        <v>414</v>
      </c>
      <c r="G55" s="709"/>
      <c r="H55" s="709"/>
      <c r="I55" s="709"/>
      <c r="J55" s="709"/>
      <c r="K55" s="533">
        <f>+'COMBUSTIBLES '!E8</f>
        <v>8.1370000000000005</v>
      </c>
      <c r="L55" s="654" t="s">
        <v>673</v>
      </c>
      <c r="M55" s="637"/>
    </row>
    <row r="56" spans="4:19">
      <c r="D56" s="498" t="s">
        <v>464</v>
      </c>
      <c r="E56" s="543" t="s">
        <v>413</v>
      </c>
      <c r="F56" s="709" t="s">
        <v>414</v>
      </c>
      <c r="G56" s="709"/>
      <c r="H56" s="709"/>
      <c r="I56" s="709"/>
      <c r="J56" s="709"/>
      <c r="K56" s="533">
        <f>+'COMBUSTIBLES '!E7</f>
        <v>5810.94</v>
      </c>
      <c r="L56" s="654" t="s">
        <v>673</v>
      </c>
      <c r="M56" s="637"/>
    </row>
    <row r="57" spans="4:19">
      <c r="D57" s="498" t="s">
        <v>465</v>
      </c>
      <c r="E57" s="544" t="s">
        <v>451</v>
      </c>
      <c r="F57" s="710" t="s">
        <v>449</v>
      </c>
      <c r="G57" s="710"/>
      <c r="H57" s="710"/>
      <c r="I57" s="710"/>
      <c r="J57" s="710"/>
      <c r="K57" s="533">
        <f>+Variables!E27</f>
        <v>5024.59</v>
      </c>
      <c r="L57" s="654" t="s">
        <v>673</v>
      </c>
      <c r="M57" s="637"/>
    </row>
    <row r="58" spans="4:19">
      <c r="D58" s="498" t="s">
        <v>466</v>
      </c>
      <c r="E58" s="543" t="s">
        <v>413</v>
      </c>
      <c r="F58" s="709" t="s">
        <v>414</v>
      </c>
      <c r="G58" s="709"/>
      <c r="H58" s="709"/>
      <c r="I58" s="709"/>
      <c r="J58" s="709"/>
      <c r="K58" s="533">
        <f>+'COMBUSTIBLES '!E7</f>
        <v>5810.94</v>
      </c>
      <c r="L58" s="654" t="s">
        <v>673</v>
      </c>
      <c r="M58" s="637"/>
    </row>
    <row r="59" spans="4:19">
      <c r="D59" s="498" t="s">
        <v>467</v>
      </c>
      <c r="E59" s="544" t="s">
        <v>451</v>
      </c>
      <c r="F59" s="710" t="s">
        <v>449</v>
      </c>
      <c r="G59" s="710"/>
      <c r="H59" s="710"/>
      <c r="I59" s="710"/>
      <c r="J59" s="710"/>
      <c r="K59" s="533">
        <f>+Variables!E27</f>
        <v>5024.59</v>
      </c>
      <c r="L59" s="654" t="s">
        <v>673</v>
      </c>
      <c r="M59" s="637"/>
    </row>
    <row r="60" spans="4:19" hidden="1" outlineLevel="1">
      <c r="D60" s="498" t="s">
        <v>468</v>
      </c>
      <c r="E60" s="543" t="s">
        <v>425</v>
      </c>
      <c r="F60" s="709" t="s">
        <v>456</v>
      </c>
      <c r="G60" s="709"/>
      <c r="H60" s="709"/>
      <c r="I60" s="709"/>
      <c r="J60" s="709"/>
      <c r="K60" s="533">
        <f>+BIODIESEL!F10</f>
        <v>6059.96</v>
      </c>
      <c r="L60" s="562"/>
      <c r="M60" s="562"/>
    </row>
    <row r="61" spans="4:19" hidden="1" outlineLevel="1">
      <c r="D61" s="498" t="s">
        <v>469</v>
      </c>
      <c r="E61" s="543" t="s">
        <v>447</v>
      </c>
      <c r="F61" s="709" t="s">
        <v>414</v>
      </c>
      <c r="G61" s="709"/>
      <c r="H61" s="709"/>
      <c r="I61" s="709"/>
      <c r="J61" s="709"/>
      <c r="K61" s="533">
        <f>+'COMBUSTIBLES '!E8</f>
        <v>8.1370000000000005</v>
      </c>
      <c r="L61" s="562"/>
      <c r="M61" s="562"/>
    </row>
    <row r="62" spans="4:19" hidden="1" outlineLevel="1">
      <c r="D62" s="498" t="s">
        <v>470</v>
      </c>
      <c r="E62" s="543" t="s">
        <v>471</v>
      </c>
      <c r="F62" s="709" t="s">
        <v>456</v>
      </c>
      <c r="G62" s="709"/>
      <c r="H62" s="709"/>
      <c r="I62" s="709"/>
      <c r="J62" s="709"/>
      <c r="K62" s="533">
        <f>+BIODIESEL!F8</f>
        <v>5578.5</v>
      </c>
      <c r="L62" s="562"/>
      <c r="M62" s="562"/>
    </row>
    <row r="63" spans="4:19" hidden="1" outlineLevel="1">
      <c r="D63" s="498" t="s">
        <v>472</v>
      </c>
      <c r="E63" s="543" t="s">
        <v>473</v>
      </c>
      <c r="F63" s="709" t="s">
        <v>456</v>
      </c>
      <c r="G63" s="709"/>
      <c r="H63" s="709"/>
      <c r="I63" s="709"/>
      <c r="J63" s="709"/>
      <c r="K63" s="533">
        <f>+BIODIESEL!F9</f>
        <v>481.46</v>
      </c>
      <c r="L63" s="562"/>
      <c r="M63" s="562"/>
    </row>
    <row r="64" spans="4:19" hidden="1" outlineLevel="1">
      <c r="D64" s="498" t="s">
        <v>474</v>
      </c>
      <c r="E64" s="544" t="s">
        <v>451</v>
      </c>
      <c r="F64" s="710" t="s">
        <v>449</v>
      </c>
      <c r="G64" s="710"/>
      <c r="H64" s="710"/>
      <c r="I64" s="710"/>
      <c r="J64" s="710"/>
      <c r="K64" s="533">
        <f>+Variables!E27</f>
        <v>5024.59</v>
      </c>
      <c r="L64" s="562"/>
      <c r="M64" s="562"/>
    </row>
    <row r="65" spans="4:13" collapsed="1">
      <c r="D65" s="498" t="s">
        <v>475</v>
      </c>
      <c r="E65" s="543" t="s">
        <v>447</v>
      </c>
      <c r="F65" s="709" t="s">
        <v>414</v>
      </c>
      <c r="G65" s="709"/>
      <c r="H65" s="709"/>
      <c r="I65" s="709"/>
      <c r="J65" s="709"/>
      <c r="K65" s="533">
        <f>+'COMBUSTIBLES '!E8</f>
        <v>8.1370000000000005</v>
      </c>
      <c r="L65" s="654" t="s">
        <v>673</v>
      </c>
      <c r="M65" s="637"/>
    </row>
    <row r="66" spans="4:13">
      <c r="D66" s="498" t="s">
        <v>476</v>
      </c>
      <c r="E66" s="543" t="s">
        <v>413</v>
      </c>
      <c r="F66" s="709" t="s">
        <v>414</v>
      </c>
      <c r="G66" s="709"/>
      <c r="H66" s="709"/>
      <c r="I66" s="709"/>
      <c r="J66" s="709"/>
      <c r="K66" s="533">
        <f>+'COMBUSTIBLES '!E7</f>
        <v>5810.94</v>
      </c>
      <c r="L66" s="654" t="s">
        <v>673</v>
      </c>
      <c r="M66" s="637"/>
    </row>
    <row r="67" spans="4:13">
      <c r="D67" s="498" t="s">
        <v>477</v>
      </c>
      <c r="E67" s="544" t="s">
        <v>451</v>
      </c>
      <c r="F67" s="710" t="s">
        <v>449</v>
      </c>
      <c r="G67" s="710"/>
      <c r="H67" s="710"/>
      <c r="I67" s="710"/>
      <c r="J67" s="710"/>
      <c r="K67" s="555">
        <f>+Variables!E27</f>
        <v>5024.59</v>
      </c>
      <c r="L67" s="654" t="s">
        <v>673</v>
      </c>
      <c r="M67" s="637"/>
    </row>
    <row r="68" spans="4:13">
      <c r="D68" s="498" t="s">
        <v>478</v>
      </c>
      <c r="E68" s="543" t="s">
        <v>421</v>
      </c>
      <c r="F68" s="709" t="s">
        <v>456</v>
      </c>
      <c r="G68" s="709"/>
      <c r="H68" s="709"/>
      <c r="I68" s="709"/>
      <c r="J68" s="709"/>
      <c r="K68" s="555">
        <f>+BIODIESEL!E10</f>
        <v>5935.45</v>
      </c>
      <c r="L68" s="654" t="s">
        <v>673</v>
      </c>
      <c r="M68" s="637"/>
    </row>
    <row r="69" spans="4:13">
      <c r="D69" s="498" t="s">
        <v>479</v>
      </c>
      <c r="E69" s="543" t="s">
        <v>447</v>
      </c>
      <c r="F69" s="709" t="s">
        <v>456</v>
      </c>
      <c r="G69" s="709"/>
      <c r="H69" s="709"/>
      <c r="I69" s="709"/>
      <c r="J69" s="709"/>
      <c r="K69" s="555">
        <f>+BIODIESEL!E8</f>
        <v>5694.72</v>
      </c>
      <c r="L69" s="654" t="s">
        <v>673</v>
      </c>
      <c r="M69" s="637"/>
    </row>
    <row r="70" spans="4:13">
      <c r="D70" s="498" t="s">
        <v>480</v>
      </c>
      <c r="E70" s="543" t="s">
        <v>461</v>
      </c>
      <c r="F70" s="709" t="s">
        <v>456</v>
      </c>
      <c r="G70" s="709"/>
      <c r="H70" s="709"/>
      <c r="I70" s="709"/>
      <c r="J70" s="709"/>
      <c r="K70" s="555">
        <f>+BIODIESEL!E9</f>
        <v>240.73</v>
      </c>
      <c r="L70" s="654" t="s">
        <v>673</v>
      </c>
      <c r="M70" s="637"/>
    </row>
    <row r="71" spans="4:13">
      <c r="D71" s="498" t="s">
        <v>481</v>
      </c>
      <c r="E71" s="544" t="s">
        <v>451</v>
      </c>
      <c r="F71" s="710" t="s">
        <v>449</v>
      </c>
      <c r="G71" s="710"/>
      <c r="H71" s="710"/>
      <c r="I71" s="710"/>
      <c r="J71" s="710"/>
      <c r="K71" s="555">
        <f>+Variables!E27</f>
        <v>5024.59</v>
      </c>
      <c r="L71" s="654" t="s">
        <v>673</v>
      </c>
      <c r="M71" s="637"/>
    </row>
    <row r="72" spans="4:13">
      <c r="D72" s="498" t="s">
        <v>619</v>
      </c>
      <c r="E72" s="543" t="s">
        <v>413</v>
      </c>
      <c r="F72" s="709" t="s">
        <v>414</v>
      </c>
      <c r="G72" s="709"/>
      <c r="H72" s="709"/>
      <c r="I72" s="709"/>
      <c r="J72" s="709"/>
      <c r="K72" s="555">
        <f>+'COMBUSTIBLES '!E7</f>
        <v>5810.94</v>
      </c>
      <c r="L72" s="654" t="s">
        <v>673</v>
      </c>
      <c r="M72" s="637"/>
    </row>
    <row r="73" spans="4:13">
      <c r="D73" s="498" t="s">
        <v>620</v>
      </c>
      <c r="E73" s="544" t="s">
        <v>451</v>
      </c>
      <c r="F73" s="710" t="s">
        <v>449</v>
      </c>
      <c r="G73" s="710"/>
      <c r="H73" s="710"/>
      <c r="I73" s="710"/>
      <c r="J73" s="710"/>
      <c r="K73" s="533">
        <f>+Variables!E27</f>
        <v>5024.59</v>
      </c>
      <c r="L73" s="654" t="s">
        <v>673</v>
      </c>
      <c r="M73" s="637"/>
    </row>
    <row r="74" spans="4:13">
      <c r="D74" s="498" t="s">
        <v>621</v>
      </c>
      <c r="E74" s="543" t="s">
        <v>447</v>
      </c>
      <c r="F74" s="709" t="s">
        <v>414</v>
      </c>
      <c r="G74" s="709"/>
      <c r="H74" s="709"/>
      <c r="I74" s="709"/>
      <c r="J74" s="709"/>
      <c r="K74" s="533">
        <f>+'COMBUSTIBLES '!E8</f>
        <v>8.1370000000000005</v>
      </c>
      <c r="L74" s="654" t="s">
        <v>673</v>
      </c>
      <c r="M74" s="637"/>
    </row>
    <row r="75" spans="4:13">
      <c r="D75" s="498" t="s">
        <v>622</v>
      </c>
      <c r="E75" s="543"/>
      <c r="F75" s="709" t="s">
        <v>441</v>
      </c>
      <c r="G75" s="709"/>
      <c r="H75" s="709"/>
      <c r="I75" s="709"/>
      <c r="J75" s="709"/>
      <c r="K75" s="504">
        <v>0</v>
      </c>
      <c r="L75" s="645"/>
      <c r="M75" s="637"/>
    </row>
    <row r="76" spans="4:13">
      <c r="D76" s="565" t="s">
        <v>676</v>
      </c>
      <c r="E76" s="563"/>
      <c r="F76" s="720" t="s">
        <v>449</v>
      </c>
      <c r="G76" s="720"/>
      <c r="H76" s="720"/>
      <c r="I76" s="720"/>
      <c r="J76" s="720"/>
      <c r="K76" s="564">
        <f>+'COMBUSTIBLES '!E7</f>
        <v>5810.94</v>
      </c>
      <c r="L76" s="654" t="s">
        <v>673</v>
      </c>
      <c r="M76" s="637"/>
    </row>
    <row r="77" spans="4:13">
      <c r="D77" s="498" t="s">
        <v>677</v>
      </c>
      <c r="E77" s="543"/>
      <c r="F77" s="711"/>
      <c r="G77" s="712"/>
      <c r="H77" s="712"/>
      <c r="I77" s="713"/>
      <c r="J77" s="561"/>
      <c r="K77" s="533">
        <f>+Variables!E27</f>
        <v>5024.59</v>
      </c>
      <c r="L77" s="654" t="s">
        <v>673</v>
      </c>
      <c r="M77" s="637"/>
    </row>
    <row r="78" spans="4:13">
      <c r="D78" s="498" t="s">
        <v>678</v>
      </c>
      <c r="E78" s="543"/>
      <c r="F78" s="710" t="s">
        <v>449</v>
      </c>
      <c r="G78" s="710"/>
      <c r="H78" s="710"/>
      <c r="I78" s="710"/>
      <c r="J78" s="710"/>
      <c r="K78" s="533">
        <f>+'COMBUSTIBLES '!E8</f>
        <v>8.1370000000000005</v>
      </c>
      <c r="L78" s="654" t="s">
        <v>673</v>
      </c>
      <c r="M78" s="637"/>
    </row>
    <row r="79" spans="4:13">
      <c r="D79" s="498" t="s">
        <v>679</v>
      </c>
      <c r="E79" s="543"/>
      <c r="F79" s="710" t="s">
        <v>449</v>
      </c>
      <c r="G79" s="710"/>
      <c r="H79" s="710"/>
      <c r="I79" s="710"/>
      <c r="J79" s="710"/>
      <c r="K79" s="533">
        <f>+'COMBUSTIBLES '!B7</f>
        <v>5575.55</v>
      </c>
      <c r="L79" s="654" t="s">
        <v>673</v>
      </c>
      <c r="M79" s="637"/>
    </row>
    <row r="80" spans="4:13">
      <c r="D80" s="498" t="s">
        <v>680</v>
      </c>
      <c r="E80" s="543"/>
      <c r="F80" s="711"/>
      <c r="G80" s="712"/>
      <c r="H80" s="712"/>
      <c r="I80" s="713"/>
      <c r="J80" s="561"/>
      <c r="K80" s="533">
        <f>+Variables!E22</f>
        <v>5078.7700000000004</v>
      </c>
      <c r="L80" s="654" t="s">
        <v>673</v>
      </c>
      <c r="M80" s="637"/>
    </row>
    <row r="81" spans="4:13">
      <c r="D81" s="498" t="s">
        <v>681</v>
      </c>
      <c r="E81" s="543"/>
      <c r="F81" s="711"/>
      <c r="G81" s="712"/>
      <c r="H81" s="712"/>
      <c r="I81" s="713"/>
      <c r="J81" s="561"/>
      <c r="K81" s="533">
        <f>+'COMBUSTIBLES '!B8</f>
        <v>8.1370000000000005</v>
      </c>
      <c r="L81" s="654" t="s">
        <v>729</v>
      </c>
      <c r="M81" s="637"/>
    </row>
    <row r="82" spans="4:13">
      <c r="D82" s="498" t="s">
        <v>682</v>
      </c>
      <c r="E82" s="543"/>
      <c r="F82" s="711"/>
      <c r="G82" s="712"/>
      <c r="H82" s="712"/>
      <c r="I82" s="713"/>
      <c r="J82" s="561"/>
      <c r="K82" s="533">
        <f>+'COMBUSTIBLES '!E10</f>
        <v>71.510000000000005</v>
      </c>
      <c r="L82" s="654" t="s">
        <v>673</v>
      </c>
      <c r="M82" s="637"/>
    </row>
    <row r="83" spans="4:13">
      <c r="D83" s="498" t="s">
        <v>683</v>
      </c>
      <c r="E83" s="543"/>
      <c r="F83" s="711"/>
      <c r="G83" s="712"/>
      <c r="H83" s="712"/>
      <c r="I83" s="713"/>
      <c r="J83" s="561"/>
      <c r="K83" s="533">
        <f>+'COMBUSTIBLES '!E10</f>
        <v>71.510000000000005</v>
      </c>
      <c r="L83" s="654" t="s">
        <v>673</v>
      </c>
      <c r="M83" s="637"/>
    </row>
    <row r="84" spans="4:13">
      <c r="D84" s="498" t="s">
        <v>688</v>
      </c>
      <c r="E84" s="543"/>
      <c r="F84" s="711"/>
      <c r="G84" s="712"/>
      <c r="H84" s="712"/>
      <c r="I84" s="713"/>
      <c r="J84" s="571"/>
      <c r="K84" s="533">
        <f>+BIODIESEL!E10</f>
        <v>5935.45</v>
      </c>
      <c r="L84" s="654" t="s">
        <v>673</v>
      </c>
      <c r="M84" s="637"/>
    </row>
    <row r="85" spans="4:13">
      <c r="D85" s="498" t="s">
        <v>689</v>
      </c>
      <c r="E85" s="543"/>
      <c r="F85" s="711"/>
      <c r="G85" s="712"/>
      <c r="H85" s="712"/>
      <c r="I85" s="713"/>
      <c r="J85" s="571"/>
      <c r="K85" s="533">
        <f>+Variables!E27</f>
        <v>5024.59</v>
      </c>
      <c r="L85" s="654" t="s">
        <v>673</v>
      </c>
      <c r="M85" s="637"/>
    </row>
    <row r="86" spans="4:13">
      <c r="D86" s="498" t="s">
        <v>690</v>
      </c>
      <c r="E86" s="543"/>
      <c r="F86" s="711"/>
      <c r="G86" s="712"/>
      <c r="H86" s="712"/>
      <c r="I86" s="713"/>
      <c r="J86" s="571"/>
      <c r="K86" s="533">
        <f>+K83</f>
        <v>71.510000000000005</v>
      </c>
      <c r="L86" s="654" t="s">
        <v>673</v>
      </c>
      <c r="M86" s="637"/>
    </row>
    <row r="87" spans="4:13">
      <c r="D87" s="498" t="s">
        <v>691</v>
      </c>
      <c r="E87" s="543"/>
      <c r="F87" s="711"/>
      <c r="G87" s="712"/>
      <c r="H87" s="712"/>
      <c r="I87" s="713"/>
      <c r="J87" s="571"/>
      <c r="K87" s="533">
        <f>+BIODIESEL!E9</f>
        <v>240.73</v>
      </c>
      <c r="L87" s="654" t="s">
        <v>673</v>
      </c>
      <c r="M87" s="637"/>
    </row>
    <row r="88" spans="4:13">
      <c r="D88" s="498" t="s">
        <v>692</v>
      </c>
      <c r="E88" s="543"/>
      <c r="F88" s="711"/>
      <c r="G88" s="712"/>
      <c r="H88" s="712"/>
      <c r="I88" s="713"/>
      <c r="J88" s="571"/>
      <c r="K88" s="533">
        <f>+BIODIESEL!E8</f>
        <v>5694.72</v>
      </c>
      <c r="L88" s="654" t="s">
        <v>673</v>
      </c>
      <c r="M88" s="637"/>
    </row>
    <row r="89" spans="4:13">
      <c r="D89" s="498" t="s">
        <v>697</v>
      </c>
      <c r="E89" s="543"/>
      <c r="F89" s="711"/>
      <c r="G89" s="712"/>
      <c r="H89" s="712"/>
      <c r="I89" s="713"/>
      <c r="J89" s="643"/>
      <c r="K89" s="533">
        <f>+BIODIESEL!E10</f>
        <v>5935.45</v>
      </c>
      <c r="L89" s="654" t="s">
        <v>673</v>
      </c>
      <c r="M89" s="637"/>
    </row>
    <row r="90" spans="4:13">
      <c r="D90" s="498" t="s">
        <v>698</v>
      </c>
      <c r="E90" s="543"/>
      <c r="F90" s="711"/>
      <c r="G90" s="712"/>
      <c r="H90" s="712"/>
      <c r="I90" s="713"/>
      <c r="J90" s="643"/>
      <c r="K90" s="533">
        <f>+Variables!E27</f>
        <v>5024.59</v>
      </c>
      <c r="L90" s="654" t="s">
        <v>673</v>
      </c>
      <c r="M90" s="637"/>
    </row>
    <row r="91" spans="4:13">
      <c r="D91" s="498" t="s">
        <v>699</v>
      </c>
      <c r="E91" s="543"/>
      <c r="F91" s="711"/>
      <c r="G91" s="712"/>
      <c r="H91" s="712"/>
      <c r="I91" s="713"/>
      <c r="J91" s="643"/>
      <c r="K91" s="533">
        <f>+K86</f>
        <v>71.510000000000005</v>
      </c>
      <c r="L91" s="654" t="s">
        <v>673</v>
      </c>
      <c r="M91" s="637"/>
    </row>
    <row r="92" spans="4:13">
      <c r="D92" s="498" t="s">
        <v>707</v>
      </c>
      <c r="E92" s="543"/>
      <c r="F92" s="711"/>
      <c r="G92" s="712"/>
      <c r="H92" s="712"/>
      <c r="I92" s="713"/>
      <c r="J92" s="643"/>
      <c r="K92" s="533">
        <f>+BIODIESEL!E9</f>
        <v>240.73</v>
      </c>
      <c r="L92" s="654" t="s">
        <v>673</v>
      </c>
      <c r="M92" s="637"/>
    </row>
    <row r="93" spans="4:13">
      <c r="D93" s="498" t="s">
        <v>700</v>
      </c>
      <c r="E93" s="543"/>
      <c r="F93" s="711"/>
      <c r="G93" s="712"/>
      <c r="H93" s="712"/>
      <c r="I93" s="713"/>
      <c r="J93" s="643"/>
      <c r="K93" s="533">
        <f>+BIODIESEL!E8</f>
        <v>5694.72</v>
      </c>
      <c r="L93" s="654" t="s">
        <v>673</v>
      </c>
      <c r="M93" s="637"/>
    </row>
    <row r="94" spans="4:13" s="505" customFormat="1">
      <c r="D94" s="583" t="s">
        <v>712</v>
      </c>
      <c r="E94" s="638"/>
      <c r="F94" s="639"/>
      <c r="G94" s="639"/>
      <c r="H94" s="639"/>
      <c r="I94" s="639" t="s">
        <v>159</v>
      </c>
      <c r="J94" s="640"/>
      <c r="K94" s="641">
        <f>+BIODIESEL!E10</f>
        <v>5935.45</v>
      </c>
      <c r="L94" s="646" t="s">
        <v>673</v>
      </c>
    </row>
    <row r="95" spans="4:13">
      <c r="D95" s="583" t="s">
        <v>714</v>
      </c>
      <c r="E95" s="638"/>
      <c r="F95" s="639"/>
      <c r="G95" s="639"/>
      <c r="H95" s="639"/>
      <c r="I95" s="639"/>
      <c r="J95" s="640"/>
      <c r="K95" s="641">
        <f>+K85</f>
        <v>5024.59</v>
      </c>
      <c r="L95" s="654" t="s">
        <v>673</v>
      </c>
    </row>
    <row r="96" spans="4:13">
      <c r="D96" s="583" t="s">
        <v>715</v>
      </c>
      <c r="E96" s="563"/>
      <c r="F96" s="581"/>
      <c r="G96" s="581"/>
      <c r="H96" s="581"/>
      <c r="I96" s="581"/>
      <c r="J96" s="582"/>
      <c r="K96" s="564">
        <f>+BIODIESEL!E14</f>
        <v>8.1370000000000005</v>
      </c>
      <c r="L96" s="654" t="s">
        <v>673</v>
      </c>
    </row>
    <row r="97" spans="2:12" s="505" customFormat="1">
      <c r="D97" s="583" t="s">
        <v>716</v>
      </c>
      <c r="E97" s="638"/>
      <c r="F97" s="639"/>
      <c r="G97" s="639"/>
      <c r="H97" s="639"/>
      <c r="I97" s="639"/>
      <c r="J97" s="640"/>
      <c r="K97" s="641">
        <v>0</v>
      </c>
      <c r="L97" s="646" t="s">
        <v>673</v>
      </c>
    </row>
    <row r="98" spans="2:12">
      <c r="D98" s="583" t="s">
        <v>717</v>
      </c>
      <c r="E98" s="563"/>
      <c r="F98" s="581"/>
      <c r="G98" s="581"/>
      <c r="H98" s="581"/>
      <c r="I98" s="581"/>
      <c r="J98" s="582"/>
      <c r="K98" s="564">
        <f>+'COMBUSTIBLES '!B7</f>
        <v>5575.55</v>
      </c>
      <c r="L98" s="654" t="s">
        <v>673</v>
      </c>
    </row>
    <row r="99" spans="2:12">
      <c r="D99" s="583" t="s">
        <v>718</v>
      </c>
      <c r="E99" s="563"/>
      <c r="F99" s="581"/>
      <c r="G99" s="581"/>
      <c r="H99" s="581"/>
      <c r="I99" s="581"/>
      <c r="J99" s="582"/>
      <c r="K99" s="564">
        <f>+'SAN-ANDRES + GENERACION'!C8</f>
        <v>4996.88</v>
      </c>
      <c r="L99" s="654" t="s">
        <v>673</v>
      </c>
    </row>
    <row r="100" spans="2:12">
      <c r="D100" s="583" t="s">
        <v>719</v>
      </c>
      <c r="E100" s="563"/>
      <c r="F100" s="581"/>
      <c r="G100" s="581"/>
      <c r="H100" s="581"/>
      <c r="I100" s="581"/>
      <c r="J100" s="582"/>
      <c r="K100" s="564">
        <f>+'COMBUSTIBLES '!B10</f>
        <v>71.510000000000005</v>
      </c>
      <c r="L100" s="654" t="s">
        <v>673</v>
      </c>
    </row>
    <row r="101" spans="2:12">
      <c r="D101" s="583" t="s">
        <v>720</v>
      </c>
      <c r="E101" s="563"/>
      <c r="F101" s="581"/>
      <c r="G101" s="581"/>
      <c r="H101" s="581"/>
      <c r="I101" s="581"/>
      <c r="J101" s="582"/>
      <c r="K101" s="564">
        <f>+BIODIESEL!E9</f>
        <v>240.73</v>
      </c>
      <c r="L101" s="654" t="s">
        <v>673</v>
      </c>
    </row>
    <row r="102" spans="2:12">
      <c r="D102" s="583" t="s">
        <v>721</v>
      </c>
      <c r="E102" s="563"/>
      <c r="F102" s="581"/>
      <c r="G102" s="581"/>
      <c r="H102" s="581"/>
      <c r="I102" s="581"/>
      <c r="J102" s="582"/>
      <c r="K102" s="564">
        <f>+'SAN-ANDRES + GENERACION'!F8</f>
        <v>5371.3337999999985</v>
      </c>
      <c r="L102" s="654" t="s">
        <v>673</v>
      </c>
    </row>
    <row r="103" spans="2:12">
      <c r="D103" s="583" t="s">
        <v>722</v>
      </c>
      <c r="E103" s="563"/>
      <c r="F103" s="581"/>
      <c r="G103" s="581"/>
      <c r="H103" s="581"/>
      <c r="I103" s="581"/>
      <c r="J103" s="582"/>
      <c r="K103" s="564">
        <f>+'SAN-ANDRES + GENERACION'!H11</f>
        <v>5130.603799999999</v>
      </c>
      <c r="L103" s="654" t="s">
        <v>673</v>
      </c>
    </row>
    <row r="104" spans="2:12">
      <c r="D104" s="583" t="s">
        <v>723</v>
      </c>
      <c r="E104" s="563"/>
      <c r="F104" s="581"/>
      <c r="G104" s="581"/>
      <c r="H104" s="581"/>
      <c r="I104" s="581"/>
      <c r="J104" s="582"/>
      <c r="K104" s="564">
        <f>+BIODIESEL!E8</f>
        <v>5694.72</v>
      </c>
      <c r="L104" s="654" t="s">
        <v>673</v>
      </c>
    </row>
    <row r="105" spans="2:12">
      <c r="D105" s="583" t="s">
        <v>724</v>
      </c>
      <c r="E105" s="563"/>
      <c r="F105" s="581"/>
      <c r="G105" s="581"/>
      <c r="H105" s="581"/>
      <c r="I105" s="581"/>
      <c r="J105" s="582"/>
      <c r="K105" s="564">
        <f>+BIODIESEL!E8</f>
        <v>5694.72</v>
      </c>
      <c r="L105" s="654" t="s">
        <v>673</v>
      </c>
    </row>
    <row r="106" spans="2:12">
      <c r="D106" s="583" t="s">
        <v>730</v>
      </c>
      <c r="E106" s="563"/>
      <c r="F106" s="581"/>
      <c r="G106" s="581"/>
      <c r="H106" s="581"/>
      <c r="I106" s="581"/>
      <c r="J106" s="582"/>
      <c r="K106" s="564">
        <f>+'DIESEL MARINO '!D30</f>
        <v>5235.3099999999995</v>
      </c>
      <c r="L106" s="654" t="s">
        <v>673</v>
      </c>
    </row>
    <row r="107" spans="2:12">
      <c r="D107" s="583"/>
      <c r="E107" s="563"/>
      <c r="F107" s="581"/>
      <c r="G107" s="581"/>
      <c r="H107" s="581"/>
      <c r="I107" s="581"/>
      <c r="J107" s="582"/>
      <c r="K107" s="564"/>
      <c r="L107" s="645"/>
    </row>
    <row r="108" spans="2:12">
      <c r="D108" s="583"/>
      <c r="E108" s="563"/>
      <c r="F108" s="581"/>
      <c r="G108" s="581"/>
      <c r="H108" s="581"/>
      <c r="I108" s="581"/>
      <c r="J108" s="582"/>
      <c r="K108" s="564"/>
      <c r="L108" s="645"/>
    </row>
    <row r="109" spans="2:12">
      <c r="D109" s="583"/>
      <c r="E109" s="563"/>
      <c r="F109" s="581"/>
      <c r="G109" s="581"/>
      <c r="H109" s="581"/>
      <c r="I109" s="581"/>
      <c r="J109" s="582"/>
      <c r="K109" s="564"/>
      <c r="L109" s="645"/>
    </row>
    <row r="110" spans="2:12">
      <c r="D110" s="583"/>
      <c r="E110" s="563"/>
      <c r="F110" s="581"/>
      <c r="G110" s="581"/>
      <c r="H110" s="581"/>
      <c r="I110" s="581"/>
      <c r="J110" s="582"/>
      <c r="K110" s="564"/>
      <c r="L110" s="645"/>
    </row>
    <row r="111" spans="2:12" ht="36">
      <c r="B111" s="486">
        <v>2</v>
      </c>
      <c r="D111" s="487" t="s">
        <v>482</v>
      </c>
    </row>
    <row r="113" spans="4:11" ht="21">
      <c r="D113" s="489" t="s">
        <v>388</v>
      </c>
      <c r="E113" s="490" t="s">
        <v>389</v>
      </c>
      <c r="F113" s="491" t="s">
        <v>390</v>
      </c>
    </row>
    <row r="114" spans="4:11" ht="21">
      <c r="D114" s="489"/>
      <c r="E114" s="490"/>
      <c r="F114" s="491" t="s">
        <v>438</v>
      </c>
    </row>
    <row r="115" spans="4:11">
      <c r="D115" s="495" t="s">
        <v>483</v>
      </c>
      <c r="E115" s="528" t="s">
        <v>484</v>
      </c>
      <c r="F115" s="709" t="s">
        <v>414</v>
      </c>
      <c r="G115" s="709"/>
      <c r="H115" s="709"/>
      <c r="I115" s="709"/>
      <c r="J115" s="709"/>
      <c r="K115" s="524">
        <f>+'COMBUSTIBLES '!D7</f>
        <v>7270.2889821668068</v>
      </c>
    </row>
    <row r="116" spans="4:11">
      <c r="D116" s="495" t="s">
        <v>485</v>
      </c>
      <c r="E116" s="528" t="s">
        <v>486</v>
      </c>
      <c r="F116" s="709" t="s">
        <v>414</v>
      </c>
      <c r="G116" s="709"/>
      <c r="H116" s="709"/>
      <c r="I116" s="709"/>
      <c r="J116" s="709"/>
      <c r="K116" s="524">
        <f>+'COMBUSTIBLES '!G7</f>
        <v>7511.92</v>
      </c>
    </row>
    <row r="117" spans="4:11">
      <c r="D117" s="494" t="s">
        <v>487</v>
      </c>
      <c r="E117" s="500"/>
      <c r="F117" s="719" t="s">
        <v>488</v>
      </c>
      <c r="G117" s="719"/>
      <c r="H117" s="719"/>
      <c r="I117" s="719"/>
      <c r="J117" s="719"/>
    </row>
    <row r="118" spans="4:11">
      <c r="D118" s="487" t="s">
        <v>633</v>
      </c>
      <c r="E118" s="488" t="s">
        <v>634</v>
      </c>
      <c r="K118" s="557" t="s">
        <v>675</v>
      </c>
    </row>
    <row r="119" spans="4:11" ht="21">
      <c r="D119" s="491" t="s">
        <v>489</v>
      </c>
      <c r="E119" s="488" t="s">
        <v>635</v>
      </c>
    </row>
    <row r="120" spans="4:11">
      <c r="D120" s="497" t="s">
        <v>490</v>
      </c>
    </row>
    <row r="121" spans="4:11">
      <c r="D121" s="497" t="s">
        <v>491</v>
      </c>
    </row>
    <row r="122" spans="4:11">
      <c r="D122" s="497"/>
    </row>
    <row r="123" spans="4:11">
      <c r="D123" s="497" t="s">
        <v>492</v>
      </c>
    </row>
    <row r="124" spans="4:11">
      <c r="D124" s="497"/>
    </row>
    <row r="125" spans="4:11">
      <c r="D125" s="497"/>
    </row>
    <row r="126" spans="4:11" ht="21">
      <c r="D126" s="489" t="s">
        <v>493</v>
      </c>
    </row>
    <row r="127" spans="4:11">
      <c r="D127" s="497" t="s">
        <v>494</v>
      </c>
    </row>
    <row r="128" spans="4:11">
      <c r="D128" s="497" t="s">
        <v>429</v>
      </c>
    </row>
    <row r="129" spans="4:12">
      <c r="D129" s="487" t="s">
        <v>430</v>
      </c>
    </row>
    <row r="130" spans="4:12">
      <c r="D130" s="487" t="s">
        <v>431</v>
      </c>
    </row>
    <row r="131" spans="4:12">
      <c r="D131" s="511" t="s">
        <v>643</v>
      </c>
    </row>
    <row r="132" spans="4:12">
      <c r="D132" s="487" t="s">
        <v>433</v>
      </c>
    </row>
    <row r="135" spans="4:12" ht="21">
      <c r="D135" s="700" t="s">
        <v>436</v>
      </c>
      <c r="E135" s="701" t="s">
        <v>389</v>
      </c>
      <c r="F135" s="702" t="s">
        <v>390</v>
      </c>
      <c r="G135" s="703"/>
      <c r="H135" s="703"/>
      <c r="I135" s="703"/>
      <c r="J135" s="704"/>
    </row>
    <row r="136" spans="4:12" ht="21">
      <c r="D136" s="700"/>
      <c r="E136" s="701"/>
      <c r="F136" s="705" t="s">
        <v>438</v>
      </c>
      <c r="G136" s="706"/>
      <c r="H136" s="706"/>
      <c r="I136" s="706"/>
      <c r="J136" s="707"/>
    </row>
    <row r="137" spans="4:12" ht="15" customHeight="1">
      <c r="D137" s="501" t="s">
        <v>495</v>
      </c>
      <c r="E137" s="502"/>
      <c r="F137" s="716" t="s">
        <v>496</v>
      </c>
      <c r="G137" s="717"/>
      <c r="H137" s="717"/>
      <c r="I137" s="717"/>
      <c r="J137" s="718"/>
      <c r="K137" s="559">
        <v>6543.55</v>
      </c>
    </row>
    <row r="138" spans="4:12">
      <c r="D138" s="503" t="s">
        <v>497</v>
      </c>
      <c r="E138" s="531">
        <f>+$K$55</f>
        <v>8.1370000000000005</v>
      </c>
      <c r="F138" s="716"/>
      <c r="G138" s="717"/>
      <c r="H138" s="717"/>
      <c r="I138" s="717"/>
      <c r="J138" s="718"/>
      <c r="K138" s="550">
        <v>7.9</v>
      </c>
      <c r="L138" s="550"/>
    </row>
    <row r="139" spans="4:12">
      <c r="D139" s="503" t="s">
        <v>498</v>
      </c>
      <c r="E139" s="531">
        <f>+$K$55</f>
        <v>8.1370000000000005</v>
      </c>
      <c r="F139" s="716"/>
      <c r="G139" s="717"/>
      <c r="H139" s="717"/>
      <c r="I139" s="717"/>
      <c r="J139" s="718"/>
      <c r="K139" s="487">
        <v>7.9</v>
      </c>
      <c r="L139" s="550"/>
    </row>
    <row r="140" spans="4:12">
      <c r="D140" s="503" t="s">
        <v>499</v>
      </c>
      <c r="E140" s="530">
        <v>0</v>
      </c>
      <c r="F140" s="716"/>
      <c r="G140" s="717"/>
      <c r="H140" s="717"/>
      <c r="I140" s="717"/>
      <c r="J140" s="718"/>
      <c r="K140" s="487">
        <v>0</v>
      </c>
      <c r="L140" s="550"/>
    </row>
    <row r="141" spans="4:12">
      <c r="D141" s="501" t="s">
        <v>500</v>
      </c>
      <c r="E141" s="530" t="s">
        <v>501</v>
      </c>
      <c r="F141" s="716" t="s">
        <v>502</v>
      </c>
      <c r="G141" s="717"/>
      <c r="H141" s="717"/>
      <c r="I141" s="717"/>
      <c r="J141" s="718"/>
      <c r="K141" s="507" t="e">
        <f>+#REF!</f>
        <v>#REF!</v>
      </c>
      <c r="L141" s="550"/>
    </row>
    <row r="142" spans="4:12">
      <c r="D142" s="510" t="s">
        <v>623</v>
      </c>
      <c r="E142" s="530"/>
      <c r="F142" s="710" t="s">
        <v>449</v>
      </c>
      <c r="G142" s="710"/>
      <c r="H142" s="710"/>
      <c r="I142" s="710"/>
      <c r="J142" s="710"/>
      <c r="K142" s="556">
        <f>+Variables!E23</f>
        <v>7107.81</v>
      </c>
      <c r="L142" s="550"/>
    </row>
    <row r="143" spans="4:12">
      <c r="D143" s="503"/>
      <c r="E143" s="532"/>
      <c r="F143" s="716"/>
      <c r="G143" s="717"/>
      <c r="H143" s="717"/>
      <c r="I143" s="717"/>
      <c r="J143" s="718"/>
    </row>
    <row r="144" spans="4:12">
      <c r="D144" s="503" t="s">
        <v>503</v>
      </c>
      <c r="E144" s="530" t="s">
        <v>486</v>
      </c>
      <c r="F144" s="716" t="s">
        <v>504</v>
      </c>
      <c r="G144" s="717"/>
      <c r="H144" s="717"/>
      <c r="I144" s="717"/>
      <c r="J144" s="718"/>
      <c r="K144" s="507">
        <f>+'COMBUSTIBLES '!G7</f>
        <v>7511.92</v>
      </c>
      <c r="L144" s="550"/>
    </row>
    <row r="145" spans="2:12">
      <c r="D145" s="503" t="s">
        <v>505</v>
      </c>
      <c r="E145" s="530">
        <v>0</v>
      </c>
      <c r="F145" s="716"/>
      <c r="G145" s="717"/>
      <c r="H145" s="717"/>
      <c r="I145" s="717"/>
      <c r="J145" s="718"/>
      <c r="K145" s="487">
        <v>0</v>
      </c>
    </row>
    <row r="146" spans="2:12">
      <c r="D146" s="501" t="s">
        <v>506</v>
      </c>
      <c r="E146" s="530"/>
      <c r="F146" s="710" t="s">
        <v>449</v>
      </c>
      <c r="G146" s="710"/>
      <c r="H146" s="710"/>
      <c r="I146" s="710"/>
      <c r="J146" s="710"/>
      <c r="K146" s="558">
        <f>+K142</f>
        <v>7107.81</v>
      </c>
      <c r="L146" s="550"/>
    </row>
    <row r="147" spans="2:12">
      <c r="D147" s="503" t="s">
        <v>507</v>
      </c>
      <c r="E147" s="531">
        <f>+$K$55</f>
        <v>8.1370000000000005</v>
      </c>
      <c r="F147" s="716"/>
      <c r="G147" s="717"/>
      <c r="H147" s="717"/>
      <c r="I147" s="717"/>
      <c r="J147" s="718"/>
      <c r="K147" s="487">
        <v>7.9</v>
      </c>
      <c r="L147" s="550"/>
    </row>
    <row r="148" spans="2:12">
      <c r="D148" s="504" t="s">
        <v>508</v>
      </c>
      <c r="E148" s="530" t="s">
        <v>501</v>
      </c>
      <c r="F148" s="716" t="s">
        <v>502</v>
      </c>
      <c r="G148" s="717"/>
      <c r="H148" s="717"/>
      <c r="I148" s="717"/>
      <c r="J148" s="718"/>
      <c r="K148" s="507" t="e">
        <f>+#REF!</f>
        <v>#REF!</v>
      </c>
      <c r="L148" s="550"/>
    </row>
    <row r="152" spans="2:12" ht="36">
      <c r="B152" s="486">
        <v>3</v>
      </c>
      <c r="D152" s="487" t="s">
        <v>509</v>
      </c>
    </row>
    <row r="154" spans="2:12" ht="21">
      <c r="D154" s="489" t="s">
        <v>388</v>
      </c>
      <c r="E154" s="490" t="s">
        <v>389</v>
      </c>
      <c r="F154" s="491" t="s">
        <v>390</v>
      </c>
    </row>
    <row r="155" spans="2:12" ht="21">
      <c r="D155" s="489"/>
      <c r="E155" s="490"/>
      <c r="F155" s="491" t="s">
        <v>617</v>
      </c>
    </row>
    <row r="156" spans="2:12">
      <c r="D156" s="495" t="s">
        <v>510</v>
      </c>
      <c r="E156" s="493" t="s">
        <v>511</v>
      </c>
      <c r="F156" s="709" t="s">
        <v>512</v>
      </c>
      <c r="G156" s="709"/>
      <c r="H156" s="709"/>
      <c r="I156" s="709"/>
      <c r="J156" s="709"/>
    </row>
    <row r="157" spans="2:12">
      <c r="D157" s="495" t="s">
        <v>513</v>
      </c>
      <c r="E157" s="493" t="s">
        <v>514</v>
      </c>
      <c r="F157" s="709" t="s">
        <v>512</v>
      </c>
      <c r="G157" s="709"/>
      <c r="H157" s="709"/>
      <c r="I157" s="709"/>
      <c r="J157" s="709"/>
    </row>
    <row r="160" spans="2:12" ht="21">
      <c r="D160" s="489" t="s">
        <v>515</v>
      </c>
    </row>
    <row r="161" spans="4:10">
      <c r="D161" s="497" t="s">
        <v>516</v>
      </c>
    </row>
    <row r="162" spans="4:10">
      <c r="D162" s="497" t="s">
        <v>429</v>
      </c>
    </row>
    <row r="163" spans="4:10">
      <c r="D163" s="487" t="s">
        <v>430</v>
      </c>
    </row>
    <row r="164" spans="4:10">
      <c r="D164" s="487" t="s">
        <v>431</v>
      </c>
    </row>
    <row r="165" spans="4:10">
      <c r="D165" s="487" t="s">
        <v>517</v>
      </c>
    </row>
    <row r="166" spans="4:10">
      <c r="D166" s="487" t="s">
        <v>433</v>
      </c>
    </row>
    <row r="169" spans="4:10" ht="21">
      <c r="D169" s="700" t="s">
        <v>436</v>
      </c>
      <c r="E169" s="701" t="s">
        <v>389</v>
      </c>
      <c r="F169" s="702" t="s">
        <v>390</v>
      </c>
      <c r="G169" s="703"/>
      <c r="H169" s="703"/>
      <c r="I169" s="703"/>
      <c r="J169" s="704"/>
    </row>
    <row r="170" spans="4:10" ht="21">
      <c r="D170" s="700"/>
      <c r="E170" s="701"/>
      <c r="F170" s="705" t="s">
        <v>518</v>
      </c>
      <c r="G170" s="706"/>
      <c r="H170" s="706"/>
      <c r="I170" s="706"/>
      <c r="J170" s="707"/>
    </row>
    <row r="171" spans="4:10">
      <c r="D171" s="501" t="s">
        <v>519</v>
      </c>
      <c r="E171" s="499" t="s">
        <v>447</v>
      </c>
      <c r="F171" s="709" t="s">
        <v>520</v>
      </c>
      <c r="G171" s="709"/>
      <c r="H171" s="709"/>
      <c r="I171" s="709"/>
      <c r="J171" s="709"/>
    </row>
    <row r="172" spans="4:10">
      <c r="D172" s="501" t="s">
        <v>521</v>
      </c>
      <c r="E172" s="499" t="s">
        <v>461</v>
      </c>
      <c r="F172" s="709" t="s">
        <v>522</v>
      </c>
      <c r="G172" s="709"/>
      <c r="H172" s="709"/>
      <c r="I172" s="709"/>
      <c r="J172" s="709"/>
    </row>
    <row r="173" spans="4:10">
      <c r="D173" s="501" t="s">
        <v>523</v>
      </c>
      <c r="E173" s="499" t="s">
        <v>418</v>
      </c>
      <c r="F173" s="709" t="s">
        <v>524</v>
      </c>
      <c r="G173" s="709"/>
      <c r="H173" s="709"/>
      <c r="I173" s="709"/>
      <c r="J173" s="709"/>
    </row>
    <row r="174" spans="4:10">
      <c r="D174" s="501" t="s">
        <v>525</v>
      </c>
      <c r="E174" s="499" t="s">
        <v>413</v>
      </c>
      <c r="F174" s="709" t="s">
        <v>524</v>
      </c>
      <c r="G174" s="709"/>
      <c r="H174" s="709"/>
      <c r="I174" s="709"/>
      <c r="J174" s="709"/>
    </row>
    <row r="175" spans="4:10">
      <c r="D175" s="501" t="s">
        <v>526</v>
      </c>
      <c r="E175" s="499" t="s">
        <v>471</v>
      </c>
      <c r="F175" s="709" t="s">
        <v>527</v>
      </c>
      <c r="G175" s="709"/>
      <c r="H175" s="709"/>
      <c r="I175" s="709"/>
      <c r="J175" s="709"/>
    </row>
    <row r="176" spans="4:10">
      <c r="D176" s="501" t="s">
        <v>528</v>
      </c>
      <c r="E176" s="499" t="s">
        <v>529</v>
      </c>
      <c r="F176" s="709" t="s">
        <v>527</v>
      </c>
      <c r="G176" s="709"/>
      <c r="H176" s="709"/>
      <c r="I176" s="709"/>
      <c r="J176" s="709"/>
    </row>
    <row r="177" spans="4:10" ht="15" customHeight="1">
      <c r="D177" s="501" t="s">
        <v>530</v>
      </c>
      <c r="E177" s="499" t="s">
        <v>531</v>
      </c>
      <c r="F177" s="709" t="s">
        <v>527</v>
      </c>
      <c r="G177" s="709"/>
      <c r="H177" s="709"/>
      <c r="I177" s="709"/>
      <c r="J177" s="709"/>
    </row>
    <row r="178" spans="4:10" ht="15" customHeight="1">
      <c r="D178" s="501" t="s">
        <v>532</v>
      </c>
      <c r="E178" s="499" t="s">
        <v>533</v>
      </c>
      <c r="F178" s="709" t="s">
        <v>527</v>
      </c>
      <c r="G178" s="709"/>
      <c r="H178" s="709"/>
      <c r="I178" s="709"/>
      <c r="J178" s="709"/>
    </row>
    <row r="179" spans="4:10" ht="15" customHeight="1">
      <c r="D179" s="501" t="s">
        <v>534</v>
      </c>
      <c r="E179" s="499" t="s">
        <v>535</v>
      </c>
      <c r="F179" s="709" t="s">
        <v>527</v>
      </c>
      <c r="G179" s="709"/>
      <c r="H179" s="709"/>
      <c r="I179" s="709"/>
      <c r="J179" s="709"/>
    </row>
    <row r="180" spans="4:10">
      <c r="D180" s="501" t="s">
        <v>536</v>
      </c>
      <c r="E180" s="499" t="s">
        <v>537</v>
      </c>
      <c r="F180" s="709" t="s">
        <v>527</v>
      </c>
      <c r="G180" s="709"/>
      <c r="H180" s="709"/>
      <c r="I180" s="709"/>
      <c r="J180" s="709"/>
    </row>
    <row r="181" spans="4:10">
      <c r="D181" s="501" t="s">
        <v>538</v>
      </c>
      <c r="E181" s="499" t="s">
        <v>418</v>
      </c>
      <c r="F181" s="709" t="s">
        <v>524</v>
      </c>
      <c r="G181" s="709"/>
      <c r="H181" s="709"/>
      <c r="I181" s="709"/>
      <c r="J181" s="709"/>
    </row>
    <row r="182" spans="4:10">
      <c r="D182" s="501" t="s">
        <v>539</v>
      </c>
      <c r="E182" s="499" t="s">
        <v>535</v>
      </c>
      <c r="F182" s="709" t="s">
        <v>540</v>
      </c>
      <c r="G182" s="709"/>
      <c r="H182" s="709"/>
      <c r="I182" s="709"/>
      <c r="J182" s="709"/>
    </row>
    <row r="183" spans="4:10">
      <c r="D183" s="501" t="s">
        <v>541</v>
      </c>
      <c r="E183" s="499" t="s">
        <v>542</v>
      </c>
      <c r="F183" s="709" t="s">
        <v>527</v>
      </c>
      <c r="G183" s="709"/>
      <c r="H183" s="709"/>
      <c r="I183" s="709"/>
      <c r="J183" s="709"/>
    </row>
    <row r="184" spans="4:10">
      <c r="D184" s="501" t="s">
        <v>543</v>
      </c>
      <c r="E184" s="499">
        <v>0</v>
      </c>
      <c r="F184" s="709"/>
      <c r="G184" s="709"/>
      <c r="H184" s="709"/>
      <c r="I184" s="709"/>
      <c r="J184" s="709"/>
    </row>
    <row r="185" spans="4:10">
      <c r="D185" s="501" t="s">
        <v>544</v>
      </c>
      <c r="E185" s="499" t="s">
        <v>545</v>
      </c>
      <c r="F185" s="709" t="s">
        <v>527</v>
      </c>
      <c r="G185" s="709"/>
      <c r="H185" s="709"/>
      <c r="I185" s="709"/>
      <c r="J185" s="709"/>
    </row>
    <row r="186" spans="4:10">
      <c r="D186" s="501" t="s">
        <v>546</v>
      </c>
      <c r="E186" s="499" t="s">
        <v>547</v>
      </c>
      <c r="F186" s="709" t="s">
        <v>527</v>
      </c>
      <c r="G186" s="709"/>
      <c r="H186" s="709"/>
      <c r="I186" s="709"/>
      <c r="J186" s="709"/>
    </row>
    <row r="187" spans="4:10">
      <c r="D187" s="501" t="s">
        <v>548</v>
      </c>
      <c r="E187" s="499" t="s">
        <v>549</v>
      </c>
      <c r="F187" s="709" t="s">
        <v>550</v>
      </c>
      <c r="G187" s="709"/>
      <c r="H187" s="709"/>
      <c r="I187" s="709"/>
      <c r="J187" s="709"/>
    </row>
    <row r="188" spans="4:10">
      <c r="D188" s="501" t="s">
        <v>551</v>
      </c>
      <c r="E188" s="499" t="s">
        <v>552</v>
      </c>
      <c r="F188" s="709" t="s">
        <v>550</v>
      </c>
      <c r="G188" s="709"/>
      <c r="H188" s="709"/>
      <c r="I188" s="709"/>
      <c r="J188" s="709"/>
    </row>
    <row r="189" spans="4:10">
      <c r="D189" s="501" t="s">
        <v>553</v>
      </c>
      <c r="E189" s="499" t="s">
        <v>554</v>
      </c>
      <c r="F189" s="709" t="s">
        <v>550</v>
      </c>
      <c r="G189" s="709"/>
      <c r="H189" s="709"/>
      <c r="I189" s="709"/>
      <c r="J189" s="709"/>
    </row>
    <row r="190" spans="4:10">
      <c r="D190" s="501" t="s">
        <v>555</v>
      </c>
      <c r="E190" s="499" t="s">
        <v>556</v>
      </c>
      <c r="F190" s="709" t="s">
        <v>557</v>
      </c>
      <c r="G190" s="709"/>
      <c r="H190" s="709"/>
      <c r="I190" s="709"/>
      <c r="J190" s="709"/>
    </row>
    <row r="191" spans="4:10">
      <c r="D191" s="501" t="s">
        <v>558</v>
      </c>
      <c r="E191" s="499" t="s">
        <v>559</v>
      </c>
      <c r="F191" s="709" t="s">
        <v>557</v>
      </c>
      <c r="G191" s="709"/>
      <c r="H191" s="709"/>
      <c r="I191" s="709"/>
      <c r="J191" s="709"/>
    </row>
    <row r="192" spans="4:10">
      <c r="D192" s="501" t="s">
        <v>560</v>
      </c>
      <c r="E192" s="499" t="s">
        <v>561</v>
      </c>
      <c r="F192" s="709" t="s">
        <v>557</v>
      </c>
      <c r="G192" s="709"/>
      <c r="H192" s="709"/>
      <c r="I192" s="709"/>
      <c r="J192" s="709"/>
    </row>
    <row r="193" spans="2:10">
      <c r="D193" s="501" t="s">
        <v>562</v>
      </c>
      <c r="E193" s="499" t="s">
        <v>563</v>
      </c>
      <c r="F193" s="709" t="s">
        <v>564</v>
      </c>
      <c r="G193" s="709"/>
      <c r="H193" s="709"/>
      <c r="I193" s="709"/>
      <c r="J193" s="709"/>
    </row>
    <row r="194" spans="2:10">
      <c r="D194" s="501" t="s">
        <v>565</v>
      </c>
      <c r="E194" s="499" t="s">
        <v>511</v>
      </c>
      <c r="F194" s="709" t="s">
        <v>564</v>
      </c>
      <c r="G194" s="709"/>
      <c r="H194" s="709"/>
      <c r="I194" s="709"/>
      <c r="J194" s="709"/>
    </row>
    <row r="195" spans="2:10">
      <c r="D195" s="501" t="s">
        <v>566</v>
      </c>
      <c r="E195" s="499" t="s">
        <v>567</v>
      </c>
      <c r="F195" s="709" t="s">
        <v>564</v>
      </c>
      <c r="G195" s="709"/>
      <c r="H195" s="709"/>
      <c r="I195" s="709"/>
      <c r="J195" s="709"/>
    </row>
    <row r="196" spans="2:10">
      <c r="D196" s="501" t="s">
        <v>568</v>
      </c>
      <c r="E196" s="499">
        <v>0</v>
      </c>
      <c r="F196" s="709"/>
      <c r="G196" s="709"/>
      <c r="H196" s="709"/>
      <c r="I196" s="709"/>
      <c r="J196" s="709"/>
    </row>
    <row r="197" spans="2:10">
      <c r="D197" s="505"/>
      <c r="E197" s="517"/>
    </row>
    <row r="198" spans="2:10">
      <c r="D198" s="505"/>
      <c r="E198" s="517"/>
    </row>
    <row r="199" spans="2:10" ht="36">
      <c r="B199" s="486">
        <v>4</v>
      </c>
      <c r="D199" s="491" t="s">
        <v>569</v>
      </c>
    </row>
    <row r="200" spans="2:10">
      <c r="D200" s="505"/>
    </row>
    <row r="201" spans="2:10">
      <c r="D201" s="505"/>
    </row>
    <row r="202" spans="2:10" ht="21">
      <c r="D202" s="489" t="s">
        <v>570</v>
      </c>
    </row>
    <row r="203" spans="2:10">
      <c r="D203" s="497" t="s">
        <v>571</v>
      </c>
    </row>
    <row r="204" spans="2:10">
      <c r="D204" s="497" t="s">
        <v>429</v>
      </c>
    </row>
    <row r="205" spans="2:10">
      <c r="D205" s="487" t="s">
        <v>430</v>
      </c>
    </row>
    <row r="206" spans="2:10">
      <c r="D206" s="487" t="s">
        <v>431</v>
      </c>
    </row>
    <row r="207" spans="2:10">
      <c r="D207" s="487" t="s">
        <v>572</v>
      </c>
    </row>
    <row r="208" spans="2:10">
      <c r="D208" s="487" t="s">
        <v>433</v>
      </c>
    </row>
    <row r="210" spans="4:12">
      <c r="D210" s="505"/>
    </row>
    <row r="211" spans="4:12" ht="21">
      <c r="D211" s="700" t="s">
        <v>436</v>
      </c>
      <c r="E211" s="701" t="s">
        <v>389</v>
      </c>
      <c r="F211" s="702" t="s">
        <v>390</v>
      </c>
      <c r="G211" s="703"/>
      <c r="H211" s="703"/>
      <c r="I211" s="703"/>
      <c r="J211" s="704"/>
    </row>
    <row r="212" spans="4:12" ht="21">
      <c r="D212" s="700"/>
      <c r="E212" s="701"/>
      <c r="F212" s="705" t="s">
        <v>618</v>
      </c>
      <c r="G212" s="706"/>
      <c r="H212" s="706"/>
      <c r="I212" s="706"/>
      <c r="J212" s="707"/>
    </row>
    <row r="213" spans="4:12">
      <c r="D213" s="503" t="s">
        <v>573</v>
      </c>
      <c r="E213" s="543" t="s">
        <v>461</v>
      </c>
      <c r="F213" s="709" t="s">
        <v>522</v>
      </c>
      <c r="G213" s="709"/>
      <c r="H213" s="709"/>
      <c r="I213" s="709"/>
      <c r="J213" s="709"/>
      <c r="K213" s="507">
        <f>+BIODIESEL!E9</f>
        <v>240.73</v>
      </c>
      <c r="L213" s="566" t="s">
        <v>671</v>
      </c>
    </row>
    <row r="214" spans="4:12">
      <c r="D214" s="501" t="s">
        <v>574</v>
      </c>
      <c r="E214" s="543" t="s">
        <v>421</v>
      </c>
      <c r="F214" s="709" t="s">
        <v>522</v>
      </c>
      <c r="G214" s="709"/>
      <c r="H214" s="709"/>
      <c r="I214" s="709"/>
      <c r="J214" s="709"/>
      <c r="K214" s="507">
        <f>+BIODIESEL!E10</f>
        <v>5935.45</v>
      </c>
      <c r="L214" s="566" t="s">
        <v>671</v>
      </c>
    </row>
    <row r="215" spans="4:12">
      <c r="D215" s="501" t="s">
        <v>575</v>
      </c>
      <c r="E215" s="543" t="s">
        <v>447</v>
      </c>
      <c r="F215" s="709" t="s">
        <v>522</v>
      </c>
      <c r="G215" s="709"/>
      <c r="H215" s="709"/>
      <c r="I215" s="709"/>
      <c r="J215" s="709"/>
      <c r="K215" s="507">
        <f>+BIODIESEL!E8</f>
        <v>5694.72</v>
      </c>
      <c r="L215" s="566" t="s">
        <v>671</v>
      </c>
    </row>
    <row r="216" spans="4:12">
      <c r="D216" s="498" t="s">
        <v>576</v>
      </c>
      <c r="E216" s="543">
        <v>7.67</v>
      </c>
      <c r="F216" s="715"/>
      <c r="G216" s="715"/>
      <c r="H216" s="715"/>
      <c r="I216" s="715"/>
      <c r="J216" s="715"/>
      <c r="K216" s="536"/>
    </row>
    <row r="217" spans="4:12">
      <c r="D217" s="501" t="s">
        <v>577</v>
      </c>
      <c r="E217" s="543" t="s">
        <v>413</v>
      </c>
      <c r="F217" s="709" t="s">
        <v>524</v>
      </c>
      <c r="G217" s="709"/>
      <c r="H217" s="709"/>
      <c r="I217" s="709"/>
      <c r="J217" s="709"/>
      <c r="K217" s="507">
        <f>+'COMBUSTIBLES '!E7</f>
        <v>5810.94</v>
      </c>
      <c r="L217" s="566" t="s">
        <v>671</v>
      </c>
    </row>
    <row r="218" spans="4:12">
      <c r="D218" s="501" t="s">
        <v>578</v>
      </c>
      <c r="E218" s="543" t="s">
        <v>425</v>
      </c>
      <c r="F218" s="709" t="s">
        <v>522</v>
      </c>
      <c r="G218" s="709"/>
      <c r="H218" s="709"/>
      <c r="I218" s="709"/>
      <c r="J218" s="709"/>
      <c r="K218" s="507">
        <f>+BIODIESEL!F10</f>
        <v>6059.96</v>
      </c>
      <c r="L218" s="566" t="s">
        <v>671</v>
      </c>
    </row>
    <row r="219" spans="4:12">
      <c r="D219" s="498" t="s">
        <v>579</v>
      </c>
      <c r="E219" s="543">
        <v>7.67</v>
      </c>
      <c r="F219" s="711"/>
      <c r="G219" s="712"/>
      <c r="H219" s="712"/>
      <c r="I219" s="712"/>
      <c r="J219" s="713"/>
      <c r="K219" s="536"/>
    </row>
    <row r="220" spans="4:12">
      <c r="D220" s="501" t="s">
        <v>580</v>
      </c>
      <c r="E220" s="543" t="s">
        <v>471</v>
      </c>
      <c r="F220" s="709" t="s">
        <v>522</v>
      </c>
      <c r="G220" s="709"/>
      <c r="H220" s="709"/>
      <c r="I220" s="709"/>
      <c r="J220" s="709"/>
      <c r="K220" s="507">
        <f>+BIODIESEL!F8</f>
        <v>5578.5</v>
      </c>
      <c r="L220" s="566" t="s">
        <v>671</v>
      </c>
    </row>
    <row r="221" spans="4:12">
      <c r="D221" s="501" t="s">
        <v>581</v>
      </c>
      <c r="E221" s="543" t="s">
        <v>473</v>
      </c>
      <c r="F221" s="709" t="s">
        <v>522</v>
      </c>
      <c r="G221" s="709"/>
      <c r="H221" s="709"/>
      <c r="I221" s="709"/>
      <c r="J221" s="709"/>
      <c r="K221" s="507">
        <f>+BIODIESEL!F9</f>
        <v>481.46</v>
      </c>
      <c r="L221" s="566" t="s">
        <v>671</v>
      </c>
    </row>
    <row r="222" spans="4:12">
      <c r="E222" s="518"/>
    </row>
    <row r="223" spans="4:12">
      <c r="E223" s="517"/>
    </row>
    <row r="225" spans="2:11" ht="36">
      <c r="B225" s="486">
        <v>5</v>
      </c>
      <c r="D225" s="491" t="s">
        <v>582</v>
      </c>
    </row>
    <row r="227" spans="2:11" ht="21">
      <c r="D227" s="489" t="s">
        <v>583</v>
      </c>
    </row>
    <row r="228" spans="2:11">
      <c r="D228" s="496" t="s">
        <v>637</v>
      </c>
    </row>
    <row r="229" spans="2:11">
      <c r="D229" s="487" t="s">
        <v>630</v>
      </c>
    </row>
    <row r="230" spans="2:11">
      <c r="D230" s="487" t="s">
        <v>638</v>
      </c>
    </row>
    <row r="231" spans="2:11">
      <c r="D231" s="497" t="s">
        <v>584</v>
      </c>
    </row>
    <row r="232" spans="2:11">
      <c r="D232" s="497" t="s">
        <v>429</v>
      </c>
    </row>
    <row r="233" spans="2:11">
      <c r="D233" s="487" t="s">
        <v>430</v>
      </c>
    </row>
    <row r="234" spans="2:11">
      <c r="D234" s="487" t="s">
        <v>431</v>
      </c>
    </row>
    <row r="235" spans="2:11">
      <c r="D235" s="487" t="s">
        <v>572</v>
      </c>
    </row>
    <row r="236" spans="2:11">
      <c r="D236" s="487" t="s">
        <v>433</v>
      </c>
    </row>
    <row r="239" spans="2:11" ht="21">
      <c r="D239" s="708" t="s">
        <v>388</v>
      </c>
      <c r="E239" s="701" t="s">
        <v>389</v>
      </c>
      <c r="F239" s="702" t="s">
        <v>390</v>
      </c>
      <c r="G239" s="703"/>
      <c r="H239" s="703"/>
      <c r="I239" s="703"/>
      <c r="J239" s="703"/>
      <c r="K239" s="704"/>
    </row>
    <row r="240" spans="2:11" ht="21">
      <c r="D240" s="708"/>
      <c r="E240" s="701"/>
      <c r="F240" s="705" t="s">
        <v>391</v>
      </c>
      <c r="G240" s="706"/>
      <c r="H240" s="706"/>
      <c r="I240" s="706"/>
      <c r="J240" s="706"/>
      <c r="K240" s="707"/>
    </row>
    <row r="241" spans="2:20">
      <c r="D241" s="503" t="s">
        <v>585</v>
      </c>
      <c r="E241" s="543" t="s">
        <v>586</v>
      </c>
      <c r="F241" s="714" t="s">
        <v>587</v>
      </c>
      <c r="G241" s="714"/>
      <c r="H241" s="714"/>
      <c r="I241" s="714"/>
      <c r="J241" s="714"/>
      <c r="K241" s="535">
        <f>+'DIESEL MARINO '!F108</f>
        <v>1138.9428400000006</v>
      </c>
    </row>
    <row r="242" spans="2:20">
      <c r="D242" s="501" t="s">
        <v>588</v>
      </c>
      <c r="E242" s="543" t="s">
        <v>589</v>
      </c>
      <c r="F242" s="709" t="s">
        <v>587</v>
      </c>
      <c r="G242" s="709"/>
      <c r="H242" s="709"/>
      <c r="I242" s="709"/>
      <c r="J242" s="709"/>
      <c r="K242" s="534">
        <f>+'DIESEL MARINO '!F107</f>
        <v>1162.1880000000001</v>
      </c>
      <c r="L242" s="566" t="s">
        <v>671</v>
      </c>
    </row>
    <row r="243" spans="2:20">
      <c r="D243" s="501" t="s">
        <v>590</v>
      </c>
      <c r="E243" s="543" t="s">
        <v>589</v>
      </c>
      <c r="F243" s="709" t="s">
        <v>587</v>
      </c>
      <c r="G243" s="709"/>
      <c r="H243" s="709"/>
      <c r="I243" s="709"/>
      <c r="J243" s="709"/>
      <c r="K243" s="534">
        <f>+'DIESEL MARINO '!F107</f>
        <v>1162.1880000000001</v>
      </c>
      <c r="L243" s="566" t="s">
        <v>671</v>
      </c>
    </row>
    <row r="244" spans="2:20">
      <c r="D244" s="498" t="s">
        <v>591</v>
      </c>
      <c r="E244" s="543" t="s">
        <v>592</v>
      </c>
      <c r="F244" s="709" t="s">
        <v>587</v>
      </c>
      <c r="G244" s="709"/>
      <c r="H244" s="709"/>
      <c r="I244" s="709"/>
      <c r="J244" s="709"/>
      <c r="K244" s="534">
        <f>+'DIESEL MARINO '!F109</f>
        <v>1138.9428400000006</v>
      </c>
      <c r="L244" s="566" t="s">
        <v>671</v>
      </c>
      <c r="T244" s="487" t="s">
        <v>636</v>
      </c>
    </row>
    <row r="245" spans="2:20">
      <c r="D245" s="498" t="s">
        <v>593</v>
      </c>
      <c r="E245" s="543" t="s">
        <v>594</v>
      </c>
      <c r="F245" s="709" t="s">
        <v>587</v>
      </c>
      <c r="G245" s="709"/>
      <c r="H245" s="709"/>
      <c r="I245" s="709"/>
      <c r="J245" s="709"/>
      <c r="K245" s="534">
        <f>+'DIESEL MARINO '!F109</f>
        <v>1138.9428400000006</v>
      </c>
      <c r="L245" s="566" t="s">
        <v>671</v>
      </c>
    </row>
    <row r="246" spans="2:20">
      <c r="D246" s="498" t="s">
        <v>684</v>
      </c>
      <c r="E246" s="543"/>
      <c r="F246" s="709" t="s">
        <v>587</v>
      </c>
      <c r="G246" s="709"/>
      <c r="H246" s="709"/>
      <c r="I246" s="709"/>
      <c r="J246" s="709"/>
      <c r="K246" s="534">
        <f>+'DIESEL MARINO '!F110</f>
        <v>1336.5162</v>
      </c>
      <c r="L246" s="566" t="s">
        <v>671</v>
      </c>
    </row>
    <row r="247" spans="2:20" ht="15.75" customHeight="1">
      <c r="D247" s="498" t="s">
        <v>685</v>
      </c>
      <c r="E247" s="543"/>
      <c r="F247" s="709" t="s">
        <v>587</v>
      </c>
      <c r="G247" s="709"/>
      <c r="H247" s="709"/>
      <c r="I247" s="709"/>
      <c r="J247" s="709"/>
      <c r="K247" s="534">
        <f>+'DIESEL MARINO '!F111</f>
        <v>1309.7844760000007</v>
      </c>
      <c r="L247" s="566" t="s">
        <v>671</v>
      </c>
    </row>
    <row r="248" spans="2:20">
      <c r="E248" s="517"/>
    </row>
    <row r="249" spans="2:20" ht="36">
      <c r="B249" s="486">
        <v>6</v>
      </c>
      <c r="D249" s="491" t="s">
        <v>595</v>
      </c>
      <c r="E249" s="517"/>
    </row>
    <row r="251" spans="2:20" ht="21">
      <c r="D251" s="489" t="s">
        <v>596</v>
      </c>
    </row>
    <row r="252" spans="2:20">
      <c r="D252" s="497" t="s">
        <v>597</v>
      </c>
    </row>
    <row r="253" spans="2:20">
      <c r="D253" s="497" t="s">
        <v>429</v>
      </c>
    </row>
    <row r="254" spans="2:20">
      <c r="D254" s="487" t="s">
        <v>430</v>
      </c>
    </row>
    <row r="255" spans="2:20">
      <c r="D255" s="487" t="s">
        <v>431</v>
      </c>
    </row>
    <row r="256" spans="2:20">
      <c r="D256" s="487" t="s">
        <v>572</v>
      </c>
    </row>
    <row r="257" spans="2:10">
      <c r="D257" s="487" t="s">
        <v>433</v>
      </c>
    </row>
    <row r="259" spans="2:10" ht="21">
      <c r="D259" s="700" t="s">
        <v>436</v>
      </c>
      <c r="E259" s="701" t="s">
        <v>389</v>
      </c>
      <c r="F259" s="702" t="s">
        <v>390</v>
      </c>
      <c r="G259" s="703"/>
      <c r="H259" s="703"/>
      <c r="I259" s="703"/>
      <c r="J259" s="704"/>
    </row>
    <row r="260" spans="2:10" ht="21">
      <c r="D260" s="700"/>
      <c r="E260" s="701"/>
      <c r="F260" s="705" t="s">
        <v>518</v>
      </c>
      <c r="G260" s="706"/>
      <c r="H260" s="706"/>
      <c r="I260" s="706"/>
      <c r="J260" s="707"/>
    </row>
    <row r="261" spans="2:10">
      <c r="D261" s="503" t="s">
        <v>598</v>
      </c>
      <c r="E261" s="499" t="s">
        <v>599</v>
      </c>
      <c r="F261" s="709" t="s">
        <v>600</v>
      </c>
      <c r="G261" s="709"/>
      <c r="H261" s="709"/>
      <c r="I261" s="709"/>
      <c r="J261" s="709"/>
    </row>
    <row r="262" spans="2:10">
      <c r="D262" s="501" t="s">
        <v>601</v>
      </c>
      <c r="E262" s="499" t="s">
        <v>549</v>
      </c>
      <c r="F262" s="709" t="s">
        <v>600</v>
      </c>
      <c r="G262" s="709"/>
      <c r="H262" s="709"/>
      <c r="I262" s="709"/>
      <c r="J262" s="709"/>
    </row>
    <row r="263" spans="2:10">
      <c r="D263" s="501" t="s">
        <v>602</v>
      </c>
      <c r="E263" s="499" t="s">
        <v>535</v>
      </c>
      <c r="F263" s="709" t="s">
        <v>600</v>
      </c>
      <c r="G263" s="709"/>
      <c r="H263" s="709"/>
      <c r="I263" s="709"/>
      <c r="J263" s="709"/>
    </row>
    <row r="264" spans="2:10">
      <c r="E264" s="487"/>
    </row>
    <row r="266" spans="2:10" ht="36">
      <c r="B266" s="486">
        <v>7</v>
      </c>
      <c r="D266" s="491" t="s">
        <v>603</v>
      </c>
    </row>
    <row r="268" spans="2:10" ht="21">
      <c r="D268" s="489" t="s">
        <v>604</v>
      </c>
    </row>
    <row r="269" spans="2:10">
      <c r="D269" s="497" t="s">
        <v>605</v>
      </c>
    </row>
    <row r="270" spans="2:10">
      <c r="D270" s="497" t="s">
        <v>429</v>
      </c>
    </row>
    <row r="271" spans="2:10">
      <c r="D271" s="487" t="s">
        <v>430</v>
      </c>
    </row>
    <row r="272" spans="2:10">
      <c r="D272" s="487" t="s">
        <v>431</v>
      </c>
    </row>
    <row r="273" spans="2:4">
      <c r="D273" s="487" t="s">
        <v>572</v>
      </c>
    </row>
    <row r="274" spans="2:4" ht="21">
      <c r="D274" s="519" t="s">
        <v>606</v>
      </c>
    </row>
    <row r="278" spans="2:4" ht="36">
      <c r="B278" s="486">
        <v>8</v>
      </c>
      <c r="D278" s="491" t="s">
        <v>607</v>
      </c>
    </row>
    <row r="280" spans="2:4" ht="21">
      <c r="D280" s="489" t="s">
        <v>608</v>
      </c>
    </row>
    <row r="281" spans="2:4">
      <c r="D281" s="497" t="s">
        <v>609</v>
      </c>
    </row>
    <row r="282" spans="2:4">
      <c r="D282" s="497" t="s">
        <v>429</v>
      </c>
    </row>
    <row r="283" spans="2:4">
      <c r="D283" s="487" t="s">
        <v>430</v>
      </c>
    </row>
    <row r="284" spans="2:4">
      <c r="D284" s="487" t="s">
        <v>431</v>
      </c>
    </row>
    <row r="285" spans="2:4">
      <c r="D285" s="487" t="s">
        <v>572</v>
      </c>
    </row>
    <row r="286" spans="2:4">
      <c r="D286" s="487" t="s">
        <v>433</v>
      </c>
    </row>
    <row r="287" spans="2:4">
      <c r="D287" s="496"/>
    </row>
    <row r="289" spans="2:12" ht="21">
      <c r="D289" s="708" t="s">
        <v>388</v>
      </c>
      <c r="E289" s="701" t="s">
        <v>389</v>
      </c>
      <c r="F289" s="702" t="s">
        <v>390</v>
      </c>
      <c r="G289" s="703"/>
      <c r="H289" s="703"/>
      <c r="I289" s="703"/>
      <c r="J289" s="703"/>
      <c r="K289" s="704"/>
    </row>
    <row r="290" spans="2:12" ht="21">
      <c r="D290" s="708"/>
      <c r="E290" s="701"/>
      <c r="F290" s="705" t="s">
        <v>391</v>
      </c>
      <c r="G290" s="706"/>
      <c r="H290" s="706"/>
      <c r="I290" s="706"/>
      <c r="J290" s="706"/>
      <c r="K290" s="707"/>
    </row>
    <row r="291" spans="2:12">
      <c r="D291" s="503" t="s">
        <v>610</v>
      </c>
      <c r="E291" s="525" t="s">
        <v>453</v>
      </c>
      <c r="F291" s="709" t="s">
        <v>414</v>
      </c>
      <c r="G291" s="709"/>
      <c r="H291" s="709"/>
      <c r="I291" s="709"/>
      <c r="J291" s="709"/>
      <c r="K291" s="520">
        <f>+'COMBUSTIBLES '!B8</f>
        <v>8.1370000000000005</v>
      </c>
      <c r="L291" s="553" t="s">
        <v>673</v>
      </c>
    </row>
    <row r="292" spans="2:12">
      <c r="D292" s="501" t="s">
        <v>611</v>
      </c>
      <c r="E292" s="543" t="s">
        <v>418</v>
      </c>
      <c r="F292" s="709" t="s">
        <v>414</v>
      </c>
      <c r="G292" s="709"/>
      <c r="H292" s="709"/>
      <c r="I292" s="709"/>
      <c r="J292" s="709"/>
      <c r="K292" s="520">
        <f>+'COMBUSTIBLES '!B7</f>
        <v>5575.55</v>
      </c>
      <c r="L292" s="553" t="s">
        <v>673</v>
      </c>
    </row>
    <row r="293" spans="2:12">
      <c r="D293" s="501" t="s">
        <v>612</v>
      </c>
      <c r="E293" s="543"/>
      <c r="F293" s="710" t="s">
        <v>449</v>
      </c>
      <c r="G293" s="710"/>
      <c r="H293" s="710"/>
      <c r="I293" s="710"/>
      <c r="J293" s="710"/>
      <c r="K293" s="556">
        <f>+Variables!E20</f>
        <v>5078.7700000000004</v>
      </c>
      <c r="L293" s="553" t="s">
        <v>673</v>
      </c>
    </row>
    <row r="294" spans="2:12">
      <c r="E294" s="517"/>
    </row>
    <row r="295" spans="2:12">
      <c r="E295" s="517"/>
    </row>
    <row r="296" spans="2:12">
      <c r="E296" s="517"/>
    </row>
    <row r="297" spans="2:12" ht="36">
      <c r="B297" s="486">
        <v>9</v>
      </c>
      <c r="D297" s="491" t="s">
        <v>613</v>
      </c>
      <c r="E297" s="517"/>
    </row>
    <row r="298" spans="2:12">
      <c r="E298" s="517"/>
    </row>
    <row r="299" spans="2:12" ht="21">
      <c r="D299" s="489" t="s">
        <v>614</v>
      </c>
    </row>
    <row r="300" spans="2:12">
      <c r="D300" s="497" t="s">
        <v>615</v>
      </c>
    </row>
    <row r="301" spans="2:12">
      <c r="D301" s="497" t="s">
        <v>429</v>
      </c>
    </row>
    <row r="302" spans="2:12">
      <c r="D302" s="487" t="s">
        <v>430</v>
      </c>
    </row>
    <row r="303" spans="2:12">
      <c r="D303" s="487" t="s">
        <v>431</v>
      </c>
    </row>
    <row r="304" spans="2:12">
      <c r="D304" s="487" t="s">
        <v>572</v>
      </c>
    </row>
    <row r="305" spans="2:6" ht="21">
      <c r="D305" s="519" t="s">
        <v>624</v>
      </c>
    </row>
    <row r="307" spans="2:6">
      <c r="D307" s="496"/>
    </row>
    <row r="312" spans="2:6" ht="23.25">
      <c r="B312" s="487" t="s">
        <v>661</v>
      </c>
      <c r="D312" s="506" t="s">
        <v>616</v>
      </c>
      <c r="E312" s="547" t="s">
        <v>669</v>
      </c>
      <c r="F312" s="521" t="s">
        <v>642</v>
      </c>
    </row>
    <row r="314" spans="2:6">
      <c r="B314" s="487" t="s">
        <v>625</v>
      </c>
      <c r="C314" s="487">
        <v>1</v>
      </c>
      <c r="D314" s="523" t="str">
        <f>CONCATENATE("PRECIO REGULADOS"," ",$E$312)</f>
        <v>PRECIO REGULADOS FEB 1 A FEB 28  2019</v>
      </c>
      <c r="E314" s="517"/>
    </row>
    <row r="315" spans="2:6">
      <c r="D315" s="522" t="s">
        <v>627</v>
      </c>
      <c r="E315" s="517"/>
    </row>
    <row r="316" spans="2:6">
      <c r="D316" s="522"/>
      <c r="E316" s="517"/>
    </row>
    <row r="317" spans="2:6">
      <c r="B317" s="487" t="s">
        <v>626</v>
      </c>
      <c r="C317" s="487">
        <v>2</v>
      </c>
      <c r="D317" s="529" t="str">
        <f>CONCATENATE("PRECIO NO REGULADOS"," ",$E$312)</f>
        <v>PRECIO NO REGULADOS FEB 1 A FEB 28  2019</v>
      </c>
      <c r="E317" s="551" t="s">
        <v>159</v>
      </c>
    </row>
    <row r="318" spans="2:6">
      <c r="D318" s="522" t="s">
        <v>628</v>
      </c>
      <c r="E318" s="517"/>
    </row>
    <row r="319" spans="2:6">
      <c r="D319" s="522"/>
      <c r="E319" s="517"/>
    </row>
    <row r="320" spans="2:6">
      <c r="B320" s="545" t="s">
        <v>662</v>
      </c>
      <c r="C320" s="487">
        <v>3</v>
      </c>
      <c r="D320" s="523" t="str">
        <f>CONCATENATE("PRECIO ZONAS DE FRONTERA "," ",$E$312)</f>
        <v>PRECIO ZONAS DE FRONTERA  FEB 1 A FEB 28  2019</v>
      </c>
      <c r="E320" s="517"/>
    </row>
    <row r="321" spans="2:5">
      <c r="D321" s="522" t="s">
        <v>627</v>
      </c>
      <c r="E321" s="517"/>
    </row>
    <row r="322" spans="2:5">
      <c r="D322" s="522"/>
      <c r="E322" s="517"/>
    </row>
    <row r="323" spans="2:5">
      <c r="B323" s="487" t="s">
        <v>629</v>
      </c>
      <c r="C323" s="487">
        <v>4</v>
      </c>
      <c r="D323" s="523" t="str">
        <f>CONCATENATE("PRECIO ELECTROCOMBUSTIBLE  ",," ",$E$312)</f>
        <v>PRECIO ELECTROCOMBUSTIBLE   FEB 1 A FEB 28  2019</v>
      </c>
      <c r="E323" s="517"/>
    </row>
    <row r="324" spans="2:5">
      <c r="D324" s="522" t="s">
        <v>627</v>
      </c>
      <c r="E324" s="517"/>
    </row>
    <row r="325" spans="2:5">
      <c r="D325" s="522"/>
      <c r="E325" s="517"/>
    </row>
    <row r="326" spans="2:5">
      <c r="B326" s="487" t="s">
        <v>630</v>
      </c>
      <c r="C326" s="487">
        <v>5</v>
      </c>
      <c r="D326" s="523" t="str">
        <f>CONCATENATE("PRECIO DESCUENTO PESQUEROS "," ",$E$312)</f>
        <v>PRECIO DESCUENTO PESQUEROS  FEB 1 A FEB 28  2019</v>
      </c>
      <c r="E326" s="517"/>
    </row>
    <row r="327" spans="2:5">
      <c r="D327" s="522" t="s">
        <v>627</v>
      </c>
      <c r="E327" s="517"/>
    </row>
    <row r="328" spans="2:5">
      <c r="D328" s="522"/>
      <c r="E328" s="517"/>
    </row>
    <row r="329" spans="2:5">
      <c r="B329" s="185" t="s">
        <v>663</v>
      </c>
      <c r="C329" s="487">
        <v>6</v>
      </c>
      <c r="D329" s="523" t="str">
        <f>CONCATENATE("PRECIO ESPECIAL GUAJIRA "," ",$E$312)</f>
        <v>PRECIO ESPECIAL GUAJIRA  FEB 1 A FEB 28  2019</v>
      </c>
      <c r="E329" s="517"/>
    </row>
    <row r="330" spans="2:5">
      <c r="D330" s="522" t="s">
        <v>627</v>
      </c>
      <c r="E330" s="517"/>
    </row>
    <row r="331" spans="2:5">
      <c r="D331" s="522"/>
      <c r="E331" s="517"/>
    </row>
    <row r="332" spans="2:5">
      <c r="B332" s="487" t="s">
        <v>631</v>
      </c>
      <c r="C332" s="487">
        <v>7</v>
      </c>
      <c r="D332" s="529" t="str">
        <f>CONCATENATE("PRECIO ESTRUCTURA TARIFA BIOS "," ",$E$312)</f>
        <v>PRECIO ESTRUCTURA TARIFA BIOS  FEB 1 A FEB 28  2019</v>
      </c>
      <c r="E332" s="517" t="s">
        <v>647</v>
      </c>
    </row>
    <row r="333" spans="2:5">
      <c r="D333" s="522" t="s">
        <v>627</v>
      </c>
      <c r="E333" s="517"/>
    </row>
    <row r="334" spans="2:5">
      <c r="D334" s="522"/>
      <c r="E334" s="517"/>
    </row>
    <row r="335" spans="2:5">
      <c r="B335" s="487" t="s">
        <v>632</v>
      </c>
      <c r="C335" s="487">
        <v>8</v>
      </c>
      <c r="D335" s="523" t="str">
        <f>CONCATENATE("PRECIO GASOLINA  IMPORTADA "," ",$E$312)</f>
        <v>PRECIO GASOLINA  IMPORTADA  FEB 1 A FEB 28  2019</v>
      </c>
      <c r="E335" s="517"/>
    </row>
    <row r="336" spans="2:5">
      <c r="D336" s="522" t="s">
        <v>627</v>
      </c>
      <c r="E336" s="517"/>
    </row>
    <row r="337" spans="2:5">
      <c r="D337" s="522"/>
      <c r="E337" s="517"/>
    </row>
    <row r="338" spans="2:5">
      <c r="B338" s="545" t="s">
        <v>664</v>
      </c>
      <c r="C338" s="487">
        <v>9</v>
      </c>
      <c r="D338" s="529" t="str">
        <f>CONCATENATE("BALANCE VOLUMETRICO REFICAR A ",," ",$E$312)</f>
        <v>BALANCE VOLUMETRICO REFICAR A  FEB 1 A FEB 28  2019</v>
      </c>
      <c r="E338" s="517" t="s">
        <v>647</v>
      </c>
    </row>
    <row r="339" spans="2:5">
      <c r="D339" s="522" t="s">
        <v>627</v>
      </c>
    </row>
  </sheetData>
  <autoFilter ref="D39:L111">
    <filterColumn colId="2" showButton="0"/>
    <filterColumn colId="3" showButton="0"/>
    <filterColumn colId="4" showButton="0"/>
    <filterColumn colId="5" showButton="0"/>
  </autoFilter>
  <mergeCells count="167">
    <mergeCell ref="K39:K40"/>
    <mergeCell ref="D211:D212"/>
    <mergeCell ref="E211:E212"/>
    <mergeCell ref="F211:J211"/>
    <mergeCell ref="F212:J212"/>
    <mergeCell ref="D239:D240"/>
    <mergeCell ref="E239:E240"/>
    <mergeCell ref="F239:K239"/>
    <mergeCell ref="F240:K240"/>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35:D136"/>
    <mergeCell ref="F47:J47"/>
    <mergeCell ref="F48:J48"/>
    <mergeCell ref="F49:J49"/>
    <mergeCell ref="F41:J41"/>
    <mergeCell ref="F42:J42"/>
    <mergeCell ref="F43:J43"/>
    <mergeCell ref="F44:J44"/>
    <mergeCell ref="F45:J45"/>
    <mergeCell ref="F46:J46"/>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E135:E136"/>
    <mergeCell ref="F135:J135"/>
    <mergeCell ref="F136:J136"/>
    <mergeCell ref="F64:J64"/>
    <mergeCell ref="F65:J65"/>
    <mergeCell ref="F66:J66"/>
    <mergeCell ref="F67:J67"/>
    <mergeCell ref="F68:J68"/>
    <mergeCell ref="F69:J69"/>
    <mergeCell ref="F72:J72"/>
    <mergeCell ref="F73:J73"/>
    <mergeCell ref="F74:J74"/>
    <mergeCell ref="F75:J75"/>
    <mergeCell ref="F89:I89"/>
    <mergeCell ref="F90:I90"/>
    <mergeCell ref="F91:I91"/>
    <mergeCell ref="F92:I92"/>
    <mergeCell ref="F93:I93"/>
    <mergeCell ref="F137:J137"/>
    <mergeCell ref="F138:J138"/>
    <mergeCell ref="F139:J139"/>
    <mergeCell ref="F140:J140"/>
    <mergeCell ref="F141:J141"/>
    <mergeCell ref="F142:J142"/>
    <mergeCell ref="F70:J70"/>
    <mergeCell ref="F71:J71"/>
    <mergeCell ref="F115:J115"/>
    <mergeCell ref="F116:J116"/>
    <mergeCell ref="F117:J117"/>
    <mergeCell ref="F76:J76"/>
    <mergeCell ref="F78:J78"/>
    <mergeCell ref="F79:J79"/>
    <mergeCell ref="F77:I77"/>
    <mergeCell ref="F80:I80"/>
    <mergeCell ref="F81:I81"/>
    <mergeCell ref="F82:I82"/>
    <mergeCell ref="F83:I83"/>
    <mergeCell ref="F84:I84"/>
    <mergeCell ref="F85:I85"/>
    <mergeCell ref="F86:I86"/>
    <mergeCell ref="F87:I87"/>
    <mergeCell ref="F88:I88"/>
    <mergeCell ref="F156:J156"/>
    <mergeCell ref="F157:J157"/>
    <mergeCell ref="D169:D170"/>
    <mergeCell ref="E169:E170"/>
    <mergeCell ref="F169:J169"/>
    <mergeCell ref="F170:J170"/>
    <mergeCell ref="F143:J143"/>
    <mergeCell ref="F144:J144"/>
    <mergeCell ref="F145:J145"/>
    <mergeCell ref="F146:J146"/>
    <mergeCell ref="F147:J147"/>
    <mergeCell ref="F148:J148"/>
    <mergeCell ref="F177:J177"/>
    <mergeCell ref="F178:J178"/>
    <mergeCell ref="F179:J179"/>
    <mergeCell ref="F180:J180"/>
    <mergeCell ref="F181:J181"/>
    <mergeCell ref="F182:J182"/>
    <mergeCell ref="F171:J171"/>
    <mergeCell ref="F172:J172"/>
    <mergeCell ref="F173:J173"/>
    <mergeCell ref="F174:J174"/>
    <mergeCell ref="F175:J175"/>
    <mergeCell ref="F176:J176"/>
    <mergeCell ref="F189:J189"/>
    <mergeCell ref="F190:J190"/>
    <mergeCell ref="F191:J191"/>
    <mergeCell ref="F192:J192"/>
    <mergeCell ref="F193:J193"/>
    <mergeCell ref="F194:J194"/>
    <mergeCell ref="F183:J183"/>
    <mergeCell ref="F184:J184"/>
    <mergeCell ref="F185:J185"/>
    <mergeCell ref="F186:J186"/>
    <mergeCell ref="F187:J187"/>
    <mergeCell ref="F188:J188"/>
    <mergeCell ref="F217:J217"/>
    <mergeCell ref="F218:J218"/>
    <mergeCell ref="F219:J219"/>
    <mergeCell ref="F220:J220"/>
    <mergeCell ref="F221:J221"/>
    <mergeCell ref="F241:J241"/>
    <mergeCell ref="F195:J195"/>
    <mergeCell ref="F196:J196"/>
    <mergeCell ref="F213:J213"/>
    <mergeCell ref="F214:J214"/>
    <mergeCell ref="F215:J215"/>
    <mergeCell ref="F216:J216"/>
    <mergeCell ref="F291:J291"/>
    <mergeCell ref="F292:J292"/>
    <mergeCell ref="F293:J293"/>
    <mergeCell ref="F242:J242"/>
    <mergeCell ref="F243:J243"/>
    <mergeCell ref="F244:J244"/>
    <mergeCell ref="F245:J245"/>
    <mergeCell ref="F261:J261"/>
    <mergeCell ref="F262:J262"/>
    <mergeCell ref="F246:J246"/>
    <mergeCell ref="F247:J247"/>
    <mergeCell ref="D259:D260"/>
    <mergeCell ref="E259:E260"/>
    <mergeCell ref="F259:J259"/>
    <mergeCell ref="F260:J260"/>
    <mergeCell ref="D289:D290"/>
    <mergeCell ref="E289:E290"/>
    <mergeCell ref="F289:K289"/>
    <mergeCell ref="F290:K290"/>
    <mergeCell ref="F263:J263"/>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48"/>
  <sheetViews>
    <sheetView zoomScale="80" zoomScaleNormal="80" workbookViewId="0"/>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customWidth="1" outlineLevel="1"/>
    <col min="7" max="7" width="19.42578125" style="12" customWidth="1"/>
    <col min="8" max="8" width="11.42578125" style="6"/>
    <col min="9" max="9" width="49.28515625" style="6" bestFit="1" customWidth="1"/>
    <col min="10" max="10" width="13.28515625" style="6" customWidth="1"/>
    <col min="11" max="16384" width="11.42578125" style="6"/>
  </cols>
  <sheetData>
    <row r="1" spans="1:11" ht="15.75" thickBot="1">
      <c r="A1" s="1" t="s">
        <v>731</v>
      </c>
      <c r="B1" s="2"/>
      <c r="C1" s="2">
        <v>7.2405999999999997</v>
      </c>
      <c r="D1" s="4"/>
      <c r="E1" s="5"/>
      <c r="F1" s="5"/>
      <c r="G1" s="3"/>
    </row>
    <row r="2" spans="1:11" s="57" customFormat="1" ht="21.75" customHeight="1" thickTop="1">
      <c r="A2" s="733" t="str">
        <f>CONCATENATE("ESTRUCTURAS DE PRECIOS DE COMBUSTIBLES LIQUIDOS VIGENTES A PARTIR DE ",$A$1)</f>
        <v>ESTRUCTURAS DE PRECIOS DE COMBUSTIBLES LIQUIDOS VIGENTES A PARTIR DE 1 DE MARZO 2020</v>
      </c>
      <c r="B2" s="734"/>
      <c r="C2" s="734"/>
      <c r="D2" s="734"/>
      <c r="E2" s="734"/>
      <c r="F2" s="734"/>
      <c r="G2" s="735"/>
    </row>
    <row r="3" spans="1:11" s="57" customFormat="1" ht="21.75" customHeight="1">
      <c r="A3" s="321" t="s">
        <v>0</v>
      </c>
      <c r="B3" s="181"/>
      <c r="C3" s="181"/>
      <c r="D3" s="181"/>
      <c r="E3" s="181"/>
      <c r="F3" s="181"/>
      <c r="G3" s="322"/>
    </row>
    <row r="4" spans="1:11" s="51" customFormat="1" ht="24" customHeight="1">
      <c r="A4" s="727" t="s">
        <v>1</v>
      </c>
      <c r="B4" s="729" t="s">
        <v>25</v>
      </c>
      <c r="C4" s="731" t="s">
        <v>10</v>
      </c>
      <c r="D4" s="732"/>
      <c r="E4" s="729" t="s">
        <v>212</v>
      </c>
      <c r="F4" s="323" t="s">
        <v>363</v>
      </c>
      <c r="G4" s="323" t="s">
        <v>695</v>
      </c>
    </row>
    <row r="5" spans="1:11" s="51" customFormat="1" ht="24" customHeight="1">
      <c r="A5" s="727"/>
      <c r="B5" s="730"/>
      <c r="C5" s="64" t="s">
        <v>51</v>
      </c>
      <c r="D5" s="64" t="s">
        <v>52</v>
      </c>
      <c r="E5" s="730"/>
      <c r="F5" s="324" t="s">
        <v>180</v>
      </c>
      <c r="G5" s="324" t="s">
        <v>180</v>
      </c>
    </row>
    <row r="6" spans="1:11" s="51" customFormat="1" ht="24" customHeight="1" thickBot="1">
      <c r="A6" s="728"/>
      <c r="B6" s="182" t="str">
        <f>+A1</f>
        <v>1 DE MARZO 2020</v>
      </c>
      <c r="C6" s="182" t="str">
        <f>+B6</f>
        <v>1 DE MARZO 2020</v>
      </c>
      <c r="D6" s="183" t="str">
        <f>+A1</f>
        <v>1 DE MARZO 2020</v>
      </c>
      <c r="E6" s="182" t="str">
        <f>+D6</f>
        <v>1 DE MARZO 2020</v>
      </c>
      <c r="F6" s="325" t="str">
        <f>+B6</f>
        <v>1 DE MARZO 2020</v>
      </c>
      <c r="G6" s="325" t="str">
        <f>+A1</f>
        <v>1 DE MARZO 2020</v>
      </c>
    </row>
    <row r="7" spans="1:11" ht="22.5" customHeight="1" thickTop="1">
      <c r="A7" s="73" t="s">
        <v>3</v>
      </c>
      <c r="B7" s="549">
        <v>5575.55</v>
      </c>
      <c r="C7" s="549">
        <v>7270.2889821668068</v>
      </c>
      <c r="D7" s="178">
        <f>+C7</f>
        <v>7270.2889821668068</v>
      </c>
      <c r="E7" s="549">
        <v>5810.94</v>
      </c>
      <c r="F7" s="591">
        <v>7350</v>
      </c>
      <c r="G7" s="597">
        <v>7511.92</v>
      </c>
      <c r="H7" s="546"/>
    </row>
    <row r="8" spans="1:11" ht="22.5" customHeight="1">
      <c r="A8" s="65" t="s">
        <v>56</v>
      </c>
      <c r="B8" s="477">
        <f>7.9*(1+3%)</f>
        <v>8.1370000000000005</v>
      </c>
      <c r="C8" s="462">
        <f>+B8</f>
        <v>8.1370000000000005</v>
      </c>
      <c r="D8" s="462">
        <f>+C8</f>
        <v>8.1370000000000005</v>
      </c>
      <c r="E8" s="462">
        <f>D8</f>
        <v>8.1370000000000005</v>
      </c>
      <c r="F8" s="592"/>
      <c r="G8" s="598"/>
    </row>
    <row r="9" spans="1:11" ht="22.5" customHeight="1">
      <c r="A9" s="65" t="s">
        <v>235</v>
      </c>
      <c r="B9" s="66" t="s">
        <v>11</v>
      </c>
      <c r="C9" s="66" t="s">
        <v>11</v>
      </c>
      <c r="D9" s="66" t="s">
        <v>11</v>
      </c>
      <c r="E9" s="66" t="s">
        <v>11</v>
      </c>
      <c r="F9" s="588" t="s">
        <v>11</v>
      </c>
      <c r="G9" s="599" t="s">
        <v>11</v>
      </c>
    </row>
    <row r="10" spans="1:11" ht="22.5" customHeight="1">
      <c r="A10" s="65" t="s">
        <v>225</v>
      </c>
      <c r="B10" s="67">
        <v>71.510000000000005</v>
      </c>
      <c r="C10" s="67">
        <f>B10</f>
        <v>71.510000000000005</v>
      </c>
      <c r="D10" s="67">
        <f>B10</f>
        <v>71.510000000000005</v>
      </c>
      <c r="E10" s="67">
        <f>B10</f>
        <v>71.510000000000005</v>
      </c>
      <c r="F10" s="593"/>
      <c r="G10" s="600"/>
      <c r="I10" s="6" t="s">
        <v>159</v>
      </c>
      <c r="K10" s="6" t="s">
        <v>159</v>
      </c>
    </row>
    <row r="11" spans="1:11" ht="22.5" customHeight="1">
      <c r="A11" s="65" t="s">
        <v>265</v>
      </c>
      <c r="B11" s="463">
        <f>+Variables!C20</f>
        <v>546.26</v>
      </c>
      <c r="C11" s="67">
        <f>+Variables!C23</f>
        <v>1036.78</v>
      </c>
      <c r="D11" s="67">
        <f>+ROUND(C11,2)</f>
        <v>1036.78</v>
      </c>
      <c r="E11" s="67">
        <f>+Variables!C27</f>
        <v>522.85</v>
      </c>
      <c r="F11" s="589"/>
      <c r="G11" s="601"/>
      <c r="I11" s="466"/>
      <c r="J11" s="466"/>
    </row>
    <row r="12" spans="1:11" ht="22.5" customHeight="1">
      <c r="A12" s="65" t="s">
        <v>274</v>
      </c>
      <c r="B12" s="482" t="s">
        <v>386</v>
      </c>
      <c r="C12" s="482" t="s">
        <v>386</v>
      </c>
      <c r="D12" s="482" t="s">
        <v>386</v>
      </c>
      <c r="E12" s="482" t="s">
        <v>386</v>
      </c>
      <c r="F12" s="587" t="s">
        <v>386</v>
      </c>
      <c r="G12" s="602" t="s">
        <v>386</v>
      </c>
    </row>
    <row r="13" spans="1:11" ht="22.5" customHeight="1">
      <c r="A13" s="65" t="s">
        <v>365</v>
      </c>
      <c r="B13" s="463">
        <v>155</v>
      </c>
      <c r="C13" s="67">
        <v>155</v>
      </c>
      <c r="D13" s="67">
        <v>155</v>
      </c>
      <c r="E13" s="67">
        <v>174</v>
      </c>
      <c r="F13" s="589"/>
      <c r="G13" s="601"/>
    </row>
    <row r="14" spans="1:11" ht="22.5" customHeight="1">
      <c r="A14" s="65" t="s">
        <v>23</v>
      </c>
      <c r="B14" s="66" t="s">
        <v>12</v>
      </c>
      <c r="C14" s="66" t="s">
        <v>12</v>
      </c>
      <c r="D14" s="66" t="s">
        <v>12</v>
      </c>
      <c r="E14" s="66" t="s">
        <v>12</v>
      </c>
      <c r="F14" s="588"/>
      <c r="G14" s="599"/>
    </row>
    <row r="15" spans="1:11" ht="22.5" customHeight="1">
      <c r="A15" s="65" t="s">
        <v>226</v>
      </c>
      <c r="B15" s="66" t="s">
        <v>22</v>
      </c>
      <c r="C15" s="66"/>
      <c r="D15" s="66"/>
      <c r="E15" s="66" t="str">
        <f>+B15</f>
        <v>(***)</v>
      </c>
      <c r="F15" s="594"/>
      <c r="G15" s="603"/>
      <c r="J15" s="546"/>
    </row>
    <row r="16" spans="1:11" ht="22.5" customHeight="1">
      <c r="A16" s="65" t="s">
        <v>8</v>
      </c>
      <c r="B16" s="67">
        <f>+ROUND(0.25*Variables!E20,2)</f>
        <v>1269.69</v>
      </c>
      <c r="C16" s="67">
        <f>+ROUND(Variables!E23*0.25,2)</f>
        <v>1776.95</v>
      </c>
      <c r="D16" s="67">
        <f>+ROUND(C16,2)</f>
        <v>1776.95</v>
      </c>
      <c r="E16" s="67">
        <f>+ROUND(Variables!E27*0.06,2)</f>
        <v>301.48</v>
      </c>
      <c r="F16" s="595" t="s">
        <v>2</v>
      </c>
      <c r="G16" s="604" t="s">
        <v>2</v>
      </c>
      <c r="J16" s="546"/>
    </row>
    <row r="17" spans="1:11" ht="22.5" customHeight="1">
      <c r="A17" s="65" t="s">
        <v>5</v>
      </c>
      <c r="B17" s="66" t="s">
        <v>12</v>
      </c>
      <c r="C17" s="66" t="s">
        <v>12</v>
      </c>
      <c r="D17" s="66" t="s">
        <v>12</v>
      </c>
      <c r="E17" s="66" t="s">
        <v>12</v>
      </c>
      <c r="F17" s="595" t="s">
        <v>2</v>
      </c>
      <c r="G17" s="604" t="s">
        <v>2</v>
      </c>
      <c r="J17" s="649"/>
      <c r="K17" s="651"/>
    </row>
    <row r="18" spans="1:11" ht="22.5" customHeight="1">
      <c r="A18" s="65" t="s">
        <v>227</v>
      </c>
      <c r="B18" s="66" t="s">
        <v>22</v>
      </c>
      <c r="C18" s="66"/>
      <c r="D18" s="66"/>
      <c r="E18" s="66" t="str">
        <f>+B18</f>
        <v>(***)</v>
      </c>
      <c r="F18" s="595" t="s">
        <v>2</v>
      </c>
      <c r="G18" s="604" t="s">
        <v>2</v>
      </c>
      <c r="K18" s="652"/>
    </row>
    <row r="19" spans="1:11" ht="22.5" customHeight="1">
      <c r="A19" s="65" t="s">
        <v>7</v>
      </c>
      <c r="B19" s="66" t="s">
        <v>228</v>
      </c>
      <c r="C19" s="66"/>
      <c r="D19" s="66"/>
      <c r="E19" s="66"/>
      <c r="F19" s="596" t="s">
        <v>2</v>
      </c>
      <c r="G19" s="605" t="s">
        <v>2</v>
      </c>
      <c r="J19" s="653"/>
    </row>
    <row r="20" spans="1:11" ht="22.5" customHeight="1">
      <c r="A20" s="65" t="s">
        <v>232</v>
      </c>
      <c r="B20" s="66" t="s">
        <v>22</v>
      </c>
      <c r="C20" s="67"/>
      <c r="D20" s="67"/>
      <c r="E20" s="66" t="str">
        <f>+B20</f>
        <v>(***)</v>
      </c>
      <c r="F20" s="595" t="s">
        <v>2</v>
      </c>
      <c r="G20" s="604" t="s">
        <v>2</v>
      </c>
      <c r="J20" s="650"/>
    </row>
    <row r="21" spans="1:11" ht="22.5" customHeight="1" thickBot="1">
      <c r="A21" s="70" t="s">
        <v>9</v>
      </c>
      <c r="B21" s="71" t="s">
        <v>12</v>
      </c>
      <c r="C21" s="71" t="s">
        <v>12</v>
      </c>
      <c r="D21" s="71" t="s">
        <v>12</v>
      </c>
      <c r="E21" s="71" t="s">
        <v>12</v>
      </c>
      <c r="F21" s="590" t="s">
        <v>2</v>
      </c>
      <c r="G21" s="606" t="s">
        <v>2</v>
      </c>
      <c r="J21" s="650"/>
    </row>
    <row r="22" spans="1:11" ht="21.75" customHeight="1" thickTop="1">
      <c r="A22" s="724"/>
      <c r="B22" s="725"/>
      <c r="C22" s="725"/>
      <c r="D22" s="725"/>
      <c r="E22" s="725"/>
      <c r="F22" s="725"/>
      <c r="G22" s="725"/>
    </row>
    <row r="23" spans="1:11" s="63" customFormat="1" ht="30" customHeight="1">
      <c r="A23" s="726" t="s">
        <v>224</v>
      </c>
      <c r="B23" s="726"/>
      <c r="C23" s="726"/>
      <c r="D23" s="726"/>
      <c r="E23" s="726"/>
      <c r="F23" s="726"/>
      <c r="G23" s="726"/>
    </row>
    <row r="24" spans="1:11" s="63" customFormat="1" ht="11.25" customHeight="1">
      <c r="A24" s="318"/>
      <c r="B24" s="318"/>
      <c r="C24" s="318"/>
      <c r="D24" s="318"/>
      <c r="E24" s="318"/>
      <c r="F24" s="584"/>
      <c r="G24" s="318"/>
    </row>
    <row r="25" spans="1:11" s="63" customFormat="1" ht="31.5" customHeight="1">
      <c r="A25" s="726" t="s">
        <v>220</v>
      </c>
      <c r="B25" s="726"/>
      <c r="C25" s="726"/>
      <c r="D25" s="726"/>
      <c r="E25" s="726"/>
      <c r="F25" s="726"/>
      <c r="G25" s="726"/>
    </row>
    <row r="26" spans="1:11" s="63" customFormat="1" ht="7.5" customHeight="1">
      <c r="A26" s="13"/>
      <c r="B26" s="319"/>
      <c r="C26" s="319"/>
      <c r="D26" s="319"/>
      <c r="E26" s="319"/>
      <c r="F26" s="319"/>
      <c r="G26" s="319"/>
    </row>
    <row r="27" spans="1:11" ht="43.5" customHeight="1">
      <c r="A27" s="736" t="s">
        <v>221</v>
      </c>
      <c r="B27" s="736"/>
      <c r="C27" s="736"/>
      <c r="D27" s="736"/>
      <c r="E27" s="736"/>
      <c r="F27" s="736"/>
      <c r="G27" s="736"/>
    </row>
    <row r="28" spans="1:11" s="9" customFormat="1" ht="8.25" customHeight="1">
      <c r="A28" s="320"/>
      <c r="B28" s="320"/>
      <c r="C28" s="320"/>
      <c r="D28" s="320"/>
      <c r="E28" s="320"/>
      <c r="F28" s="585"/>
      <c r="G28" s="320"/>
    </row>
    <row r="29" spans="1:11" ht="18" customHeight="1">
      <c r="A29" s="726" t="s">
        <v>222</v>
      </c>
      <c r="B29" s="726"/>
      <c r="C29" s="726"/>
      <c r="D29" s="726"/>
      <c r="E29" s="726"/>
      <c r="F29" s="726"/>
      <c r="G29" s="726"/>
    </row>
    <row r="30" spans="1:11" ht="7.5" customHeight="1">
      <c r="A30" s="724"/>
      <c r="B30" s="725"/>
      <c r="C30" s="725"/>
      <c r="D30" s="725"/>
      <c r="E30" s="725"/>
      <c r="F30" s="725"/>
      <c r="G30" s="725"/>
    </row>
    <row r="31" spans="1:11" ht="29.25" customHeight="1">
      <c r="A31" s="726" t="s">
        <v>300</v>
      </c>
      <c r="B31" s="726"/>
      <c r="C31" s="726"/>
      <c r="D31" s="726"/>
      <c r="E31" s="726"/>
      <c r="F31" s="726"/>
      <c r="G31" s="726"/>
    </row>
    <row r="32" spans="1:11" s="10" customFormat="1" ht="18" customHeight="1">
      <c r="A32" s="726" t="s">
        <v>307</v>
      </c>
      <c r="B32" s="726"/>
      <c r="C32" s="726"/>
      <c r="D32" s="726"/>
      <c r="E32" s="726"/>
      <c r="F32" s="726"/>
      <c r="G32" s="726"/>
    </row>
    <row r="33" spans="1:7" s="10" customFormat="1">
      <c r="A33" s="726" t="s">
        <v>364</v>
      </c>
      <c r="B33" s="726"/>
      <c r="C33" s="726"/>
      <c r="D33" s="726"/>
      <c r="E33" s="726"/>
      <c r="F33" s="726"/>
      <c r="G33" s="726"/>
    </row>
    <row r="34" spans="1:7" s="10" customFormat="1">
      <c r="A34" s="584"/>
      <c r="B34" s="584"/>
      <c r="C34" s="584"/>
      <c r="D34" s="584"/>
      <c r="E34" s="584"/>
      <c r="F34" s="584"/>
      <c r="G34" s="584"/>
    </row>
    <row r="35" spans="1:7" s="10" customFormat="1">
      <c r="A35" s="726" t="s">
        <v>694</v>
      </c>
      <c r="B35" s="726"/>
      <c r="C35" s="726"/>
      <c r="D35" s="726"/>
      <c r="E35" s="726"/>
      <c r="F35" s="726"/>
      <c r="G35" s="726"/>
    </row>
    <row r="36" spans="1:7" s="10" customFormat="1">
      <c r="A36" s="584"/>
      <c r="B36" s="584"/>
      <c r="C36" s="584"/>
      <c r="D36" s="584"/>
      <c r="E36" s="584"/>
      <c r="F36" s="584"/>
      <c r="G36" s="584"/>
    </row>
    <row r="37" spans="1:7" s="10" customFormat="1" ht="14.25" customHeight="1">
      <c r="A37" s="726" t="s">
        <v>686</v>
      </c>
      <c r="B37" s="726"/>
      <c r="C37" s="726"/>
      <c r="D37" s="726"/>
      <c r="E37" s="726"/>
      <c r="F37" s="726"/>
      <c r="G37" s="726"/>
    </row>
    <row r="38" spans="1:7" s="10" customFormat="1" ht="14.25" customHeight="1">
      <c r="A38" s="726"/>
      <c r="B38" s="726"/>
      <c r="C38" s="726"/>
      <c r="D38" s="726"/>
      <c r="E38" s="726"/>
      <c r="F38" s="726"/>
      <c r="G38" s="726"/>
    </row>
    <row r="39" spans="1:7" s="10" customFormat="1" ht="14.25" customHeight="1">
      <c r="A39" s="726"/>
      <c r="B39" s="726"/>
      <c r="C39" s="726"/>
      <c r="D39" s="726"/>
      <c r="E39" s="726"/>
      <c r="F39" s="726"/>
      <c r="G39" s="726"/>
    </row>
    <row r="40" spans="1:7" s="10" customFormat="1" ht="14.25" customHeight="1">
      <c r="A40" s="726"/>
      <c r="B40" s="726"/>
      <c r="C40" s="726"/>
      <c r="D40" s="726"/>
      <c r="E40" s="726"/>
      <c r="F40" s="726"/>
      <c r="G40" s="726"/>
    </row>
    <row r="41" spans="1:7" s="10" customFormat="1">
      <c r="A41" s="726" t="s">
        <v>159</v>
      </c>
      <c r="B41" s="726"/>
      <c r="C41" s="726"/>
      <c r="D41" s="726"/>
      <c r="E41" s="726"/>
      <c r="F41" s="726"/>
      <c r="G41" s="726"/>
    </row>
    <row r="42" spans="1:7" s="10" customFormat="1" ht="90" customHeight="1">
      <c r="A42" s="737" t="s">
        <v>340</v>
      </c>
      <c r="B42" s="737"/>
      <c r="C42" s="737"/>
      <c r="D42" s="737"/>
      <c r="E42" s="737"/>
      <c r="F42" s="586"/>
      <c r="G42" s="11"/>
    </row>
    <row r="43" spans="1:7" s="10" customFormat="1">
      <c r="A43" s="11"/>
      <c r="B43" s="11"/>
      <c r="C43" s="11"/>
      <c r="D43" s="11"/>
      <c r="E43" s="11"/>
      <c r="F43" s="11"/>
      <c r="G43" s="11"/>
    </row>
    <row r="44" spans="1:7" s="10" customFormat="1">
      <c r="A44" s="11"/>
      <c r="B44" s="11"/>
      <c r="C44" s="11"/>
      <c r="D44" s="11"/>
      <c r="E44" s="11"/>
      <c r="F44" s="11"/>
      <c r="G44" s="11"/>
    </row>
    <row r="45" spans="1:7" s="10" customFormat="1">
      <c r="A45" s="11"/>
      <c r="B45" s="11"/>
      <c r="C45" s="11"/>
      <c r="D45" s="11"/>
      <c r="E45" s="11"/>
      <c r="F45" s="11"/>
      <c r="G45" s="11"/>
    </row>
    <row r="46" spans="1:7" s="10" customFormat="1">
      <c r="A46" s="11"/>
      <c r="B46" s="11"/>
      <c r="C46" s="11"/>
      <c r="D46" s="11"/>
      <c r="E46" s="11"/>
      <c r="F46" s="11"/>
      <c r="G46" s="11"/>
    </row>
    <row r="47" spans="1:7" s="10" customFormat="1">
      <c r="A47" s="11"/>
      <c r="B47" s="11"/>
      <c r="C47" s="11"/>
      <c r="D47" s="11"/>
      <c r="E47" s="11"/>
      <c r="F47" s="11"/>
      <c r="G47" s="11"/>
    </row>
    <row r="48" spans="1:7" s="10" customFormat="1">
      <c r="A48" s="12"/>
      <c r="B48" s="12"/>
      <c r="C48" s="12"/>
      <c r="D48" s="12"/>
      <c r="E48" s="12"/>
      <c r="F48" s="305"/>
      <c r="G48" s="12"/>
    </row>
  </sheetData>
  <sheetProtection password="C712" sheet="1" objects="1" scenarios="1"/>
  <mergeCells count="18">
    <mergeCell ref="A33:G33"/>
    <mergeCell ref="A41:G41"/>
    <mergeCell ref="A42:E42"/>
    <mergeCell ref="A37:G40"/>
    <mergeCell ref="A32:G32"/>
    <mergeCell ref="A35:G35"/>
    <mergeCell ref="A2:G2"/>
    <mergeCell ref="A23:G23"/>
    <mergeCell ref="A25:G25"/>
    <mergeCell ref="A27:G27"/>
    <mergeCell ref="A29:G29"/>
    <mergeCell ref="A22:G22"/>
    <mergeCell ref="A30:G30"/>
    <mergeCell ref="A31:G31"/>
    <mergeCell ref="A4:A6"/>
    <mergeCell ref="B4:B5"/>
    <mergeCell ref="E4:E5"/>
    <mergeCell ref="C4:D4"/>
  </mergeCells>
  <phoneticPr fontId="21"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I9" sqref="I9"/>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38" t="str">
        <f>CONCATENATE("ESTRUCTURAS DE PRECIOS PARA GASOLINA MOTOR CORRIENTE OXIGENADA VIGENTES A PARTIR DE ",'COMBUSTIBLES '!$A$1)</f>
        <v>ESTRUCTURAS DE PRECIOS PARA GASOLINA MOTOR CORRIENTE OXIGENADA VIGENTES A PARTIR DE 1 DE MARZO 2020</v>
      </c>
      <c r="B2" s="739"/>
      <c r="C2" s="739"/>
      <c r="D2" s="739"/>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40" t="s">
        <v>0</v>
      </c>
      <c r="B3" s="741"/>
      <c r="C3" s="741"/>
      <c r="D3" s="741"/>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43" t="s">
        <v>1</v>
      </c>
      <c r="B4" s="742" t="s">
        <v>27</v>
      </c>
      <c r="C4" s="742" t="s">
        <v>672</v>
      </c>
      <c r="D4" s="453"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27"/>
      <c r="B5" s="730"/>
      <c r="C5" s="730"/>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28"/>
      <c r="B6" s="184" t="str">
        <f>+'COMBUSTIBLES '!B6</f>
        <v>1 DE MARZO 2020</v>
      </c>
      <c r="C6" s="183" t="str">
        <f>'COMBUSTIBLES '!B6</f>
        <v>1 DE MARZO 2020</v>
      </c>
      <c r="D6" s="183" t="str">
        <f>+C6</f>
        <v>1 DE MARZO 2020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48">
        <v>7941.29</v>
      </c>
      <c r="C7" s="304">
        <f>+'COMBUSTIBLES '!B7</f>
        <v>5575.55</v>
      </c>
      <c r="D7" s="43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184</v>
      </c>
      <c r="B8" s="176"/>
      <c r="C8" s="69"/>
      <c r="D8" s="326">
        <f>ROUND($C$7*(1-D5),2)</f>
        <v>5018</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183</v>
      </c>
      <c r="B9" s="176"/>
      <c r="C9" s="69"/>
      <c r="D9" s="326">
        <f>+ROUND(B7*D5,2)</f>
        <v>794.13</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6">
        <f>D8+D9</f>
        <v>5812.13</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546.26</v>
      </c>
      <c r="D11" s="326">
        <f>+C11*(1-D5)</f>
        <v>491.63400000000001</v>
      </c>
      <c r="E11" s="7"/>
      <c r="F11" s="7"/>
      <c r="G11" s="7"/>
      <c r="H11" s="7"/>
      <c r="I11" s="7"/>
      <c r="J11" s="7"/>
      <c r="K11" s="7"/>
      <c r="L11" s="7"/>
      <c r="M11" s="7"/>
      <c r="N11" s="7" t="s">
        <v>701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7" t="str">
        <f>+'COMBUSTIBLES '!C12</f>
        <v>(3)</v>
      </c>
      <c r="D12" s="326"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155</v>
      </c>
      <c r="D13" s="326">
        <f>ROUND(C13*(1-D5),2)</f>
        <v>139.5</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6">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185</v>
      </c>
      <c r="B15" s="176"/>
      <c r="C15" s="69"/>
      <c r="D15" s="451"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186</v>
      </c>
      <c r="B16" s="176"/>
      <c r="C16" s="78"/>
      <c r="D16" s="451"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225</v>
      </c>
      <c r="B17" s="176"/>
      <c r="C17" s="69">
        <f>'COMBUSTIBLES '!B10</f>
        <v>71.510000000000005</v>
      </c>
      <c r="D17" s="451">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51"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51">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51" t="s">
        <v>228</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51"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51"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51"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232</v>
      </c>
      <c r="B24" s="176"/>
      <c r="C24" s="69" t="s">
        <v>159</v>
      </c>
      <c r="D24" s="451"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2"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30" customFormat="1" ht="35.25" customHeight="1">
      <c r="A27" s="744" t="s">
        <v>258</v>
      </c>
      <c r="B27" s="744"/>
      <c r="C27" s="744"/>
      <c r="D27" s="744"/>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row>
    <row r="28" spans="1:59" s="329" customFormat="1" ht="8.25" customHeight="1">
      <c r="A28" s="331"/>
      <c r="B28" s="331"/>
      <c r="C28" s="331"/>
      <c r="D28" s="331"/>
    </row>
    <row r="29" spans="1:59" s="329" customFormat="1" ht="48" customHeight="1">
      <c r="A29" s="745" t="s">
        <v>259</v>
      </c>
      <c r="B29" s="745"/>
      <c r="C29" s="745"/>
      <c r="D29" s="745"/>
    </row>
    <row r="30" spans="1:59" s="329" customFormat="1" ht="12.75">
      <c r="A30" s="332"/>
      <c r="B30" s="332"/>
      <c r="C30" s="333"/>
      <c r="D30" s="333"/>
    </row>
    <row r="31" spans="1:59" s="329" customFormat="1" ht="35.25" customHeight="1">
      <c r="A31" s="745" t="s">
        <v>229</v>
      </c>
      <c r="B31" s="745"/>
      <c r="C31" s="745"/>
      <c r="D31" s="745"/>
    </row>
    <row r="32" spans="1:59" s="329" customFormat="1" ht="12.75">
      <c r="A32" s="332"/>
      <c r="B32" s="332"/>
      <c r="C32" s="333"/>
      <c r="D32" s="333"/>
    </row>
    <row r="33" spans="1:6" s="369" customFormat="1" ht="36.75" customHeight="1">
      <c r="A33" s="746" t="s">
        <v>230</v>
      </c>
      <c r="B33" s="746"/>
      <c r="C33" s="746"/>
      <c r="D33" s="746"/>
    </row>
    <row r="34" spans="1:6" s="329" customFormat="1" ht="9" customHeight="1">
      <c r="A34" s="332"/>
      <c r="B34" s="332"/>
      <c r="C34" s="333"/>
      <c r="D34" s="333"/>
    </row>
    <row r="35" spans="1:6" s="329" customFormat="1" ht="12.75">
      <c r="A35" s="745" t="s">
        <v>231</v>
      </c>
      <c r="B35" s="745"/>
      <c r="C35" s="745"/>
      <c r="D35" s="745"/>
    </row>
    <row r="36" spans="1:6" s="329" customFormat="1" ht="10.5" customHeight="1">
      <c r="A36" s="334"/>
      <c r="B36" s="334"/>
      <c r="C36" s="334"/>
      <c r="D36" s="334"/>
    </row>
    <row r="37" spans="1:6" s="329" customFormat="1" ht="30.75" customHeight="1">
      <c r="A37" s="736" t="s">
        <v>300</v>
      </c>
      <c r="B37" s="736"/>
      <c r="C37" s="736"/>
      <c r="D37" s="736"/>
    </row>
    <row r="38" spans="1:6" s="329" customFormat="1" ht="6" customHeight="1">
      <c r="A38" s="569"/>
      <c r="B38" s="569"/>
      <c r="C38" s="569"/>
      <c r="D38" s="569"/>
    </row>
    <row r="39" spans="1:6" s="329" customFormat="1" ht="12.75" customHeight="1">
      <c r="A39" s="726" t="s">
        <v>686</v>
      </c>
      <c r="B39" s="726"/>
      <c r="C39" s="726"/>
      <c r="D39" s="726"/>
      <c r="E39" s="328"/>
      <c r="F39" s="328"/>
    </row>
    <row r="40" spans="1:6" s="329" customFormat="1" ht="12.75">
      <c r="A40" s="726"/>
      <c r="B40" s="726"/>
      <c r="C40" s="726"/>
      <c r="D40" s="726"/>
      <c r="E40" s="328"/>
      <c r="F40" s="328"/>
    </row>
    <row r="41" spans="1:6">
      <c r="A41" s="726"/>
      <c r="B41" s="726"/>
      <c r="C41" s="726"/>
      <c r="D41" s="726"/>
      <c r="E41" s="328"/>
      <c r="F41" s="328"/>
    </row>
    <row r="42" spans="1:6">
      <c r="A42" s="726"/>
      <c r="B42" s="726"/>
      <c r="C42" s="726"/>
      <c r="D42" s="726"/>
      <c r="E42" s="328"/>
      <c r="F42" s="328"/>
    </row>
    <row r="43" spans="1:6">
      <c r="A43" s="726"/>
      <c r="B43" s="726"/>
      <c r="C43" s="726"/>
      <c r="D43" s="726"/>
      <c r="E43" s="611"/>
      <c r="F43" s="568"/>
    </row>
    <row r="44" spans="1:6">
      <c r="A44" s="568"/>
      <c r="B44" s="568"/>
      <c r="C44" s="568"/>
      <c r="D44" s="568"/>
      <c r="E44" s="611"/>
      <c r="F44" s="568"/>
    </row>
    <row r="45" spans="1:6" ht="98.25" customHeight="1">
      <c r="A45" s="737" t="s">
        <v>340</v>
      </c>
      <c r="B45" s="737"/>
      <c r="C45" s="737"/>
      <c r="D45" s="737"/>
    </row>
  </sheetData>
  <sheetProtection password="C71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1"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5" t="s">
        <v>319</v>
      </c>
    </row>
    <row r="3" spans="1:16" ht="13.5" thickBot="1"/>
    <row r="4" spans="1:16" ht="15.75" customHeight="1" thickTop="1">
      <c r="A4" s="747" t="s">
        <v>308</v>
      </c>
      <c r="B4" s="748"/>
      <c r="C4" s="748"/>
      <c r="D4" s="748"/>
      <c r="E4" s="748"/>
      <c r="F4" s="748"/>
      <c r="G4" s="748"/>
      <c r="H4" s="748"/>
      <c r="I4" s="748"/>
      <c r="J4" s="748"/>
      <c r="K4" s="748"/>
      <c r="L4" s="748"/>
      <c r="M4" s="748"/>
      <c r="N4" s="748"/>
      <c r="O4" s="748"/>
      <c r="P4" s="749"/>
    </row>
    <row r="5" spans="1:16" ht="18" customHeight="1">
      <c r="A5" s="750"/>
      <c r="B5" s="751"/>
      <c r="C5" s="751"/>
      <c r="D5" s="751"/>
      <c r="E5" s="751"/>
      <c r="F5" s="751"/>
      <c r="G5" s="751"/>
      <c r="H5" s="751"/>
      <c r="I5" s="751"/>
      <c r="J5" s="751"/>
      <c r="K5" s="751"/>
      <c r="L5" s="751"/>
      <c r="M5" s="751"/>
      <c r="N5" s="751"/>
      <c r="O5" s="751"/>
      <c r="P5" s="752"/>
    </row>
    <row r="6" spans="1:16" ht="51" customHeight="1">
      <c r="A6" s="414" t="s">
        <v>1</v>
      </c>
      <c r="B6" s="441" t="s">
        <v>310</v>
      </c>
      <c r="C6" s="441" t="s">
        <v>309</v>
      </c>
      <c r="D6" s="413" t="s">
        <v>286</v>
      </c>
      <c r="E6" s="441" t="s">
        <v>311</v>
      </c>
      <c r="F6" s="413" t="s">
        <v>287</v>
      </c>
      <c r="G6" s="413" t="s">
        <v>288</v>
      </c>
      <c r="H6" s="413" t="s">
        <v>289</v>
      </c>
      <c r="I6" s="441" t="s">
        <v>312</v>
      </c>
      <c r="J6" s="413" t="s">
        <v>290</v>
      </c>
      <c r="K6" s="413" t="s">
        <v>291</v>
      </c>
      <c r="L6" s="413" t="s">
        <v>313</v>
      </c>
      <c r="M6" s="413" t="s">
        <v>314</v>
      </c>
      <c r="N6" s="445" t="s">
        <v>292</v>
      </c>
      <c r="O6" s="445" t="s">
        <v>315</v>
      </c>
      <c r="P6" s="416" t="s">
        <v>316</v>
      </c>
    </row>
    <row r="7" spans="1:16" ht="21.75" customHeight="1">
      <c r="A7" s="82" t="s">
        <v>3</v>
      </c>
      <c r="B7" s="417">
        <v>4898.18</v>
      </c>
      <c r="C7" s="417">
        <v>4880.5</v>
      </c>
      <c r="D7" s="417">
        <v>4973.8500000000004</v>
      </c>
      <c r="E7" s="417">
        <v>4979.33</v>
      </c>
      <c r="F7" s="417">
        <v>4938.42</v>
      </c>
      <c r="G7" s="417">
        <v>4897.41</v>
      </c>
      <c r="H7" s="417">
        <v>4864.58</v>
      </c>
      <c r="I7" s="417">
        <v>4880.16</v>
      </c>
      <c r="J7" s="417">
        <v>4881.16</v>
      </c>
      <c r="K7" s="417">
        <v>4882.17</v>
      </c>
      <c r="L7" s="417">
        <v>4888.16</v>
      </c>
      <c r="M7" s="417">
        <v>4908.13</v>
      </c>
      <c r="N7" s="446">
        <v>4896.76</v>
      </c>
      <c r="O7" s="446">
        <v>4888.46</v>
      </c>
      <c r="P7" s="418">
        <v>4888.46</v>
      </c>
    </row>
    <row r="8" spans="1:16" ht="17.25" customHeight="1">
      <c r="A8" s="76" t="str">
        <f>+'COMBUSTIBLES '!A11</f>
        <v>Impuesto Nacional a la Gasolina y al ACPM</v>
      </c>
      <c r="B8" s="421">
        <f>+'COMBUSTIBLES '!B11</f>
        <v>546.26</v>
      </c>
      <c r="C8" s="421">
        <f>+B8</f>
        <v>546.26</v>
      </c>
      <c r="D8" s="421">
        <f>+B8</f>
        <v>546.26</v>
      </c>
      <c r="E8" s="421">
        <f t="shared" ref="E8:O8" si="0">+C8</f>
        <v>546.26</v>
      </c>
      <c r="F8" s="421">
        <f t="shared" si="0"/>
        <v>546.26</v>
      </c>
      <c r="G8" s="421">
        <f t="shared" si="0"/>
        <v>546.26</v>
      </c>
      <c r="H8" s="421">
        <f t="shared" si="0"/>
        <v>546.26</v>
      </c>
      <c r="I8" s="421">
        <f t="shared" si="0"/>
        <v>546.26</v>
      </c>
      <c r="J8" s="421">
        <f t="shared" si="0"/>
        <v>546.26</v>
      </c>
      <c r="K8" s="421">
        <f t="shared" si="0"/>
        <v>546.26</v>
      </c>
      <c r="L8" s="421">
        <f t="shared" si="0"/>
        <v>546.26</v>
      </c>
      <c r="M8" s="421">
        <f t="shared" si="0"/>
        <v>546.26</v>
      </c>
      <c r="N8" s="421">
        <f t="shared" si="0"/>
        <v>546.26</v>
      </c>
      <c r="O8" s="421">
        <f t="shared" si="0"/>
        <v>546.26</v>
      </c>
      <c r="P8" s="422">
        <f>+M8</f>
        <v>546.26</v>
      </c>
    </row>
    <row r="9" spans="1:16" ht="19.5" customHeight="1">
      <c r="A9" s="76" t="s">
        <v>56</v>
      </c>
      <c r="B9" s="421">
        <v>5.56</v>
      </c>
      <c r="C9" s="421">
        <f t="shared" ref="C9:C18" si="1">+B9</f>
        <v>5.56</v>
      </c>
      <c r="D9" s="421">
        <v>5.56</v>
      </c>
      <c r="E9" s="421">
        <v>5.56</v>
      </c>
      <c r="F9" s="421">
        <v>5.56</v>
      </c>
      <c r="G9" s="421">
        <v>5.56</v>
      </c>
      <c r="H9" s="421">
        <v>5.56</v>
      </c>
      <c r="I9" s="421">
        <v>5.56</v>
      </c>
      <c r="J9" s="421">
        <v>5.56</v>
      </c>
      <c r="K9" s="421">
        <v>5.56</v>
      </c>
      <c r="L9" s="421">
        <v>5.56</v>
      </c>
      <c r="M9" s="421">
        <v>5.56</v>
      </c>
      <c r="N9" s="421">
        <v>5.56</v>
      </c>
      <c r="O9" s="421">
        <v>5.56</v>
      </c>
      <c r="P9" s="422">
        <v>5.56</v>
      </c>
    </row>
    <row r="10" spans="1:16" ht="19.5" customHeight="1">
      <c r="A10" s="76" t="s">
        <v>285</v>
      </c>
      <c r="B10" s="421" t="str">
        <f>+'COMBUSTIBLES '!B9</f>
        <v>(*)</v>
      </c>
      <c r="C10" s="421" t="str">
        <f t="shared" si="1"/>
        <v>(*)</v>
      </c>
      <c r="D10" s="421" t="str">
        <f>+C10</f>
        <v>(*)</v>
      </c>
      <c r="E10" s="421" t="str">
        <f t="shared" ref="E10:O10" si="2">+D10</f>
        <v>(*)</v>
      </c>
      <c r="F10" s="421" t="str">
        <f t="shared" si="2"/>
        <v>(*)</v>
      </c>
      <c r="G10" s="421" t="str">
        <f t="shared" si="2"/>
        <v>(*)</v>
      </c>
      <c r="H10" s="421" t="str">
        <f t="shared" si="2"/>
        <v>(*)</v>
      </c>
      <c r="I10" s="421" t="str">
        <f t="shared" si="2"/>
        <v>(*)</v>
      </c>
      <c r="J10" s="421" t="str">
        <f t="shared" si="2"/>
        <v>(*)</v>
      </c>
      <c r="K10" s="421" t="str">
        <f t="shared" si="2"/>
        <v>(*)</v>
      </c>
      <c r="L10" s="421" t="str">
        <f t="shared" si="2"/>
        <v>(*)</v>
      </c>
      <c r="M10" s="421" t="str">
        <f t="shared" si="2"/>
        <v>(*)</v>
      </c>
      <c r="N10" s="421" t="str">
        <f t="shared" si="2"/>
        <v>(*)</v>
      </c>
      <c r="O10" s="421" t="str">
        <f t="shared" si="2"/>
        <v>(*)</v>
      </c>
      <c r="P10" s="422" t="str">
        <f>+O10</f>
        <v>(*)</v>
      </c>
    </row>
    <row r="11" spans="1:16" ht="19.5" customHeight="1">
      <c r="A11" s="76" t="s">
        <v>284</v>
      </c>
      <c r="B11" s="421">
        <f>'COMBUSTIBLES '!B10</f>
        <v>71.510000000000005</v>
      </c>
      <c r="C11" s="421">
        <f t="shared" si="1"/>
        <v>71.510000000000005</v>
      </c>
      <c r="D11" s="421">
        <f>+B11</f>
        <v>71.510000000000005</v>
      </c>
      <c r="E11" s="421">
        <f t="shared" ref="E11:O11" si="3">+C11</f>
        <v>71.510000000000005</v>
      </c>
      <c r="F11" s="421">
        <f t="shared" si="3"/>
        <v>71.510000000000005</v>
      </c>
      <c r="G11" s="421">
        <f t="shared" si="3"/>
        <v>71.510000000000005</v>
      </c>
      <c r="H11" s="421">
        <f t="shared" si="3"/>
        <v>71.510000000000005</v>
      </c>
      <c r="I11" s="421">
        <f t="shared" si="3"/>
        <v>71.510000000000005</v>
      </c>
      <c r="J11" s="421">
        <f t="shared" si="3"/>
        <v>71.510000000000005</v>
      </c>
      <c r="K11" s="421">
        <f t="shared" si="3"/>
        <v>71.510000000000005</v>
      </c>
      <c r="L11" s="421">
        <f t="shared" si="3"/>
        <v>71.510000000000005</v>
      </c>
      <c r="M11" s="421">
        <f t="shared" si="3"/>
        <v>71.510000000000005</v>
      </c>
      <c r="N11" s="421">
        <f t="shared" si="3"/>
        <v>71.510000000000005</v>
      </c>
      <c r="O11" s="421">
        <f t="shared" si="3"/>
        <v>71.510000000000005</v>
      </c>
      <c r="P11" s="422">
        <f>+M11</f>
        <v>71.510000000000005</v>
      </c>
    </row>
    <row r="12" spans="1:16" ht="30">
      <c r="A12" s="76" t="s">
        <v>50</v>
      </c>
      <c r="B12" s="421" t="str">
        <f>+'COMBUSTIBLES '!B14</f>
        <v>(**)</v>
      </c>
      <c r="C12" s="421" t="str">
        <f>+B12</f>
        <v>(**)</v>
      </c>
      <c r="D12" s="421" t="str">
        <f>+C12</f>
        <v>(**)</v>
      </c>
      <c r="E12" s="421" t="str">
        <f t="shared" ref="E12:O12" si="4">+D12</f>
        <v>(**)</v>
      </c>
      <c r="F12" s="421" t="str">
        <f t="shared" si="4"/>
        <v>(**)</v>
      </c>
      <c r="G12" s="421" t="str">
        <f t="shared" si="4"/>
        <v>(**)</v>
      </c>
      <c r="H12" s="421" t="str">
        <f t="shared" si="4"/>
        <v>(**)</v>
      </c>
      <c r="I12" s="421" t="str">
        <f t="shared" si="4"/>
        <v>(**)</v>
      </c>
      <c r="J12" s="421" t="str">
        <f t="shared" si="4"/>
        <v>(**)</v>
      </c>
      <c r="K12" s="421" t="str">
        <f t="shared" si="4"/>
        <v>(**)</v>
      </c>
      <c r="L12" s="421" t="str">
        <f t="shared" si="4"/>
        <v>(**)</v>
      </c>
      <c r="M12" s="421" t="str">
        <f t="shared" si="4"/>
        <v>(**)</v>
      </c>
      <c r="N12" s="421" t="str">
        <f t="shared" si="4"/>
        <v>(**)</v>
      </c>
      <c r="O12" s="421" t="str">
        <f t="shared" si="4"/>
        <v>(**)</v>
      </c>
      <c r="P12" s="422" t="str">
        <f>+O12</f>
        <v>(**)</v>
      </c>
    </row>
    <row r="13" spans="1:16" ht="19.5" customHeight="1">
      <c r="A13" s="76" t="s">
        <v>8</v>
      </c>
      <c r="B13" s="421">
        <f>+ROUND('COMBUSTIBLES '!B16,2)</f>
        <v>1269.69</v>
      </c>
      <c r="C13" s="421">
        <f t="shared" si="1"/>
        <v>1269.69</v>
      </c>
      <c r="D13" s="421">
        <f>+B13</f>
        <v>1269.69</v>
      </c>
      <c r="E13" s="421">
        <f t="shared" ref="E13:O13" si="5">+C13</f>
        <v>1269.69</v>
      </c>
      <c r="F13" s="421">
        <f t="shared" si="5"/>
        <v>1269.69</v>
      </c>
      <c r="G13" s="421">
        <f t="shared" si="5"/>
        <v>1269.69</v>
      </c>
      <c r="H13" s="421">
        <f t="shared" si="5"/>
        <v>1269.69</v>
      </c>
      <c r="I13" s="421">
        <f t="shared" si="5"/>
        <v>1269.69</v>
      </c>
      <c r="J13" s="421">
        <f t="shared" si="5"/>
        <v>1269.69</v>
      </c>
      <c r="K13" s="421">
        <f t="shared" si="5"/>
        <v>1269.69</v>
      </c>
      <c r="L13" s="421">
        <f t="shared" si="5"/>
        <v>1269.69</v>
      </c>
      <c r="M13" s="421">
        <f t="shared" si="5"/>
        <v>1269.69</v>
      </c>
      <c r="N13" s="421">
        <f t="shared" si="5"/>
        <v>1269.69</v>
      </c>
      <c r="O13" s="421">
        <f t="shared" si="5"/>
        <v>1269.69</v>
      </c>
      <c r="P13" s="422">
        <f>+M13</f>
        <v>1269.69</v>
      </c>
    </row>
    <row r="14" spans="1:16" ht="22.5" customHeight="1">
      <c r="A14" s="76" t="s">
        <v>47</v>
      </c>
      <c r="B14" s="421" t="str">
        <f>+'COMBUSTIBLES '!B15</f>
        <v>(***)</v>
      </c>
      <c r="C14" s="421" t="str">
        <f t="shared" si="1"/>
        <v>(***)</v>
      </c>
      <c r="D14" s="421" t="str">
        <f t="shared" ref="D14:D19" si="6">+C14</f>
        <v>(***)</v>
      </c>
      <c r="E14" s="421" t="str">
        <f t="shared" ref="E14:O14" si="7">+D14</f>
        <v>(***)</v>
      </c>
      <c r="F14" s="421" t="str">
        <f t="shared" si="7"/>
        <v>(***)</v>
      </c>
      <c r="G14" s="421" t="str">
        <f t="shared" si="7"/>
        <v>(***)</v>
      </c>
      <c r="H14" s="421" t="str">
        <f t="shared" si="7"/>
        <v>(***)</v>
      </c>
      <c r="I14" s="421" t="str">
        <f t="shared" si="7"/>
        <v>(***)</v>
      </c>
      <c r="J14" s="421" t="str">
        <f t="shared" si="7"/>
        <v>(***)</v>
      </c>
      <c r="K14" s="421" t="str">
        <f t="shared" si="7"/>
        <v>(***)</v>
      </c>
      <c r="L14" s="421" t="str">
        <f t="shared" si="7"/>
        <v>(***)</v>
      </c>
      <c r="M14" s="421" t="str">
        <f t="shared" si="7"/>
        <v>(***)</v>
      </c>
      <c r="N14" s="421" t="str">
        <f t="shared" si="7"/>
        <v>(***)</v>
      </c>
      <c r="O14" s="421" t="str">
        <f t="shared" si="7"/>
        <v>(***)</v>
      </c>
      <c r="P14" s="422" t="str">
        <f t="shared" ref="P14:P19" si="8">+O14</f>
        <v>(***)</v>
      </c>
    </row>
    <row r="15" spans="1:16" ht="30">
      <c r="A15" s="76" t="s">
        <v>62</v>
      </c>
      <c r="B15" s="421" t="str">
        <f>+'COMBUSTIBLES '!B17</f>
        <v>(**)</v>
      </c>
      <c r="C15" s="421" t="str">
        <f>+B15</f>
        <v>(**)</v>
      </c>
      <c r="D15" s="421" t="str">
        <f t="shared" si="6"/>
        <v>(**)</v>
      </c>
      <c r="E15" s="421" t="str">
        <f t="shared" ref="E15:O15" si="9">+D15</f>
        <v>(**)</v>
      </c>
      <c r="F15" s="421" t="str">
        <f t="shared" si="9"/>
        <v>(**)</v>
      </c>
      <c r="G15" s="421" t="str">
        <f t="shared" si="9"/>
        <v>(**)</v>
      </c>
      <c r="H15" s="421" t="str">
        <f t="shared" si="9"/>
        <v>(**)</v>
      </c>
      <c r="I15" s="421" t="str">
        <f t="shared" si="9"/>
        <v>(**)</v>
      </c>
      <c r="J15" s="421" t="str">
        <f t="shared" si="9"/>
        <v>(**)</v>
      </c>
      <c r="K15" s="421" t="str">
        <f t="shared" si="9"/>
        <v>(**)</v>
      </c>
      <c r="L15" s="421" t="str">
        <f t="shared" si="9"/>
        <v>(**)</v>
      </c>
      <c r="M15" s="421" t="str">
        <f t="shared" si="9"/>
        <v>(**)</v>
      </c>
      <c r="N15" s="421" t="str">
        <f t="shared" si="9"/>
        <v>(**)</v>
      </c>
      <c r="O15" s="421" t="str">
        <f t="shared" si="9"/>
        <v>(**)</v>
      </c>
      <c r="P15" s="422" t="str">
        <f t="shared" si="8"/>
        <v>(**)</v>
      </c>
    </row>
    <row r="16" spans="1:16" ht="18.75" customHeight="1">
      <c r="A16" s="76" t="s">
        <v>48</v>
      </c>
      <c r="B16" s="421" t="str">
        <f>+'COMBUSTIBLES '!B18</f>
        <v>(***)</v>
      </c>
      <c r="C16" s="421" t="str">
        <f t="shared" si="1"/>
        <v>(***)</v>
      </c>
      <c r="D16" s="447" t="str">
        <f t="shared" si="6"/>
        <v>(***)</v>
      </c>
      <c r="E16" s="447" t="str">
        <f t="shared" ref="E16:O16" si="10">+D16</f>
        <v>(***)</v>
      </c>
      <c r="F16" s="447" t="str">
        <f t="shared" si="10"/>
        <v>(***)</v>
      </c>
      <c r="G16" s="447" t="str">
        <f t="shared" si="10"/>
        <v>(***)</v>
      </c>
      <c r="H16" s="447" t="str">
        <f t="shared" si="10"/>
        <v>(***)</v>
      </c>
      <c r="I16" s="447" t="str">
        <f t="shared" si="10"/>
        <v>(***)</v>
      </c>
      <c r="J16" s="447" t="str">
        <f t="shared" si="10"/>
        <v>(***)</v>
      </c>
      <c r="K16" s="447" t="str">
        <f t="shared" si="10"/>
        <v>(***)</v>
      </c>
      <c r="L16" s="447" t="str">
        <f t="shared" si="10"/>
        <v>(***)</v>
      </c>
      <c r="M16" s="447" t="str">
        <f t="shared" si="10"/>
        <v>(***)</v>
      </c>
      <c r="N16" s="447" t="str">
        <f t="shared" si="10"/>
        <v>(***)</v>
      </c>
      <c r="O16" s="447" t="str">
        <f t="shared" si="10"/>
        <v>(***)</v>
      </c>
      <c r="P16" s="448" t="str">
        <f t="shared" si="8"/>
        <v>(***)</v>
      </c>
    </row>
    <row r="17" spans="1:16" ht="18.75" customHeight="1">
      <c r="A17" s="76" t="s">
        <v>60</v>
      </c>
      <c r="B17" s="421" t="str">
        <f>+'COMBUSTIBLES '!B19</f>
        <v>(****)</v>
      </c>
      <c r="C17" s="421" t="str">
        <f t="shared" si="1"/>
        <v>(****)</v>
      </c>
      <c r="D17" s="421" t="str">
        <f t="shared" si="6"/>
        <v>(****)</v>
      </c>
      <c r="E17" s="421" t="str">
        <f t="shared" ref="E17:O17" si="11">+D17</f>
        <v>(****)</v>
      </c>
      <c r="F17" s="421" t="str">
        <f t="shared" si="11"/>
        <v>(****)</v>
      </c>
      <c r="G17" s="421" t="str">
        <f t="shared" si="11"/>
        <v>(****)</v>
      </c>
      <c r="H17" s="421" t="str">
        <f t="shared" si="11"/>
        <v>(****)</v>
      </c>
      <c r="I17" s="421" t="str">
        <f t="shared" si="11"/>
        <v>(****)</v>
      </c>
      <c r="J17" s="421" t="str">
        <f t="shared" si="11"/>
        <v>(****)</v>
      </c>
      <c r="K17" s="421" t="str">
        <f t="shared" si="11"/>
        <v>(****)</v>
      </c>
      <c r="L17" s="421" t="str">
        <f t="shared" si="11"/>
        <v>(****)</v>
      </c>
      <c r="M17" s="421" t="str">
        <f t="shared" si="11"/>
        <v>(****)</v>
      </c>
      <c r="N17" s="421" t="str">
        <f t="shared" si="11"/>
        <v>(****)</v>
      </c>
      <c r="O17" s="421" t="str">
        <f t="shared" si="11"/>
        <v>(****)</v>
      </c>
      <c r="P17" s="422" t="str">
        <f t="shared" si="8"/>
        <v>(****)</v>
      </c>
    </row>
    <row r="18" spans="1:16" ht="30">
      <c r="A18" s="76" t="s">
        <v>232</v>
      </c>
      <c r="B18" s="421" t="str">
        <f>+'COMBUSTIBLES '!B20</f>
        <v>(***)</v>
      </c>
      <c r="C18" s="421" t="str">
        <f t="shared" si="1"/>
        <v>(***)</v>
      </c>
      <c r="D18" s="421" t="str">
        <f t="shared" si="6"/>
        <v>(***)</v>
      </c>
      <c r="E18" s="421" t="str">
        <f t="shared" ref="E18:O18" si="12">+D18</f>
        <v>(***)</v>
      </c>
      <c r="F18" s="421" t="str">
        <f t="shared" si="12"/>
        <v>(***)</v>
      </c>
      <c r="G18" s="421" t="str">
        <f t="shared" si="12"/>
        <v>(***)</v>
      </c>
      <c r="H18" s="421" t="str">
        <f t="shared" si="12"/>
        <v>(***)</v>
      </c>
      <c r="I18" s="421" t="str">
        <f t="shared" si="12"/>
        <v>(***)</v>
      </c>
      <c r="J18" s="421" t="str">
        <f t="shared" si="12"/>
        <v>(***)</v>
      </c>
      <c r="K18" s="421" t="str">
        <f t="shared" si="12"/>
        <v>(***)</v>
      </c>
      <c r="L18" s="421" t="str">
        <f t="shared" si="12"/>
        <v>(***)</v>
      </c>
      <c r="M18" s="421" t="str">
        <f t="shared" si="12"/>
        <v>(***)</v>
      </c>
      <c r="N18" s="421" t="str">
        <f t="shared" si="12"/>
        <v>(***)</v>
      </c>
      <c r="O18" s="421" t="str">
        <f t="shared" si="12"/>
        <v>(***)</v>
      </c>
      <c r="P18" s="422" t="str">
        <f t="shared" si="8"/>
        <v>(***)</v>
      </c>
    </row>
    <row r="19" spans="1:16" ht="30.75" thickBot="1">
      <c r="A19" s="79" t="s">
        <v>61</v>
      </c>
      <c r="B19" s="427" t="str">
        <f>+'COMBUSTIBLES '!B21</f>
        <v>(**)</v>
      </c>
      <c r="C19" s="427" t="str">
        <f>+B19</f>
        <v>(**)</v>
      </c>
      <c r="D19" s="427" t="str">
        <f t="shared" si="6"/>
        <v>(**)</v>
      </c>
      <c r="E19" s="427" t="str">
        <f t="shared" ref="E19:O19" si="13">+D19</f>
        <v>(**)</v>
      </c>
      <c r="F19" s="427" t="str">
        <f t="shared" si="13"/>
        <v>(**)</v>
      </c>
      <c r="G19" s="427" t="str">
        <f t="shared" si="13"/>
        <v>(**)</v>
      </c>
      <c r="H19" s="427" t="str">
        <f t="shared" si="13"/>
        <v>(**)</v>
      </c>
      <c r="I19" s="427" t="str">
        <f t="shared" si="13"/>
        <v>(**)</v>
      </c>
      <c r="J19" s="427" t="str">
        <f t="shared" si="13"/>
        <v>(**)</v>
      </c>
      <c r="K19" s="427" t="str">
        <f t="shared" si="13"/>
        <v>(**)</v>
      </c>
      <c r="L19" s="427" t="str">
        <f t="shared" si="13"/>
        <v>(**)</v>
      </c>
      <c r="M19" s="427" t="str">
        <f t="shared" si="13"/>
        <v>(**)</v>
      </c>
      <c r="N19" s="427" t="str">
        <f t="shared" si="13"/>
        <v>(**)</v>
      </c>
      <c r="O19" s="427" t="str">
        <f t="shared" si="13"/>
        <v>(**)</v>
      </c>
      <c r="P19" s="428" t="str">
        <f t="shared" si="8"/>
        <v>(**)</v>
      </c>
    </row>
    <row r="20" spans="1:16" ht="13.5" thickTop="1"/>
    <row r="21" spans="1:16" ht="15">
      <c r="A21" s="753" t="s">
        <v>339</v>
      </c>
      <c r="B21" s="754"/>
      <c r="C21" s="754"/>
      <c r="D21" s="754"/>
      <c r="E21" s="754"/>
      <c r="F21" s="754"/>
      <c r="G21" s="754"/>
      <c r="H21" s="754"/>
      <c r="I21" s="754"/>
      <c r="J21" s="754"/>
      <c r="K21" s="754"/>
      <c r="L21" s="754"/>
      <c r="M21" s="754"/>
      <c r="N21" s="754"/>
      <c r="O21" s="754"/>
      <c r="P21" s="754"/>
    </row>
    <row r="22" spans="1:16" ht="15">
      <c r="A22" s="443"/>
      <c r="B22" s="444"/>
      <c r="C22" s="444"/>
      <c r="D22" s="444"/>
      <c r="E22" s="444"/>
      <c r="F22" s="444"/>
      <c r="G22" s="444"/>
      <c r="H22" s="444"/>
      <c r="I22" s="444"/>
      <c r="J22" s="444"/>
      <c r="K22" s="444"/>
      <c r="L22" s="444"/>
      <c r="M22" s="444"/>
      <c r="N22" s="444"/>
      <c r="O22" s="444"/>
      <c r="P22" s="444"/>
    </row>
    <row r="23" spans="1:16">
      <c r="A23" s="726" t="s">
        <v>224</v>
      </c>
      <c r="B23" s="726"/>
      <c r="C23" s="726"/>
      <c r="D23" s="726"/>
      <c r="E23" s="726"/>
      <c r="F23" s="726"/>
    </row>
    <row r="24" spans="1:16">
      <c r="A24" s="439"/>
      <c r="B24" s="439"/>
      <c r="C24" s="439"/>
      <c r="D24" s="439"/>
      <c r="E24" s="439"/>
      <c r="F24" s="439"/>
    </row>
    <row r="25" spans="1:16">
      <c r="A25" s="726" t="s">
        <v>220</v>
      </c>
      <c r="B25" s="726"/>
      <c r="C25" s="726"/>
      <c r="D25" s="726"/>
      <c r="E25" s="726"/>
      <c r="F25" s="726"/>
    </row>
    <row r="26" spans="1:16" ht="15">
      <c r="A26" s="13"/>
      <c r="B26" s="319"/>
      <c r="C26" s="319"/>
      <c r="D26" s="319"/>
      <c r="E26" s="319"/>
      <c r="F26" s="319"/>
    </row>
    <row r="27" spans="1:16">
      <c r="A27" s="736" t="s">
        <v>221</v>
      </c>
      <c r="B27" s="736"/>
      <c r="C27" s="736"/>
      <c r="D27" s="736"/>
      <c r="E27" s="736"/>
      <c r="F27" s="736"/>
    </row>
    <row r="28" spans="1:16">
      <c r="A28" s="440"/>
      <c r="B28" s="440"/>
      <c r="C28" s="440"/>
      <c r="D28" s="440"/>
      <c r="E28" s="440"/>
      <c r="F28" s="440"/>
    </row>
    <row r="29" spans="1:16">
      <c r="A29" s="726" t="s">
        <v>222</v>
      </c>
      <c r="B29" s="726"/>
      <c r="C29" s="726"/>
      <c r="D29" s="726"/>
      <c r="E29" s="726"/>
      <c r="F29" s="726"/>
    </row>
    <row r="30" spans="1:16" ht="15">
      <c r="A30" s="724"/>
      <c r="B30" s="725"/>
      <c r="C30" s="725"/>
      <c r="D30" s="725"/>
      <c r="E30" s="725"/>
      <c r="F30" s="725"/>
    </row>
    <row r="31" spans="1:16">
      <c r="A31" s="726" t="s">
        <v>300</v>
      </c>
      <c r="B31" s="726"/>
      <c r="C31" s="726"/>
      <c r="D31" s="726"/>
      <c r="E31" s="726"/>
      <c r="F31" s="726"/>
    </row>
    <row r="32" spans="1:16">
      <c r="A32" s="726" t="s">
        <v>307</v>
      </c>
      <c r="B32" s="726"/>
      <c r="C32" s="726"/>
      <c r="D32" s="726"/>
      <c r="E32" s="726"/>
      <c r="F32" s="726"/>
    </row>
    <row r="35" spans="1:5" ht="114.75" customHeight="1">
      <c r="A35" s="737" t="s">
        <v>340</v>
      </c>
      <c r="B35" s="737"/>
      <c r="C35" s="737"/>
      <c r="D35" s="737"/>
      <c r="E35" s="737"/>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D14" sqref="D14"/>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55" t="str">
        <f>CONCATENATE("ESTRUCTURAS DE PRECIOS PARA GASOLINA EXTRA OXIGENADA VIGENTES A PARTIR DE ",'COMBUSTIBLES '!$A$1)</f>
        <v>ESTRUCTURAS DE PRECIOS PARA GASOLINA EXTRA OXIGENADA VIGENTES A PARTIR DE 1 DE MARZO 2020</v>
      </c>
      <c r="B2" s="756"/>
      <c r="C2" s="756"/>
      <c r="D2" s="756"/>
      <c r="E2" s="756"/>
      <c r="F2" s="756"/>
    </row>
    <row r="3" spans="1:6" ht="16.5">
      <c r="A3" s="757" t="s">
        <v>0</v>
      </c>
      <c r="B3" s="758"/>
      <c r="C3" s="758"/>
      <c r="D3" s="758"/>
      <c r="E3" s="758"/>
      <c r="F3" s="758"/>
    </row>
    <row r="4" spans="1:6" ht="30">
      <c r="A4" s="743" t="s">
        <v>1</v>
      </c>
      <c r="B4" s="742" t="s">
        <v>27</v>
      </c>
      <c r="C4" s="742" t="s">
        <v>703</v>
      </c>
      <c r="D4" s="612" t="s">
        <v>29</v>
      </c>
      <c r="E4" s="759" t="s">
        <v>704</v>
      </c>
      <c r="F4" s="619" t="s">
        <v>29</v>
      </c>
    </row>
    <row r="5" spans="1:6" ht="15">
      <c r="A5" s="727"/>
      <c r="B5" s="730"/>
      <c r="C5" s="730"/>
      <c r="D5" s="613">
        <v>0.1</v>
      </c>
      <c r="E5" s="760"/>
      <c r="F5" s="620">
        <v>0.1</v>
      </c>
    </row>
    <row r="6" spans="1:6" ht="30" customHeight="1" thickBot="1">
      <c r="A6" s="728"/>
      <c r="B6" s="74" t="str">
        <f>+'GASOLINA CORRIENTE OXIGENADA'!B6</f>
        <v>1 DE MARZO 2020</v>
      </c>
      <c r="C6" s="74" t="str">
        <f>+B6</f>
        <v>1 DE MARZO 2020</v>
      </c>
      <c r="D6" s="74" t="str">
        <f>+C6</f>
        <v>1 DE MARZO 2020</v>
      </c>
      <c r="E6" s="74" t="str">
        <f>+B6</f>
        <v>1 DE MARZO 2020</v>
      </c>
      <c r="F6" s="75" t="str">
        <f>+B6</f>
        <v>1 DE MARZO 2020</v>
      </c>
    </row>
    <row r="7" spans="1:6" ht="23.25" customHeight="1" thickTop="1">
      <c r="A7" s="73" t="s">
        <v>3</v>
      </c>
      <c r="B7" s="96">
        <f>+'GASOLINA CORRIENTE OXIGENADA'!B7</f>
        <v>7941.29</v>
      </c>
      <c r="C7" s="96">
        <f>+'COMBUSTIBLES '!C7</f>
        <v>7270.2889821668068</v>
      </c>
      <c r="D7" s="614">
        <f>+ROUND((C7*(1-D5))+($B$7*D5),2)</f>
        <v>7337.39</v>
      </c>
      <c r="E7" s="628">
        <f>+'COMBUSTIBLES '!D7</f>
        <v>7270.2889821668068</v>
      </c>
      <c r="F7" s="627">
        <f>+ROUND((E7*(1-F5))+($B$7*F5),2)</f>
        <v>7337.39</v>
      </c>
    </row>
    <row r="8" spans="1:6" ht="23.25" customHeight="1">
      <c r="A8" s="65" t="s">
        <v>26</v>
      </c>
      <c r="B8" s="67"/>
      <c r="C8" s="67">
        <f>+'COMBUSTIBLES '!C8</f>
        <v>8.1370000000000005</v>
      </c>
      <c r="D8" s="589">
        <f>+C8</f>
        <v>8.1370000000000005</v>
      </c>
      <c r="E8" s="589">
        <f>+'COMBUSTIBLES '!E8</f>
        <v>8.1370000000000005</v>
      </c>
      <c r="F8" s="72">
        <f>+E8</f>
        <v>8.1370000000000005</v>
      </c>
    </row>
    <row r="9" spans="1:6" ht="23.25" customHeight="1">
      <c r="A9" s="65" t="s">
        <v>235</v>
      </c>
      <c r="B9" s="69"/>
      <c r="C9" s="69" t="s">
        <v>11</v>
      </c>
      <c r="D9" s="615" t="s">
        <v>11</v>
      </c>
      <c r="E9" s="615" t="s">
        <v>11</v>
      </c>
      <c r="F9" s="77" t="s">
        <v>11</v>
      </c>
    </row>
    <row r="10" spans="1:6" ht="23.25" customHeight="1">
      <c r="A10" s="65" t="s">
        <v>233</v>
      </c>
      <c r="B10" s="69"/>
      <c r="C10" s="69">
        <f>+'COMBUSTIBLES '!C10</f>
        <v>71.510000000000005</v>
      </c>
      <c r="D10" s="615">
        <f>+C10</f>
        <v>71.510000000000005</v>
      </c>
      <c r="E10" s="615">
        <f>+'COMBUSTIBLES '!D10</f>
        <v>71.510000000000005</v>
      </c>
      <c r="F10" s="77">
        <f>+E10</f>
        <v>71.510000000000005</v>
      </c>
    </row>
    <row r="11" spans="1:6" ht="23.25" customHeight="1">
      <c r="A11" s="65" t="s">
        <v>265</v>
      </c>
      <c r="B11" s="67"/>
      <c r="C11" s="67">
        <f>+'COMBUSTIBLES '!C11</f>
        <v>1036.78</v>
      </c>
      <c r="D11" s="589">
        <f>+ROUND(+C11*(1-D5),2)</f>
        <v>933.1</v>
      </c>
      <c r="E11" s="67">
        <f>+'COMBUSTIBLES '!D11</f>
        <v>1036.78</v>
      </c>
      <c r="F11" s="622">
        <f>+ROUND(+E11*(1-F5),2)</f>
        <v>933.1</v>
      </c>
    </row>
    <row r="12" spans="1:6" ht="23.25" customHeight="1">
      <c r="A12" s="65" t="s">
        <v>274</v>
      </c>
      <c r="B12" s="67"/>
      <c r="C12" s="462" t="s">
        <v>386</v>
      </c>
      <c r="D12" s="587" t="s">
        <v>386</v>
      </c>
      <c r="E12" s="462" t="s">
        <v>386</v>
      </c>
      <c r="F12" s="623" t="s">
        <v>386</v>
      </c>
    </row>
    <row r="13" spans="1:6" ht="23.25" customHeight="1">
      <c r="A13" s="65" t="s">
        <v>365</v>
      </c>
      <c r="B13" s="67"/>
      <c r="C13" s="67">
        <f>+'COMBUSTIBLES '!C13</f>
        <v>155</v>
      </c>
      <c r="D13" s="589">
        <f>+ROUND(+C13*(1-D5),2)</f>
        <v>139.5</v>
      </c>
      <c r="E13" s="67">
        <f>+'COMBUSTIBLES '!D13</f>
        <v>155</v>
      </c>
      <c r="F13" s="622">
        <f>+ROUND(+E13*(1-F5),2)</f>
        <v>139.5</v>
      </c>
    </row>
    <row r="14" spans="1:6" ht="23.25" customHeight="1">
      <c r="A14" s="65" t="s">
        <v>260</v>
      </c>
      <c r="B14" s="69"/>
      <c r="C14" s="69" t="s">
        <v>12</v>
      </c>
      <c r="D14" s="615" t="s">
        <v>12</v>
      </c>
      <c r="E14" s="69" t="s">
        <v>12</v>
      </c>
      <c r="F14" s="624" t="s">
        <v>12</v>
      </c>
    </row>
    <row r="15" spans="1:6" ht="23.25" customHeight="1">
      <c r="A15" s="65" t="s">
        <v>4</v>
      </c>
      <c r="B15" s="67"/>
      <c r="C15" s="95"/>
      <c r="D15" s="616"/>
      <c r="E15" s="95"/>
      <c r="F15" s="625"/>
    </row>
    <row r="16" spans="1:6" ht="23.25" customHeight="1">
      <c r="A16" s="65" t="s">
        <v>8</v>
      </c>
      <c r="B16" s="67"/>
      <c r="C16" s="67">
        <f>+'COMBUSTIBLES '!C16</f>
        <v>1776.95</v>
      </c>
      <c r="D16" s="589">
        <f>+ROUND(+C16*(1-D5),2)</f>
        <v>1599.26</v>
      </c>
      <c r="E16" s="67">
        <f>+'COMBUSTIBLES '!D16</f>
        <v>1776.95</v>
      </c>
      <c r="F16" s="622">
        <f>+ROUND(+E16*(1-F5),2)</f>
        <v>1599.26</v>
      </c>
    </row>
    <row r="17" spans="1:6" ht="23.25" customHeight="1">
      <c r="A17" s="65" t="s">
        <v>5</v>
      </c>
      <c r="B17" s="68"/>
      <c r="C17" s="68"/>
      <c r="D17" s="617"/>
      <c r="E17" s="68"/>
      <c r="F17" s="626"/>
    </row>
    <row r="18" spans="1:6" ht="23.25" customHeight="1">
      <c r="A18" s="65" t="s">
        <v>6</v>
      </c>
      <c r="B18" s="67"/>
      <c r="C18" s="95"/>
      <c r="D18" s="616"/>
      <c r="E18" s="95"/>
      <c r="F18" s="327"/>
    </row>
    <row r="19" spans="1:6" ht="23.25" customHeight="1">
      <c r="A19" s="65" t="s">
        <v>7</v>
      </c>
      <c r="B19" s="67"/>
      <c r="C19" s="67"/>
      <c r="D19" s="589"/>
      <c r="E19" s="67"/>
      <c r="F19" s="72"/>
    </row>
    <row r="20" spans="1:6" ht="23.25" customHeight="1">
      <c r="A20" s="65" t="s">
        <v>232</v>
      </c>
      <c r="B20" s="67"/>
      <c r="C20" s="67"/>
      <c r="D20" s="589"/>
      <c r="E20" s="67"/>
      <c r="F20" s="72"/>
    </row>
    <row r="21" spans="1:6" ht="23.25" customHeight="1" thickBot="1">
      <c r="A21" s="70" t="s">
        <v>9</v>
      </c>
      <c r="B21" s="80"/>
      <c r="C21" s="80" t="s">
        <v>12</v>
      </c>
      <c r="D21" s="618" t="s">
        <v>12</v>
      </c>
      <c r="E21" s="80" t="s">
        <v>12</v>
      </c>
      <c r="F21" s="81" t="s">
        <v>12</v>
      </c>
    </row>
    <row r="22" spans="1:6" ht="15.75" thickTop="1">
      <c r="A22" s="13"/>
      <c r="B22" s="14"/>
      <c r="C22" s="14"/>
      <c r="D22" s="14"/>
      <c r="E22" s="14"/>
      <c r="F22" s="14"/>
    </row>
    <row r="23" spans="1:6" ht="14.25">
      <c r="A23" s="726" t="s">
        <v>219</v>
      </c>
      <c r="B23" s="726"/>
      <c r="C23" s="726"/>
      <c r="D23" s="726"/>
      <c r="E23" s="7"/>
      <c r="F23" s="7"/>
    </row>
    <row r="24" spans="1:6">
      <c r="A24" s="621"/>
      <c r="B24" s="621"/>
      <c r="C24" s="621"/>
      <c r="D24" s="621"/>
      <c r="E24" s="621"/>
      <c r="F24" s="621"/>
    </row>
    <row r="25" spans="1:6" ht="14.25">
      <c r="A25" s="726" t="s">
        <v>234</v>
      </c>
      <c r="B25" s="726"/>
      <c r="C25" s="726"/>
      <c r="D25" s="726"/>
      <c r="E25" s="7"/>
      <c r="F25" s="7"/>
    </row>
    <row r="26" spans="1:6">
      <c r="A26" s="621"/>
      <c r="B26" s="621"/>
      <c r="C26" s="621"/>
      <c r="D26" s="621"/>
      <c r="E26" s="621"/>
      <c r="F26" s="621"/>
    </row>
    <row r="27" spans="1:6" ht="14.25">
      <c r="A27" s="726" t="s">
        <v>300</v>
      </c>
      <c r="B27" s="726"/>
      <c r="C27" s="726"/>
      <c r="D27" s="726"/>
      <c r="E27" s="7"/>
      <c r="F27" s="7"/>
    </row>
    <row r="28" spans="1:6" ht="14.25">
      <c r="A28" s="726" t="s">
        <v>686</v>
      </c>
      <c r="B28" s="726"/>
      <c r="C28" s="726"/>
      <c r="D28" s="726"/>
      <c r="E28" s="7"/>
      <c r="F28" s="7"/>
    </row>
    <row r="29" spans="1:6" ht="14.25">
      <c r="A29" s="726"/>
      <c r="B29" s="726"/>
      <c r="C29" s="726"/>
      <c r="D29" s="726"/>
      <c r="E29" s="7"/>
      <c r="F29" s="7"/>
    </row>
    <row r="30" spans="1:6" ht="14.25">
      <c r="A30" s="726"/>
      <c r="B30" s="726"/>
      <c r="C30" s="726"/>
      <c r="D30" s="726"/>
      <c r="E30" s="7"/>
      <c r="F30" s="7"/>
    </row>
    <row r="31" spans="1:6" ht="14.25">
      <c r="A31" s="726"/>
      <c r="B31" s="726"/>
      <c r="C31" s="726"/>
      <c r="D31" s="726"/>
      <c r="E31" s="7"/>
      <c r="F31" s="7"/>
    </row>
    <row r="32" spans="1:6" ht="14.25">
      <c r="A32" s="726"/>
      <c r="B32" s="726"/>
      <c r="C32" s="726"/>
      <c r="D32" s="726"/>
      <c r="E32" s="7"/>
      <c r="F32" s="7"/>
    </row>
    <row r="33" spans="1:6">
      <c r="A33" s="621"/>
      <c r="B33" s="621"/>
      <c r="C33" s="621"/>
      <c r="D33" s="621"/>
      <c r="E33" s="621"/>
      <c r="F33" s="621"/>
    </row>
    <row r="34" spans="1:6" ht="138" customHeight="1">
      <c r="A34" s="737" t="s">
        <v>340</v>
      </c>
      <c r="B34" s="737"/>
      <c r="C34" s="737"/>
      <c r="D34" s="737"/>
      <c r="E34" s="7"/>
      <c r="F34" s="7"/>
    </row>
  </sheetData>
  <sheetProtection password="C712" sheet="1" objects="1" scenarios="1"/>
  <mergeCells count="11">
    <mergeCell ref="A2:F2"/>
    <mergeCell ref="A3:F3"/>
    <mergeCell ref="A4:A6"/>
    <mergeCell ref="B4:B5"/>
    <mergeCell ref="C4:C5"/>
    <mergeCell ref="E4:E5"/>
    <mergeCell ref="A23:D23"/>
    <mergeCell ref="A25:D25"/>
    <mergeCell ref="A27:D27"/>
    <mergeCell ref="A28:D32"/>
    <mergeCell ref="A34:D34"/>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1" zoomScaleNormal="71" workbookViewId="0">
      <selection activeCell="M5" sqref="M5"/>
    </sheetView>
  </sheetViews>
  <sheetFormatPr baseColWidth="10" defaultColWidth="9.85546875" defaultRowHeight="14.25"/>
  <cols>
    <col min="1" max="1" width="58.7109375" style="15"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62" t="str">
        <f>CONCATENATE("ESTRUCTURAS DE PRECIOS PARA LA MEZCLA DE BIOCOMBUSTIBLE PARA USO EN MOTORES DIESEL CON EL ACPM VIGENTES A PARTIR DE ",'COMBUSTIBLES '!$A$1)</f>
        <v>ESTRUCTURAS DE PRECIOS PARA LA MEZCLA DE BIOCOMBUSTIBLE PARA USO EN MOTORES DIESEL CON EL ACPM VIGENTES A PARTIR DE 1 DE MARZO 2020</v>
      </c>
      <c r="B2" s="763"/>
      <c r="C2" s="763"/>
      <c r="D2" s="763"/>
      <c r="E2" s="763"/>
      <c r="F2" s="763"/>
      <c r="G2" s="763"/>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64" t="s">
        <v>0</v>
      </c>
      <c r="B3" s="765"/>
      <c r="C3" s="765"/>
      <c r="D3" s="765"/>
      <c r="E3" s="765"/>
      <c r="F3" s="765"/>
      <c r="G3" s="765"/>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66" t="s">
        <v>1</v>
      </c>
      <c r="B4" s="85" t="s">
        <v>164</v>
      </c>
      <c r="C4" s="769" t="s">
        <v>727</v>
      </c>
      <c r="D4" s="769" t="s">
        <v>64</v>
      </c>
      <c r="E4" s="86" t="s">
        <v>687</v>
      </c>
      <c r="F4" s="86" t="s">
        <v>272</v>
      </c>
      <c r="G4" s="86" t="s">
        <v>728</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67"/>
      <c r="B5" s="87">
        <v>1</v>
      </c>
      <c r="C5" s="770"/>
      <c r="D5" s="770"/>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68"/>
      <c r="B6" s="179" t="str">
        <f>+'COMBUSTIBLES '!A1</f>
        <v>1 DE MARZO 2020</v>
      </c>
      <c r="C6" s="179" t="str">
        <f>+B6</f>
        <v>1 DE MARZO 2020</v>
      </c>
      <c r="D6" s="179" t="str">
        <f>+C6</f>
        <v>1 DE MARZO 2020</v>
      </c>
      <c r="E6" s="180" t="str">
        <f>+B6</f>
        <v>1 DE MARZO 2020</v>
      </c>
      <c r="F6" s="180" t="str">
        <f>+B6</f>
        <v>1 DE MARZO 2020</v>
      </c>
      <c r="G6" s="180" t="str">
        <f>+B6</f>
        <v>1 DE MARZO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4">
        <v>12036.51</v>
      </c>
      <c r="C7" s="434">
        <f>+'COMBUSTIBLES '!E7</f>
        <v>5810.94</v>
      </c>
      <c r="D7" s="434">
        <f>+C7</f>
        <v>5810.94</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5694.72</v>
      </c>
      <c r="F8" s="89">
        <f>+ROUND(C7*(1-F5), 2)</f>
        <v>5578.5</v>
      </c>
      <c r="G8" s="89">
        <f>+ROUND(+C7*(1-G5),2)</f>
        <v>5229.8500000000004</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192</v>
      </c>
      <c r="B9" s="91"/>
      <c r="C9" s="91"/>
      <c r="D9" s="91"/>
      <c r="E9" s="89">
        <f>+ROUND($B$7*E5,2)</f>
        <v>240.73</v>
      </c>
      <c r="F9" s="89">
        <f>+ROUND($B$7*F5,2)</f>
        <v>481.46</v>
      </c>
      <c r="G9" s="89">
        <f>+ROUND($B$7*G5,2)</f>
        <v>1203.6500000000001</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705</v>
      </c>
      <c r="B10" s="91"/>
      <c r="C10" s="91"/>
      <c r="D10" s="91"/>
      <c r="E10" s="89">
        <f>+E9+E8</f>
        <v>5935.45</v>
      </c>
      <c r="F10" s="89">
        <f>+F9+F8</f>
        <v>6059.96</v>
      </c>
      <c r="G10" s="89">
        <f>+G9+G8</f>
        <v>6433.5</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522.85</v>
      </c>
      <c r="D11" s="91">
        <f>+Variables!C30</f>
        <v>522.85</v>
      </c>
      <c r="E11" s="89">
        <f>+ROUND($C$11*(1-E5),2)</f>
        <v>512.39</v>
      </c>
      <c r="F11" s="89">
        <f>+ROUND($C$11*(1-F5),2)</f>
        <v>501.94</v>
      </c>
      <c r="G11" s="89">
        <f>+ROUND($D$11*(1-G5),2)</f>
        <v>470.57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174</v>
      </c>
      <c r="D13" s="91">
        <f>C13</f>
        <v>174</v>
      </c>
      <c r="E13" s="89">
        <f>ROUND(D13*(1-E5),2)</f>
        <v>170.52</v>
      </c>
      <c r="F13" s="89">
        <f>ROUND(D13*(1-F5),2)</f>
        <v>167.04</v>
      </c>
      <c r="G13" s="89">
        <f>ROUND(D13*(1-G5),2)</f>
        <v>156.6</v>
      </c>
      <c r="H13" s="127" t="s">
        <v>159</v>
      </c>
      <c r="I13" s="552"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7">
        <f>+'COMBUSTIBLES '!E8</f>
        <v>8.1370000000000005</v>
      </c>
      <c r="D14" s="437">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236</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237</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225</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9" t="s">
        <v>228</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228</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239</v>
      </c>
      <c r="B22" s="130"/>
      <c r="C22" s="130"/>
      <c r="D22" s="130"/>
      <c r="E22" s="124" t="s">
        <v>159</v>
      </c>
      <c r="F22" s="124"/>
      <c r="G22" s="89" t="s">
        <v>228</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72" t="s">
        <v>163</v>
      </c>
      <c r="B26" s="572"/>
      <c r="C26" s="572"/>
      <c r="D26" s="572"/>
      <c r="E26" s="573"/>
      <c r="F26" s="573"/>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74"/>
      <c r="B27" s="573"/>
      <c r="C27" s="573"/>
      <c r="D27" s="573"/>
      <c r="E27" s="573"/>
      <c r="F27" s="573"/>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72" t="s">
        <v>273</v>
      </c>
      <c r="B28" s="572"/>
      <c r="C28" s="572"/>
      <c r="D28" s="572"/>
      <c r="E28" s="573"/>
      <c r="F28" s="573"/>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74"/>
      <c r="B29" s="573"/>
      <c r="C29" s="573"/>
      <c r="D29" s="573"/>
      <c r="E29" s="573"/>
      <c r="F29" s="573"/>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71" t="s">
        <v>219</v>
      </c>
      <c r="B30" s="771"/>
      <c r="C30" s="771"/>
      <c r="D30" s="771"/>
      <c r="E30" s="771"/>
      <c r="F30" s="771"/>
      <c r="G30" s="77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75"/>
      <c r="B31" s="575"/>
      <c r="C31" s="575"/>
      <c r="D31" s="575"/>
      <c r="E31" s="576"/>
      <c r="F31" s="576"/>
      <c r="G31" s="576"/>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78" customFormat="1" ht="24.75" customHeight="1">
      <c r="A32" s="771" t="s">
        <v>256</v>
      </c>
      <c r="B32" s="771"/>
      <c r="C32" s="771"/>
      <c r="D32" s="771"/>
      <c r="E32" s="771"/>
      <c r="F32" s="771"/>
      <c r="G32" s="771"/>
    </row>
    <row r="33" spans="1:7" s="578" customFormat="1" ht="11.25" customHeight="1">
      <c r="A33" s="579" t="s">
        <v>159</v>
      </c>
      <c r="B33" s="580"/>
      <c r="C33" s="580"/>
      <c r="D33" s="580"/>
      <c r="E33" s="577"/>
      <c r="F33" s="577"/>
      <c r="G33" s="577"/>
    </row>
    <row r="34" spans="1:7" s="578" customFormat="1" ht="32.25" customHeight="1">
      <c r="A34" s="771" t="s">
        <v>238</v>
      </c>
      <c r="B34" s="771"/>
      <c r="C34" s="771"/>
      <c r="D34" s="771"/>
      <c r="E34" s="771"/>
      <c r="F34" s="771"/>
      <c r="G34" s="771"/>
    </row>
    <row r="35" spans="1:7" s="578" customFormat="1" ht="10.5" customHeight="1">
      <c r="A35" s="575"/>
      <c r="B35" s="575"/>
      <c r="C35" s="575"/>
      <c r="D35" s="575"/>
      <c r="E35" s="577"/>
      <c r="F35" s="577"/>
      <c r="G35" s="577"/>
    </row>
    <row r="36" spans="1:7" s="578" customFormat="1" ht="42.75" customHeight="1">
      <c r="A36" s="771" t="s">
        <v>230</v>
      </c>
      <c r="B36" s="771"/>
      <c r="C36" s="771"/>
      <c r="D36" s="771"/>
      <c r="E36" s="771"/>
      <c r="F36" s="771"/>
      <c r="G36" s="771"/>
    </row>
    <row r="37" spans="1:7" s="578" customFormat="1" ht="7.5" customHeight="1">
      <c r="A37" s="579"/>
      <c r="B37" s="580"/>
      <c r="C37" s="580"/>
      <c r="D37" s="580"/>
      <c r="E37" s="577"/>
      <c r="F37" s="577"/>
      <c r="G37" s="577"/>
    </row>
    <row r="38" spans="1:7" s="578" customFormat="1" ht="31.5" customHeight="1">
      <c r="A38" s="771" t="s">
        <v>300</v>
      </c>
      <c r="B38" s="771"/>
      <c r="C38" s="771"/>
      <c r="D38" s="771"/>
      <c r="E38" s="771"/>
      <c r="F38" s="771"/>
      <c r="G38" s="771"/>
    </row>
    <row r="39" spans="1:7" s="56" customFormat="1" ht="14.25" customHeight="1">
      <c r="A39" s="726" t="s">
        <v>686</v>
      </c>
      <c r="B39" s="726"/>
      <c r="C39" s="726"/>
      <c r="D39" s="726"/>
      <c r="E39" s="726"/>
      <c r="F39" s="726"/>
      <c r="G39" s="726"/>
    </row>
    <row r="40" spans="1:7" s="56" customFormat="1">
      <c r="A40" s="726"/>
      <c r="B40" s="726"/>
      <c r="C40" s="726"/>
      <c r="D40" s="726"/>
      <c r="E40" s="726"/>
      <c r="F40" s="726"/>
      <c r="G40" s="726"/>
    </row>
    <row r="41" spans="1:7" s="56" customFormat="1">
      <c r="A41" s="726"/>
      <c r="B41" s="726"/>
      <c r="C41" s="726"/>
      <c r="D41" s="726"/>
      <c r="E41" s="726"/>
      <c r="F41" s="726"/>
      <c r="G41" s="726"/>
    </row>
    <row r="42" spans="1:7" s="56" customFormat="1">
      <c r="A42" s="726"/>
      <c r="B42" s="726"/>
      <c r="C42" s="726"/>
      <c r="D42" s="726"/>
      <c r="E42" s="726"/>
      <c r="F42" s="726"/>
      <c r="G42" s="726"/>
    </row>
    <row r="43" spans="1:7" s="56" customFormat="1">
      <c r="A43" s="570"/>
      <c r="B43" s="570"/>
      <c r="C43" s="570"/>
      <c r="D43" s="570"/>
      <c r="E43" s="570"/>
      <c r="F43" s="570"/>
      <c r="G43" s="84"/>
    </row>
    <row r="44" spans="1:7" s="56" customFormat="1">
      <c r="A44" s="726"/>
      <c r="B44" s="726"/>
      <c r="C44" s="726"/>
      <c r="D44" s="726"/>
      <c r="E44" s="726"/>
      <c r="F44" s="726"/>
      <c r="G44" s="84"/>
    </row>
    <row r="45" spans="1:7" s="56" customFormat="1" ht="93.75" customHeight="1">
      <c r="A45" s="761" t="s">
        <v>340</v>
      </c>
      <c r="B45" s="761"/>
      <c r="C45" s="761"/>
      <c r="D45" s="761"/>
      <c r="E45" s="761"/>
      <c r="F45" s="761"/>
      <c r="G45" s="761"/>
    </row>
  </sheetData>
  <sheetProtection password="C71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1"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5" t="s">
        <v>317</v>
      </c>
    </row>
    <row r="3" spans="1:17" ht="13.5" thickBot="1">
      <c r="B3" s="450">
        <v>0.98</v>
      </c>
      <c r="C3" s="450">
        <v>0.96</v>
      </c>
    </row>
    <row r="4" spans="1:17" ht="15.75" customHeight="1" thickTop="1">
      <c r="A4" s="772" t="s">
        <v>318</v>
      </c>
      <c r="B4" s="773"/>
      <c r="C4" s="773"/>
      <c r="D4" s="773"/>
      <c r="E4" s="773"/>
      <c r="F4" s="773"/>
      <c r="G4" s="773"/>
      <c r="H4" s="773"/>
      <c r="I4" s="773"/>
      <c r="J4" s="773"/>
      <c r="K4" s="773"/>
      <c r="L4" s="773"/>
      <c r="M4" s="773"/>
      <c r="N4" s="773"/>
      <c r="O4" s="773"/>
      <c r="P4" s="774"/>
    </row>
    <row r="5" spans="1:17" ht="18" customHeight="1">
      <c r="A5" s="775"/>
      <c r="B5" s="776"/>
      <c r="C5" s="776"/>
      <c r="D5" s="776"/>
      <c r="E5" s="776"/>
      <c r="F5" s="776"/>
      <c r="G5" s="776"/>
      <c r="H5" s="776"/>
      <c r="I5" s="776"/>
      <c r="J5" s="776"/>
      <c r="K5" s="776"/>
      <c r="L5" s="776"/>
      <c r="M5" s="776"/>
      <c r="N5" s="776"/>
      <c r="O5" s="776"/>
      <c r="P5" s="777"/>
    </row>
    <row r="6" spans="1:17" ht="66" customHeight="1">
      <c r="A6" s="414" t="s">
        <v>1</v>
      </c>
      <c r="B6" s="442" t="s">
        <v>322</v>
      </c>
      <c r="C6" s="442" t="s">
        <v>323</v>
      </c>
      <c r="D6" s="442" t="s">
        <v>324</v>
      </c>
      <c r="E6" s="442" t="s">
        <v>325</v>
      </c>
      <c r="F6" s="442" t="s">
        <v>326</v>
      </c>
      <c r="G6" s="442" t="s">
        <v>327</v>
      </c>
      <c r="H6" s="442" t="s">
        <v>328</v>
      </c>
      <c r="I6" s="442" t="s">
        <v>329</v>
      </c>
      <c r="J6" s="442" t="s">
        <v>330</v>
      </c>
      <c r="K6" s="442" t="s">
        <v>331</v>
      </c>
      <c r="L6" s="442" t="s">
        <v>332</v>
      </c>
      <c r="M6" s="442" t="s">
        <v>333</v>
      </c>
      <c r="N6" s="445" t="s">
        <v>334</v>
      </c>
      <c r="O6" s="445" t="s">
        <v>335</v>
      </c>
      <c r="P6" s="416" t="s">
        <v>336</v>
      </c>
    </row>
    <row r="7" spans="1:17" ht="21" customHeight="1">
      <c r="A7" s="82" t="s">
        <v>337</v>
      </c>
      <c r="B7" s="417">
        <v>5490.5</v>
      </c>
      <c r="C7" s="417">
        <v>5492.35</v>
      </c>
      <c r="D7" s="417">
        <v>5509.95</v>
      </c>
      <c r="E7" s="417">
        <v>5505.06</v>
      </c>
      <c r="F7" s="417">
        <v>5549.42</v>
      </c>
      <c r="G7" s="417">
        <v>5561.15</v>
      </c>
      <c r="H7" s="417">
        <v>5558.95</v>
      </c>
      <c r="I7" s="417">
        <v>5550.75</v>
      </c>
      <c r="J7" s="417">
        <v>5560.41</v>
      </c>
      <c r="K7" s="417">
        <v>5554.3</v>
      </c>
      <c r="L7" s="417">
        <v>5541.47</v>
      </c>
      <c r="M7" s="417">
        <v>5541.5</v>
      </c>
      <c r="N7" s="417">
        <v>5542.49</v>
      </c>
      <c r="O7" s="417">
        <v>5552.05</v>
      </c>
      <c r="P7" s="418">
        <v>5546.91</v>
      </c>
      <c r="Q7" s="430"/>
    </row>
    <row r="8" spans="1:17" ht="21" customHeight="1">
      <c r="A8" s="82" t="s">
        <v>320</v>
      </c>
      <c r="B8" s="417">
        <f>B7*$B$3</f>
        <v>5380.69</v>
      </c>
      <c r="C8" s="417">
        <f>C7*$B$3</f>
        <v>5382.5030000000006</v>
      </c>
      <c r="D8" s="417">
        <f>D7*$C$3</f>
        <v>5289.5519999999997</v>
      </c>
      <c r="E8" s="417">
        <f>E7*$C$3</f>
        <v>5284.8576000000003</v>
      </c>
      <c r="F8" s="417">
        <f t="shared" ref="F8:O8" si="0">F7*$B$3</f>
        <v>5438.4315999999999</v>
      </c>
      <c r="G8" s="417">
        <f t="shared" si="0"/>
        <v>5449.9269999999997</v>
      </c>
      <c r="H8" s="417">
        <f t="shared" si="0"/>
        <v>5447.7709999999997</v>
      </c>
      <c r="I8" s="417">
        <f t="shared" si="0"/>
        <v>5439.7349999999997</v>
      </c>
      <c r="J8" s="417">
        <f t="shared" si="0"/>
        <v>5449.2017999999998</v>
      </c>
      <c r="K8" s="417">
        <f t="shared" si="0"/>
        <v>5443.2139999999999</v>
      </c>
      <c r="L8" s="417">
        <f t="shared" si="0"/>
        <v>5430.6405999999997</v>
      </c>
      <c r="M8" s="417">
        <f t="shared" si="0"/>
        <v>5430.67</v>
      </c>
      <c r="N8" s="417">
        <f t="shared" si="0"/>
        <v>5431.6401999999998</v>
      </c>
      <c r="O8" s="417">
        <f t="shared" si="0"/>
        <v>5441.009</v>
      </c>
      <c r="P8" s="418">
        <f>P7*$B$3</f>
        <v>5435.9717999999993</v>
      </c>
      <c r="Q8" s="449"/>
    </row>
    <row r="9" spans="1:17" ht="21" customHeight="1">
      <c r="A9" s="82" t="s">
        <v>321</v>
      </c>
      <c r="B9" s="417">
        <f>+BIODIESEL!E9</f>
        <v>240.73</v>
      </c>
      <c r="C9" s="417">
        <f>+B9</f>
        <v>240.73</v>
      </c>
      <c r="D9" s="417">
        <f>+BIODIESEL!F9</f>
        <v>481.46</v>
      </c>
      <c r="E9" s="417">
        <f>+D9</f>
        <v>481.46</v>
      </c>
      <c r="F9" s="417">
        <f>+B9</f>
        <v>240.73</v>
      </c>
      <c r="G9" s="417">
        <f>+B9</f>
        <v>240.73</v>
      </c>
      <c r="H9" s="417">
        <f>+B9</f>
        <v>240.73</v>
      </c>
      <c r="I9" s="417">
        <f>+C9</f>
        <v>240.73</v>
      </c>
      <c r="J9" s="417">
        <f>+B9</f>
        <v>240.73</v>
      </c>
      <c r="K9" s="417">
        <f>+B9</f>
        <v>240.73</v>
      </c>
      <c r="L9" s="417">
        <f>+B9</f>
        <v>240.73</v>
      </c>
      <c r="M9" s="417">
        <f>+C9</f>
        <v>240.73</v>
      </c>
      <c r="N9" s="417">
        <f>+M9</f>
        <v>240.73</v>
      </c>
      <c r="O9" s="417">
        <f>+N9</f>
        <v>240.73</v>
      </c>
      <c r="P9" s="418">
        <f>+B9</f>
        <v>240.73</v>
      </c>
      <c r="Q9" s="431"/>
    </row>
    <row r="10" spans="1:17" ht="21" customHeight="1">
      <c r="A10" s="76" t="s">
        <v>293</v>
      </c>
      <c r="B10" s="419">
        <f>+B8+B9</f>
        <v>5621.4199999999992</v>
      </c>
      <c r="C10" s="419">
        <f t="shared" ref="C10:P10" si="1">+C8+C9</f>
        <v>5623.2330000000002</v>
      </c>
      <c r="D10" s="419">
        <f t="shared" si="1"/>
        <v>5771.0119999999997</v>
      </c>
      <c r="E10" s="419">
        <f t="shared" si="1"/>
        <v>5766.3176000000003</v>
      </c>
      <c r="F10" s="419">
        <f t="shared" si="1"/>
        <v>5679.1615999999995</v>
      </c>
      <c r="G10" s="419">
        <f t="shared" si="1"/>
        <v>5690.6569999999992</v>
      </c>
      <c r="H10" s="419">
        <f t="shared" si="1"/>
        <v>5688.5009999999993</v>
      </c>
      <c r="I10" s="419">
        <f t="shared" si="1"/>
        <v>5680.4649999999992</v>
      </c>
      <c r="J10" s="419">
        <f t="shared" si="1"/>
        <v>5689.9317999999994</v>
      </c>
      <c r="K10" s="419">
        <f t="shared" si="1"/>
        <v>5683.9439999999995</v>
      </c>
      <c r="L10" s="419">
        <f t="shared" si="1"/>
        <v>5671.3705999999993</v>
      </c>
      <c r="M10" s="419">
        <f t="shared" si="1"/>
        <v>5671.4</v>
      </c>
      <c r="N10" s="419">
        <f t="shared" si="1"/>
        <v>5672.3701999999994</v>
      </c>
      <c r="O10" s="419">
        <f t="shared" si="1"/>
        <v>5681.7389999999996</v>
      </c>
      <c r="P10" s="419">
        <f t="shared" si="1"/>
        <v>5676.7017999999989</v>
      </c>
    </row>
    <row r="11" spans="1:17" ht="21" customHeight="1">
      <c r="A11" s="76" t="s">
        <v>294</v>
      </c>
      <c r="B11" s="419">
        <f>+BIODIESEL!E11</f>
        <v>512.39</v>
      </c>
      <c r="C11" s="419">
        <f>+BIODIESEL!F11</f>
        <v>501.94</v>
      </c>
      <c r="D11" s="419">
        <f>+BIODIESEL!F11</f>
        <v>501.94</v>
      </c>
      <c r="E11" s="419">
        <f>+D11</f>
        <v>501.94</v>
      </c>
      <c r="F11" s="419">
        <f>+B11</f>
        <v>512.39</v>
      </c>
      <c r="G11" s="419">
        <f>+B11</f>
        <v>512.39</v>
      </c>
      <c r="H11" s="419">
        <f>+B11</f>
        <v>512.39</v>
      </c>
      <c r="I11" s="419">
        <f>+C11</f>
        <v>501.94</v>
      </c>
      <c r="J11" s="419">
        <f>+B11</f>
        <v>512.39</v>
      </c>
      <c r="K11" s="419">
        <f>+B11</f>
        <v>512.39</v>
      </c>
      <c r="L11" s="419">
        <f>+B11</f>
        <v>512.39</v>
      </c>
      <c r="M11" s="419">
        <f t="shared" ref="M11:O12" si="2">+C11</f>
        <v>501.94</v>
      </c>
      <c r="N11" s="419">
        <f t="shared" si="2"/>
        <v>501.94</v>
      </c>
      <c r="O11" s="419">
        <f t="shared" si="2"/>
        <v>501.94</v>
      </c>
      <c r="P11" s="420">
        <f>+B11</f>
        <v>512.39</v>
      </c>
    </row>
    <row r="12" spans="1:17" ht="21" customHeight="1">
      <c r="A12" s="76" t="s">
        <v>56</v>
      </c>
      <c r="B12" s="421">
        <f>+BIODIESEL!E14</f>
        <v>8.1370000000000005</v>
      </c>
      <c r="C12" s="421">
        <f>+B12</f>
        <v>8.1370000000000005</v>
      </c>
      <c r="D12" s="432">
        <v>5.17</v>
      </c>
      <c r="E12" s="432">
        <f>+D12</f>
        <v>5.17</v>
      </c>
      <c r="F12" s="421">
        <f>+B12</f>
        <v>8.1370000000000005</v>
      </c>
      <c r="G12" s="421">
        <f>+B12</f>
        <v>8.1370000000000005</v>
      </c>
      <c r="H12" s="421">
        <f>+B12</f>
        <v>8.1370000000000005</v>
      </c>
      <c r="I12" s="421">
        <f>+C12</f>
        <v>8.1370000000000005</v>
      </c>
      <c r="J12" s="421">
        <f>+B12</f>
        <v>8.1370000000000005</v>
      </c>
      <c r="K12" s="421">
        <f>+B12</f>
        <v>8.1370000000000005</v>
      </c>
      <c r="L12" s="421">
        <f>+B12</f>
        <v>8.1370000000000005</v>
      </c>
      <c r="M12" s="421">
        <f t="shared" si="2"/>
        <v>8.1370000000000005</v>
      </c>
      <c r="N12" s="421">
        <f>+M12</f>
        <v>8.1370000000000005</v>
      </c>
      <c r="O12" s="421">
        <f>+N12</f>
        <v>8.1370000000000005</v>
      </c>
      <c r="P12" s="422">
        <f>+B12</f>
        <v>8.1370000000000005</v>
      </c>
    </row>
    <row r="13" spans="1:17" ht="21" customHeight="1">
      <c r="A13" s="76" t="s">
        <v>296</v>
      </c>
      <c r="B13" s="421" t="str">
        <f>+BIODIESEL!C15</f>
        <v>(*)</v>
      </c>
      <c r="C13" s="421" t="str">
        <f>+B13</f>
        <v>(*)</v>
      </c>
      <c r="D13" s="421" t="str">
        <f t="shared" ref="D13:O13" si="3">+C13</f>
        <v>(*)</v>
      </c>
      <c r="E13" s="421" t="str">
        <f t="shared" si="3"/>
        <v>(*)</v>
      </c>
      <c r="F13" s="421" t="str">
        <f t="shared" si="3"/>
        <v>(*)</v>
      </c>
      <c r="G13" s="421" t="str">
        <f t="shared" si="3"/>
        <v>(*)</v>
      </c>
      <c r="H13" s="421" t="str">
        <f t="shared" si="3"/>
        <v>(*)</v>
      </c>
      <c r="I13" s="421" t="str">
        <f t="shared" si="3"/>
        <v>(*)</v>
      </c>
      <c r="J13" s="421" t="str">
        <f t="shared" si="3"/>
        <v>(*)</v>
      </c>
      <c r="K13" s="421" t="str">
        <f t="shared" si="3"/>
        <v>(*)</v>
      </c>
      <c r="L13" s="421" t="str">
        <f t="shared" si="3"/>
        <v>(*)</v>
      </c>
      <c r="M13" s="421" t="str">
        <f t="shared" si="3"/>
        <v>(*)</v>
      </c>
      <c r="N13" s="421" t="str">
        <f t="shared" si="3"/>
        <v>(*)</v>
      </c>
      <c r="O13" s="421" t="str">
        <f t="shared" si="3"/>
        <v>(*)</v>
      </c>
      <c r="P13" s="422" t="str">
        <f>+O13</f>
        <v>(*)</v>
      </c>
    </row>
    <row r="14" spans="1:17" ht="21" customHeight="1">
      <c r="A14" s="76" t="s">
        <v>297</v>
      </c>
      <c r="B14" s="421" t="str">
        <f>+BIODIESEL!E16</f>
        <v>(**)</v>
      </c>
      <c r="C14" s="421" t="str">
        <f>+B14</f>
        <v>(**)</v>
      </c>
      <c r="D14" s="421" t="str">
        <f t="shared" ref="D14:O14" si="4">+C14</f>
        <v>(**)</v>
      </c>
      <c r="E14" s="421" t="str">
        <f t="shared" si="4"/>
        <v>(**)</v>
      </c>
      <c r="F14" s="421" t="str">
        <f t="shared" si="4"/>
        <v>(**)</v>
      </c>
      <c r="G14" s="421" t="str">
        <f t="shared" si="4"/>
        <v>(**)</v>
      </c>
      <c r="H14" s="421" t="str">
        <f t="shared" si="4"/>
        <v>(**)</v>
      </c>
      <c r="I14" s="421" t="str">
        <f t="shared" si="4"/>
        <v>(**)</v>
      </c>
      <c r="J14" s="421" t="str">
        <f t="shared" si="4"/>
        <v>(**)</v>
      </c>
      <c r="K14" s="421" t="str">
        <f t="shared" si="4"/>
        <v>(**)</v>
      </c>
      <c r="L14" s="421" t="str">
        <f t="shared" si="4"/>
        <v>(**)</v>
      </c>
      <c r="M14" s="421" t="str">
        <f t="shared" si="4"/>
        <v>(**)</v>
      </c>
      <c r="N14" s="421" t="str">
        <f t="shared" si="4"/>
        <v>(**)</v>
      </c>
      <c r="O14" s="421" t="str">
        <f t="shared" si="4"/>
        <v>(**)</v>
      </c>
      <c r="P14" s="422" t="str">
        <f>+O14</f>
        <v>(**)</v>
      </c>
    </row>
    <row r="15" spans="1:17" ht="21" customHeight="1">
      <c r="A15" s="76" t="s">
        <v>295</v>
      </c>
      <c r="B15" s="421">
        <f>+BIODIESEL!E17</f>
        <v>71.510000000000005</v>
      </c>
      <c r="C15" s="421">
        <f>+BIODIESEL!F17</f>
        <v>71.510000000000005</v>
      </c>
      <c r="D15" s="421">
        <f>+B15</f>
        <v>71.510000000000005</v>
      </c>
      <c r="E15" s="421">
        <f>+D15</f>
        <v>71.510000000000005</v>
      </c>
      <c r="F15" s="421">
        <f>+BIODIESEL!G17</f>
        <v>71.510000000000005</v>
      </c>
      <c r="G15" s="421" t="e">
        <f>+BIODIESEL!#REF!</f>
        <v>#REF!</v>
      </c>
      <c r="H15" s="421">
        <f t="shared" ref="H15:O15" si="5">+B15</f>
        <v>71.510000000000005</v>
      </c>
      <c r="I15" s="421">
        <f t="shared" si="5"/>
        <v>71.510000000000005</v>
      </c>
      <c r="J15" s="421">
        <f t="shared" si="5"/>
        <v>71.510000000000005</v>
      </c>
      <c r="K15" s="421">
        <f t="shared" si="5"/>
        <v>71.510000000000005</v>
      </c>
      <c r="L15" s="421">
        <f t="shared" si="5"/>
        <v>71.510000000000005</v>
      </c>
      <c r="M15" s="421" t="e">
        <f t="shared" si="5"/>
        <v>#REF!</v>
      </c>
      <c r="N15" s="421">
        <f t="shared" si="5"/>
        <v>71.510000000000005</v>
      </c>
      <c r="O15" s="421">
        <f t="shared" si="5"/>
        <v>71.510000000000005</v>
      </c>
      <c r="P15" s="422" t="e">
        <f>+G15</f>
        <v>#REF!</v>
      </c>
    </row>
    <row r="16" spans="1:17" ht="21" customHeight="1">
      <c r="A16" s="76" t="s">
        <v>50</v>
      </c>
      <c r="B16" s="421"/>
      <c r="C16" s="421"/>
      <c r="D16" s="421"/>
      <c r="E16" s="421"/>
      <c r="F16" s="421"/>
      <c r="G16" s="421"/>
      <c r="H16" s="421"/>
      <c r="I16" s="421"/>
      <c r="J16" s="421"/>
      <c r="K16" s="421"/>
      <c r="L16" s="421"/>
      <c r="M16" s="421"/>
      <c r="N16" s="421"/>
      <c r="O16" s="421"/>
      <c r="P16" s="422"/>
    </row>
    <row r="17" spans="1:16" ht="21" customHeight="1">
      <c r="A17" s="76" t="s">
        <v>47</v>
      </c>
      <c r="B17" s="419" t="str">
        <f>+BIODIESEL!G19</f>
        <v>(****)</v>
      </c>
      <c r="C17" s="419" t="str">
        <f>+B17</f>
        <v>(****)</v>
      </c>
      <c r="D17" s="419" t="str">
        <f t="shared" ref="D17:O17" si="6">+C17</f>
        <v>(****)</v>
      </c>
      <c r="E17" s="419" t="str">
        <f t="shared" si="6"/>
        <v>(****)</v>
      </c>
      <c r="F17" s="419" t="str">
        <f t="shared" si="6"/>
        <v>(****)</v>
      </c>
      <c r="G17" s="419" t="str">
        <f t="shared" si="6"/>
        <v>(****)</v>
      </c>
      <c r="H17" s="419" t="str">
        <f t="shared" si="6"/>
        <v>(****)</v>
      </c>
      <c r="I17" s="419" t="str">
        <f t="shared" si="6"/>
        <v>(****)</v>
      </c>
      <c r="J17" s="419" t="str">
        <f t="shared" si="6"/>
        <v>(****)</v>
      </c>
      <c r="K17" s="419" t="str">
        <f t="shared" si="6"/>
        <v>(****)</v>
      </c>
      <c r="L17" s="419" t="str">
        <f t="shared" si="6"/>
        <v>(****)</v>
      </c>
      <c r="M17" s="419" t="str">
        <f t="shared" si="6"/>
        <v>(****)</v>
      </c>
      <c r="N17" s="419" t="str">
        <f t="shared" si="6"/>
        <v>(****)</v>
      </c>
      <c r="O17" s="419" t="str">
        <f t="shared" si="6"/>
        <v>(****)</v>
      </c>
      <c r="P17" s="420" t="str">
        <f>+O17</f>
        <v>(****)</v>
      </c>
    </row>
    <row r="18" spans="1:16" ht="21" customHeight="1">
      <c r="A18" s="76" t="s">
        <v>62</v>
      </c>
      <c r="B18" s="423" t="str">
        <f>+BIODIESEL!G20</f>
        <v>(***)</v>
      </c>
      <c r="C18" s="423" t="str">
        <f>+B18</f>
        <v>(***)</v>
      </c>
      <c r="D18" s="423" t="str">
        <f t="shared" ref="D18:O18" si="7">+C18</f>
        <v>(***)</v>
      </c>
      <c r="E18" s="423" t="str">
        <f t="shared" si="7"/>
        <v>(***)</v>
      </c>
      <c r="F18" s="423" t="str">
        <f t="shared" si="7"/>
        <v>(***)</v>
      </c>
      <c r="G18" s="423" t="str">
        <f t="shared" si="7"/>
        <v>(***)</v>
      </c>
      <c r="H18" s="423" t="str">
        <f t="shared" si="7"/>
        <v>(***)</v>
      </c>
      <c r="I18" s="423" t="str">
        <f t="shared" si="7"/>
        <v>(***)</v>
      </c>
      <c r="J18" s="423" t="str">
        <f t="shared" si="7"/>
        <v>(***)</v>
      </c>
      <c r="K18" s="423" t="str">
        <f t="shared" si="7"/>
        <v>(***)</v>
      </c>
      <c r="L18" s="423" t="str">
        <f t="shared" si="7"/>
        <v>(***)</v>
      </c>
      <c r="M18" s="423" t="str">
        <f t="shared" si="7"/>
        <v>(***)</v>
      </c>
      <c r="N18" s="423" t="str">
        <f t="shared" si="7"/>
        <v>(***)</v>
      </c>
      <c r="O18" s="423" t="str">
        <f t="shared" si="7"/>
        <v>(***)</v>
      </c>
      <c r="P18" s="424" t="str">
        <f>+O18</f>
        <v>(***)</v>
      </c>
    </row>
    <row r="19" spans="1:16" ht="21" customHeight="1">
      <c r="A19" s="76" t="s">
        <v>48</v>
      </c>
      <c r="B19" s="421" t="str">
        <f>+BIODIESEL!G21</f>
        <v>(****)</v>
      </c>
      <c r="C19" s="421" t="str">
        <f>+B19</f>
        <v>(****)</v>
      </c>
      <c r="D19" s="421" t="str">
        <f t="shared" ref="D19:O19" si="8">+C19</f>
        <v>(****)</v>
      </c>
      <c r="E19" s="421" t="str">
        <f t="shared" si="8"/>
        <v>(****)</v>
      </c>
      <c r="F19" s="421" t="str">
        <f t="shared" si="8"/>
        <v>(****)</v>
      </c>
      <c r="G19" s="421" t="str">
        <f t="shared" si="8"/>
        <v>(****)</v>
      </c>
      <c r="H19" s="421" t="str">
        <f t="shared" si="8"/>
        <v>(****)</v>
      </c>
      <c r="I19" s="421" t="str">
        <f t="shared" si="8"/>
        <v>(****)</v>
      </c>
      <c r="J19" s="421" t="str">
        <f t="shared" si="8"/>
        <v>(****)</v>
      </c>
      <c r="K19" s="421" t="str">
        <f t="shared" si="8"/>
        <v>(****)</v>
      </c>
      <c r="L19" s="421" t="str">
        <f t="shared" si="8"/>
        <v>(****)</v>
      </c>
      <c r="M19" s="421" t="str">
        <f t="shared" si="8"/>
        <v>(****)</v>
      </c>
      <c r="N19" s="421" t="str">
        <f t="shared" si="8"/>
        <v>(****)</v>
      </c>
      <c r="O19" s="421" t="str">
        <f t="shared" si="8"/>
        <v>(****)</v>
      </c>
      <c r="P19" s="422" t="str">
        <f>+O19</f>
        <v>(****)</v>
      </c>
    </row>
    <row r="20" spans="1:16" ht="21" customHeight="1">
      <c r="A20" s="76" t="s">
        <v>232</v>
      </c>
      <c r="B20" s="421" t="str">
        <f>+BIODIESEL!G22</f>
        <v>(****)</v>
      </c>
      <c r="C20" s="421" t="str">
        <f>+B20</f>
        <v>(****)</v>
      </c>
      <c r="D20" s="421" t="str">
        <f t="shared" ref="D20:O20" si="9">+C20</f>
        <v>(****)</v>
      </c>
      <c r="E20" s="421" t="str">
        <f t="shared" si="9"/>
        <v>(****)</v>
      </c>
      <c r="F20" s="421" t="str">
        <f t="shared" si="9"/>
        <v>(****)</v>
      </c>
      <c r="G20" s="421" t="str">
        <f t="shared" si="9"/>
        <v>(****)</v>
      </c>
      <c r="H20" s="421" t="str">
        <f t="shared" si="9"/>
        <v>(****)</v>
      </c>
      <c r="I20" s="421" t="str">
        <f t="shared" si="9"/>
        <v>(****)</v>
      </c>
      <c r="J20" s="421" t="str">
        <f t="shared" si="9"/>
        <v>(****)</v>
      </c>
      <c r="K20" s="421" t="str">
        <f t="shared" si="9"/>
        <v>(****)</v>
      </c>
      <c r="L20" s="421" t="str">
        <f t="shared" si="9"/>
        <v>(****)</v>
      </c>
      <c r="M20" s="421" t="str">
        <f t="shared" si="9"/>
        <v>(****)</v>
      </c>
      <c r="N20" s="421" t="str">
        <f t="shared" si="9"/>
        <v>(****)</v>
      </c>
      <c r="O20" s="421" t="str">
        <f t="shared" si="9"/>
        <v>(****)</v>
      </c>
      <c r="P20" s="422" t="str">
        <f>+O20</f>
        <v>(****)</v>
      </c>
    </row>
    <row r="21" spans="1:16" ht="21" customHeight="1">
      <c r="A21" s="76" t="s">
        <v>8</v>
      </c>
      <c r="B21" s="421">
        <f>+BIODIESEL!G23</f>
        <v>301.48</v>
      </c>
      <c r="C21" s="421" t="e">
        <f>+BIODIESEL!#REF!</f>
        <v>#REF!</v>
      </c>
      <c r="D21" s="421">
        <f>+B21</f>
        <v>301.48</v>
      </c>
      <c r="E21" s="421">
        <f>+D21</f>
        <v>301.48</v>
      </c>
      <c r="F21" s="421">
        <f>+B21</f>
        <v>301.48</v>
      </c>
      <c r="G21" s="421">
        <f>+D21</f>
        <v>301.48</v>
      </c>
      <c r="H21" s="421">
        <f>+E21</f>
        <v>301.48</v>
      </c>
      <c r="I21" s="421">
        <f>+F21</f>
        <v>301.48</v>
      </c>
      <c r="J21" s="421">
        <f t="shared" ref="J21:O21" si="10">+F21</f>
        <v>301.48</v>
      </c>
      <c r="K21" s="421">
        <f t="shared" si="10"/>
        <v>301.48</v>
      </c>
      <c r="L21" s="421">
        <f t="shared" si="10"/>
        <v>301.48</v>
      </c>
      <c r="M21" s="421">
        <f t="shared" si="10"/>
        <v>301.48</v>
      </c>
      <c r="N21" s="421">
        <f t="shared" si="10"/>
        <v>301.48</v>
      </c>
      <c r="O21" s="421">
        <f t="shared" si="10"/>
        <v>301.48</v>
      </c>
      <c r="P21" s="422">
        <f>+J21</f>
        <v>301.48</v>
      </c>
    </row>
    <row r="22" spans="1:16" ht="21" customHeight="1" thickBot="1">
      <c r="A22" s="79" t="s">
        <v>61</v>
      </c>
      <c r="B22" s="425" t="str">
        <f>+BIODIESEL!G24</f>
        <v>(***)</v>
      </c>
      <c r="C22" s="425" t="str">
        <f>+B22</f>
        <v>(***)</v>
      </c>
      <c r="D22" s="425" t="str">
        <f t="shared" ref="D22:O22" si="11">+C22</f>
        <v>(***)</v>
      </c>
      <c r="E22" s="425" t="str">
        <f t="shared" si="11"/>
        <v>(***)</v>
      </c>
      <c r="F22" s="425" t="str">
        <f t="shared" si="11"/>
        <v>(***)</v>
      </c>
      <c r="G22" s="425" t="str">
        <f t="shared" si="11"/>
        <v>(***)</v>
      </c>
      <c r="H22" s="425" t="str">
        <f t="shared" si="11"/>
        <v>(***)</v>
      </c>
      <c r="I22" s="425" t="str">
        <f t="shared" si="11"/>
        <v>(***)</v>
      </c>
      <c r="J22" s="425" t="str">
        <f t="shared" si="11"/>
        <v>(***)</v>
      </c>
      <c r="K22" s="425" t="str">
        <f t="shared" si="11"/>
        <v>(***)</v>
      </c>
      <c r="L22" s="425" t="str">
        <f t="shared" si="11"/>
        <v>(***)</v>
      </c>
      <c r="M22" s="425" t="str">
        <f t="shared" si="11"/>
        <v>(***)</v>
      </c>
      <c r="N22" s="425" t="str">
        <f t="shared" si="11"/>
        <v>(***)</v>
      </c>
      <c r="O22" s="425" t="str">
        <f t="shared" si="11"/>
        <v>(***)</v>
      </c>
      <c r="P22" s="426" t="str">
        <f>+O22</f>
        <v>(***)</v>
      </c>
    </row>
    <row r="23" spans="1:16" ht="13.5" thickTop="1"/>
    <row r="24" spans="1:16" ht="33" customHeight="1">
      <c r="A24" s="753" t="s">
        <v>338</v>
      </c>
      <c r="B24" s="754"/>
      <c r="C24" s="754"/>
      <c r="D24" s="754"/>
      <c r="E24" s="754"/>
      <c r="F24" s="754"/>
      <c r="G24" s="754"/>
      <c r="H24" s="754"/>
      <c r="I24" s="754"/>
      <c r="J24" s="754"/>
      <c r="K24" s="754"/>
      <c r="L24" s="754"/>
      <c r="M24" s="754"/>
      <c r="N24" s="754"/>
      <c r="O24" s="754"/>
      <c r="P24" s="754"/>
    </row>
    <row r="25" spans="1:16">
      <c r="A25" s="372" t="s">
        <v>219</v>
      </c>
    </row>
    <row r="26" spans="1:16">
      <c r="A26" s="373"/>
    </row>
    <row r="27" spans="1:16">
      <c r="A27" s="372" t="s">
        <v>256</v>
      </c>
    </row>
    <row r="28" spans="1:16" ht="14.25">
      <c r="A28" s="20" t="s">
        <v>159</v>
      </c>
    </row>
    <row r="29" spans="1:16">
      <c r="A29" s="372" t="s">
        <v>238</v>
      </c>
    </row>
    <row r="30" spans="1:16">
      <c r="A30" s="373"/>
    </row>
    <row r="31" spans="1:16">
      <c r="A31" s="372" t="s">
        <v>230</v>
      </c>
    </row>
    <row r="34" spans="1:5" ht="101.25" customHeight="1">
      <c r="A34" s="737" t="s">
        <v>340</v>
      </c>
      <c r="B34" s="737"/>
      <c r="C34" s="737"/>
      <c r="D34" s="737"/>
      <c r="E34" s="737"/>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Hoja2</vt:lpstr>
      <vt:lpstr>Hoja3</vt:lpstr>
      <vt:lpstr>Hoja4</vt:lpstr>
      <vt:lpstr>BIODIESEL!Área_de_impresión</vt:lpstr>
      <vt:lpstr>'COMBUSTIBLES '!Área_de_impresión</vt:lpstr>
      <vt:lpstr>'DIESEL MARINO '!Área_de_impresión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Andrea Leon Castillo</cp:lastModifiedBy>
  <cp:lastPrinted>2013-07-04T13:34:50Z</cp:lastPrinted>
  <dcterms:created xsi:type="dcterms:W3CDTF">2003-04-09T13:52:41Z</dcterms:created>
  <dcterms:modified xsi:type="dcterms:W3CDTF">2020-03-09T20:48:14Z</dcterms:modified>
</cp:coreProperties>
</file>