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codeName="ThisWorkbook"/>
  <mc:AlternateContent xmlns:mc="http://schemas.openxmlformats.org/markup-compatibility/2006">
    <mc:Choice Requires="x15">
      <x15ac:absPath xmlns:x15ac="http://schemas.microsoft.com/office/spreadsheetml/2010/11/ac" url="X:\GRE_PUBLICACIONES\HISTORICOS 2023\Zonas de frontera\"/>
    </mc:Choice>
  </mc:AlternateContent>
  <xr:revisionPtr revIDLastSave="0" documentId="8_{0E85FD19-A4CC-499E-914C-281C304FA1FF}" xr6:coauthVersionLast="47" xr6:coauthVersionMax="47" xr10:uidLastSave="{00000000-0000-0000-0000-000000000000}"/>
  <bookViews>
    <workbookView xWindow="-110" yWindow="-110" windowWidth="19420" windowHeight="10420" tabRatio="965" firstSheet="9" activeTab="20" xr2:uid="{00000000-000D-0000-FFFF-FFFF00000000}"/>
  </bookViews>
  <sheets>
    <sheet name="Tma" sheetId="38" state="hidden" r:id="rId1"/>
    <sheet name="SP" sheetId="1" state="hidden" r:id="rId2"/>
    <sheet name="Calculo IP ZDF" sheetId="3" state="hidden" r:id="rId3"/>
    <sheet name="RUBROS" sheetId="2" state="hidden" r:id="rId4"/>
    <sheet name="GAS CTE" sheetId="5" state="hidden" r:id="rId5"/>
    <sheet name="BIODIESEL" sheetId="7" state="hidden" r:id="rId6"/>
    <sheet name="AMAZONAS" sheetId="9" r:id="rId7"/>
    <sheet name="ARAUCA" sheetId="10" r:id="rId8"/>
    <sheet name="BOYACA" sheetId="11" r:id="rId9"/>
    <sheet name="CESAR" sheetId="12" r:id="rId10"/>
    <sheet name="CHOCO" sheetId="15" r:id="rId11"/>
    <sheet name="NARIÑO" sheetId="20" r:id="rId12"/>
    <sheet name="GUAINIA" sheetId="17" r:id="rId13"/>
    <sheet name="LA GUAJIRA" sheetId="19" r:id="rId14"/>
    <sheet name="NORTE SANTANDER" sheetId="21" r:id="rId15"/>
    <sheet name="PUTUMAYO" sheetId="34" r:id="rId16"/>
    <sheet name="VAUPES" sheetId="23" r:id="rId17"/>
    <sheet name="VICHADA" sheetId="28" r:id="rId18"/>
    <sheet name="BI ECP " sheetId="30" state="hidden" r:id="rId19"/>
    <sheet name="BI REFICAR" sheetId="29" state="hidden" r:id="rId20"/>
    <sheet name="ELECTROCOMBUSTIBLE" sheetId="24" r:id="rId21"/>
  </sheets>
  <externalReferences>
    <externalReference r:id="rId22"/>
    <externalReference r:id="rId23"/>
    <externalReference r:id="rId24"/>
    <externalReference r:id="rId25"/>
    <externalReference r:id="rId26"/>
  </externalReferences>
  <definedNames>
    <definedName name="\A" localSheetId="18">#REF!</definedName>
    <definedName name="\A" localSheetId="10">#REF!</definedName>
    <definedName name="\A" localSheetId="12">#REF!</definedName>
    <definedName name="\A" localSheetId="13">#REF!</definedName>
    <definedName name="\A" localSheetId="11">#REF!</definedName>
    <definedName name="\A" localSheetId="14">#REF!</definedName>
    <definedName name="\A" localSheetId="15">#REF!</definedName>
    <definedName name="\A" localSheetId="16">#REF!</definedName>
    <definedName name="\A" localSheetId="17">#REF!</definedName>
    <definedName name="\A">#REF!</definedName>
    <definedName name="\L" localSheetId="18">#REF!</definedName>
    <definedName name="\L" localSheetId="10">#REF!</definedName>
    <definedName name="\L" localSheetId="12">#REF!</definedName>
    <definedName name="\L" localSheetId="13">#REF!</definedName>
    <definedName name="\L" localSheetId="11">#REF!</definedName>
    <definedName name="\L" localSheetId="14">#REF!</definedName>
    <definedName name="\L" localSheetId="15">#REF!</definedName>
    <definedName name="\L" localSheetId="16">#REF!</definedName>
    <definedName name="\L" localSheetId="17">#REF!</definedName>
    <definedName name="\L">#REF!</definedName>
    <definedName name="\P" localSheetId="18">#REF!</definedName>
    <definedName name="\P" localSheetId="10">#REF!</definedName>
    <definedName name="\P" localSheetId="12">#REF!</definedName>
    <definedName name="\P" localSheetId="13">#REF!</definedName>
    <definedName name="\P" localSheetId="11">#REF!</definedName>
    <definedName name="\P" localSheetId="14">#REF!</definedName>
    <definedName name="\P" localSheetId="15">#REF!</definedName>
    <definedName name="\P" localSheetId="16">#REF!</definedName>
    <definedName name="\P" localSheetId="17">#REF!</definedName>
    <definedName name="\P">#REF!</definedName>
    <definedName name="_xlnm._FilterDatabase" localSheetId="18" hidden="1">'BI ECP '!$A$1:$V$46</definedName>
    <definedName name="_xlnm._FilterDatabase" localSheetId="19" hidden="1">'BI REFICAR'!$A$1:$Y$21</definedName>
    <definedName name="a" localSheetId="18">[1]TARIF2002!#REF!</definedName>
    <definedName name="a" localSheetId="10">[1]TARIF2002!#REF!</definedName>
    <definedName name="a" localSheetId="12">[1]TARIF2002!#REF!</definedName>
    <definedName name="a" localSheetId="13">[1]TARIF2002!#REF!</definedName>
    <definedName name="a" localSheetId="11">[1]TARIF2002!#REF!</definedName>
    <definedName name="a" localSheetId="14">[1]TARIF2002!#REF!</definedName>
    <definedName name="a" localSheetId="15">[1]TARIF2002!#REF!</definedName>
    <definedName name="a" localSheetId="16">[1]TARIF2002!#REF!</definedName>
    <definedName name="a" localSheetId="17">[1]TARIF2002!#REF!</definedName>
    <definedName name="a">[1]TARIF2002!#REF!</definedName>
    <definedName name="A_IMPRESIÓN_IM" localSheetId="18">#REF!</definedName>
    <definedName name="A_IMPRESIÓN_IM" localSheetId="10">#REF!</definedName>
    <definedName name="A_IMPRESIÓN_IM" localSheetId="12">#REF!</definedName>
    <definedName name="A_IMPRESIÓN_IM" localSheetId="13">#REF!</definedName>
    <definedName name="A_IMPRESIÓN_IM" localSheetId="11">#REF!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#REF!</definedName>
    <definedName name="aa" localSheetId="18">#REF!</definedName>
    <definedName name="aa" localSheetId="15">#REF!</definedName>
    <definedName name="aa" localSheetId="16">#REF!</definedName>
    <definedName name="aa" localSheetId="17">#REF!</definedName>
    <definedName name="aa">#REF!</definedName>
    <definedName name="ADI" localSheetId="18">#REF!</definedName>
    <definedName name="ADI" localSheetId="10">#REF!</definedName>
    <definedName name="ADI" localSheetId="12">#REF!</definedName>
    <definedName name="ADI" localSheetId="13">#REF!</definedName>
    <definedName name="ADI" localSheetId="11">#REF!</definedName>
    <definedName name="ADI" localSheetId="14">#REF!</definedName>
    <definedName name="ADI" localSheetId="15">#REF!</definedName>
    <definedName name="ADI" localSheetId="16">#REF!</definedName>
    <definedName name="ADI" localSheetId="17">#REF!</definedName>
    <definedName name="ADI">#REF!</definedName>
    <definedName name="B102T5">RUBROS!$B$102</definedName>
    <definedName name="base" localSheetId="18">#REF!</definedName>
    <definedName name="base" localSheetId="10">#REF!</definedName>
    <definedName name="base" localSheetId="12">#REF!</definedName>
    <definedName name="base" localSheetId="13">#REF!</definedName>
    <definedName name="base" localSheetId="11">#REF!</definedName>
    <definedName name="base" localSheetId="14">#REF!</definedName>
    <definedName name="base" localSheetId="15">#REF!</definedName>
    <definedName name="base" localSheetId="16">#REF!</definedName>
    <definedName name="base" localSheetId="17">#REF!</definedName>
    <definedName name="base">#REF!</definedName>
    <definedName name="base_VaR" localSheetId="18">#REF!</definedName>
    <definedName name="base_VaR" localSheetId="10">#REF!</definedName>
    <definedName name="base_VaR" localSheetId="12">#REF!</definedName>
    <definedName name="base_VaR" localSheetId="13">#REF!</definedName>
    <definedName name="base_VaR" localSheetId="11">#REF!</definedName>
    <definedName name="base_VaR" localSheetId="14">#REF!</definedName>
    <definedName name="base_VaR" localSheetId="15">#REF!</definedName>
    <definedName name="base_VaR" localSheetId="16">#REF!</definedName>
    <definedName name="base_VaR" localSheetId="17">#REF!</definedName>
    <definedName name="base_VaR">#REF!</definedName>
    <definedName name="cc" localSheetId="18">#REF!</definedName>
    <definedName name="cc" localSheetId="15">#REF!</definedName>
    <definedName name="cc" localSheetId="16">#REF!</definedName>
    <definedName name="cc" localSheetId="17">#REF!</definedName>
    <definedName name="cc">#REF!</definedName>
    <definedName name="CONTADO" localSheetId="18">#REF!</definedName>
    <definedName name="CONTADO" localSheetId="10">#REF!</definedName>
    <definedName name="CONTADO" localSheetId="12">#REF!</definedName>
    <definedName name="CONTADO" localSheetId="13">#REF!</definedName>
    <definedName name="CONTADO" localSheetId="11">#REF!</definedName>
    <definedName name="CONTADO" localSheetId="14">#REF!</definedName>
    <definedName name="CONTADO" localSheetId="15">#REF!</definedName>
    <definedName name="CONTADO" localSheetId="16">#REF!</definedName>
    <definedName name="CONTADO" localSheetId="17">#REF!</definedName>
    <definedName name="CONTADO">#REF!</definedName>
    <definedName name="CREDITO" localSheetId="18">#REF!</definedName>
    <definedName name="CREDITO" localSheetId="10">#REF!</definedName>
    <definedName name="CREDITO" localSheetId="12">#REF!</definedName>
    <definedName name="CREDITO" localSheetId="13">#REF!</definedName>
    <definedName name="CREDITO" localSheetId="11">#REF!</definedName>
    <definedName name="CREDITO" localSheetId="14">#REF!</definedName>
    <definedName name="CREDITO" localSheetId="15">#REF!</definedName>
    <definedName name="CREDITO" localSheetId="16">#REF!</definedName>
    <definedName name="CREDITO" localSheetId="17">#REF!</definedName>
    <definedName name="CREDITO">#REF!</definedName>
    <definedName name="DAT" localSheetId="18">#REF!</definedName>
    <definedName name="DAT" localSheetId="10">#REF!</definedName>
    <definedName name="DAT" localSheetId="12">#REF!</definedName>
    <definedName name="DAT" localSheetId="13">#REF!</definedName>
    <definedName name="DAT" localSheetId="11">#REF!</definedName>
    <definedName name="DAT" localSheetId="14">#REF!</definedName>
    <definedName name="DAT" localSheetId="15">#REF!</definedName>
    <definedName name="DAT" localSheetId="16">#REF!</definedName>
    <definedName name="DAT" localSheetId="17">#REF!</definedName>
    <definedName name="DAT">#REF!</definedName>
    <definedName name="dd" localSheetId="18">#REF!</definedName>
    <definedName name="dd" localSheetId="15">#REF!</definedName>
    <definedName name="dd" localSheetId="16">#REF!</definedName>
    <definedName name="dd" localSheetId="17">#REF!</definedName>
    <definedName name="dd">#REF!</definedName>
    <definedName name="E_03" localSheetId="18">#REF!</definedName>
    <definedName name="E_03" localSheetId="10">#REF!</definedName>
    <definedName name="E_03" localSheetId="12">#REF!</definedName>
    <definedName name="E_03" localSheetId="13">#REF!</definedName>
    <definedName name="E_03" localSheetId="11">#REF!</definedName>
    <definedName name="E_03" localSheetId="14">#REF!</definedName>
    <definedName name="E_03" localSheetId="15">#REF!</definedName>
    <definedName name="E_03" localSheetId="16">#REF!</definedName>
    <definedName name="E_03" localSheetId="17">#REF!</definedName>
    <definedName name="E_03">#REF!</definedName>
    <definedName name="ee" localSheetId="18">#REF!</definedName>
    <definedName name="ee" localSheetId="15">#REF!</definedName>
    <definedName name="ee" localSheetId="16">#REF!</definedName>
    <definedName name="ee" localSheetId="17">#REF!</definedName>
    <definedName name="ee">#REF!</definedName>
    <definedName name="ERR" localSheetId="18">[2]TARIF2002!#REF!</definedName>
    <definedName name="ERR" localSheetId="10">[2]TARIF2002!#REF!</definedName>
    <definedName name="ERR" localSheetId="12">[2]TARIF2002!#REF!</definedName>
    <definedName name="ERR" localSheetId="13">[2]TARIF2002!#REF!</definedName>
    <definedName name="ERR" localSheetId="11">[2]TARIF2002!#REF!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[2]TARIF2002!#REF!</definedName>
    <definedName name="ERROR" localSheetId="18">#REF!</definedName>
    <definedName name="ERROR" localSheetId="10">#REF!</definedName>
    <definedName name="ERROR" localSheetId="12">#REF!</definedName>
    <definedName name="ERROR" localSheetId="13">#REF!</definedName>
    <definedName name="ERROR" localSheetId="11">#REF!</definedName>
    <definedName name="ERROR" localSheetId="14">#REF!</definedName>
    <definedName name="ERROR" localSheetId="15">#REF!</definedName>
    <definedName name="ERROR" localSheetId="16">#REF!</definedName>
    <definedName name="ERROR" localSheetId="17">#REF!</definedName>
    <definedName name="ERROR">#REF!</definedName>
    <definedName name="ERROR1" localSheetId="18">#REF!</definedName>
    <definedName name="ERROR1" localSheetId="10">#REF!</definedName>
    <definedName name="ERROR1" localSheetId="12">#REF!</definedName>
    <definedName name="ERROR1" localSheetId="13">#REF!</definedName>
    <definedName name="ERROR1" localSheetId="11">#REF!</definedName>
    <definedName name="ERROR1" localSheetId="14">#REF!</definedName>
    <definedName name="ERROR1" localSheetId="15">#REF!</definedName>
    <definedName name="ERROR1" localSheetId="16">#REF!</definedName>
    <definedName name="ERROR1" localSheetId="17">#REF!</definedName>
    <definedName name="ERROR1">#REF!</definedName>
    <definedName name="ERROR2" localSheetId="18">#REF!</definedName>
    <definedName name="ERROR2" localSheetId="10">#REF!</definedName>
    <definedName name="ERROR2" localSheetId="12">#REF!</definedName>
    <definedName name="ERROR2" localSheetId="13">#REF!</definedName>
    <definedName name="ERROR2" localSheetId="11">#REF!</definedName>
    <definedName name="ERROR2" localSheetId="14">#REF!</definedName>
    <definedName name="ERROR2" localSheetId="15">#REF!</definedName>
    <definedName name="ERROR2" localSheetId="16">#REF!</definedName>
    <definedName name="ERROR2" localSheetId="17">#REF!</definedName>
    <definedName name="ERROR2">#REF!</definedName>
    <definedName name="ERROR3" localSheetId="18">[2]TARIF2002!#REF!</definedName>
    <definedName name="ERROR3" localSheetId="10">[2]TARIF2002!#REF!</definedName>
    <definedName name="ERROR3" localSheetId="12">[2]TARIF2002!#REF!</definedName>
    <definedName name="ERROR3" localSheetId="13">[2]TARIF2002!#REF!</definedName>
    <definedName name="ERROR3" localSheetId="11">[2]TARIF2002!#REF!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[2]TARIF2002!#REF!</definedName>
    <definedName name="ERROR5" localSheetId="18">[2]TARIF2002!#REF!</definedName>
    <definedName name="ERROR5" localSheetId="10">[2]TARIF2002!#REF!</definedName>
    <definedName name="ERROR5" localSheetId="12">[2]TARIF2002!#REF!</definedName>
    <definedName name="ERROR5" localSheetId="13">[2]TARIF2002!#REF!</definedName>
    <definedName name="ERROR5" localSheetId="11">[2]TARIF2002!#REF!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[2]TARIF2002!#REF!</definedName>
    <definedName name="fdffda" localSheetId="18">#REF!</definedName>
    <definedName name="fdffda" localSheetId="15">#REF!</definedName>
    <definedName name="fdffda" localSheetId="16">#REF!</definedName>
    <definedName name="fdffda" localSheetId="17">#REF!</definedName>
    <definedName name="fdffda">#REF!</definedName>
    <definedName name="ff" localSheetId="18">#REF!</definedName>
    <definedName name="ff" localSheetId="15">#REF!</definedName>
    <definedName name="ff" localSheetId="16">#REF!</definedName>
    <definedName name="ff" localSheetId="17">#REF!</definedName>
    <definedName name="ff">#REF!</definedName>
    <definedName name="fff" localSheetId="18">#REF!</definedName>
    <definedName name="fff" localSheetId="15">#REF!</definedName>
    <definedName name="fff" localSheetId="16">#REF!</definedName>
    <definedName name="fff" localSheetId="17">#REF!</definedName>
    <definedName name="fff">#REF!</definedName>
    <definedName name="ffg" localSheetId="18">#REF!</definedName>
    <definedName name="ffg" localSheetId="15">#REF!</definedName>
    <definedName name="ffg" localSheetId="16">#REF!</definedName>
    <definedName name="ffg" localSheetId="17">#REF!</definedName>
    <definedName name="ffg">#REF!</definedName>
    <definedName name="gggg" localSheetId="18">#REF!</definedName>
    <definedName name="gggg" localSheetId="15">#REF!</definedName>
    <definedName name="gggg" localSheetId="16">#REF!</definedName>
    <definedName name="gggg" localSheetId="17">#REF!</definedName>
    <definedName name="gggg">#REF!</definedName>
    <definedName name="ggggg" localSheetId="18">[2]TARIF2002!#REF!</definedName>
    <definedName name="ggggg" localSheetId="15">[2]TARIF2002!#REF!</definedName>
    <definedName name="ggggg" localSheetId="16">[2]TARIF2002!#REF!</definedName>
    <definedName name="ggggg" localSheetId="17">[2]TARIF2002!#REF!</definedName>
    <definedName name="ggggg">[2]TARIF2002!#REF!</definedName>
    <definedName name="GHGDHDH" localSheetId="18">[2]TARIF2002!#REF!</definedName>
    <definedName name="GHGDHDH" localSheetId="15">[2]TARIF2002!#REF!</definedName>
    <definedName name="GHGDHDH" localSheetId="17">[2]TARIF2002!#REF!</definedName>
    <definedName name="GHGDHDH">[2]TARIF2002!#REF!</definedName>
    <definedName name="GHGHDH" localSheetId="18">[2]TARIF2002!#REF!</definedName>
    <definedName name="GHGHDH" localSheetId="15">[2]TARIF2002!#REF!</definedName>
    <definedName name="GHGHDH" localSheetId="17">[2]TARIF2002!#REF!</definedName>
    <definedName name="GHGHDH">[2]TARIF2002!#REF!</definedName>
    <definedName name="GHGHH" localSheetId="18">[2]TARIF2002!#REF!</definedName>
    <definedName name="GHGHH" localSheetId="15">[2]TARIF2002!#REF!</definedName>
    <definedName name="GHGHH" localSheetId="17">[2]TARIF2002!#REF!</definedName>
    <definedName name="GHGHH">[2]TARIF2002!#REF!</definedName>
    <definedName name="GHHDHDFH" localSheetId="18">#REF!</definedName>
    <definedName name="GHHDHDFH" localSheetId="15">#REF!</definedName>
    <definedName name="GHHDHDFH" localSheetId="17">#REF!</definedName>
    <definedName name="GHHDHDFH">#REF!</definedName>
    <definedName name="HDGHH" localSheetId="18">[2]TARIF2002!#REF!</definedName>
    <definedName name="HDGHH" localSheetId="15">[2]TARIF2002!#REF!</definedName>
    <definedName name="HDGHH" localSheetId="17">[2]TARIF2002!#REF!</definedName>
    <definedName name="HDGHH">[2]TARIF2002!#REF!</definedName>
    <definedName name="HFDGHH" localSheetId="18">[2]TARIF2002!#REF!</definedName>
    <definedName name="HFDGHH" localSheetId="15">[2]TARIF2002!#REF!</definedName>
    <definedName name="HFDGHH" localSheetId="17">[2]TARIF2002!#REF!</definedName>
    <definedName name="HFDGHH">[2]TARIF2002!#REF!</definedName>
    <definedName name="HGFHFH" localSheetId="18">#REF!</definedName>
    <definedName name="HGFHFH" localSheetId="15">#REF!</definedName>
    <definedName name="HGFHFH" localSheetId="17">#REF!</definedName>
    <definedName name="HGFHFH">#REF!</definedName>
    <definedName name="HGFHGFHGFH" localSheetId="18">#REF!</definedName>
    <definedName name="HGFHGFHGFH" localSheetId="15">#REF!</definedName>
    <definedName name="HGFHGFHGFH" localSheetId="17">#REF!</definedName>
    <definedName name="HGFHGFHGFH">#REF!</definedName>
    <definedName name="HGFHGH" localSheetId="18">[2]TARIF2002!#REF!</definedName>
    <definedName name="HGFHGH" localSheetId="15">[2]TARIF2002!#REF!</definedName>
    <definedName name="HGFHGH" localSheetId="17">[2]TARIF2002!#REF!</definedName>
    <definedName name="HGFHGH">[2]TARIF2002!#REF!</definedName>
    <definedName name="HGFHH" localSheetId="18">#REF!</definedName>
    <definedName name="HGFHH" localSheetId="15">#REF!</definedName>
    <definedName name="HGFHH" localSheetId="17">#REF!</definedName>
    <definedName name="HGFHH">#REF!</definedName>
    <definedName name="HGFHSHFH" localSheetId="18">#REF!</definedName>
    <definedName name="HGFHSHFH" localSheetId="15">#REF!</definedName>
    <definedName name="HGFHSHFH" localSheetId="17">#REF!</definedName>
    <definedName name="HGFHSHFH">#REF!</definedName>
    <definedName name="HGHDGHDH" localSheetId="18">[2]TARIF2002!#REF!</definedName>
    <definedName name="HGHDGHDH" localSheetId="15">[2]TARIF2002!#REF!</definedName>
    <definedName name="HGHDGHDH" localSheetId="17">[2]TARIF2002!#REF!</definedName>
    <definedName name="HGHDGHDH">[2]TARIF2002!#REF!</definedName>
    <definedName name="HGHGDFH" localSheetId="18">#REF!</definedName>
    <definedName name="HGHGDFH" localSheetId="15">#REF!</definedName>
    <definedName name="HGHGDFH" localSheetId="17">#REF!</definedName>
    <definedName name="HGHGDFH">#REF!</definedName>
    <definedName name="HGHGH" localSheetId="18">[2]TARIF2002!#REF!</definedName>
    <definedName name="HGHGH" localSheetId="15">[2]TARIF2002!#REF!</definedName>
    <definedName name="HGHGH" localSheetId="17">[2]TARIF2002!#REF!</definedName>
    <definedName name="HGHGH">[2]TARIF2002!#REF!</definedName>
    <definedName name="HGHGHH" localSheetId="18">[3]TARIF2002!#REF!</definedName>
    <definedName name="HGHGHH" localSheetId="15">[3]TARIF2002!#REF!</definedName>
    <definedName name="HGHGHH" localSheetId="17">[3]TARIF2002!#REF!</definedName>
    <definedName name="HGHGHH">[3]TARIF2002!#REF!</definedName>
    <definedName name="hhhh" localSheetId="18">[2]TARIF2002!#REF!</definedName>
    <definedName name="hhhh" localSheetId="15">[2]TARIF2002!#REF!</definedName>
    <definedName name="hhhh" localSheetId="16">[2]TARIF2002!#REF!</definedName>
    <definedName name="hhhh" localSheetId="17">[2]TARIF2002!#REF!</definedName>
    <definedName name="hhhh">[2]TARIF2002!#REF!</definedName>
    <definedName name="hkkkk" localSheetId="18">[2]TARIF2002!#REF!</definedName>
    <definedName name="hkkkk" localSheetId="15">[2]TARIF2002!#REF!</definedName>
    <definedName name="hkkkk" localSheetId="16">[2]TARIF2002!#REF!</definedName>
    <definedName name="hkkkk" localSheetId="17">[2]TARIF2002!#REF!</definedName>
    <definedName name="hkkkk">[2]TARIF2002!#REF!</definedName>
    <definedName name="j" localSheetId="18">#REF!</definedName>
    <definedName name="j" localSheetId="10">#REF!</definedName>
    <definedName name="j" localSheetId="12">#REF!</definedName>
    <definedName name="j" localSheetId="13">#REF!</definedName>
    <definedName name="j" localSheetId="11">#REF!</definedName>
    <definedName name="j" localSheetId="14">#REF!</definedName>
    <definedName name="j" localSheetId="15">#REF!</definedName>
    <definedName name="j" localSheetId="16">#REF!</definedName>
    <definedName name="j" localSheetId="17">#REF!</definedName>
    <definedName name="j">#REF!</definedName>
    <definedName name="JA" localSheetId="18">#REF!</definedName>
    <definedName name="JA" localSheetId="10">#REF!</definedName>
    <definedName name="JA" localSheetId="12">#REF!</definedName>
    <definedName name="JA" localSheetId="13">#REF!</definedName>
    <definedName name="JA" localSheetId="11">#REF!</definedName>
    <definedName name="JA" localSheetId="14">#REF!</definedName>
    <definedName name="JA" localSheetId="15">#REF!</definedName>
    <definedName name="JA" localSheetId="16">#REF!</definedName>
    <definedName name="JA" localSheetId="17">#REF!</definedName>
    <definedName name="JA">#REF!</definedName>
    <definedName name="jjj" localSheetId="18">[3]TARIF2002!#REF!</definedName>
    <definedName name="jjj" localSheetId="15">[3]TARIF2002!#REF!</definedName>
    <definedName name="jjj" localSheetId="16">[3]TARIF2002!#REF!</definedName>
    <definedName name="jjj" localSheetId="17">[3]TARIF2002!#REF!</definedName>
    <definedName name="jjj">[3]TARIF2002!#REF!</definedName>
    <definedName name="kkhkhk" localSheetId="18">[2]TARIF2002!#REF!</definedName>
    <definedName name="kkhkhk" localSheetId="15">[2]TARIF2002!#REF!</definedName>
    <definedName name="kkhkhk" localSheetId="16">[2]TARIF2002!#REF!</definedName>
    <definedName name="kkhkhk" localSheetId="17">[2]TARIF2002!#REF!</definedName>
    <definedName name="kkhkhk">[2]TARIF2002!#REF!</definedName>
    <definedName name="MATRIZRICS">'[4]RICS NUEVA HOJA DIARIA'!$A$1:$AB$42</definedName>
    <definedName name="MES" localSheetId="18">#REF!</definedName>
    <definedName name="MES" localSheetId="10">#REF!</definedName>
    <definedName name="MES" localSheetId="12">#REF!</definedName>
    <definedName name="MES" localSheetId="13">#REF!</definedName>
    <definedName name="MES" localSheetId="11">#REF!</definedName>
    <definedName name="MES" localSheetId="14">#REF!</definedName>
    <definedName name="MES" localSheetId="15">#REF!</definedName>
    <definedName name="MES" localSheetId="16">#REF!</definedName>
    <definedName name="MES" localSheetId="17">#REF!</definedName>
    <definedName name="MES">#REF!</definedName>
    <definedName name="NTE" localSheetId="18">#REF!</definedName>
    <definedName name="NTE" localSheetId="10">#REF!</definedName>
    <definedName name="NTE" localSheetId="12">#REF!</definedName>
    <definedName name="NTE" localSheetId="13">#REF!</definedName>
    <definedName name="NTE" localSheetId="11">#REF!</definedName>
    <definedName name="NTE" localSheetId="14">#REF!</definedName>
    <definedName name="NTE" localSheetId="15">#REF!</definedName>
    <definedName name="NTE" localSheetId="16">#REF!</definedName>
    <definedName name="NTE" localSheetId="17">#REF!</definedName>
    <definedName name="NTE">#REF!</definedName>
    <definedName name="Q" localSheetId="18">[3]TARIF2002!#REF!</definedName>
    <definedName name="Q" localSheetId="10">[3]TARIF2002!#REF!</definedName>
    <definedName name="Q" localSheetId="12">[3]TARIF2002!#REF!</definedName>
    <definedName name="Q" localSheetId="13">[3]TARIF2002!#REF!</definedName>
    <definedName name="Q" localSheetId="11">[3]TARIF2002!#REF!</definedName>
    <definedName name="Q" localSheetId="14">[3]TARIF2002!#REF!</definedName>
    <definedName name="Q" localSheetId="15">[3]TARIF2002!#REF!</definedName>
    <definedName name="Q" localSheetId="16">[3]TARIF2002!#REF!</definedName>
    <definedName name="Q" localSheetId="17">[3]TARIF2002!#REF!</definedName>
    <definedName name="Q">[3]TARIF2002!#REF!</definedName>
    <definedName name="QE" localSheetId="18">[2]TARIF2002!#REF!</definedName>
    <definedName name="QE" localSheetId="10">[2]TARIF2002!#REF!</definedName>
    <definedName name="QE" localSheetId="12">[2]TARIF2002!#REF!</definedName>
    <definedName name="QE" localSheetId="13">[2]TARIF2002!#REF!</definedName>
    <definedName name="QE" localSheetId="11">[2]TARIF2002!#REF!</definedName>
    <definedName name="QE" localSheetId="14">[2]TARIF2002!#REF!</definedName>
    <definedName name="QE" localSheetId="15">[2]TARIF2002!#REF!</definedName>
    <definedName name="QE" localSheetId="16">[2]TARIF2002!#REF!</definedName>
    <definedName name="QE" localSheetId="17">[2]TARIF2002!#REF!</definedName>
    <definedName name="QE">[2]TARIF2002!#REF!</definedName>
    <definedName name="QE_TE" localSheetId="18">[2]TARIF2002!#REF!</definedName>
    <definedName name="QE_TE" localSheetId="10">[2]TARIF2002!#REF!</definedName>
    <definedName name="QE_TE" localSheetId="12">[2]TARIF2002!#REF!</definedName>
    <definedName name="QE_TE" localSheetId="13">[2]TARIF2002!#REF!</definedName>
    <definedName name="QE_TE" localSheetId="11">[2]TARIF2002!#REF!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[2]TARIF2002!#REF!</definedName>
    <definedName name="QI" localSheetId="18">[2]TARIF2002!#REF!</definedName>
    <definedName name="QI" localSheetId="10">[2]TARIF2002!#REF!</definedName>
    <definedName name="QI" localSheetId="12">[2]TARIF2002!#REF!</definedName>
    <definedName name="QI" localSheetId="13">[2]TARIF2002!#REF!</definedName>
    <definedName name="QI" localSheetId="11">[2]TARIF2002!#REF!</definedName>
    <definedName name="QI" localSheetId="14">[2]TARIF2002!#REF!</definedName>
    <definedName name="QI" localSheetId="15">[2]TARIF2002!#REF!</definedName>
    <definedName name="QI" localSheetId="16">[2]TARIF2002!#REF!</definedName>
    <definedName name="QI" localSheetId="17">[2]TARIF2002!#REF!</definedName>
    <definedName name="QI">[2]TARIF2002!#REF!</definedName>
    <definedName name="QI_TI" localSheetId="18">[2]TARIF2002!#REF!</definedName>
    <definedName name="QI_TI" localSheetId="10">[2]TARIF2002!#REF!</definedName>
    <definedName name="QI_TI" localSheetId="12">[2]TARIF2002!#REF!</definedName>
    <definedName name="QI_TI" localSheetId="13">[2]TARIF2002!#REF!</definedName>
    <definedName name="QI_TI" localSheetId="11">[2]TARIF2002!#REF!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[2]TARIF2002!#REF!</definedName>
    <definedName name="QN" localSheetId="18">[2]TARIF2002!#REF!</definedName>
    <definedName name="QN" localSheetId="10">[2]TARIF2002!#REF!</definedName>
    <definedName name="QN" localSheetId="12">[2]TARIF2002!#REF!</definedName>
    <definedName name="QN" localSheetId="13">[2]TARIF2002!#REF!</definedName>
    <definedName name="QN" localSheetId="11">[2]TARIF2002!#REF!</definedName>
    <definedName name="QN" localSheetId="14">[2]TARIF2002!#REF!</definedName>
    <definedName name="QN" localSheetId="15">[2]TARIF2002!#REF!</definedName>
    <definedName name="QN" localSheetId="16">[2]TARIF2002!#REF!</definedName>
    <definedName name="QN" localSheetId="17">[2]TARIF2002!#REF!</definedName>
    <definedName name="QN">[2]TARIF2002!#REF!</definedName>
    <definedName name="QN_QI" localSheetId="18">[2]TARIF2002!#REF!</definedName>
    <definedName name="QN_QI" localSheetId="10">[2]TARIF2002!#REF!</definedName>
    <definedName name="QN_QI" localSheetId="12">[2]TARIF2002!#REF!</definedName>
    <definedName name="QN_QI" localSheetId="13">[2]TARIF2002!#REF!</definedName>
    <definedName name="QN_QI" localSheetId="11">[2]TARIF2002!#REF!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[2]TARIF2002!#REF!</definedName>
    <definedName name="QNS" localSheetId="18">[3]TARIF2002!#REF!</definedName>
    <definedName name="QNS" localSheetId="10">[3]TARIF2002!#REF!</definedName>
    <definedName name="QNS" localSheetId="12">[3]TARIF2002!#REF!</definedName>
    <definedName name="QNS" localSheetId="13">[3]TARIF2002!#REF!</definedName>
    <definedName name="QNS" localSheetId="11">[3]TARIF2002!#REF!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[3]TARIF2002!#REF!</definedName>
    <definedName name="REG" localSheetId="18">#REF!</definedName>
    <definedName name="REG" localSheetId="10">#REF!</definedName>
    <definedName name="REG" localSheetId="12">#REF!</definedName>
    <definedName name="REG" localSheetId="13">#REF!</definedName>
    <definedName name="REG" localSheetId="11">#REF!</definedName>
    <definedName name="REG" localSheetId="14">#REF!</definedName>
    <definedName name="REG" localSheetId="15">#REF!</definedName>
    <definedName name="REG" localSheetId="16">#REF!</definedName>
    <definedName name="REG" localSheetId="17">#REF!</definedName>
    <definedName name="REG">#REF!</definedName>
    <definedName name="REGULAR" localSheetId="18">#REF!</definedName>
    <definedName name="REGULAR" localSheetId="10">#REF!</definedName>
    <definedName name="REGULAR" localSheetId="12">#REF!</definedName>
    <definedName name="REGULAR" localSheetId="13">#REF!</definedName>
    <definedName name="REGULAR" localSheetId="11">#REF!</definedName>
    <definedName name="REGULAR" localSheetId="14">#REF!</definedName>
    <definedName name="REGULAR" localSheetId="15">#REF!</definedName>
    <definedName name="REGULAR" localSheetId="16">#REF!</definedName>
    <definedName name="REGULAR" localSheetId="17">#REF!</definedName>
    <definedName name="REGULAR">#REF!</definedName>
    <definedName name="SOL" localSheetId="18">#REF!</definedName>
    <definedName name="SOL" localSheetId="10">#REF!</definedName>
    <definedName name="SOL" localSheetId="12">#REF!</definedName>
    <definedName name="SOL" localSheetId="13">#REF!</definedName>
    <definedName name="SOL" localSheetId="11">#REF!</definedName>
    <definedName name="SOL" localSheetId="14">#REF!</definedName>
    <definedName name="SOL" localSheetId="15">#REF!</definedName>
    <definedName name="SOL" localSheetId="16">#REF!</definedName>
    <definedName name="SOL" localSheetId="17">#REF!</definedName>
    <definedName name="SOL">#REF!</definedName>
    <definedName name="TE" localSheetId="18">[2]TARIF2002!#REF!</definedName>
    <definedName name="TE" localSheetId="10">[2]TARIF2002!#REF!</definedName>
    <definedName name="TE" localSheetId="12">[2]TARIF2002!#REF!</definedName>
    <definedName name="TE" localSheetId="13">[2]TARIF2002!#REF!</definedName>
    <definedName name="TE" localSheetId="11">[2]TARIF2002!#REF!</definedName>
    <definedName name="TE" localSheetId="14">[2]TARIF2002!#REF!</definedName>
    <definedName name="TE" localSheetId="15">[2]TARIF2002!#REF!</definedName>
    <definedName name="TE" localSheetId="16">[2]TARIF2002!#REF!</definedName>
    <definedName name="TE" localSheetId="17">[2]TARIF2002!#REF!</definedName>
    <definedName name="TE">[2]TARIF2002!#REF!</definedName>
    <definedName name="TI" localSheetId="18">[2]TARIF2002!#REF!</definedName>
    <definedName name="TI" localSheetId="10">[2]TARIF2002!#REF!</definedName>
    <definedName name="TI" localSheetId="12">[2]TARIF2002!#REF!</definedName>
    <definedName name="TI" localSheetId="13">[2]TARIF2002!#REF!</definedName>
    <definedName name="TI" localSheetId="11">[2]TARIF2002!#REF!</definedName>
    <definedName name="TI" localSheetId="14">[2]TARIF2002!#REF!</definedName>
    <definedName name="TI" localSheetId="15">[2]TARIF2002!#REF!</definedName>
    <definedName name="TI" localSheetId="16">[2]TARIF2002!#REF!</definedName>
    <definedName name="TI" localSheetId="17">[2]TARIF2002!#REF!</definedName>
    <definedName name="TI">[2]TARIF2002!#REF!</definedName>
    <definedName name="TITU" localSheetId="18">#REF!</definedName>
    <definedName name="TITU" localSheetId="10">#REF!</definedName>
    <definedName name="TITU" localSheetId="12">#REF!</definedName>
    <definedName name="TITU" localSheetId="13">#REF!</definedName>
    <definedName name="TITU" localSheetId="11">#REF!</definedName>
    <definedName name="TITU" localSheetId="14">#REF!</definedName>
    <definedName name="TITU" localSheetId="15">#REF!</definedName>
    <definedName name="TITU" localSheetId="16">#REF!</definedName>
    <definedName name="TITU" localSheetId="17">#REF!</definedName>
    <definedName name="TITU">#REF!</definedName>
    <definedName name="TOT" localSheetId="18">#REF!</definedName>
    <definedName name="TOT" localSheetId="10">#REF!</definedName>
    <definedName name="TOT" localSheetId="12">#REF!</definedName>
    <definedName name="TOT" localSheetId="13">#REF!</definedName>
    <definedName name="TOT" localSheetId="11">#REF!</definedName>
    <definedName name="TOT" localSheetId="14">#REF!</definedName>
    <definedName name="TOT" localSheetId="15">#REF!</definedName>
    <definedName name="TOT" localSheetId="16">#REF!</definedName>
    <definedName name="TOT" localSheetId="17">#REF!</definedName>
    <definedName name="TOT">#REF!</definedName>
    <definedName name="VAPUES" localSheetId="18">#REF!</definedName>
    <definedName name="VAPUES" localSheetId="15">#REF!</definedName>
    <definedName name="VAPUES" localSheetId="17">#REF!</definedName>
    <definedName name="VAPUES">#REF!</definedName>
    <definedName name="VAUPES2" localSheetId="18">#REF!</definedName>
    <definedName name="VAUPES2" localSheetId="10">#REF!</definedName>
    <definedName name="VAUPES2" localSheetId="12">#REF!</definedName>
    <definedName name="VAUPES2" localSheetId="13">#REF!</definedName>
    <definedName name="VAUPES2" localSheetId="11">#REF!</definedName>
    <definedName name="VAUPES2" localSheetId="14">#REF!</definedName>
    <definedName name="VAUPES2" localSheetId="15">#REF!</definedName>
    <definedName name="VAUPES2" localSheetId="16">#REF!</definedName>
    <definedName name="VAUPES2" localSheetId="17">#REF!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 i="3" l="1"/>
  <c r="F5" i="3"/>
  <c r="E6" i="3"/>
  <c r="F6" i="3"/>
  <c r="E7" i="3"/>
  <c r="F7" i="3"/>
  <c r="E8" i="3"/>
  <c r="F8" i="3"/>
  <c r="E9" i="3"/>
  <c r="F9" i="3"/>
  <c r="E10" i="3"/>
  <c r="F10" i="3"/>
  <c r="E11" i="3"/>
  <c r="F11" i="3"/>
  <c r="E12" i="3"/>
  <c r="F12" i="3"/>
  <c r="E13" i="3"/>
  <c r="F13" i="3"/>
  <c r="E14" i="3"/>
  <c r="F14" i="3"/>
  <c r="E15" i="3"/>
  <c r="F15" i="3"/>
  <c r="E16" i="3"/>
  <c r="F16" i="3"/>
  <c r="E17" i="3"/>
  <c r="F17" i="3"/>
  <c r="E18" i="3"/>
  <c r="F18" i="3"/>
  <c r="E19" i="3"/>
  <c r="F19" i="3"/>
  <c r="E20" i="3"/>
  <c r="F20" i="3"/>
  <c r="E21" i="3"/>
  <c r="F21" i="3"/>
  <c r="E22" i="3"/>
  <c r="F22" i="3"/>
  <c r="F4" i="3"/>
  <c r="E4" i="3"/>
  <c r="B36" i="3"/>
  <c r="H36" i="3" s="1"/>
  <c r="C36" i="3"/>
  <c r="H14" i="9"/>
  <c r="G36" i="3" l="1"/>
  <c r="C28" i="3"/>
  <c r="H12" i="5"/>
  <c r="H10" i="5"/>
  <c r="B6" i="7"/>
  <c r="P41" i="30"/>
  <c r="AZ39" i="2"/>
  <c r="BC39" i="2"/>
  <c r="BC43" i="2"/>
  <c r="BC42" i="2"/>
  <c r="BB43" i="2"/>
  <c r="BB42" i="2"/>
  <c r="BA43" i="2"/>
  <c r="BA42" i="2"/>
  <c r="BA39" i="2"/>
  <c r="AZ43" i="2"/>
  <c r="AZ42" i="2"/>
  <c r="AZ41" i="2"/>
  <c r="AZ40" i="2"/>
  <c r="H27" i="38"/>
  <c r="AZ29" i="2" l="1"/>
  <c r="L20" i="9" l="1"/>
  <c r="L19" i="9"/>
  <c r="L18" i="9"/>
  <c r="L17" i="9"/>
  <c r="L13" i="9"/>
  <c r="AF13" i="2" l="1"/>
  <c r="J10" i="5"/>
  <c r="I10" i="5"/>
  <c r="B6" i="5"/>
  <c r="P10" i="38"/>
  <c r="Q10" i="38" s="1"/>
  <c r="Q11" i="38"/>
  <c r="L9" i="28"/>
  <c r="L33" i="28" s="1"/>
  <c r="R47" i="28"/>
  <c r="R43" i="28"/>
  <c r="R39" i="28"/>
  <c r="R38" i="28"/>
  <c r="R36" i="28"/>
  <c r="R35" i="28"/>
  <c r="R34" i="28"/>
  <c r="R23" i="28"/>
  <c r="R19" i="28"/>
  <c r="R14" i="28"/>
  <c r="R11" i="28"/>
  <c r="R10" i="28"/>
  <c r="K47" i="28"/>
  <c r="K45" i="28"/>
  <c r="K43" i="28"/>
  <c r="K41" i="28"/>
  <c r="K39" i="28"/>
  <c r="K38" i="28"/>
  <c r="K36" i="28"/>
  <c r="K35" i="28"/>
  <c r="K23" i="28"/>
  <c r="K21" i="28"/>
  <c r="K19" i="28"/>
  <c r="K17" i="28"/>
  <c r="K14" i="28"/>
  <c r="K11" i="28"/>
  <c r="Q23" i="23"/>
  <c r="Q11" i="23"/>
  <c r="Q10" i="23"/>
  <c r="Q6" i="23"/>
  <c r="Q5" i="23"/>
  <c r="K23" i="23"/>
  <c r="K21" i="23"/>
  <c r="K19" i="23"/>
  <c r="K17" i="23"/>
  <c r="K11" i="23"/>
  <c r="O24" i="34"/>
  <c r="O20" i="34"/>
  <c r="O13" i="34"/>
  <c r="O11" i="34"/>
  <c r="O10" i="34"/>
  <c r="O6" i="34"/>
  <c r="O5" i="34"/>
  <c r="R5" i="34"/>
  <c r="R20" i="34"/>
  <c r="R13" i="34"/>
  <c r="R11" i="34"/>
  <c r="R10" i="34"/>
  <c r="K15" i="21"/>
  <c r="K24" i="21"/>
  <c r="K22" i="21"/>
  <c r="K20" i="21"/>
  <c r="K18" i="21"/>
  <c r="K11" i="21"/>
  <c r="E8" i="5" l="1"/>
  <c r="H8" i="5"/>
  <c r="Q24" i="21"/>
  <c r="Q11" i="21"/>
  <c r="Q10" i="21"/>
  <c r="L8" i="19"/>
  <c r="S55" i="19"/>
  <c r="R73" i="19"/>
  <c r="R69" i="19"/>
  <c r="R68" i="19"/>
  <c r="R67" i="19"/>
  <c r="R71" i="19" s="1"/>
  <c r="R61" i="19"/>
  <c r="R60" i="19"/>
  <c r="R55" i="19"/>
  <c r="R54" i="19"/>
  <c r="R24" i="19"/>
  <c r="R20" i="19"/>
  <c r="R19" i="19"/>
  <c r="R18" i="19"/>
  <c r="R22" i="19" s="1"/>
  <c r="R12" i="19"/>
  <c r="R11" i="19"/>
  <c r="R6" i="19"/>
  <c r="R5" i="19"/>
  <c r="K73" i="19" l="1"/>
  <c r="K72" i="19"/>
  <c r="K71" i="19"/>
  <c r="K69" i="19"/>
  <c r="K68" i="19"/>
  <c r="K67" i="19"/>
  <c r="K60" i="19"/>
  <c r="H73" i="19"/>
  <c r="H72" i="19"/>
  <c r="H71" i="19"/>
  <c r="H69" i="19"/>
  <c r="H68" i="19"/>
  <c r="H67" i="19"/>
  <c r="H61" i="19"/>
  <c r="H60" i="19"/>
  <c r="K24" i="19"/>
  <c r="K23" i="19"/>
  <c r="K22" i="19"/>
  <c r="K20" i="19"/>
  <c r="K19" i="19"/>
  <c r="K18" i="19"/>
  <c r="H24" i="19"/>
  <c r="H23" i="19"/>
  <c r="H22" i="19"/>
  <c r="H20" i="19"/>
  <c r="H19" i="19"/>
  <c r="H18" i="19"/>
  <c r="H12" i="19"/>
  <c r="I11" i="19"/>
  <c r="H11" i="19"/>
  <c r="K11" i="19"/>
  <c r="R25" i="17"/>
  <c r="R21" i="17"/>
  <c r="R16" i="17"/>
  <c r="K16" i="17"/>
  <c r="K11" i="17"/>
  <c r="P12" i="20"/>
  <c r="Q12" i="20"/>
  <c r="Q11" i="20"/>
  <c r="J24" i="20"/>
  <c r="J23" i="20"/>
  <c r="J22" i="20"/>
  <c r="J20" i="20"/>
  <c r="J19" i="20"/>
  <c r="J18" i="20"/>
  <c r="J12" i="20"/>
  <c r="J11" i="20"/>
  <c r="P12" i="15"/>
  <c r="P11" i="15"/>
  <c r="Q17" i="15"/>
  <c r="M21" i="15"/>
  <c r="M17" i="15"/>
  <c r="N47" i="12"/>
  <c r="N46" i="12"/>
  <c r="N45" i="12"/>
  <c r="N43" i="12"/>
  <c r="N42" i="12"/>
  <c r="N41" i="12"/>
  <c r="C39" i="12"/>
  <c r="K36" i="12"/>
  <c r="K35" i="12"/>
  <c r="K34" i="12"/>
  <c r="K33" i="12"/>
  <c r="K23" i="12"/>
  <c r="K22" i="12"/>
  <c r="K21" i="12"/>
  <c r="K19" i="12"/>
  <c r="K18" i="12"/>
  <c r="K17" i="12"/>
  <c r="K12" i="12"/>
  <c r="K11" i="12"/>
  <c r="P35" i="12"/>
  <c r="P45" i="12"/>
  <c r="P11" i="12"/>
  <c r="O11" i="12"/>
  <c r="P23" i="12"/>
  <c r="P21" i="12"/>
  <c r="P19" i="12"/>
  <c r="P17" i="12"/>
  <c r="J15" i="11"/>
  <c r="J13" i="11"/>
  <c r="J11" i="11"/>
  <c r="H15" i="11"/>
  <c r="Q15" i="11" s="1"/>
  <c r="Q11" i="11"/>
  <c r="P11" i="11"/>
  <c r="P10" i="11"/>
  <c r="K15" i="10"/>
  <c r="K24" i="10"/>
  <c r="K22" i="10"/>
  <c r="K20" i="10"/>
  <c r="K18" i="10"/>
  <c r="K11" i="10"/>
  <c r="K12" i="9"/>
  <c r="K11" i="9"/>
  <c r="Q11" i="10"/>
  <c r="P12" i="9"/>
  <c r="P10" i="9"/>
  <c r="Q14" i="28"/>
  <c r="N14" i="28"/>
  <c r="M14" i="28"/>
  <c r="C14" i="28"/>
  <c r="C14" i="23"/>
  <c r="C15" i="34"/>
  <c r="L15" i="34" s="1"/>
  <c r="C15" i="21"/>
  <c r="C15" i="19"/>
  <c r="H15" i="19" s="1"/>
  <c r="K15" i="19" s="1"/>
  <c r="C16" i="17"/>
  <c r="C15" i="20"/>
  <c r="C14" i="15"/>
  <c r="C13" i="15"/>
  <c r="N14" i="12"/>
  <c r="P14" i="12" s="1"/>
  <c r="C14" i="12"/>
  <c r="C13" i="12"/>
  <c r="C13" i="7"/>
  <c r="C15" i="11"/>
  <c r="O15" i="11" l="1"/>
  <c r="P15" i="11"/>
  <c r="Z15" i="2"/>
  <c r="AG16" i="2"/>
  <c r="C15" i="10"/>
  <c r="K14" i="9"/>
  <c r="E14" i="9"/>
  <c r="C14" i="9"/>
  <c r="L14" i="9" s="1"/>
  <c r="C13" i="9"/>
  <c r="Q9" i="38"/>
  <c r="BD42" i="2"/>
  <c r="BD41" i="2"/>
  <c r="BC41" i="2"/>
  <c r="BB41" i="2"/>
  <c r="BA41" i="2"/>
  <c r="BD40" i="2"/>
  <c r="BC40" i="2"/>
  <c r="BB40" i="2"/>
  <c r="BA40" i="2"/>
  <c r="BD39" i="2"/>
  <c r="BB39" i="2"/>
  <c r="BD43" i="2"/>
  <c r="AZ32" i="2"/>
  <c r="AZ31" i="2"/>
  <c r="AZ30" i="2"/>
  <c r="AZ28" i="2"/>
  <c r="N30" i="12"/>
  <c r="N6" i="12"/>
  <c r="F47" i="12"/>
  <c r="F46" i="12"/>
  <c r="F45" i="12"/>
  <c r="F43" i="12"/>
  <c r="H10" i="7"/>
  <c r="P9" i="21" s="1"/>
  <c r="H8" i="7"/>
  <c r="P11" i="10"/>
  <c r="P11" i="21"/>
  <c r="Q9" i="28" l="1"/>
  <c r="Q9" i="34"/>
  <c r="O9" i="9"/>
  <c r="P9" i="23"/>
  <c r="Q14" i="17"/>
  <c r="R14" i="17" s="1"/>
  <c r="N14" i="17"/>
  <c r="M14" i="17"/>
  <c r="J11" i="21"/>
  <c r="J60" i="19"/>
  <c r="Q9" i="19"/>
  <c r="Q11" i="19"/>
  <c r="J11" i="19"/>
  <c r="Q9" i="17"/>
  <c r="P9" i="20"/>
  <c r="I11" i="20"/>
  <c r="O9" i="15"/>
  <c r="J35" i="12"/>
  <c r="O9" i="11"/>
  <c r="O9" i="12"/>
  <c r="J11" i="12"/>
  <c r="I11" i="11"/>
  <c r="J11" i="10"/>
  <c r="H12" i="7"/>
  <c r="G12" i="7"/>
  <c r="G10" i="7"/>
  <c r="P9" i="34" s="1"/>
  <c r="J46" i="12"/>
  <c r="J42" i="12"/>
  <c r="J41" i="12"/>
  <c r="J45" i="12" s="1"/>
  <c r="D47" i="28"/>
  <c r="D46" i="28"/>
  <c r="D43" i="28"/>
  <c r="D42" i="28"/>
  <c r="D23" i="28"/>
  <c r="D22" i="28"/>
  <c r="D19" i="28"/>
  <c r="D18" i="28"/>
  <c r="D23" i="23"/>
  <c r="D22" i="23"/>
  <c r="D19" i="23"/>
  <c r="D18" i="23"/>
  <c r="D22" i="19"/>
  <c r="D11" i="19"/>
  <c r="D25" i="17"/>
  <c r="D24" i="17"/>
  <c r="D21" i="17"/>
  <c r="D20" i="17"/>
  <c r="D22" i="20"/>
  <c r="D21" i="15"/>
  <c r="D19" i="15"/>
  <c r="D35" i="12"/>
  <c r="D11" i="12"/>
  <c r="D24" i="11"/>
  <c r="D23" i="11"/>
  <c r="D20" i="11"/>
  <c r="D19" i="11"/>
  <c r="D24" i="10"/>
  <c r="D23" i="10"/>
  <c r="D20" i="10"/>
  <c r="D19" i="10"/>
  <c r="D11" i="10"/>
  <c r="D23" i="9"/>
  <c r="D12" i="5"/>
  <c r="D60" i="19" s="1"/>
  <c r="D10" i="5"/>
  <c r="D11" i="11" l="1"/>
  <c r="E60" i="19"/>
  <c r="E11" i="19"/>
  <c r="D11" i="20"/>
  <c r="E11" i="21"/>
  <c r="C33" i="3"/>
  <c r="N33" i="3" s="1"/>
  <c r="I8" i="15" s="1"/>
  <c r="H45" i="28"/>
  <c r="H41" i="28"/>
  <c r="H21" i="28"/>
  <c r="H17" i="28"/>
  <c r="H21" i="23"/>
  <c r="H17" i="23"/>
  <c r="L166" i="2"/>
  <c r="N28" i="3" l="1"/>
  <c r="J8" i="9" s="1"/>
  <c r="D28" i="3"/>
  <c r="P10" i="21"/>
  <c r="P6" i="21"/>
  <c r="P5" i="21"/>
  <c r="T6" i="2" l="1"/>
  <c r="T5" i="2"/>
  <c r="X6" i="2"/>
  <c r="X5" i="2"/>
  <c r="W6" i="2"/>
  <c r="W5" i="2"/>
  <c r="W4" i="2"/>
  <c r="Z7" i="2"/>
  <c r="Z6" i="2"/>
  <c r="AA6" i="2"/>
  <c r="AA5" i="2"/>
  <c r="Z5" i="2"/>
  <c r="E15" i="2"/>
  <c r="AA7" i="2" l="1"/>
  <c r="L6" i="34"/>
  <c r="M6" i="20"/>
  <c r="E22" i="20"/>
  <c r="L6" i="15"/>
  <c r="E21" i="15"/>
  <c r="E19" i="15"/>
  <c r="L24" i="11"/>
  <c r="L22" i="11"/>
  <c r="L20" i="11"/>
  <c r="L19" i="11"/>
  <c r="L18" i="11"/>
  <c r="L7" i="11"/>
  <c r="L6" i="11"/>
  <c r="L5" i="11"/>
  <c r="E24" i="11"/>
  <c r="E23" i="11"/>
  <c r="L23" i="11" s="1"/>
  <c r="E20" i="11"/>
  <c r="E19" i="11"/>
  <c r="N6" i="9"/>
  <c r="M41" i="12"/>
  <c r="M6" i="12"/>
  <c r="M30" i="12" s="1"/>
  <c r="E47" i="12"/>
  <c r="E46" i="12"/>
  <c r="E45" i="12"/>
  <c r="M45" i="12" s="1"/>
  <c r="E43" i="12"/>
  <c r="J43" i="12" s="1"/>
  <c r="M45" i="28"/>
  <c r="M36" i="28"/>
  <c r="M35" i="28"/>
  <c r="M34" i="28"/>
  <c r="M21" i="28"/>
  <c r="M38" i="28"/>
  <c r="E46" i="28"/>
  <c r="M46" i="28" s="1"/>
  <c r="E42" i="28"/>
  <c r="E22" i="28"/>
  <c r="M22" i="28" s="1"/>
  <c r="E18" i="28"/>
  <c r="E22" i="23"/>
  <c r="E18" i="23"/>
  <c r="M23" i="21"/>
  <c r="M22" i="21"/>
  <c r="M19" i="21"/>
  <c r="M18" i="21"/>
  <c r="M24" i="17"/>
  <c r="E24" i="17"/>
  <c r="E20" i="17"/>
  <c r="L12" i="10"/>
  <c r="E24" i="10"/>
  <c r="E23" i="10"/>
  <c r="L23" i="10" s="1"/>
  <c r="E20" i="10"/>
  <c r="E19" i="10"/>
  <c r="AC13" i="2"/>
  <c r="C1" i="9"/>
  <c r="O47" i="28"/>
  <c r="O46" i="28"/>
  <c r="O34" i="28"/>
  <c r="O23" i="28"/>
  <c r="O22" i="28"/>
  <c r="O14" i="28"/>
  <c r="O38" i="28" s="1"/>
  <c r="N12" i="23"/>
  <c r="O24" i="17"/>
  <c r="O23" i="17"/>
  <c r="M23" i="17" s="1"/>
  <c r="O20" i="17"/>
  <c r="M20" i="17" s="1"/>
  <c r="N10" i="17"/>
  <c r="O10" i="17"/>
  <c r="N23" i="10" l="1"/>
  <c r="N19" i="10"/>
  <c r="L19" i="10" s="1"/>
  <c r="C6" i="5" l="1"/>
  <c r="C6" i="7"/>
  <c r="D8" i="5"/>
  <c r="F7" i="5" l="1"/>
  <c r="H7" i="5"/>
  <c r="H9" i="5" s="1"/>
  <c r="D7" i="5"/>
  <c r="D9" i="5" s="1"/>
  <c r="L8" i="28"/>
  <c r="L32" i="28" s="1"/>
  <c r="G8" i="7"/>
  <c r="I8" i="5"/>
  <c r="J8" i="5"/>
  <c r="G8" i="5"/>
  <c r="F8" i="5"/>
  <c r="F9" i="5" s="1"/>
  <c r="E12" i="7"/>
  <c r="H11" i="10" s="1"/>
  <c r="Q39" i="28"/>
  <c r="Q36" i="28"/>
  <c r="Q38" i="28"/>
  <c r="P14" i="28"/>
  <c r="Q10" i="28"/>
  <c r="Q34" i="28" s="1"/>
  <c r="P10" i="23"/>
  <c r="P6" i="23"/>
  <c r="P5" i="23"/>
  <c r="J73" i="19"/>
  <c r="J72" i="19"/>
  <c r="Q6" i="19"/>
  <c r="Q5" i="19"/>
  <c r="M12" i="19"/>
  <c r="Q6" i="17"/>
  <c r="Q5" i="17"/>
  <c r="P22" i="10"/>
  <c r="B28" i="23"/>
  <c r="B29" i="10"/>
  <c r="L9" i="38"/>
  <c r="AY42" i="2"/>
  <c r="D57" i="19" l="1"/>
  <c r="E57" i="19"/>
  <c r="N22" i="10"/>
  <c r="L22" i="10" s="1"/>
  <c r="Q22" i="10"/>
  <c r="G18" i="38"/>
  <c r="E21" i="38"/>
  <c r="E23" i="38" s="1"/>
  <c r="E25" i="38" s="1"/>
  <c r="Q20" i="34" l="1"/>
  <c r="Q6" i="34"/>
  <c r="Q5" i="34"/>
  <c r="P6" i="20"/>
  <c r="P5" i="20"/>
  <c r="O12" i="15"/>
  <c r="O46" i="12"/>
  <c r="O52" i="12"/>
  <c r="P55" i="12"/>
  <c r="P63" i="12" s="1"/>
  <c r="P67" i="12" s="1"/>
  <c r="P56" i="12"/>
  <c r="O57" i="12"/>
  <c r="P57" i="12"/>
  <c r="P58" i="12"/>
  <c r="O60" i="12"/>
  <c r="P60" i="12"/>
  <c r="P62" i="12"/>
  <c r="P69" i="12"/>
  <c r="O70" i="12"/>
  <c r="P70" i="12"/>
  <c r="O76" i="12"/>
  <c r="P79" i="12"/>
  <c r="P87" i="12" s="1"/>
  <c r="P91" i="12" s="1"/>
  <c r="P80" i="12"/>
  <c r="O81" i="12"/>
  <c r="P81" i="12"/>
  <c r="P82" i="12"/>
  <c r="O84" i="12"/>
  <c r="P84" i="12"/>
  <c r="P86" i="12"/>
  <c r="P93" i="12"/>
  <c r="O94" i="12"/>
  <c r="P94" i="12"/>
  <c r="O10" i="11"/>
  <c r="O6" i="11"/>
  <c r="O5" i="11"/>
  <c r="I13" i="11"/>
  <c r="I10" i="7"/>
  <c r="P7" i="5"/>
  <c r="P9" i="5" s="1"/>
  <c r="P8" i="5"/>
  <c r="J8" i="7"/>
  <c r="K8" i="7"/>
  <c r="K7" i="7"/>
  <c r="J7" i="7"/>
  <c r="AA54" i="2"/>
  <c r="D13" i="15"/>
  <c r="F13" i="12"/>
  <c r="AU28" i="2"/>
  <c r="D13" i="9"/>
  <c r="E10" i="7"/>
  <c r="O9" i="34" s="1"/>
  <c r="R9" i="34" l="1"/>
  <c r="Q9" i="23"/>
  <c r="R9" i="28"/>
  <c r="R33" i="28" s="1"/>
  <c r="Q9" i="21"/>
  <c r="R9" i="19"/>
  <c r="R58" i="19" s="1"/>
  <c r="P9" i="9"/>
  <c r="P33" i="12"/>
  <c r="R9" i="17"/>
  <c r="P9" i="11"/>
  <c r="P9" i="15"/>
  <c r="Q9" i="20"/>
  <c r="P9" i="12"/>
  <c r="E13" i="12"/>
  <c r="D13" i="12"/>
  <c r="Q33" i="28"/>
  <c r="O80" i="12"/>
  <c r="O56" i="12"/>
  <c r="I13" i="15"/>
  <c r="E13" i="15"/>
  <c r="L13" i="15" s="1"/>
  <c r="O13" i="15"/>
  <c r="K9" i="7"/>
  <c r="O55" i="12" s="1"/>
  <c r="J9" i="7"/>
  <c r="K12" i="7"/>
  <c r="J12" i="7"/>
  <c r="K11" i="20" s="1"/>
  <c r="D12" i="7"/>
  <c r="I12" i="7" s="1"/>
  <c r="K10" i="7"/>
  <c r="J10" i="7"/>
  <c r="R9" i="20" s="1"/>
  <c r="D10" i="7"/>
  <c r="E12" i="5"/>
  <c r="F11" i="19" s="1"/>
  <c r="E10" i="5"/>
  <c r="L9" i="9" s="1"/>
  <c r="P7" i="7"/>
  <c r="I8" i="7"/>
  <c r="I7" i="7"/>
  <c r="Q9" i="15"/>
  <c r="L12" i="7"/>
  <c r="Q9" i="11"/>
  <c r="E8" i="7"/>
  <c r="N23" i="34"/>
  <c r="N22" i="34"/>
  <c r="N19" i="34"/>
  <c r="N18" i="34"/>
  <c r="N6" i="34"/>
  <c r="Q8" i="15" l="1"/>
  <c r="L57" i="19"/>
  <c r="P11" i="20"/>
  <c r="O11" i="11"/>
  <c r="L9" i="15"/>
  <c r="L9" i="10"/>
  <c r="M9" i="21"/>
  <c r="L9" i="34"/>
  <c r="M9" i="19"/>
  <c r="M9" i="28"/>
  <c r="L9" i="23"/>
  <c r="M9" i="17"/>
  <c r="M9" i="12"/>
  <c r="M33" i="12" s="1"/>
  <c r="L9" i="11"/>
  <c r="M33" i="28"/>
  <c r="M9" i="20"/>
  <c r="N9" i="9"/>
  <c r="E35" i="12"/>
  <c r="F11" i="21"/>
  <c r="L11" i="11"/>
  <c r="E11" i="12"/>
  <c r="E11" i="11"/>
  <c r="M11" i="21"/>
  <c r="M11" i="12"/>
  <c r="M35" i="12" s="1"/>
  <c r="E11" i="20"/>
  <c r="M11" i="20" s="1"/>
  <c r="E11" i="10"/>
  <c r="L11" i="10" s="1"/>
  <c r="I12" i="5"/>
  <c r="O79" i="12"/>
  <c r="R8" i="20"/>
  <c r="Q8" i="11"/>
  <c r="I9" i="7"/>
  <c r="K11" i="11"/>
  <c r="O6" i="20"/>
  <c r="N6" i="15"/>
  <c r="N23" i="11"/>
  <c r="N22" i="11"/>
  <c r="N6" i="11"/>
  <c r="AX41" i="2"/>
  <c r="AX40" i="2"/>
  <c r="AW41" i="2"/>
  <c r="AW40" i="2"/>
  <c r="AV41" i="2"/>
  <c r="AV40" i="2"/>
  <c r="D13" i="7"/>
  <c r="E13" i="7" s="1"/>
  <c r="F13" i="7" s="1"/>
  <c r="D14" i="28"/>
  <c r="D38" i="28" s="1"/>
  <c r="E15" i="21"/>
  <c r="Q15" i="21" s="1"/>
  <c r="D15" i="20"/>
  <c r="D16" i="17"/>
  <c r="D14" i="15"/>
  <c r="F14" i="12"/>
  <c r="D15" i="11"/>
  <c r="D15" i="10"/>
  <c r="D14" i="9"/>
  <c r="P14" i="9" s="1"/>
  <c r="AP28" i="2"/>
  <c r="AC40" i="2"/>
  <c r="AC41" i="2"/>
  <c r="AD40" i="2"/>
  <c r="AD41" i="2"/>
  <c r="AL40" i="2"/>
  <c r="F12" i="7"/>
  <c r="D10" i="24" s="1"/>
  <c r="F10" i="7"/>
  <c r="F8" i="7"/>
  <c r="F7" i="7"/>
  <c r="M3" i="7"/>
  <c r="R8" i="28" l="1"/>
  <c r="Q8" i="23"/>
  <c r="R8" i="34"/>
  <c r="Q8" i="21"/>
  <c r="R8" i="19"/>
  <c r="Q8" i="10"/>
  <c r="K57" i="19"/>
  <c r="P8" i="12"/>
  <c r="P32" i="12"/>
  <c r="P8" i="15"/>
  <c r="P8" i="11"/>
  <c r="Q8" i="20"/>
  <c r="R8" i="17"/>
  <c r="P8" i="9"/>
  <c r="E15" i="34"/>
  <c r="D15" i="34"/>
  <c r="R15" i="34" s="1"/>
  <c r="E14" i="12"/>
  <c r="D14" i="12"/>
  <c r="I13" i="7"/>
  <c r="K13" i="7" s="1"/>
  <c r="G13" i="7"/>
  <c r="H13" i="7" s="1"/>
  <c r="D8" i="20"/>
  <c r="E14" i="28"/>
  <c r="E38" i="28" s="1"/>
  <c r="H14" i="28"/>
  <c r="H14" i="23"/>
  <c r="K14" i="23" s="1"/>
  <c r="D14" i="23"/>
  <c r="G15" i="19"/>
  <c r="D15" i="19"/>
  <c r="E16" i="17"/>
  <c r="M16" i="17" s="1"/>
  <c r="H16" i="17"/>
  <c r="L15" i="10"/>
  <c r="H15" i="10"/>
  <c r="L14" i="23"/>
  <c r="Q14" i="23" s="1"/>
  <c r="E14" i="23"/>
  <c r="I15" i="20"/>
  <c r="E15" i="20"/>
  <c r="I14" i="15"/>
  <c r="E14" i="15"/>
  <c r="I15" i="11"/>
  <c r="E15" i="11"/>
  <c r="L15" i="11" s="1"/>
  <c r="G16" i="17"/>
  <c r="O16" i="17"/>
  <c r="G15" i="10"/>
  <c r="N15" i="10" s="1"/>
  <c r="E15" i="10"/>
  <c r="J14" i="23"/>
  <c r="G14" i="23"/>
  <c r="N14" i="23" s="1"/>
  <c r="J15" i="34"/>
  <c r="Q15" i="34"/>
  <c r="P15" i="19"/>
  <c r="M15" i="19"/>
  <c r="I36" i="3"/>
  <c r="J36" i="3"/>
  <c r="G8" i="20" s="1"/>
  <c r="F9" i="7"/>
  <c r="D8" i="24" s="1"/>
  <c r="R57" i="19" l="1"/>
  <c r="R32" i="28"/>
  <c r="M15" i="20"/>
  <c r="L14" i="15"/>
  <c r="N47" i="28"/>
  <c r="Q47" i="28" s="1"/>
  <c r="N46" i="28"/>
  <c r="N45" i="28"/>
  <c r="L47" i="28"/>
  <c r="N38" i="28"/>
  <c r="N34" i="28"/>
  <c r="N23" i="28"/>
  <c r="Q23" i="28" s="1"/>
  <c r="N22" i="28"/>
  <c r="N21" i="28"/>
  <c r="L14" i="28"/>
  <c r="F39" i="28"/>
  <c r="F34" i="28"/>
  <c r="F33" i="28"/>
  <c r="F14" i="28"/>
  <c r="F38" i="28" s="1"/>
  <c r="M21" i="23"/>
  <c r="L21" i="23"/>
  <c r="M17" i="23"/>
  <c r="M14" i="23"/>
  <c r="L12" i="23"/>
  <c r="F21" i="23"/>
  <c r="N21" i="23" s="1"/>
  <c r="F17" i="23"/>
  <c r="N68" i="19"/>
  <c r="N67" i="19"/>
  <c r="M67" i="19"/>
  <c r="F68" i="19"/>
  <c r="F67" i="19"/>
  <c r="J67" i="19" s="1"/>
  <c r="N24" i="19"/>
  <c r="N23" i="19"/>
  <c r="N20" i="19"/>
  <c r="N19" i="19"/>
  <c r="N18" i="19"/>
  <c r="N22" i="19" s="1"/>
  <c r="M18" i="19"/>
  <c r="N12" i="19"/>
  <c r="F24" i="19"/>
  <c r="F23" i="19"/>
  <c r="F20" i="19"/>
  <c r="F19" i="19"/>
  <c r="F18" i="19"/>
  <c r="F22" i="19" s="1"/>
  <c r="N23" i="17"/>
  <c r="N24" i="17"/>
  <c r="N20" i="17"/>
  <c r="N16" i="17"/>
  <c r="F23" i="17"/>
  <c r="G23" i="17" s="1"/>
  <c r="H23" i="17" s="1"/>
  <c r="F19" i="17"/>
  <c r="J17" i="23" l="1"/>
  <c r="N17" i="23"/>
  <c r="G19" i="17"/>
  <c r="H19" i="17" s="1"/>
  <c r="J19" i="17"/>
  <c r="F11" i="17"/>
  <c r="J11" i="17" s="1"/>
  <c r="O11" i="17" s="1"/>
  <c r="AE57" i="2" l="1"/>
  <c r="AH57" i="2" s="1"/>
  <c r="AE56" i="2"/>
  <c r="AH56" i="2" s="1"/>
  <c r="AE55" i="2"/>
  <c r="AH55" i="2" s="1"/>
  <c r="AE54" i="2"/>
  <c r="AH54" i="2" s="1"/>
  <c r="AE53" i="2"/>
  <c r="AH53" i="2" s="1"/>
  <c r="AE52" i="2"/>
  <c r="AH52" i="2" s="1"/>
  <c r="AE51" i="2"/>
  <c r="AH51" i="2" s="1"/>
  <c r="AE50" i="2"/>
  <c r="AH50" i="2" s="1"/>
  <c r="AE49" i="2"/>
  <c r="AH49" i="2" s="1"/>
  <c r="AD57" i="2"/>
  <c r="AG57" i="2" s="1"/>
  <c r="L14" i="21" s="1"/>
  <c r="AD56" i="2"/>
  <c r="AG56" i="2" s="1"/>
  <c r="AD55" i="2"/>
  <c r="AG55" i="2" s="1"/>
  <c r="AD54" i="2"/>
  <c r="AD53" i="2"/>
  <c r="AD52" i="2"/>
  <c r="AG52" i="2" s="1"/>
  <c r="AD51" i="2"/>
  <c r="AG51" i="2" s="1"/>
  <c r="AD50" i="2"/>
  <c r="AD49" i="2"/>
  <c r="AG49" i="2" s="1"/>
  <c r="AC57" i="2"/>
  <c r="AC56" i="2"/>
  <c r="AF56" i="2" s="1"/>
  <c r="AC55" i="2"/>
  <c r="AF55" i="2" s="1"/>
  <c r="AC54" i="2"/>
  <c r="AC53" i="2"/>
  <c r="AC52" i="2"/>
  <c r="AC51" i="2"/>
  <c r="AF51" i="2" s="1"/>
  <c r="AC50" i="2"/>
  <c r="AC49" i="2"/>
  <c r="AF49" i="2" s="1"/>
  <c r="AY43" i="2"/>
  <c r="AY41" i="2"/>
  <c r="AY40" i="2"/>
  <c r="AY39" i="2"/>
  <c r="AX43" i="2"/>
  <c r="AX42" i="2"/>
  <c r="AX46" i="2"/>
  <c r="AX39" i="2"/>
  <c r="AW43" i="2"/>
  <c r="AW42" i="2"/>
  <c r="AW39" i="2"/>
  <c r="AV43" i="2"/>
  <c r="AV42" i="2"/>
  <c r="AV39" i="2"/>
  <c r="AU43" i="2"/>
  <c r="AU42" i="2"/>
  <c r="AU41" i="2"/>
  <c r="AU40" i="2"/>
  <c r="AU39" i="2"/>
  <c r="AU32" i="2"/>
  <c r="AU31" i="2"/>
  <c r="AU30" i="2"/>
  <c r="AU29" i="2"/>
  <c r="AD21" i="2"/>
  <c r="AG21" i="2" s="1"/>
  <c r="L13" i="21" s="1"/>
  <c r="AD20" i="2"/>
  <c r="AD19" i="2"/>
  <c r="AG19" i="2" s="1"/>
  <c r="AD18" i="2"/>
  <c r="AD17" i="2"/>
  <c r="AD16" i="2"/>
  <c r="AD15" i="2"/>
  <c r="AC21" i="2"/>
  <c r="AC20" i="2"/>
  <c r="AC19" i="2"/>
  <c r="AC18" i="2"/>
  <c r="AC17" i="2"/>
  <c r="AC16" i="2"/>
  <c r="AC15" i="2"/>
  <c r="AC14" i="2"/>
  <c r="AD14" i="2"/>
  <c r="AD13" i="2"/>
  <c r="P9" i="28"/>
  <c r="O9" i="23"/>
  <c r="M6" i="19"/>
  <c r="F10" i="5"/>
  <c r="N9" i="12" s="1"/>
  <c r="N33" i="12" s="1"/>
  <c r="F12" i="5"/>
  <c r="L30" i="28"/>
  <c r="L6" i="28"/>
  <c r="G10" i="5"/>
  <c r="G12" i="5"/>
  <c r="N36" i="3"/>
  <c r="I8" i="20" s="1"/>
  <c r="C29" i="3"/>
  <c r="N29" i="3" s="1"/>
  <c r="J8" i="10" s="1"/>
  <c r="G11" i="19" l="1"/>
  <c r="F35" i="12"/>
  <c r="N11" i="12"/>
  <c r="N35" i="12" s="1"/>
  <c r="G60" i="19"/>
  <c r="F11" i="12"/>
  <c r="L13" i="23"/>
  <c r="Q13" i="23" s="1"/>
  <c r="Q16" i="23" s="1"/>
  <c r="Q20" i="23" s="1"/>
  <c r="L14" i="34"/>
  <c r="O14" i="34" s="1"/>
  <c r="AF53" i="2"/>
  <c r="C13" i="19" s="1"/>
  <c r="H13" i="19" s="1"/>
  <c r="K13" i="19" s="1"/>
  <c r="AF54" i="2"/>
  <c r="AG50" i="2"/>
  <c r="N14" i="10"/>
  <c r="AF52" i="2"/>
  <c r="O15" i="17"/>
  <c r="AF50" i="2"/>
  <c r="AG53" i="2"/>
  <c r="O13" i="19"/>
  <c r="P13" i="19"/>
  <c r="N13" i="19"/>
  <c r="AF57" i="2"/>
  <c r="C14" i="21" s="1"/>
  <c r="E14" i="21"/>
  <c r="AG54" i="2"/>
  <c r="R14" i="20" s="1"/>
  <c r="O14" i="20"/>
  <c r="AF19" i="2"/>
  <c r="O14" i="17"/>
  <c r="P14" i="17"/>
  <c r="AG13" i="2"/>
  <c r="N13" i="15"/>
  <c r="AG17" i="2"/>
  <c r="O14" i="19"/>
  <c r="N14" i="19"/>
  <c r="P14" i="19"/>
  <c r="AF20" i="2"/>
  <c r="C13" i="28" s="1"/>
  <c r="AG14" i="2"/>
  <c r="N13" i="10"/>
  <c r="N14" i="11"/>
  <c r="AG18" i="2"/>
  <c r="O13" i="20"/>
  <c r="AF14" i="2"/>
  <c r="C13" i="10" s="1"/>
  <c r="AF21" i="2"/>
  <c r="I13" i="21"/>
  <c r="AF15" i="2"/>
  <c r="H14" i="11" s="1"/>
  <c r="AG20" i="2"/>
  <c r="O13" i="28"/>
  <c r="O37" i="28" s="1"/>
  <c r="P13" i="28"/>
  <c r="AF16" i="2"/>
  <c r="C14" i="17" s="1"/>
  <c r="AF17" i="2"/>
  <c r="C14" i="19" s="1"/>
  <c r="H14" i="19" s="1"/>
  <c r="K14" i="19" s="1"/>
  <c r="AF18" i="2"/>
  <c r="C13" i="20" s="1"/>
  <c r="P11" i="19"/>
  <c r="O11" i="21"/>
  <c r="O35" i="12"/>
  <c r="I11" i="21"/>
  <c r="I35" i="12"/>
  <c r="I60" i="19"/>
  <c r="I11" i="10"/>
  <c r="O9" i="10"/>
  <c r="O9" i="21"/>
  <c r="O33" i="12"/>
  <c r="N9" i="21"/>
  <c r="G11" i="21"/>
  <c r="N11" i="21"/>
  <c r="F11" i="10"/>
  <c r="M11" i="10" s="1"/>
  <c r="J12" i="5"/>
  <c r="N58" i="19"/>
  <c r="N9" i="17"/>
  <c r="N33" i="28"/>
  <c r="N9" i="28"/>
  <c r="N9" i="19"/>
  <c r="M9" i="10"/>
  <c r="M9" i="23"/>
  <c r="M11" i="19"/>
  <c r="N11" i="19"/>
  <c r="F60" i="19"/>
  <c r="N60" i="19" s="1"/>
  <c r="L36" i="3"/>
  <c r="M36" i="3"/>
  <c r="J8" i="20" s="1"/>
  <c r="O11" i="20"/>
  <c r="G11" i="12"/>
  <c r="G11" i="20"/>
  <c r="G11" i="11"/>
  <c r="N11" i="11"/>
  <c r="F11" i="20"/>
  <c r="M11" i="11"/>
  <c r="F11" i="11"/>
  <c r="N9" i="34"/>
  <c r="N9" i="15"/>
  <c r="N9" i="11"/>
  <c r="O9" i="20"/>
  <c r="M9" i="34"/>
  <c r="N9" i="20"/>
  <c r="M9" i="15"/>
  <c r="M9" i="11"/>
  <c r="M9" i="9"/>
  <c r="O11" i="10"/>
  <c r="P9" i="17"/>
  <c r="P9" i="19"/>
  <c r="M6" i="9"/>
  <c r="M6" i="34"/>
  <c r="N6" i="20"/>
  <c r="M6" i="15"/>
  <c r="M6" i="11"/>
  <c r="R62" i="19" l="1"/>
  <c r="R13" i="19"/>
  <c r="Q13" i="19"/>
  <c r="N15" i="17"/>
  <c r="M15" i="17"/>
  <c r="C15" i="17"/>
  <c r="N13" i="12"/>
  <c r="M13" i="9"/>
  <c r="P13" i="9" s="1"/>
  <c r="M13" i="12"/>
  <c r="M13" i="15"/>
  <c r="N13" i="9"/>
  <c r="E13" i="9"/>
  <c r="H13" i="9" s="1"/>
  <c r="K13" i="9" s="1"/>
  <c r="C37" i="12"/>
  <c r="C14" i="10"/>
  <c r="P13" i="20"/>
  <c r="Q13" i="20" s="1"/>
  <c r="N13" i="20"/>
  <c r="M13" i="20"/>
  <c r="R13" i="20"/>
  <c r="C13" i="23"/>
  <c r="Q14" i="34"/>
  <c r="C14" i="34"/>
  <c r="J14" i="34" s="1"/>
  <c r="R14" i="19"/>
  <c r="R63" i="19"/>
  <c r="Q14" i="19"/>
  <c r="M14" i="11"/>
  <c r="L13" i="10"/>
  <c r="M13" i="10"/>
  <c r="L14" i="10"/>
  <c r="M14" i="10"/>
  <c r="M13" i="28"/>
  <c r="M37" i="28" s="1"/>
  <c r="L13" i="28"/>
  <c r="R13" i="28"/>
  <c r="Q13" i="28"/>
  <c r="Q37" i="28" s="1"/>
  <c r="N13" i="28"/>
  <c r="N37" i="28" s="1"/>
  <c r="Q14" i="11"/>
  <c r="O14" i="11"/>
  <c r="P14" i="11"/>
  <c r="P17" i="11" s="1"/>
  <c r="P21" i="11" s="1"/>
  <c r="C38" i="12"/>
  <c r="F38" i="12" s="1"/>
  <c r="C13" i="21"/>
  <c r="E13" i="21" s="1"/>
  <c r="C14" i="20"/>
  <c r="E14" i="20" s="1"/>
  <c r="M14" i="20" s="1"/>
  <c r="P14" i="20"/>
  <c r="Q14" i="20" s="1"/>
  <c r="AG15" i="2"/>
  <c r="C14" i="11"/>
  <c r="E14" i="11" s="1"/>
  <c r="L14" i="11" s="1"/>
  <c r="D14" i="10"/>
  <c r="E14" i="10"/>
  <c r="H14" i="10"/>
  <c r="K14" i="10" s="1"/>
  <c r="G14" i="10"/>
  <c r="N37" i="12"/>
  <c r="E37" i="12"/>
  <c r="J37" i="12" s="1"/>
  <c r="F37" i="12"/>
  <c r="D13" i="19"/>
  <c r="M13" i="19"/>
  <c r="G13" i="19"/>
  <c r="G15" i="17"/>
  <c r="R15" i="17" s="1"/>
  <c r="R18" i="17" s="1"/>
  <c r="R22" i="17" s="1"/>
  <c r="H15" i="17"/>
  <c r="K15" i="17" s="1"/>
  <c r="E15" i="17"/>
  <c r="D15" i="17"/>
  <c r="D13" i="20"/>
  <c r="I13" i="20"/>
  <c r="E13" i="20"/>
  <c r="D14" i="19"/>
  <c r="M14" i="19"/>
  <c r="G14" i="19"/>
  <c r="N38" i="12"/>
  <c r="O38" i="12"/>
  <c r="E38" i="12"/>
  <c r="J38" i="12" s="1"/>
  <c r="D14" i="17"/>
  <c r="G14" i="17"/>
  <c r="E14" i="17"/>
  <c r="H14" i="17"/>
  <c r="K14" i="17" s="1"/>
  <c r="J14" i="17"/>
  <c r="E13" i="23"/>
  <c r="G13" i="23"/>
  <c r="N13" i="23" s="1"/>
  <c r="H13" i="23"/>
  <c r="K13" i="23" s="1"/>
  <c r="J13" i="23"/>
  <c r="D13" i="23"/>
  <c r="I13" i="23"/>
  <c r="M13" i="23"/>
  <c r="P13" i="23" s="1"/>
  <c r="E14" i="34"/>
  <c r="G13" i="10"/>
  <c r="E13" i="10"/>
  <c r="D13" i="10"/>
  <c r="H13" i="10"/>
  <c r="K13" i="10" s="1"/>
  <c r="D13" i="28"/>
  <c r="D37" i="28" s="1"/>
  <c r="E13" i="28"/>
  <c r="E37" i="28" s="1"/>
  <c r="H13" i="28"/>
  <c r="F13" i="28"/>
  <c r="F37" i="28" s="1"/>
  <c r="O11" i="19"/>
  <c r="G11" i="10"/>
  <c r="N11" i="10" s="1"/>
  <c r="O9" i="17"/>
  <c r="O9" i="28"/>
  <c r="O33" i="28" s="1"/>
  <c r="O9" i="19"/>
  <c r="N9" i="23"/>
  <c r="N9" i="10"/>
  <c r="AA52" i="2"/>
  <c r="AA50" i="2"/>
  <c r="AB57" i="2"/>
  <c r="Y57" i="2"/>
  <c r="AA57" i="2"/>
  <c r="X57" i="2"/>
  <c r="AA56" i="2"/>
  <c r="D14" i="34" l="1"/>
  <c r="R37" i="28"/>
  <c r="R40" i="28" s="1"/>
  <c r="R44" i="28" s="1"/>
  <c r="R16" i="28"/>
  <c r="R20" i="28" s="1"/>
  <c r="D14" i="20"/>
  <c r="D17" i="20"/>
  <c r="D21" i="20" s="1"/>
  <c r="D14" i="11"/>
  <c r="Z57" i="2"/>
  <c r="W57" i="2"/>
  <c r="Z56" i="2"/>
  <c r="Z54" i="2"/>
  <c r="Z52" i="2"/>
  <c r="Z50" i="2"/>
  <c r="AA21" i="2"/>
  <c r="AA20" i="2"/>
  <c r="AA19" i="2"/>
  <c r="AA18" i="2"/>
  <c r="AA17" i="2"/>
  <c r="AA16" i="2"/>
  <c r="AA15" i="2"/>
  <c r="AA14" i="2"/>
  <c r="AA13" i="2"/>
  <c r="Z21" i="2"/>
  <c r="Z19" i="2"/>
  <c r="Z20" i="2"/>
  <c r="Z16" i="2"/>
  <c r="Z14" i="2"/>
  <c r="Z17" i="2"/>
  <c r="Z13" i="2"/>
  <c r="P12" i="7" l="1"/>
  <c r="Q12" i="7" s="1"/>
  <c r="P10" i="7"/>
  <c r="Q10" i="7" s="1"/>
  <c r="S10" i="7"/>
  <c r="P8" i="7"/>
  <c r="Q8" i="7" s="1"/>
  <c r="P9" i="7" l="1"/>
  <c r="B28" i="3"/>
  <c r="I28" i="3" s="1"/>
  <c r="J28" i="3" l="1"/>
  <c r="G8" i="9" s="1"/>
  <c r="G28" i="3"/>
  <c r="D8" i="9" s="1"/>
  <c r="D16" i="9" s="1"/>
  <c r="D21" i="9" s="1"/>
  <c r="H28" i="3"/>
  <c r="E8" i="9" s="1"/>
  <c r="E16" i="9" s="1"/>
  <c r="E21" i="9" s="1"/>
  <c r="P30" i="28"/>
  <c r="P29" i="28"/>
  <c r="W50" i="2" l="1"/>
  <c r="P6" i="28"/>
  <c r="P5" i="28"/>
  <c r="O6" i="23"/>
  <c r="O5" i="23"/>
  <c r="P6" i="19"/>
  <c r="P5" i="19"/>
  <c r="P6" i="17"/>
  <c r="P5" i="17"/>
  <c r="O6" i="10" l="1"/>
  <c r="O5" i="10"/>
  <c r="Q5" i="11"/>
  <c r="L9" i="21"/>
  <c r="L11" i="21"/>
  <c r="D11" i="21"/>
  <c r="M10" i="7"/>
  <c r="N10" i="7" s="1"/>
  <c r="D6" i="7"/>
  <c r="S12" i="7"/>
  <c r="T12" i="7" s="1"/>
  <c r="M12" i="7"/>
  <c r="N12" i="7" s="1"/>
  <c r="S8" i="7"/>
  <c r="T8" i="7" s="1"/>
  <c r="S7" i="7"/>
  <c r="T7" i="7" s="1"/>
  <c r="M8" i="7"/>
  <c r="N8" i="7" s="1"/>
  <c r="N12" i="5"/>
  <c r="O12" i="5" s="1"/>
  <c r="N10" i="5"/>
  <c r="O10" i="5" s="1"/>
  <c r="N8" i="5"/>
  <c r="O8" i="5" s="1"/>
  <c r="L10" i="5"/>
  <c r="M10" i="5" s="1"/>
  <c r="L12" i="5"/>
  <c r="M12" i="5" s="1"/>
  <c r="K14" i="5"/>
  <c r="H7" i="7" l="1"/>
  <c r="H9" i="7" s="1"/>
  <c r="E7" i="7"/>
  <c r="E9" i="7" s="1"/>
  <c r="G7" i="7"/>
  <c r="M7" i="7"/>
  <c r="N7" i="7" s="1"/>
  <c r="S9" i="7"/>
  <c r="T9" i="7" s="1"/>
  <c r="O8" i="34" l="1"/>
  <c r="H57" i="19"/>
  <c r="Q8" i="19"/>
  <c r="O8" i="11"/>
  <c r="O8" i="15"/>
  <c r="P8" i="20"/>
  <c r="Q8" i="28"/>
  <c r="Q32" i="28" s="1"/>
  <c r="Q8" i="17"/>
  <c r="O8" i="12"/>
  <c r="J57" i="19"/>
  <c r="P8" i="23"/>
  <c r="O8" i="9"/>
  <c r="P8" i="21"/>
  <c r="P8" i="10"/>
  <c r="Q8" i="34"/>
  <c r="G9" i="7"/>
  <c r="P8" i="34" s="1"/>
  <c r="Q7" i="7"/>
  <c r="K8" i="5"/>
  <c r="M48" i="19"/>
  <c r="L48" i="19"/>
  <c r="I48" i="19"/>
  <c r="F48" i="19"/>
  <c r="E48" i="19"/>
  <c r="E47" i="19"/>
  <c r="L47" i="19" s="1"/>
  <c r="C46" i="19"/>
  <c r="M44" i="19"/>
  <c r="L44" i="19"/>
  <c r="I44" i="19"/>
  <c r="F44" i="19"/>
  <c r="E44" i="19"/>
  <c r="M43" i="19"/>
  <c r="L43" i="19"/>
  <c r="I43" i="19"/>
  <c r="F43" i="19"/>
  <c r="E43" i="19"/>
  <c r="M42" i="19"/>
  <c r="M46" i="19" s="1"/>
  <c r="E42" i="19"/>
  <c r="E46" i="19" s="1"/>
  <c r="C39" i="19"/>
  <c r="L39" i="19" s="1"/>
  <c r="M39" i="19" s="1"/>
  <c r="C38" i="19"/>
  <c r="I38" i="19" s="1"/>
  <c r="C37" i="19"/>
  <c r="E37" i="19" s="1"/>
  <c r="L36" i="19"/>
  <c r="I36" i="19"/>
  <c r="F36" i="19"/>
  <c r="E36" i="19"/>
  <c r="M35" i="19"/>
  <c r="I35" i="19"/>
  <c r="F35" i="19"/>
  <c r="E35" i="19"/>
  <c r="C35" i="19"/>
  <c r="L35" i="19" s="1"/>
  <c r="M34" i="19"/>
  <c r="M33" i="19"/>
  <c r="L33" i="19"/>
  <c r="M32" i="19"/>
  <c r="I32" i="19"/>
  <c r="I30" i="19"/>
  <c r="M30" i="19" s="1"/>
  <c r="I29" i="19"/>
  <c r="M29" i="19" s="1"/>
  <c r="C11" i="19"/>
  <c r="M94" i="12"/>
  <c r="L94" i="12"/>
  <c r="J94" i="12"/>
  <c r="H94" i="12"/>
  <c r="D94" i="12"/>
  <c r="J93" i="12"/>
  <c r="D93" i="12"/>
  <c r="L90" i="12"/>
  <c r="H90" i="12"/>
  <c r="J90" i="12" s="1"/>
  <c r="M89" i="12"/>
  <c r="O89" i="12" s="1"/>
  <c r="P89" i="12" s="1"/>
  <c r="L89" i="12"/>
  <c r="J89" i="12"/>
  <c r="H89" i="12"/>
  <c r="D89" i="12"/>
  <c r="H88" i="12"/>
  <c r="D88" i="12"/>
  <c r="C85" i="12"/>
  <c r="C84" i="12"/>
  <c r="L83" i="12"/>
  <c r="J83" i="12"/>
  <c r="H83" i="12"/>
  <c r="D83" i="12"/>
  <c r="O83" i="12" s="1"/>
  <c r="M82" i="12"/>
  <c r="L82" i="12"/>
  <c r="J82" i="12"/>
  <c r="O82" i="12" s="1"/>
  <c r="O87" i="12" s="1"/>
  <c r="O91" i="12" s="1"/>
  <c r="H82" i="12"/>
  <c r="D82" i="12"/>
  <c r="C82" i="12"/>
  <c r="M81" i="12"/>
  <c r="C81" i="12"/>
  <c r="M80" i="12"/>
  <c r="C80" i="12"/>
  <c r="J77" i="12"/>
  <c r="O77" i="12" s="1"/>
  <c r="M58" i="12"/>
  <c r="L58" i="12"/>
  <c r="J58" i="12"/>
  <c r="O58" i="12" s="1"/>
  <c r="H58" i="12"/>
  <c r="D58" i="12"/>
  <c r="C58" i="12"/>
  <c r="M56" i="12"/>
  <c r="C61" i="12"/>
  <c r="C60" i="12"/>
  <c r="C44" i="3"/>
  <c r="D44" i="3" s="1"/>
  <c r="E44" i="3"/>
  <c r="B44" i="3"/>
  <c r="C32" i="19" s="1"/>
  <c r="E43" i="3"/>
  <c r="C43" i="3"/>
  <c r="L43" i="3" s="1"/>
  <c r="C42" i="3"/>
  <c r="L42" i="3" s="1"/>
  <c r="E42" i="3"/>
  <c r="B43" i="3"/>
  <c r="H43" i="3" s="1"/>
  <c r="D79" i="12" s="1"/>
  <c r="B42" i="3"/>
  <c r="C55" i="12" s="1"/>
  <c r="M70" i="12"/>
  <c r="L70" i="12"/>
  <c r="J70" i="12"/>
  <c r="H70" i="12"/>
  <c r="D70" i="12"/>
  <c r="J69" i="12"/>
  <c r="D69" i="12"/>
  <c r="L66" i="12"/>
  <c r="H66" i="12"/>
  <c r="J66" i="12" s="1"/>
  <c r="M65" i="12"/>
  <c r="O65" i="12" s="1"/>
  <c r="P65" i="12" s="1"/>
  <c r="L65" i="12"/>
  <c r="J65" i="12"/>
  <c r="H65" i="12"/>
  <c r="D65" i="12"/>
  <c r="H64" i="12"/>
  <c r="D64" i="12"/>
  <c r="L59" i="12"/>
  <c r="J59" i="12"/>
  <c r="H59" i="12"/>
  <c r="D59" i="12"/>
  <c r="O59" i="12" s="1"/>
  <c r="C57" i="12"/>
  <c r="C56" i="12"/>
  <c r="J53" i="12"/>
  <c r="O53" i="12" s="1"/>
  <c r="O8" i="21" l="1"/>
  <c r="O32" i="12"/>
  <c r="H92" i="12"/>
  <c r="C92" i="12" s="1"/>
  <c r="P88" i="12"/>
  <c r="O63" i="12"/>
  <c r="O67" i="12" s="1"/>
  <c r="P59" i="12"/>
  <c r="M59" i="12" s="1"/>
  <c r="P83" i="12"/>
  <c r="M83" i="12" s="1"/>
  <c r="L64" i="12"/>
  <c r="L68" i="12" s="1"/>
  <c r="P64" i="12"/>
  <c r="I57" i="19"/>
  <c r="O8" i="10"/>
  <c r="P8" i="19"/>
  <c r="P8" i="17"/>
  <c r="P8" i="28"/>
  <c r="O8" i="23"/>
  <c r="Q9" i="7"/>
  <c r="F13" i="19"/>
  <c r="F14" i="19"/>
  <c r="N15" i="19"/>
  <c r="F15" i="19"/>
  <c r="R15" i="19" s="1"/>
  <c r="R17" i="19" s="1"/>
  <c r="R21" i="19" s="1"/>
  <c r="I37" i="19"/>
  <c r="L37" i="19"/>
  <c r="J61" i="12"/>
  <c r="J85" i="12"/>
  <c r="C41" i="19"/>
  <c r="C45" i="19" s="1"/>
  <c r="M38" i="19"/>
  <c r="F44" i="3"/>
  <c r="F32" i="19" s="1"/>
  <c r="L88" i="12"/>
  <c r="H84" i="12"/>
  <c r="L85" i="12"/>
  <c r="J88" i="12"/>
  <c r="P43" i="3"/>
  <c r="J79" i="12" s="1"/>
  <c r="F42" i="19"/>
  <c r="F46" i="19" s="1"/>
  <c r="C79" i="12"/>
  <c r="C87" i="12" s="1"/>
  <c r="C91" i="12" s="1"/>
  <c r="H42" i="3"/>
  <c r="D55" i="12" s="1"/>
  <c r="D43" i="3"/>
  <c r="F43" i="3" s="1"/>
  <c r="H79" i="12" s="1"/>
  <c r="L55" i="12"/>
  <c r="L79" i="12"/>
  <c r="P42" i="3"/>
  <c r="J55" i="12" s="1"/>
  <c r="H44" i="3"/>
  <c r="E32" i="19" s="1"/>
  <c r="F37" i="19"/>
  <c r="L38" i="19"/>
  <c r="M37" i="19"/>
  <c r="E39" i="19"/>
  <c r="F39" i="19"/>
  <c r="M36" i="19"/>
  <c r="M41" i="19" s="1"/>
  <c r="M45" i="19" s="1"/>
  <c r="E38" i="19"/>
  <c r="I39" i="19"/>
  <c r="F38" i="19"/>
  <c r="J92" i="12"/>
  <c r="M84" i="12"/>
  <c r="D84" i="12"/>
  <c r="M85" i="12"/>
  <c r="C90" i="12"/>
  <c r="M90" i="12" s="1"/>
  <c r="P90" i="12" s="1"/>
  <c r="O90" i="12" s="1"/>
  <c r="D90" i="12"/>
  <c r="J84" i="12"/>
  <c r="D85" i="12"/>
  <c r="L84" i="12"/>
  <c r="H85" i="12"/>
  <c r="J64" i="12"/>
  <c r="H68" i="12"/>
  <c r="C68" i="12" s="1"/>
  <c r="H60" i="12"/>
  <c r="C63" i="12"/>
  <c r="C67" i="12" s="1"/>
  <c r="L44" i="3"/>
  <c r="D42" i="3"/>
  <c r="F42" i="3" s="1"/>
  <c r="H55" i="12" s="1"/>
  <c r="M69" i="12"/>
  <c r="L61" i="12"/>
  <c r="D60" i="12"/>
  <c r="M61" i="12"/>
  <c r="C66" i="12"/>
  <c r="M66" i="12" s="1"/>
  <c r="P66" i="12" s="1"/>
  <c r="O66" i="12" s="1"/>
  <c r="D66" i="12"/>
  <c r="J60" i="12"/>
  <c r="D61" i="12"/>
  <c r="L60" i="12"/>
  <c r="H61" i="12"/>
  <c r="D92" i="12" l="1"/>
  <c r="O64" i="12"/>
  <c r="P68" i="12"/>
  <c r="O68" i="12" s="1"/>
  <c r="O85" i="12"/>
  <c r="P85" i="12"/>
  <c r="M64" i="12"/>
  <c r="P92" i="12"/>
  <c r="O92" i="12" s="1"/>
  <c r="O88" i="12"/>
  <c r="O61" i="12"/>
  <c r="P61" i="12"/>
  <c r="I41" i="19"/>
  <c r="I45" i="19" s="1"/>
  <c r="M93" i="12"/>
  <c r="L92" i="12"/>
  <c r="J87" i="12"/>
  <c r="J91" i="12" s="1"/>
  <c r="D87" i="12"/>
  <c r="D91" i="12" s="1"/>
  <c r="J68" i="12"/>
  <c r="D68" i="12"/>
  <c r="L87" i="12"/>
  <c r="L91" i="12" s="1"/>
  <c r="E41" i="19"/>
  <c r="E45" i="19" s="1"/>
  <c r="I42" i="19"/>
  <c r="I46" i="19" s="1"/>
  <c r="F41" i="19"/>
  <c r="F45" i="19" s="1"/>
  <c r="H87" i="12"/>
  <c r="H91" i="12" s="1"/>
  <c r="M88" i="12"/>
  <c r="H63" i="12"/>
  <c r="H67" i="12" s="1"/>
  <c r="L63" i="12"/>
  <c r="L67" i="12" s="1"/>
  <c r="M60" i="12"/>
  <c r="N11" i="20"/>
  <c r="L42" i="19" l="1"/>
  <c r="L46" i="19" s="1"/>
  <c r="M68" i="12"/>
  <c r="M92" i="12"/>
  <c r="L8" i="5" l="1"/>
  <c r="M8" i="5" s="1"/>
  <c r="W9" i="2" l="1"/>
  <c r="J7" i="5" l="1"/>
  <c r="J9" i="5" s="1"/>
  <c r="I7" i="5"/>
  <c r="I9" i="5" s="1"/>
  <c r="E7" i="5"/>
  <c r="E9" i="5" s="1"/>
  <c r="G7" i="5"/>
  <c r="G9" i="5" s="1"/>
  <c r="N7" i="5"/>
  <c r="L8" i="21"/>
  <c r="L7" i="5"/>
  <c r="E9" i="38"/>
  <c r="E11" i="38" s="1"/>
  <c r="E13" i="38" s="1"/>
  <c r="O12" i="38"/>
  <c r="I11" i="38"/>
  <c r="J11" i="38" s="1"/>
  <c r="K11" i="38" s="1"/>
  <c r="L11" i="38" s="1"/>
  <c r="M11" i="38" s="1"/>
  <c r="N11" i="38" s="1"/>
  <c r="O11" i="38" s="1"/>
  <c r="P11" i="38" s="1"/>
  <c r="I10" i="38"/>
  <c r="J10" i="38" s="1"/>
  <c r="K10" i="38" s="1"/>
  <c r="L10" i="38" s="1"/>
  <c r="M10" i="38" s="1"/>
  <c r="N10" i="38" s="1"/>
  <c r="O10" i="38" s="1"/>
  <c r="I9" i="38"/>
  <c r="J9" i="38" s="1"/>
  <c r="K9" i="38" s="1"/>
  <c r="M7" i="5" l="1"/>
  <c r="M55" i="12"/>
  <c r="L8" i="9"/>
  <c r="L16" i="9" s="1"/>
  <c r="L21" i="9" s="1"/>
  <c r="L32" i="19"/>
  <c r="N8" i="21"/>
  <c r="N8" i="12"/>
  <c r="G57" i="19"/>
  <c r="M79" i="12"/>
  <c r="M87" i="12" s="1"/>
  <c r="M91" i="12" s="1"/>
  <c r="M8" i="20"/>
  <c r="M17" i="20" s="1"/>
  <c r="M21" i="20" s="1"/>
  <c r="L8" i="34"/>
  <c r="L17" i="34" s="1"/>
  <c r="L21" i="34" s="1"/>
  <c r="M8" i="17"/>
  <c r="M18" i="17" s="1"/>
  <c r="M22" i="17" s="1"/>
  <c r="M8" i="21"/>
  <c r="M8" i="12"/>
  <c r="M32" i="12" s="1"/>
  <c r="M8" i="19"/>
  <c r="M32" i="28"/>
  <c r="M40" i="28" s="1"/>
  <c r="M44" i="28" s="1"/>
  <c r="L8" i="23"/>
  <c r="L8" i="15"/>
  <c r="L16" i="15" s="1"/>
  <c r="L20" i="15" s="1"/>
  <c r="M8" i="28"/>
  <c r="M16" i="28" s="1"/>
  <c r="M20" i="28" s="1"/>
  <c r="L8" i="11"/>
  <c r="L17" i="11" s="1"/>
  <c r="L21" i="11" s="1"/>
  <c r="N8" i="9"/>
  <c r="L8" i="10"/>
  <c r="L17" i="10" s="1"/>
  <c r="L21" i="10" s="1"/>
  <c r="O8" i="28"/>
  <c r="N8" i="23"/>
  <c r="N16" i="23" s="1"/>
  <c r="N20" i="23" s="1"/>
  <c r="O8" i="19"/>
  <c r="O8" i="17"/>
  <c r="N8" i="10"/>
  <c r="N17" i="10" s="1"/>
  <c r="N21" i="10" s="1"/>
  <c r="F57" i="19"/>
  <c r="N57" i="19" s="1"/>
  <c r="N8" i="17"/>
  <c r="N32" i="28"/>
  <c r="N8" i="28"/>
  <c r="M8" i="23"/>
  <c r="N8" i="19"/>
  <c r="N17" i="19" s="1"/>
  <c r="N21" i="19" s="1"/>
  <c r="M8" i="10"/>
  <c r="M9" i="38"/>
  <c r="N9" i="38" s="1"/>
  <c r="N8" i="34"/>
  <c r="O8" i="20"/>
  <c r="N8" i="15"/>
  <c r="N8" i="11"/>
  <c r="M8" i="34"/>
  <c r="N8" i="20"/>
  <c r="M8" i="15"/>
  <c r="M8" i="11"/>
  <c r="M8" i="9"/>
  <c r="O7" i="5"/>
  <c r="N9" i="5"/>
  <c r="O9" i="5" s="1"/>
  <c r="N32" i="12" l="1"/>
  <c r="N16" i="12"/>
  <c r="N20" i="12" s="1"/>
  <c r="O32" i="28"/>
  <c r="O9" i="38"/>
  <c r="P9" i="38" s="1"/>
  <c r="L9" i="5"/>
  <c r="M9" i="5" s="1"/>
  <c r="M9" i="7" l="1"/>
  <c r="N9" i="7" s="1"/>
  <c r="F8" i="9" l="1"/>
  <c r="B1" i="34"/>
  <c r="V12" i="30" l="1"/>
  <c r="V15" i="30" s="1"/>
  <c r="V25" i="30" s="1"/>
  <c r="V28" i="30" s="1"/>
  <c r="V37" i="30" s="1"/>
  <c r="V2" i="30"/>
  <c r="H24" i="34" l="1"/>
  <c r="I24" i="34" s="1"/>
  <c r="C24" i="34"/>
  <c r="M23" i="34"/>
  <c r="C23" i="34"/>
  <c r="M22" i="34"/>
  <c r="F22" i="34"/>
  <c r="H20" i="34"/>
  <c r="I20" i="34" s="1"/>
  <c r="P20" i="34" s="1"/>
  <c r="C20" i="34"/>
  <c r="M19" i="34"/>
  <c r="C19" i="34"/>
  <c r="M18" i="34"/>
  <c r="I18" i="34"/>
  <c r="H18" i="34"/>
  <c r="F18" i="34"/>
  <c r="G18" i="34" s="1"/>
  <c r="I13" i="34"/>
  <c r="P13" i="34" s="1"/>
  <c r="C13" i="34"/>
  <c r="M12" i="34"/>
  <c r="N12" i="34" s="1"/>
  <c r="C12" i="34"/>
  <c r="C11" i="34"/>
  <c r="P10" i="34"/>
  <c r="C10" i="34"/>
  <c r="C9" i="34"/>
  <c r="M24" i="34" l="1"/>
  <c r="N24" i="34" s="1"/>
  <c r="R24" i="34" s="1"/>
  <c r="Q24" i="34"/>
  <c r="H22" i="34"/>
  <c r="I22" i="34" s="1"/>
  <c r="G22" i="34"/>
  <c r="I11" i="34"/>
  <c r="P11" i="34" s="1"/>
  <c r="C11" i="23"/>
  <c r="F11" i="23" s="1"/>
  <c r="F11" i="34"/>
  <c r="H11" i="34"/>
  <c r="M20" i="34"/>
  <c r="N20" i="34" s="1"/>
  <c r="B1" i="10"/>
  <c r="P24" i="34" l="1"/>
  <c r="J11" i="23"/>
  <c r="P11" i="23"/>
  <c r="M11" i="34"/>
  <c r="G11" i="34"/>
  <c r="N11" i="34" s="1"/>
  <c r="U2" i="30"/>
  <c r="Y41" i="30" l="1"/>
  <c r="L29" i="2" l="1"/>
  <c r="B29" i="11"/>
  <c r="B103" i="12" s="1"/>
  <c r="B29" i="15" s="1"/>
  <c r="B30" i="17" s="1"/>
  <c r="B78" i="19" s="1"/>
  <c r="B29" i="20" l="1"/>
  <c r="B29" i="21" s="1"/>
  <c r="B53" i="28"/>
  <c r="M5" i="30"/>
  <c r="O46" i="30"/>
  <c r="M44" i="30"/>
  <c r="M45" i="30" s="1"/>
  <c r="M46" i="30" s="1"/>
  <c r="B29" i="34" l="1"/>
  <c r="C12" i="17"/>
  <c r="L11" i="17"/>
  <c r="I11" i="17"/>
  <c r="N11" i="17" s="1"/>
  <c r="C10" i="17"/>
  <c r="J11" i="9"/>
  <c r="I11" i="9"/>
  <c r="F11" i="9"/>
  <c r="G11" i="9" s="1"/>
  <c r="C11" i="20"/>
  <c r="N11" i="9" l="1"/>
  <c r="H11" i="9"/>
  <c r="L11" i="23"/>
  <c r="I11" i="23"/>
  <c r="O11" i="23"/>
  <c r="C11" i="15"/>
  <c r="O11" i="15" s="1"/>
  <c r="P11" i="28" l="1"/>
  <c r="O11" i="28"/>
  <c r="N11" i="28"/>
  <c r="J11" i="28"/>
  <c r="H11" i="15"/>
  <c r="F11" i="15"/>
  <c r="K11" i="15"/>
  <c r="G11" i="28"/>
  <c r="I11" i="28"/>
  <c r="L11" i="28"/>
  <c r="O35" i="28" l="1"/>
  <c r="F35" i="28"/>
  <c r="Q11" i="28"/>
  <c r="G11" i="15"/>
  <c r="N11" i="15"/>
  <c r="N35" i="28"/>
  <c r="O6" i="9"/>
  <c r="O5" i="9"/>
  <c r="Q35" i="28" l="1"/>
  <c r="Q40" i="28" s="1"/>
  <c r="Q44" i="28" s="1"/>
  <c r="Q16" i="28"/>
  <c r="Q20" i="28" s="1"/>
  <c r="P43" i="30"/>
  <c r="Y43" i="30" s="1"/>
  <c r="L60" i="19" l="1"/>
  <c r="I55" i="19"/>
  <c r="I54" i="19"/>
  <c r="L11" i="19"/>
  <c r="Q6" i="11"/>
  <c r="S60" i="19" l="1"/>
  <c r="S58" i="19"/>
  <c r="S57" i="19"/>
  <c r="O6" i="12" l="1"/>
  <c r="L6" i="17"/>
  <c r="Q6" i="15"/>
  <c r="O5" i="12"/>
  <c r="L6" i="19" l="1"/>
  <c r="Q5" i="15"/>
  <c r="L5" i="17"/>
  <c r="K6" i="20" l="1"/>
  <c r="M13" i="29"/>
  <c r="M12" i="29"/>
  <c r="R6" i="20" l="1"/>
  <c r="K5" i="20"/>
  <c r="L54" i="19"/>
  <c r="S54" i="19" s="1"/>
  <c r="I6" i="34" l="1"/>
  <c r="P6" i="34" s="1"/>
  <c r="O6" i="21"/>
  <c r="R5" i="20"/>
  <c r="O10" i="30"/>
  <c r="O23" i="30" s="1"/>
  <c r="M19" i="30"/>
  <c r="M32" i="30" s="1"/>
  <c r="M18" i="30"/>
  <c r="M31" i="30"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I5" i="34" l="1"/>
  <c r="P5" i="34" s="1"/>
  <c r="M11" i="29"/>
  <c r="M21" i="29" s="1"/>
  <c r="U12" i="30"/>
  <c r="U13" i="30" s="1"/>
  <c r="U14" i="30" s="1"/>
  <c r="M9" i="29"/>
  <c r="M19" i="29" s="1"/>
  <c r="M14" i="29"/>
  <c r="M10" i="29"/>
  <c r="M20" i="29" s="1"/>
  <c r="M15" i="29"/>
  <c r="O5" i="21"/>
  <c r="V23" i="30"/>
  <c r="O11" i="30"/>
  <c r="O12" i="30" s="1"/>
  <c r="O13" i="30" s="1"/>
  <c r="O14" i="30" s="1"/>
  <c r="O15" i="30" s="1"/>
  <c r="O16" i="30" s="1"/>
  <c r="O17" i="30" s="1"/>
  <c r="O18" i="30" s="1"/>
  <c r="O19" i="30" s="1"/>
  <c r="O20" i="30" s="1"/>
  <c r="O21" i="30" s="1"/>
  <c r="O22" i="30" s="1"/>
  <c r="O24" i="30" s="1"/>
  <c r="O25" i="30" s="1"/>
  <c r="O26" i="30" s="1"/>
  <c r="O27" i="30" s="1"/>
  <c r="U10" i="30"/>
  <c r="V10" i="30"/>
  <c r="U2" i="29"/>
  <c r="U15" i="30" l="1"/>
  <c r="U16" i="30" s="1"/>
  <c r="U17" i="30" s="1"/>
  <c r="U18" i="30" s="1"/>
  <c r="U19" i="30" s="1"/>
  <c r="U20" i="30" s="1"/>
  <c r="U21" i="30" s="1"/>
  <c r="U22" i="30" s="1"/>
  <c r="U3" i="29"/>
  <c r="U4" i="29" s="1"/>
  <c r="U5" i="29" s="1"/>
  <c r="U6" i="29" s="1"/>
  <c r="U7" i="29" s="1"/>
  <c r="U8" i="29" s="1"/>
  <c r="U9" i="29" s="1"/>
  <c r="U10" i="29" s="1"/>
  <c r="U11" i="29" s="1"/>
  <c r="U12" i="29" s="1"/>
  <c r="U13" i="29" s="1"/>
  <c r="U14" i="29" s="1"/>
  <c r="U15" i="29" s="1"/>
  <c r="U16" i="29" s="1"/>
  <c r="U17" i="29" s="1"/>
  <c r="U18" i="29" s="1"/>
  <c r="U19" i="29" s="1"/>
  <c r="U20" i="29" s="1"/>
  <c r="U21" i="29" s="1"/>
  <c r="V3" i="29"/>
  <c r="V4" i="29" s="1"/>
  <c r="V5" i="29" s="1"/>
  <c r="V6" i="29" s="1"/>
  <c r="V7" i="29" s="1"/>
  <c r="V8" i="29" s="1"/>
  <c r="V9" i="29" s="1"/>
  <c r="V10" i="29" s="1"/>
  <c r="V11" i="29" s="1"/>
  <c r="V12" i="29" s="1"/>
  <c r="V13" i="29" s="1"/>
  <c r="V14" i="29" s="1"/>
  <c r="V15" i="29" s="1"/>
  <c r="V16" i="29" s="1"/>
  <c r="V17" i="29" s="1"/>
  <c r="V18" i="29" s="1"/>
  <c r="V19" i="29" s="1"/>
  <c r="V20" i="29" s="1"/>
  <c r="V21" i="29" s="1"/>
  <c r="U24" i="30" l="1"/>
  <c r="U23" i="30"/>
  <c r="P36" i="28"/>
  <c r="J36" i="28"/>
  <c r="I36" i="28"/>
  <c r="G36" i="28"/>
  <c r="G34" i="28"/>
  <c r="G33" i="28"/>
  <c r="I47" i="28"/>
  <c r="C47" i="28"/>
  <c r="L46" i="28"/>
  <c r="C46" i="28"/>
  <c r="G45" i="28"/>
  <c r="O45" i="28" s="1"/>
  <c r="I43" i="28"/>
  <c r="C43" i="28"/>
  <c r="L42" i="28"/>
  <c r="C42" i="28"/>
  <c r="L41" i="28"/>
  <c r="J41" i="28"/>
  <c r="I41" i="28"/>
  <c r="G41" i="28"/>
  <c r="P32" i="28"/>
  <c r="I23" i="28"/>
  <c r="C23" i="28"/>
  <c r="L22" i="28"/>
  <c r="C22" i="28"/>
  <c r="G21" i="28"/>
  <c r="O21" i="28" s="1"/>
  <c r="I19" i="28"/>
  <c r="C19" i="28"/>
  <c r="L18" i="28"/>
  <c r="C18" i="28"/>
  <c r="L17" i="28"/>
  <c r="J17" i="28"/>
  <c r="I17" i="28"/>
  <c r="G17" i="28"/>
  <c r="J39" i="28"/>
  <c r="L12" i="28"/>
  <c r="L36" i="28" s="1"/>
  <c r="P35" i="28"/>
  <c r="L35" i="28"/>
  <c r="J35" i="28"/>
  <c r="I35" i="28"/>
  <c r="G35" i="28"/>
  <c r="C35" i="28"/>
  <c r="P10" i="28"/>
  <c r="P34" i="28" s="1"/>
  <c r="C10" i="28"/>
  <c r="C34" i="28" s="1"/>
  <c r="P33" i="28"/>
  <c r="C9" i="28"/>
  <c r="C33" i="28" s="1"/>
  <c r="B1" i="28"/>
  <c r="J23" i="28" l="1"/>
  <c r="L23" i="28" s="1"/>
  <c r="P23" i="28" s="1"/>
  <c r="E23" i="28"/>
  <c r="M23" i="28" s="1"/>
  <c r="J19" i="28"/>
  <c r="P19" i="28" s="1"/>
  <c r="E19" i="28"/>
  <c r="J43" i="28"/>
  <c r="P43" i="28" s="1"/>
  <c r="E43" i="28"/>
  <c r="J47" i="28"/>
  <c r="P47" i="28" s="1"/>
  <c r="E47" i="28"/>
  <c r="M47" i="28" s="1"/>
  <c r="I21" i="28"/>
  <c r="J21" i="28" s="1"/>
  <c r="L21" i="28"/>
  <c r="I45" i="28"/>
  <c r="J45" i="28" s="1"/>
  <c r="L45" i="28"/>
  <c r="C36" i="28"/>
  <c r="N12" i="28"/>
  <c r="U25" i="30"/>
  <c r="U26" i="30" s="1"/>
  <c r="U27" i="30" s="1"/>
  <c r="C39" i="28"/>
  <c r="L39" i="28"/>
  <c r="G39" i="28"/>
  <c r="L19" i="28"/>
  <c r="Q19" i="28" s="1"/>
  <c r="I39" i="28"/>
  <c r="L43" i="28" l="1"/>
  <c r="Q43" i="28" s="1"/>
  <c r="F36" i="28"/>
  <c r="O12" i="28"/>
  <c r="N36" i="28"/>
  <c r="N40" i="28" s="1"/>
  <c r="N44" i="28" s="1"/>
  <c r="N16" i="28"/>
  <c r="N20" i="28" s="1"/>
  <c r="U28" i="30"/>
  <c r="U29" i="30" s="1"/>
  <c r="U30" i="30" s="1"/>
  <c r="U31" i="30" s="1"/>
  <c r="U32" i="30" s="1"/>
  <c r="U33" i="30" s="1"/>
  <c r="U34" i="30" s="1"/>
  <c r="U35" i="30" s="1"/>
  <c r="U36" i="30" s="1"/>
  <c r="P39" i="28"/>
  <c r="O36" i="28" l="1"/>
  <c r="O40" i="28" s="1"/>
  <c r="O44" i="28" s="1"/>
  <c r="O16" i="28"/>
  <c r="O20" i="28" s="1"/>
  <c r="U37" i="30"/>
  <c r="U38" i="30" s="1"/>
  <c r="U39" i="30" s="1"/>
  <c r="U40" i="30" s="1"/>
  <c r="U41" i="30" s="1"/>
  <c r="U42" i="30" s="1"/>
  <c r="U43" i="30" s="1"/>
  <c r="U44" i="30" s="1"/>
  <c r="U45" i="30" s="1"/>
  <c r="U46" i="30" s="1"/>
  <c r="H57" i="20"/>
  <c r="F57" i="20"/>
  <c r="K57" i="20" s="1"/>
  <c r="K56" i="20"/>
  <c r="F56" i="20"/>
  <c r="H56" i="20" s="1"/>
  <c r="C35" i="12" l="1"/>
  <c r="K50" i="20" l="1"/>
  <c r="H50" i="20"/>
  <c r="O10" i="9"/>
  <c r="O12" i="9"/>
  <c r="M12" i="9"/>
  <c r="J12" i="9"/>
  <c r="I12" i="9"/>
  <c r="F12" i="9"/>
  <c r="B10" i="24"/>
  <c r="B11" i="24"/>
  <c r="B8" i="24"/>
  <c r="C8" i="24"/>
  <c r="C10" i="24"/>
  <c r="C11" i="24"/>
  <c r="D11" i="24" s="1"/>
  <c r="A5" i="24"/>
  <c r="I23" i="23"/>
  <c r="E23" i="23" s="1"/>
  <c r="C23" i="23"/>
  <c r="C22" i="23"/>
  <c r="G21" i="23"/>
  <c r="I21" i="23" s="1"/>
  <c r="J21" i="23" s="1"/>
  <c r="I19" i="23"/>
  <c r="C19" i="23"/>
  <c r="L18" i="23"/>
  <c r="C18" i="23"/>
  <c r="L17" i="23"/>
  <c r="I17" i="23"/>
  <c r="G17" i="23"/>
  <c r="M12" i="23"/>
  <c r="M16" i="23" s="1"/>
  <c r="M20" i="23" s="1"/>
  <c r="O10" i="23"/>
  <c r="C10" i="23"/>
  <c r="C9" i="23"/>
  <c r="B1" i="23"/>
  <c r="H24" i="21"/>
  <c r="I24" i="21" s="1"/>
  <c r="C24" i="21"/>
  <c r="L23" i="21"/>
  <c r="C23" i="21"/>
  <c r="L22" i="21"/>
  <c r="N22" i="21" s="1"/>
  <c r="D22" i="21"/>
  <c r="H20" i="21"/>
  <c r="I20" i="21" s="1"/>
  <c r="C20" i="21"/>
  <c r="L19" i="21"/>
  <c r="C19" i="21"/>
  <c r="L18" i="21"/>
  <c r="N18" i="21" s="1"/>
  <c r="I18" i="21"/>
  <c r="H18" i="21"/>
  <c r="D18" i="21"/>
  <c r="L12" i="21"/>
  <c r="C12" i="21"/>
  <c r="H11" i="21"/>
  <c r="C11" i="21"/>
  <c r="O10" i="21"/>
  <c r="C10" i="21"/>
  <c r="C9" i="21"/>
  <c r="B1" i="21"/>
  <c r="J18" i="21" l="1"/>
  <c r="E18" i="21"/>
  <c r="F22" i="21"/>
  <c r="E22" i="21"/>
  <c r="L24" i="21"/>
  <c r="M24" i="21" s="1"/>
  <c r="P24" i="21" s="1"/>
  <c r="J24" i="21"/>
  <c r="O20" i="21"/>
  <c r="J20" i="21"/>
  <c r="P20" i="21" s="1"/>
  <c r="J19" i="23"/>
  <c r="E19" i="23"/>
  <c r="G18" i="21"/>
  <c r="F18" i="21"/>
  <c r="H22" i="21"/>
  <c r="I22" i="21" s="1"/>
  <c r="J22" i="21" s="1"/>
  <c r="G22" i="21"/>
  <c r="F19" i="23"/>
  <c r="N19" i="23" s="1"/>
  <c r="L19" i="23"/>
  <c r="M19" i="23"/>
  <c r="J23" i="23"/>
  <c r="L23" i="23" s="1"/>
  <c r="O23" i="23" s="1"/>
  <c r="F22" i="23"/>
  <c r="N22" i="23" s="1"/>
  <c r="M22" i="23"/>
  <c r="L22" i="23"/>
  <c r="F18" i="23"/>
  <c r="N18" i="23" s="1"/>
  <c r="M18" i="23"/>
  <c r="F23" i="23"/>
  <c r="N23" i="23" s="1"/>
  <c r="M23" i="23"/>
  <c r="P23" i="23" s="1"/>
  <c r="G12" i="9"/>
  <c r="H12" i="9" s="1"/>
  <c r="N12" i="9"/>
  <c r="L20" i="21"/>
  <c r="F50" i="20"/>
  <c r="C50" i="20"/>
  <c r="B43" i="20"/>
  <c r="O24" i="21" l="1"/>
  <c r="M20" i="21"/>
  <c r="Q20" i="21"/>
  <c r="C58" i="20"/>
  <c r="F58" i="20"/>
  <c r="R24" i="20" l="1"/>
  <c r="N24" i="20"/>
  <c r="L24" i="20"/>
  <c r="K24" i="20"/>
  <c r="H24" i="20"/>
  <c r="F24" i="20"/>
  <c r="K23" i="20"/>
  <c r="F23" i="20"/>
  <c r="L20" i="20"/>
  <c r="H20" i="20"/>
  <c r="L19" i="20"/>
  <c r="N19" i="20" s="1"/>
  <c r="K19" i="20"/>
  <c r="H19" i="20"/>
  <c r="F19" i="20"/>
  <c r="G19" i="20" s="1"/>
  <c r="H18" i="20"/>
  <c r="H22" i="20" s="1"/>
  <c r="F22" i="20" s="1"/>
  <c r="F18" i="20"/>
  <c r="G18" i="20" s="1"/>
  <c r="L12" i="20"/>
  <c r="N12" i="20" s="1"/>
  <c r="O12" i="20" s="1"/>
  <c r="K12" i="20"/>
  <c r="H12" i="20"/>
  <c r="I12" i="20" s="1"/>
  <c r="F12" i="20"/>
  <c r="L11" i="20"/>
  <c r="R11" i="20"/>
  <c r="H11" i="20"/>
  <c r="C10" i="20"/>
  <c r="C9" i="20"/>
  <c r="B1" i="20"/>
  <c r="M68" i="19"/>
  <c r="S68" i="19" s="1"/>
  <c r="C60" i="19"/>
  <c r="M58" i="19"/>
  <c r="M57" i="19"/>
  <c r="C57" i="19"/>
  <c r="C22" i="19"/>
  <c r="P20" i="19"/>
  <c r="L20" i="19"/>
  <c r="E20" i="19"/>
  <c r="O20" i="19" s="1"/>
  <c r="P19" i="19"/>
  <c r="M19" i="19"/>
  <c r="P18" i="19"/>
  <c r="P22" i="19" s="1"/>
  <c r="C73" i="19"/>
  <c r="S72" i="19"/>
  <c r="L72" i="19"/>
  <c r="C72" i="19"/>
  <c r="C71" i="19"/>
  <c r="L68" i="19"/>
  <c r="I68" i="19"/>
  <c r="E68" i="19"/>
  <c r="E67" i="19"/>
  <c r="C61" i="19"/>
  <c r="G61" i="19" s="1"/>
  <c r="M60" i="19"/>
  <c r="P24" i="19"/>
  <c r="S73" i="19" s="1"/>
  <c r="M24" i="19"/>
  <c r="M73" i="19" s="1"/>
  <c r="L24" i="19"/>
  <c r="L73" i="19" s="1"/>
  <c r="I24" i="19"/>
  <c r="I73" i="19" s="1"/>
  <c r="E24" i="19"/>
  <c r="I72" i="19"/>
  <c r="E23" i="19"/>
  <c r="O23" i="19" s="1"/>
  <c r="L19" i="19"/>
  <c r="E19" i="19"/>
  <c r="O19" i="19" s="1"/>
  <c r="E18" i="19"/>
  <c r="L12" i="19"/>
  <c r="I12" i="19"/>
  <c r="E12" i="19"/>
  <c r="O12" i="19" s="1"/>
  <c r="B1" i="19"/>
  <c r="I25" i="17"/>
  <c r="E25" i="17" s="1"/>
  <c r="C25" i="17"/>
  <c r="C24" i="17"/>
  <c r="I23" i="17"/>
  <c r="I21" i="17"/>
  <c r="E21" i="17" s="1"/>
  <c r="C21" i="17"/>
  <c r="C20" i="17"/>
  <c r="L19" i="17"/>
  <c r="I19" i="17"/>
  <c r="L13" i="17"/>
  <c r="P13" i="17" s="1"/>
  <c r="C13" i="17"/>
  <c r="N12" i="17"/>
  <c r="P11" i="17"/>
  <c r="P10" i="17"/>
  <c r="C9" i="17"/>
  <c r="B1" i="17"/>
  <c r="M18" i="15"/>
  <c r="I67" i="19" l="1"/>
  <c r="G67" i="19"/>
  <c r="J68" i="19"/>
  <c r="G68" i="19"/>
  <c r="G24" i="19"/>
  <c r="G73" i="19" s="1"/>
  <c r="O24" i="19"/>
  <c r="G18" i="19"/>
  <c r="G22" i="19" s="1"/>
  <c r="O18" i="19"/>
  <c r="O22" i="19" s="1"/>
  <c r="N18" i="17"/>
  <c r="N22" i="17" s="1"/>
  <c r="O12" i="17"/>
  <c r="O18" i="17" s="1"/>
  <c r="O22" i="17" s="1"/>
  <c r="M23" i="19"/>
  <c r="M72" i="19" s="1"/>
  <c r="G23" i="19"/>
  <c r="G72" i="19" s="1"/>
  <c r="Q19" i="19"/>
  <c r="G19" i="19"/>
  <c r="Q20" i="19"/>
  <c r="G20" i="19"/>
  <c r="E73" i="19"/>
  <c r="Q24" i="19"/>
  <c r="E22" i="19"/>
  <c r="Q18" i="19"/>
  <c r="Q22" i="19" s="1"/>
  <c r="L21" i="17"/>
  <c r="P21" i="17" s="1"/>
  <c r="J21" i="17"/>
  <c r="L25" i="17"/>
  <c r="J25" i="17"/>
  <c r="L23" i="17"/>
  <c r="J23" i="17"/>
  <c r="S71" i="19"/>
  <c r="F71" i="19"/>
  <c r="N71" i="19"/>
  <c r="F72" i="19"/>
  <c r="N72" i="19"/>
  <c r="F73" i="19"/>
  <c r="N73" i="19"/>
  <c r="L61" i="19"/>
  <c r="N61" i="19"/>
  <c r="F61" i="19"/>
  <c r="R19" i="20"/>
  <c r="O19" i="20"/>
  <c r="G24" i="20"/>
  <c r="O24" i="20"/>
  <c r="R12" i="20"/>
  <c r="G12" i="20"/>
  <c r="N23" i="20"/>
  <c r="G23" i="20"/>
  <c r="O23" i="20" s="1"/>
  <c r="P12" i="19"/>
  <c r="F12" i="19"/>
  <c r="M59" i="19"/>
  <c r="S59" i="19" s="1"/>
  <c r="L34" i="19"/>
  <c r="L41" i="19" s="1"/>
  <c r="L45" i="19" s="1"/>
  <c r="L18" i="19"/>
  <c r="E71" i="19"/>
  <c r="C22" i="20"/>
  <c r="F20" i="20"/>
  <c r="O20" i="20" s="1"/>
  <c r="C20" i="20"/>
  <c r="K22" i="20"/>
  <c r="G22" i="20" s="1"/>
  <c r="L18" i="20"/>
  <c r="N18" i="20" s="1"/>
  <c r="K18" i="20"/>
  <c r="K20" i="20"/>
  <c r="G20" i="20" s="1"/>
  <c r="S67" i="19"/>
  <c r="L67" i="19"/>
  <c r="L71" i="19" s="1"/>
  <c r="L22" i="19"/>
  <c r="M22" i="19"/>
  <c r="M61" i="19"/>
  <c r="I71" i="19"/>
  <c r="M71" i="19"/>
  <c r="I22" i="19"/>
  <c r="E61" i="19"/>
  <c r="S61" i="19" s="1"/>
  <c r="I61" i="19"/>
  <c r="E72" i="19"/>
  <c r="Q21" i="17"/>
  <c r="M12" i="15"/>
  <c r="Q23" i="15"/>
  <c r="M23" i="15"/>
  <c r="K23" i="15"/>
  <c r="H23" i="15"/>
  <c r="F23" i="15"/>
  <c r="K22" i="15"/>
  <c r="F22" i="15"/>
  <c r="H19" i="15"/>
  <c r="F19" i="15" s="1"/>
  <c r="Q18" i="15"/>
  <c r="K18" i="15"/>
  <c r="H18" i="15"/>
  <c r="F18" i="15"/>
  <c r="H17" i="15"/>
  <c r="F17" i="15"/>
  <c r="G17" i="15" s="1"/>
  <c r="K12" i="15"/>
  <c r="H12" i="15"/>
  <c r="F12" i="15"/>
  <c r="N12" i="15" s="1"/>
  <c r="Q11" i="15"/>
  <c r="M11" i="15"/>
  <c r="C10" i="15"/>
  <c r="C9" i="15"/>
  <c r="B1" i="15"/>
  <c r="C47" i="12"/>
  <c r="O23" i="12"/>
  <c r="O47" i="12" s="1"/>
  <c r="M23" i="12"/>
  <c r="M47" i="12" s="1"/>
  <c r="L23" i="12"/>
  <c r="J23" i="12"/>
  <c r="I47" i="12" s="1"/>
  <c r="H23" i="12"/>
  <c r="H47" i="12" s="1"/>
  <c r="G23" i="12"/>
  <c r="D47" i="12" s="1"/>
  <c r="P47" i="12" s="1"/>
  <c r="L46" i="12"/>
  <c r="H46" i="12"/>
  <c r="C46" i="12"/>
  <c r="G22" i="12"/>
  <c r="H17" i="12"/>
  <c r="G17" i="12"/>
  <c r="H41" i="12"/>
  <c r="D41" i="12"/>
  <c r="I41" i="12" s="1"/>
  <c r="I45" i="12" s="1"/>
  <c r="C45" i="12"/>
  <c r="L42" i="12"/>
  <c r="H42" i="12"/>
  <c r="D42" i="12"/>
  <c r="L18" i="12"/>
  <c r="N18" i="12" s="1"/>
  <c r="P18" i="12" s="1"/>
  <c r="J18" i="12"/>
  <c r="M18" i="12" s="1"/>
  <c r="H18" i="12"/>
  <c r="G18" i="12"/>
  <c r="C36" i="12"/>
  <c r="M36" i="12" s="1"/>
  <c r="L12" i="12"/>
  <c r="J12" i="12"/>
  <c r="H12" i="12"/>
  <c r="P12" i="12" s="1"/>
  <c r="G12" i="12"/>
  <c r="L35" i="12"/>
  <c r="H35" i="12"/>
  <c r="C34" i="12"/>
  <c r="C33" i="12"/>
  <c r="B1" i="12"/>
  <c r="L11" i="12"/>
  <c r="H11" i="12"/>
  <c r="C11" i="12"/>
  <c r="B1" i="11"/>
  <c r="J22" i="12"/>
  <c r="I46" i="12" s="1"/>
  <c r="L19" i="12"/>
  <c r="H19" i="12"/>
  <c r="G19" i="12" s="1"/>
  <c r="M57" i="12"/>
  <c r="M63" i="12" s="1"/>
  <c r="M67" i="12" s="1"/>
  <c r="C10" i="12"/>
  <c r="C9" i="12"/>
  <c r="H11" i="11"/>
  <c r="C11" i="11"/>
  <c r="H24" i="11"/>
  <c r="K24" i="11" s="1"/>
  <c r="M24" i="11" s="1"/>
  <c r="C24" i="11"/>
  <c r="M23" i="11"/>
  <c r="C23" i="11"/>
  <c r="M22" i="11"/>
  <c r="F22" i="11"/>
  <c r="H20" i="11"/>
  <c r="K20" i="11" s="1"/>
  <c r="Q20" i="11" s="1"/>
  <c r="C20" i="11"/>
  <c r="M19" i="11"/>
  <c r="N19" i="11" s="1"/>
  <c r="C19" i="11"/>
  <c r="M18" i="11"/>
  <c r="N18" i="11" s="1"/>
  <c r="K18" i="11"/>
  <c r="H18" i="11"/>
  <c r="F18" i="11"/>
  <c r="G18" i="11" s="1"/>
  <c r="K13" i="11"/>
  <c r="Q13" i="11" s="1"/>
  <c r="C13" i="11"/>
  <c r="M12" i="11"/>
  <c r="N12" i="11" s="1"/>
  <c r="C12" i="11"/>
  <c r="Q10" i="11"/>
  <c r="N10" i="11"/>
  <c r="C10" i="11"/>
  <c r="C9" i="11"/>
  <c r="C11" i="10"/>
  <c r="J71" i="19" l="1"/>
  <c r="G71" i="19"/>
  <c r="L47" i="12"/>
  <c r="J47" i="12"/>
  <c r="M25" i="17"/>
  <c r="N25" i="17" s="1"/>
  <c r="M42" i="12"/>
  <c r="I42" i="12"/>
  <c r="Q25" i="17"/>
  <c r="O25" i="17"/>
  <c r="Q12" i="19"/>
  <c r="G12" i="19"/>
  <c r="R18" i="20"/>
  <c r="O18" i="20"/>
  <c r="G18" i="15"/>
  <c r="N18" i="15"/>
  <c r="G19" i="15"/>
  <c r="N19" i="15"/>
  <c r="G23" i="15"/>
  <c r="N23" i="15"/>
  <c r="L36" i="12"/>
  <c r="Q24" i="11"/>
  <c r="N24" i="11"/>
  <c r="Q12" i="15"/>
  <c r="G12" i="15"/>
  <c r="M22" i="15"/>
  <c r="G22" i="15"/>
  <c r="N22" i="15" s="1"/>
  <c r="H22" i="11"/>
  <c r="K22" i="11" s="1"/>
  <c r="G22" i="11"/>
  <c r="M22" i="12"/>
  <c r="D46" i="12"/>
  <c r="M12" i="12"/>
  <c r="O18" i="12"/>
  <c r="K58" i="20"/>
  <c r="H58" i="20"/>
  <c r="L22" i="20"/>
  <c r="N22" i="20" s="1"/>
  <c r="N20" i="20"/>
  <c r="R20" i="20" s="1"/>
  <c r="C69" i="19"/>
  <c r="M20" i="19"/>
  <c r="N17" i="15"/>
  <c r="K17" i="15"/>
  <c r="H21" i="15"/>
  <c r="F21" i="15" s="1"/>
  <c r="N21" i="15"/>
  <c r="K19" i="15"/>
  <c r="C19" i="15"/>
  <c r="D36" i="12"/>
  <c r="E36" i="12" s="1"/>
  <c r="P36" i="12" s="1"/>
  <c r="H36" i="12"/>
  <c r="L41" i="12"/>
  <c r="H45" i="12"/>
  <c r="C19" i="12"/>
  <c r="M17" i="12"/>
  <c r="J19" i="12"/>
  <c r="J17" i="12"/>
  <c r="H21" i="12"/>
  <c r="L17" i="12"/>
  <c r="M20" i="11"/>
  <c r="N20" i="11" s="1"/>
  <c r="J36" i="12" l="1"/>
  <c r="F36" i="12"/>
  <c r="P25" i="17"/>
  <c r="O36" i="12"/>
  <c r="I36" i="12"/>
  <c r="F69" i="19"/>
  <c r="N69" i="19"/>
  <c r="R22" i="20"/>
  <c r="O22" i="20"/>
  <c r="O45" i="12"/>
  <c r="L45" i="12"/>
  <c r="C21" i="15"/>
  <c r="Q21" i="15" s="1"/>
  <c r="S69" i="19"/>
  <c r="I69" i="19"/>
  <c r="E69" i="19"/>
  <c r="L69" i="19"/>
  <c r="M69" i="19"/>
  <c r="K21" i="15"/>
  <c r="G21" i="15" s="1"/>
  <c r="M19" i="15"/>
  <c r="Q19" i="15" s="1"/>
  <c r="M46" i="12"/>
  <c r="M19" i="12"/>
  <c r="C43" i="12"/>
  <c r="O21" i="12"/>
  <c r="N21" i="12" s="1"/>
  <c r="O17" i="12"/>
  <c r="N17" i="12" s="1"/>
  <c r="D45" i="12"/>
  <c r="L21" i="12"/>
  <c r="J21" i="12"/>
  <c r="G21" i="12"/>
  <c r="C21" i="12"/>
  <c r="J69" i="19" l="1"/>
  <c r="G69" i="19"/>
  <c r="O19" i="12"/>
  <c r="N19" i="12" s="1"/>
  <c r="M21" i="12"/>
  <c r="L43" i="12"/>
  <c r="H43" i="12"/>
  <c r="M43" i="12"/>
  <c r="D43" i="12"/>
  <c r="I43" i="12" s="1"/>
  <c r="O12" i="12"/>
  <c r="O11" i="9" l="1"/>
  <c r="M11" i="9"/>
  <c r="P11" i="9" s="1"/>
  <c r="P16" i="9" s="1"/>
  <c r="P21" i="9" s="1"/>
  <c r="I24" i="10" l="1"/>
  <c r="I20" i="10"/>
  <c r="M23" i="10"/>
  <c r="F23" i="9"/>
  <c r="F22" i="10"/>
  <c r="J18" i="10"/>
  <c r="P18" i="10" s="1"/>
  <c r="N18" i="10" s="1"/>
  <c r="L18" i="10" s="1"/>
  <c r="Q18" i="10" s="1"/>
  <c r="I18" i="10"/>
  <c r="F18" i="10"/>
  <c r="G18" i="10" s="1"/>
  <c r="H18" i="10" s="1"/>
  <c r="M12" i="10"/>
  <c r="O10" i="10"/>
  <c r="C24" i="10"/>
  <c r="C23" i="10"/>
  <c r="M22" i="10"/>
  <c r="C20" i="10"/>
  <c r="M19" i="10"/>
  <c r="C19" i="10"/>
  <c r="M18" i="10"/>
  <c r="C12" i="10"/>
  <c r="E12" i="10" s="1"/>
  <c r="C10" i="10"/>
  <c r="C9" i="10"/>
  <c r="J20" i="10" l="1"/>
  <c r="L20" i="10"/>
  <c r="J24" i="10"/>
  <c r="M24" i="10" s="1"/>
  <c r="O24" i="10" s="1"/>
  <c r="P24" i="10" s="1"/>
  <c r="Q24" i="10" s="1"/>
  <c r="L24" i="10"/>
  <c r="I22" i="10"/>
  <c r="J22" i="10" s="1"/>
  <c r="G22" i="10"/>
  <c r="H22" i="10" s="1"/>
  <c r="G23" i="9"/>
  <c r="H23" i="9" s="1"/>
  <c r="N23" i="9"/>
  <c r="C41" i="3"/>
  <c r="E30" i="3"/>
  <c r="E34" i="3"/>
  <c r="E38" i="3"/>
  <c r="E28" i="3"/>
  <c r="E29" i="3"/>
  <c r="E41" i="3"/>
  <c r="E31" i="3"/>
  <c r="E35" i="3"/>
  <c r="P20" i="29" s="1"/>
  <c r="E39" i="3"/>
  <c r="E37" i="3"/>
  <c r="E32" i="3"/>
  <c r="E36" i="3"/>
  <c r="E40" i="3"/>
  <c r="E33" i="3"/>
  <c r="B41" i="3"/>
  <c r="I41" i="3" s="1"/>
  <c r="B29" i="3"/>
  <c r="B38" i="3"/>
  <c r="I38" i="3" s="1"/>
  <c r="C38" i="3"/>
  <c r="N38" i="3" s="1"/>
  <c r="J8" i="34" s="1"/>
  <c r="C32" i="3"/>
  <c r="C30" i="3"/>
  <c r="N30" i="3" s="1"/>
  <c r="I8" i="11" s="1"/>
  <c r="C39" i="3"/>
  <c r="C34" i="3"/>
  <c r="M34" i="3" s="1"/>
  <c r="K8" i="17" s="1"/>
  <c r="K18" i="17" s="1"/>
  <c r="K22" i="17" s="1"/>
  <c r="O20" i="10"/>
  <c r="P20" i="10" s="1"/>
  <c r="Q20" i="10" s="1"/>
  <c r="M20" i="10"/>
  <c r="N20" i="10" s="1"/>
  <c r="B39" i="3"/>
  <c r="I39" i="3" s="1"/>
  <c r="B34" i="3"/>
  <c r="I34" i="3" s="1"/>
  <c r="B32" i="3"/>
  <c r="I32" i="3" s="1"/>
  <c r="F32" i="12" s="1"/>
  <c r="B30" i="3"/>
  <c r="I30" i="3" s="1"/>
  <c r="C40" i="3"/>
  <c r="N40" i="3" s="1"/>
  <c r="J8" i="28" s="1"/>
  <c r="C37" i="3"/>
  <c r="C35" i="3"/>
  <c r="C31" i="3"/>
  <c r="N31" i="3" s="1"/>
  <c r="J8" i="12" s="1"/>
  <c r="B40" i="3"/>
  <c r="B37" i="3"/>
  <c r="B35" i="3"/>
  <c r="B33" i="3"/>
  <c r="I33" i="3" s="1"/>
  <c r="B31" i="3"/>
  <c r="H31" i="3" l="1"/>
  <c r="I31" i="3"/>
  <c r="N24" i="10"/>
  <c r="S34" i="3"/>
  <c r="I8" i="17" s="1"/>
  <c r="N34" i="3"/>
  <c r="J8" i="17" s="1"/>
  <c r="S39" i="3"/>
  <c r="I8" i="23" s="1"/>
  <c r="N39" i="3"/>
  <c r="J8" i="23" s="1"/>
  <c r="S32" i="3"/>
  <c r="I32" i="12" s="1"/>
  <c r="N32" i="3"/>
  <c r="J32" i="12" s="1"/>
  <c r="S41" i="3"/>
  <c r="I32" i="28" s="1"/>
  <c r="N41" i="3"/>
  <c r="J32" i="28" s="1"/>
  <c r="S37" i="3"/>
  <c r="I8" i="21" s="1"/>
  <c r="N37" i="3"/>
  <c r="J8" i="21" s="1"/>
  <c r="S35" i="3"/>
  <c r="I8" i="19" s="1"/>
  <c r="N35" i="3"/>
  <c r="J8" i="19" s="1"/>
  <c r="J31" i="3"/>
  <c r="G8" i="12" s="1"/>
  <c r="E8" i="12"/>
  <c r="E16" i="12" s="1"/>
  <c r="E20" i="12" s="1"/>
  <c r="G31" i="3"/>
  <c r="D8" i="12" s="1"/>
  <c r="D16" i="12" s="1"/>
  <c r="D20" i="12" s="1"/>
  <c r="H34" i="3"/>
  <c r="E8" i="17" s="1"/>
  <c r="E18" i="17" s="1"/>
  <c r="E22" i="17" s="1"/>
  <c r="G34" i="3"/>
  <c r="D8" i="17" s="1"/>
  <c r="D18" i="17" s="1"/>
  <c r="D22" i="17" s="1"/>
  <c r="J33" i="3"/>
  <c r="G8" i="15" s="1"/>
  <c r="G33" i="3"/>
  <c r="D8" i="15" s="1"/>
  <c r="D16" i="15" s="1"/>
  <c r="D20" i="15" s="1"/>
  <c r="H33" i="3"/>
  <c r="E8" i="15" s="1"/>
  <c r="E16" i="15" s="1"/>
  <c r="E20" i="15" s="1"/>
  <c r="I37" i="3"/>
  <c r="G8" i="21" s="1"/>
  <c r="G37" i="3"/>
  <c r="E8" i="21" s="1"/>
  <c r="E17" i="21" s="1"/>
  <c r="E21" i="21" s="1"/>
  <c r="H37" i="3"/>
  <c r="F8" i="21" s="1"/>
  <c r="J38" i="3"/>
  <c r="G8" i="34" s="1"/>
  <c r="G38" i="3"/>
  <c r="D8" i="34" s="1"/>
  <c r="D17" i="34" s="1"/>
  <c r="D21" i="34" s="1"/>
  <c r="H38" i="3"/>
  <c r="E8" i="34" s="1"/>
  <c r="E17" i="34" s="1"/>
  <c r="E21" i="34" s="1"/>
  <c r="K35" i="3"/>
  <c r="H35" i="3"/>
  <c r="G35" i="3"/>
  <c r="H29" i="3"/>
  <c r="E8" i="10" s="1"/>
  <c r="E17" i="10" s="1"/>
  <c r="E21" i="10" s="1"/>
  <c r="G29" i="3"/>
  <c r="D8" i="10" s="1"/>
  <c r="D17" i="10" s="1"/>
  <c r="D21" i="10" s="1"/>
  <c r="G39" i="3"/>
  <c r="D8" i="23" s="1"/>
  <c r="D16" i="23" s="1"/>
  <c r="D20" i="23" s="1"/>
  <c r="H39" i="3"/>
  <c r="E8" i="23" s="1"/>
  <c r="E16" i="23" s="1"/>
  <c r="E20" i="23" s="1"/>
  <c r="G40" i="3"/>
  <c r="D8" i="28" s="1"/>
  <c r="D16" i="28" s="1"/>
  <c r="D20" i="28" s="1"/>
  <c r="H40" i="3"/>
  <c r="E8" i="28" s="1"/>
  <c r="E16" i="28" s="1"/>
  <c r="E20" i="28" s="1"/>
  <c r="J30" i="3"/>
  <c r="G8" i="11" s="1"/>
  <c r="G30" i="3"/>
  <c r="D8" i="11" s="1"/>
  <c r="D17" i="11" s="1"/>
  <c r="D21" i="11" s="1"/>
  <c r="H30" i="3"/>
  <c r="E8" i="11" s="1"/>
  <c r="E17" i="11" s="1"/>
  <c r="E21" i="11" s="1"/>
  <c r="G32" i="3"/>
  <c r="D32" i="12" s="1"/>
  <c r="H32" i="3"/>
  <c r="E32" i="12" s="1"/>
  <c r="H41" i="3"/>
  <c r="E32" i="28" s="1"/>
  <c r="E40" i="28" s="1"/>
  <c r="E44" i="28" s="1"/>
  <c r="G41" i="3"/>
  <c r="D32" i="28" s="1"/>
  <c r="D40" i="28" s="1"/>
  <c r="D44" i="28" s="1"/>
  <c r="F8" i="17"/>
  <c r="K34" i="3"/>
  <c r="G8" i="17" s="1"/>
  <c r="G18" i="17" s="1"/>
  <c r="G22" i="17" s="1"/>
  <c r="I29" i="3"/>
  <c r="F8" i="10" s="1"/>
  <c r="K29" i="3"/>
  <c r="G8" i="10" s="1"/>
  <c r="G17" i="10" s="1"/>
  <c r="G21" i="10" s="1"/>
  <c r="F8" i="23"/>
  <c r="K39" i="3"/>
  <c r="G8" i="23" s="1"/>
  <c r="G16" i="23" s="1"/>
  <c r="G20" i="23" s="1"/>
  <c r="F32" i="28"/>
  <c r="F40" i="28" s="1"/>
  <c r="F44" i="28" s="1"/>
  <c r="K41" i="3"/>
  <c r="G32" i="28" s="1"/>
  <c r="J40" i="3"/>
  <c r="K40" i="3"/>
  <c r="G8" i="28" s="1"/>
  <c r="I35" i="3"/>
  <c r="H8" i="9"/>
  <c r="H16" i="9" s="1"/>
  <c r="H21" i="9" s="1"/>
  <c r="M28" i="3"/>
  <c r="K8" i="9" s="1"/>
  <c r="K16" i="9" s="1"/>
  <c r="K21" i="9" s="1"/>
  <c r="L32" i="3"/>
  <c r="M32" i="3"/>
  <c r="K32" i="12" s="1"/>
  <c r="L30" i="3"/>
  <c r="K8" i="11" s="1"/>
  <c r="M30" i="3"/>
  <c r="J8" i="11" s="1"/>
  <c r="L38" i="3"/>
  <c r="M38" i="3"/>
  <c r="L33" i="3"/>
  <c r="K8" i="15" s="1"/>
  <c r="M33" i="3"/>
  <c r="L31" i="3"/>
  <c r="M31" i="3"/>
  <c r="K8" i="12" s="1"/>
  <c r="F28" i="3"/>
  <c r="L28" i="3"/>
  <c r="F8" i="34"/>
  <c r="F8" i="12"/>
  <c r="F16" i="12" s="1"/>
  <c r="F20" i="12" s="1"/>
  <c r="F8" i="11"/>
  <c r="F8" i="15"/>
  <c r="R29" i="3"/>
  <c r="R34" i="3"/>
  <c r="R39" i="3"/>
  <c r="R41" i="3"/>
  <c r="I40" i="3"/>
  <c r="F8" i="28" s="1"/>
  <c r="M40" i="3"/>
  <c r="K8" i="28" s="1"/>
  <c r="S40" i="3"/>
  <c r="I8" i="28" s="1"/>
  <c r="M29" i="3"/>
  <c r="K8" i="10" s="1"/>
  <c r="K17" i="10" s="1"/>
  <c r="K21" i="10" s="1"/>
  <c r="S29" i="3"/>
  <c r="I8" i="10" s="1"/>
  <c r="R35" i="3"/>
  <c r="R40" i="3"/>
  <c r="D8" i="21"/>
  <c r="F8" i="20"/>
  <c r="C8" i="19"/>
  <c r="M37" i="3"/>
  <c r="K8" i="21" s="1"/>
  <c r="D37" i="3"/>
  <c r="D38" i="3"/>
  <c r="P12" i="30" s="1"/>
  <c r="Y12" i="30" s="1"/>
  <c r="D34" i="3"/>
  <c r="E8" i="20"/>
  <c r="E17" i="20" s="1"/>
  <c r="E21" i="20" s="1"/>
  <c r="M39" i="3"/>
  <c r="D39" i="3"/>
  <c r="D36" i="3"/>
  <c r="F36" i="3" s="1"/>
  <c r="D33" i="3"/>
  <c r="D32" i="3"/>
  <c r="M35" i="3"/>
  <c r="K8" i="19" s="1"/>
  <c r="K17" i="19" s="1"/>
  <c r="K21" i="19" s="1"/>
  <c r="D35" i="3"/>
  <c r="P15" i="29" s="1"/>
  <c r="P31" i="3"/>
  <c r="D31" i="3"/>
  <c r="P30" i="3"/>
  <c r="M41" i="3"/>
  <c r="K32" i="28" s="1"/>
  <c r="D41" i="3"/>
  <c r="P16" i="30"/>
  <c r="Y16" i="30" s="1"/>
  <c r="P15" i="30"/>
  <c r="Y15" i="30" s="1"/>
  <c r="P45" i="30"/>
  <c r="Y45" i="30" s="1"/>
  <c r="P27" i="30"/>
  <c r="Y27" i="30" s="1"/>
  <c r="P25" i="30"/>
  <c r="Y25" i="30" s="1"/>
  <c r="P21" i="30"/>
  <c r="Y21" i="30" s="1"/>
  <c r="P26" i="30"/>
  <c r="Y26" i="30" s="1"/>
  <c r="P17" i="30"/>
  <c r="Y17" i="30" s="1"/>
  <c r="P38" i="30"/>
  <c r="Y38" i="30" s="1"/>
  <c r="P36" i="30"/>
  <c r="Y36" i="30" s="1"/>
  <c r="P40" i="30"/>
  <c r="Y40" i="30" s="1"/>
  <c r="P30" i="30"/>
  <c r="Y30" i="30" s="1"/>
  <c r="P29" i="30"/>
  <c r="Y29" i="30" s="1"/>
  <c r="P46" i="30"/>
  <c r="Y46" i="30" s="1"/>
  <c r="P39" i="30"/>
  <c r="Y39" i="30" s="1"/>
  <c r="P34" i="30"/>
  <c r="Y34" i="30" s="1"/>
  <c r="P37" i="30"/>
  <c r="Y37" i="30" s="1"/>
  <c r="C8" i="34"/>
  <c r="P42" i="30"/>
  <c r="Y42" i="30" s="1"/>
  <c r="P28" i="30"/>
  <c r="Y28" i="30" s="1"/>
  <c r="P20" i="30"/>
  <c r="Y20" i="30" s="1"/>
  <c r="P19" i="29"/>
  <c r="P22" i="30"/>
  <c r="Y22" i="30" s="1"/>
  <c r="P21" i="29"/>
  <c r="P19" i="30"/>
  <c r="Y19" i="30" s="1"/>
  <c r="P18" i="29"/>
  <c r="P18" i="30"/>
  <c r="Y18" i="30" s="1"/>
  <c r="P17" i="29"/>
  <c r="D30" i="3"/>
  <c r="F30" i="3" s="1"/>
  <c r="D40" i="3"/>
  <c r="P24" i="30"/>
  <c r="Y24" i="30" s="1"/>
  <c r="P23" i="30"/>
  <c r="Y23" i="30" s="1"/>
  <c r="C8" i="10"/>
  <c r="P10" i="29"/>
  <c r="P4" i="29"/>
  <c r="P11" i="29"/>
  <c r="P35" i="30"/>
  <c r="Y35" i="30" s="1"/>
  <c r="P5" i="29"/>
  <c r="P8" i="29"/>
  <c r="P32" i="30"/>
  <c r="Y32" i="30" s="1"/>
  <c r="P7" i="29"/>
  <c r="P31" i="30"/>
  <c r="Y31" i="30" s="1"/>
  <c r="P6" i="29"/>
  <c r="P9" i="29"/>
  <c r="P33" i="30"/>
  <c r="Y33" i="30" s="1"/>
  <c r="P2" i="29"/>
  <c r="P3" i="29"/>
  <c r="K49" i="1"/>
  <c r="K47" i="1"/>
  <c r="D29" i="3"/>
  <c r="F29" i="3" s="1"/>
  <c r="H8" i="10" s="1"/>
  <c r="H17" i="10" s="1"/>
  <c r="H21" i="10" s="1"/>
  <c r="C8" i="28"/>
  <c r="C32" i="28"/>
  <c r="L32" i="12"/>
  <c r="K48" i="1"/>
  <c r="C8" i="15"/>
  <c r="L8" i="12"/>
  <c r="C8" i="17"/>
  <c r="C8" i="9"/>
  <c r="C8" i="20"/>
  <c r="C8" i="21"/>
  <c r="C8" i="11"/>
  <c r="C8" i="23"/>
  <c r="L8" i="20"/>
  <c r="C8" i="12"/>
  <c r="C32" i="12"/>
  <c r="D8" i="19" l="1"/>
  <c r="D17" i="19" s="1"/>
  <c r="D21" i="19" s="1"/>
  <c r="E8" i="19"/>
  <c r="F8" i="19"/>
  <c r="J16" i="23"/>
  <c r="J20" i="23" s="1"/>
  <c r="K8" i="23"/>
  <c r="K16" i="23" s="1"/>
  <c r="K20" i="23" s="1"/>
  <c r="I16" i="15"/>
  <c r="I20" i="15" s="1"/>
  <c r="J8" i="15"/>
  <c r="J17" i="34"/>
  <c r="J21" i="34" s="1"/>
  <c r="K8" i="34"/>
  <c r="F16" i="28"/>
  <c r="F20" i="28" s="1"/>
  <c r="F17" i="19"/>
  <c r="F21" i="19" s="1"/>
  <c r="G8" i="19"/>
  <c r="G17" i="19" s="1"/>
  <c r="G21" i="19" s="1"/>
  <c r="D63" i="12"/>
  <c r="D67" i="12" s="1"/>
  <c r="J63" i="12"/>
  <c r="J67" i="12" s="1"/>
  <c r="I8" i="34"/>
  <c r="K8" i="20"/>
  <c r="P2" i="30"/>
  <c r="Y2" i="30" s="1"/>
  <c r="P11" i="30"/>
  <c r="Y11" i="30" s="1"/>
  <c r="P13" i="30"/>
  <c r="Y13" i="30" s="1"/>
  <c r="P4" i="30"/>
  <c r="Y4" i="30" s="1"/>
  <c r="F33" i="3"/>
  <c r="H8" i="15" s="1"/>
  <c r="P3" i="30"/>
  <c r="Y3" i="30" s="1"/>
  <c r="P14" i="30"/>
  <c r="Y14" i="30" s="1"/>
  <c r="F41" i="3"/>
  <c r="H32" i="28" s="1"/>
  <c r="P44" i="30"/>
  <c r="Y44" i="30" s="1"/>
  <c r="F39" i="3"/>
  <c r="H8" i="23" s="1"/>
  <c r="H16" i="23" s="1"/>
  <c r="H20" i="23" s="1"/>
  <c r="F37" i="3"/>
  <c r="H8" i="21" s="1"/>
  <c r="H8" i="11"/>
  <c r="F38" i="3"/>
  <c r="P5" i="30"/>
  <c r="Y5" i="30" s="1"/>
  <c r="P12" i="29"/>
  <c r="P7" i="30"/>
  <c r="Y7" i="30" s="1"/>
  <c r="P14" i="29"/>
  <c r="P8" i="30"/>
  <c r="Y8" i="30" s="1"/>
  <c r="F34" i="3"/>
  <c r="H8" i="17" s="1"/>
  <c r="H18" i="17" s="1"/>
  <c r="H22" i="17" s="1"/>
  <c r="F40" i="3"/>
  <c r="H8" i="28" s="1"/>
  <c r="H16" i="28" s="1"/>
  <c r="H20" i="28" s="1"/>
  <c r="P6" i="30"/>
  <c r="Y6" i="30" s="1"/>
  <c r="P13" i="29"/>
  <c r="P9" i="30"/>
  <c r="P16" i="29"/>
  <c r="F31" i="3"/>
  <c r="H8" i="12" s="1"/>
  <c r="F32" i="3"/>
  <c r="F35" i="3"/>
  <c r="H8" i="19" s="1"/>
  <c r="H17" i="19" s="1"/>
  <c r="H21" i="19" s="1"/>
  <c r="L8" i="17"/>
  <c r="I24" i="9"/>
  <c r="J24" i="9" s="1"/>
  <c r="J23" i="9"/>
  <c r="K23" i="9" s="1"/>
  <c r="I20" i="9"/>
  <c r="J20" i="9" s="1"/>
  <c r="I19" i="9"/>
  <c r="J19" i="9" s="1"/>
  <c r="K19" i="9" s="1"/>
  <c r="I18" i="9"/>
  <c r="C18" i="9" s="1"/>
  <c r="I17" i="9"/>
  <c r="E24" i="9" l="1"/>
  <c r="K24" i="9"/>
  <c r="E20" i="9"/>
  <c r="K20" i="9"/>
  <c r="C20" i="9"/>
  <c r="H8" i="34"/>
  <c r="I8" i="9"/>
  <c r="P10" i="30"/>
  <c r="Y10" i="30" s="1"/>
  <c r="Y9" i="30"/>
  <c r="H8" i="20"/>
  <c r="H32" i="12"/>
  <c r="F20" i="9"/>
  <c r="M20" i="9"/>
  <c r="P20" i="9" s="1"/>
  <c r="O20" i="9"/>
  <c r="O19" i="9"/>
  <c r="M19" i="9"/>
  <c r="P19" i="9" s="1"/>
  <c r="F19" i="9"/>
  <c r="M24" i="9"/>
  <c r="P24" i="9" s="1"/>
  <c r="F24" i="9"/>
  <c r="O24" i="9"/>
  <c r="J17" i="9"/>
  <c r="C17" i="9"/>
  <c r="I22" i="9"/>
  <c r="M23" i="9"/>
  <c r="C24" i="9"/>
  <c r="J18" i="9"/>
  <c r="I5" i="7"/>
  <c r="E17" i="9" l="1"/>
  <c r="K17" i="9"/>
  <c r="E18" i="9"/>
  <c r="K18" i="9"/>
  <c r="G20" i="9"/>
  <c r="N20" i="9"/>
  <c r="G24" i="9"/>
  <c r="N24" i="9"/>
  <c r="H24" i="9" s="1"/>
  <c r="D24" i="9" s="1"/>
  <c r="G19" i="9"/>
  <c r="N19" i="9"/>
  <c r="E5" i="7"/>
  <c r="H5" i="7" s="1"/>
  <c r="O18" i="9"/>
  <c r="O22" i="9" s="1"/>
  <c r="M18" i="9"/>
  <c r="O17" i="9"/>
  <c r="M17" i="9"/>
  <c r="P17" i="9" s="1"/>
  <c r="F18" i="9"/>
  <c r="F17" i="9"/>
  <c r="J22" i="9"/>
  <c r="K22" i="9" s="1"/>
  <c r="C22" i="9"/>
  <c r="C5" i="7"/>
  <c r="N18" i="9" l="1"/>
  <c r="N22" i="9" s="1"/>
  <c r="H22" i="9" s="1"/>
  <c r="D22" i="9" s="1"/>
  <c r="P18" i="9"/>
  <c r="P22" i="9" s="1"/>
  <c r="F22" i="9"/>
  <c r="E22" i="9"/>
  <c r="J5" i="7"/>
  <c r="F5" i="7"/>
  <c r="G17" i="9"/>
  <c r="N17" i="9"/>
  <c r="M22" i="9"/>
  <c r="G22" i="9" s="1"/>
  <c r="G18" i="9"/>
  <c r="D5" i="7"/>
  <c r="G5" i="7" s="1"/>
  <c r="K5" i="7"/>
  <c r="P88" i="2" l="1"/>
  <c r="S88" i="2" s="1"/>
  <c r="N88" i="2"/>
  <c r="Q88" i="2" s="1"/>
  <c r="G87" i="2"/>
  <c r="J87" i="2" s="1"/>
  <c r="M87" i="2" s="1"/>
  <c r="P87" i="2" s="1"/>
  <c r="S87" i="2" s="1"/>
  <c r="E87" i="2"/>
  <c r="H87" i="2" s="1"/>
  <c r="K87" i="2" s="1"/>
  <c r="N87" i="2" s="1"/>
  <c r="Q87" i="2" s="1"/>
  <c r="P86" i="2"/>
  <c r="S86" i="2" s="1"/>
  <c r="G86" i="2"/>
  <c r="J86" i="2" s="1"/>
  <c r="M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J82" i="2"/>
  <c r="M82" i="2" s="1"/>
  <c r="P82" i="2" s="1"/>
  <c r="S82" i="2" s="1"/>
  <c r="G82" i="2"/>
  <c r="G81" i="2"/>
  <c r="J81" i="2" s="1"/>
  <c r="M81" i="2" s="1"/>
  <c r="P81" i="2" s="1"/>
  <c r="S81" i="2" s="1"/>
  <c r="E81" i="2"/>
  <c r="H81" i="2" s="1"/>
  <c r="K81" i="2" s="1"/>
  <c r="N81" i="2" s="1"/>
  <c r="Q81" i="2" s="1"/>
  <c r="G80" i="2"/>
  <c r="J80" i="2" s="1"/>
  <c r="M80" i="2" s="1"/>
  <c r="P80" i="2" s="1"/>
  <c r="S80" i="2" s="1"/>
  <c r="P71" i="2"/>
  <c r="S71" i="2" s="1"/>
  <c r="N71" i="2"/>
  <c r="Q71" i="2" s="1"/>
  <c r="K71" i="2"/>
  <c r="G70" i="2"/>
  <c r="J70" i="2" s="1"/>
  <c r="M70" i="2" s="1"/>
  <c r="P70" i="2" s="1"/>
  <c r="S70" i="2" s="1"/>
  <c r="E70" i="2"/>
  <c r="H70" i="2" s="1"/>
  <c r="K70" i="2" s="1"/>
  <c r="N70" i="2" s="1"/>
  <c r="Q70" i="2" s="1"/>
  <c r="G69" i="2"/>
  <c r="J69" i="2" s="1"/>
  <c r="M69" i="2" s="1"/>
  <c r="P69" i="2" s="1"/>
  <c r="S69" i="2" s="1"/>
  <c r="J68" i="2"/>
  <c r="M68" i="2" s="1"/>
  <c r="P68" i="2" s="1"/>
  <c r="S68" i="2" s="1"/>
  <c r="G68" i="2"/>
  <c r="J67" i="2"/>
  <c r="M67" i="2" s="1"/>
  <c r="P67" i="2" s="1"/>
  <c r="S67" i="2" s="1"/>
  <c r="H67" i="2"/>
  <c r="K67" i="2" s="1"/>
  <c r="N67" i="2" s="1"/>
  <c r="Q67" i="2" s="1"/>
  <c r="J66" i="2"/>
  <c r="M66" i="2" s="1"/>
  <c r="P66" i="2" s="1"/>
  <c r="S66" i="2" s="1"/>
  <c r="G66" i="2"/>
  <c r="E66" i="2"/>
  <c r="H66" i="2" s="1"/>
  <c r="K66" i="2" s="1"/>
  <c r="N66" i="2" s="1"/>
  <c r="Q66" i="2" s="1"/>
  <c r="G65" i="2"/>
  <c r="J65" i="2" s="1"/>
  <c r="M65" i="2" s="1"/>
  <c r="P65" i="2" s="1"/>
  <c r="S65" i="2" s="1"/>
  <c r="G64" i="2"/>
  <c r="J64" i="2" s="1"/>
  <c r="M64" i="2" s="1"/>
  <c r="P64" i="2" s="1"/>
  <c r="S64" i="2" s="1"/>
  <c r="E64" i="2"/>
  <c r="H64" i="2" s="1"/>
  <c r="K64" i="2" s="1"/>
  <c r="N64" i="2" s="1"/>
  <c r="Q64" i="2" s="1"/>
  <c r="G63" i="2"/>
  <c r="J63" i="2" s="1"/>
  <c r="M63" i="2" s="1"/>
  <c r="P63" i="2" s="1"/>
  <c r="S63" i="2" s="1"/>
  <c r="P57" i="2"/>
  <c r="S57" i="2" s="1"/>
  <c r="V57" i="2" s="1"/>
  <c r="O57" i="2"/>
  <c r="R57" i="2" s="1"/>
  <c r="U57" i="2" s="1"/>
  <c r="N57" i="2"/>
  <c r="Q57" i="2" s="1"/>
  <c r="T57" i="2" s="1"/>
  <c r="G56" i="2"/>
  <c r="J56" i="2" s="1"/>
  <c r="M56" i="2" s="1"/>
  <c r="P56" i="2" s="1"/>
  <c r="S56" i="2" s="1"/>
  <c r="V56" i="2" s="1"/>
  <c r="Y56" i="2" s="1"/>
  <c r="AB56" i="2" s="1"/>
  <c r="F56" i="2"/>
  <c r="I56" i="2" s="1"/>
  <c r="L56" i="2" s="1"/>
  <c r="O56" i="2" s="1"/>
  <c r="R56" i="2" s="1"/>
  <c r="U56" i="2" s="1"/>
  <c r="X56" i="2" s="1"/>
  <c r="E56" i="2"/>
  <c r="H56" i="2" s="1"/>
  <c r="K56" i="2" s="1"/>
  <c r="N56" i="2" s="1"/>
  <c r="Q56" i="2" s="1"/>
  <c r="T56" i="2" s="1"/>
  <c r="W56" i="2" s="1"/>
  <c r="M55" i="2"/>
  <c r="P55" i="2" s="1"/>
  <c r="S55" i="2" s="1"/>
  <c r="V55" i="2" s="1"/>
  <c r="Y55" i="2" s="1"/>
  <c r="AB55" i="2" s="1"/>
  <c r="G55" i="2"/>
  <c r="J55" i="2" s="1"/>
  <c r="F55" i="2"/>
  <c r="I55" i="2" s="1"/>
  <c r="L55" i="2" s="1"/>
  <c r="O55" i="2" s="1"/>
  <c r="R55" i="2" s="1"/>
  <c r="U55" i="2" s="1"/>
  <c r="X55" i="2" s="1"/>
  <c r="AA55" i="2" s="1"/>
  <c r="E55" i="2"/>
  <c r="H55" i="2" s="1"/>
  <c r="K55" i="2" s="1"/>
  <c r="N55" i="2" s="1"/>
  <c r="Q55" i="2" s="1"/>
  <c r="T55" i="2" s="1"/>
  <c r="W55" i="2" s="1"/>
  <c r="Z55" i="2" s="1"/>
  <c r="I54" i="2"/>
  <c r="L54" i="2" s="1"/>
  <c r="O54" i="2" s="1"/>
  <c r="R54" i="2" s="1"/>
  <c r="U54" i="2" s="1"/>
  <c r="X54" i="2" s="1"/>
  <c r="G54" i="2"/>
  <c r="J54" i="2" s="1"/>
  <c r="M54" i="2" s="1"/>
  <c r="P54" i="2" s="1"/>
  <c r="S54" i="2" s="1"/>
  <c r="V54" i="2" s="1"/>
  <c r="Y54" i="2" s="1"/>
  <c r="AB54" i="2" s="1"/>
  <c r="F54" i="2"/>
  <c r="E54" i="2"/>
  <c r="H54" i="2" s="1"/>
  <c r="K54" i="2" s="1"/>
  <c r="N54" i="2" s="1"/>
  <c r="Q54" i="2" s="1"/>
  <c r="T54" i="2" s="1"/>
  <c r="W54" i="2" s="1"/>
  <c r="G53" i="2"/>
  <c r="J53" i="2" s="1"/>
  <c r="M53" i="2" s="1"/>
  <c r="P53" i="2" s="1"/>
  <c r="S53" i="2" s="1"/>
  <c r="V53" i="2" s="1"/>
  <c r="Y53" i="2" s="1"/>
  <c r="AB53" i="2" s="1"/>
  <c r="F53" i="2"/>
  <c r="I53" i="2" s="1"/>
  <c r="L53" i="2" s="1"/>
  <c r="O53" i="2" s="1"/>
  <c r="R53" i="2" s="1"/>
  <c r="U53" i="2" s="1"/>
  <c r="X53" i="2" s="1"/>
  <c r="AA53" i="2" s="1"/>
  <c r="E53" i="2"/>
  <c r="H53" i="2" s="1"/>
  <c r="K53" i="2" s="1"/>
  <c r="N53" i="2" s="1"/>
  <c r="Q53" i="2" s="1"/>
  <c r="T53" i="2" s="1"/>
  <c r="W53" i="2" s="1"/>
  <c r="Z53" i="2" s="1"/>
  <c r="I52" i="2"/>
  <c r="L52" i="2" s="1"/>
  <c r="O52" i="2" s="1"/>
  <c r="R52" i="2" s="1"/>
  <c r="U52" i="2" s="1"/>
  <c r="X52" i="2" s="1"/>
  <c r="G52" i="2"/>
  <c r="J52" i="2" s="1"/>
  <c r="M52" i="2" s="1"/>
  <c r="P52" i="2" s="1"/>
  <c r="S52" i="2" s="1"/>
  <c r="V52" i="2" s="1"/>
  <c r="Y52" i="2" s="1"/>
  <c r="AB52" i="2" s="1"/>
  <c r="F52" i="2"/>
  <c r="E52" i="2"/>
  <c r="H52" i="2" s="1"/>
  <c r="K52" i="2" s="1"/>
  <c r="N52" i="2" s="1"/>
  <c r="Q52" i="2" s="1"/>
  <c r="T52" i="2" s="1"/>
  <c r="W52" i="2" s="1"/>
  <c r="F15" i="17" s="1"/>
  <c r="Q15" i="17" s="1"/>
  <c r="I51" i="2"/>
  <c r="L51" i="2" s="1"/>
  <c r="O51" i="2" s="1"/>
  <c r="R51" i="2" s="1"/>
  <c r="U51" i="2" s="1"/>
  <c r="X51" i="2" s="1"/>
  <c r="AA51" i="2" s="1"/>
  <c r="G51" i="2"/>
  <c r="J51" i="2" s="1"/>
  <c r="M51" i="2" s="1"/>
  <c r="P51" i="2" s="1"/>
  <c r="S51" i="2" s="1"/>
  <c r="V51" i="2" s="1"/>
  <c r="Y51" i="2" s="1"/>
  <c r="AB51" i="2" s="1"/>
  <c r="F51" i="2"/>
  <c r="E51" i="2"/>
  <c r="H51" i="2" s="1"/>
  <c r="K51" i="2" s="1"/>
  <c r="N51" i="2" s="1"/>
  <c r="Q51" i="2" s="1"/>
  <c r="T51" i="2" s="1"/>
  <c r="W51" i="2" s="1"/>
  <c r="Z51" i="2" s="1"/>
  <c r="G50" i="2"/>
  <c r="J50" i="2" s="1"/>
  <c r="M50" i="2" s="1"/>
  <c r="P50" i="2" s="1"/>
  <c r="S50" i="2" s="1"/>
  <c r="V50" i="2" s="1"/>
  <c r="Y50" i="2" s="1"/>
  <c r="AB50" i="2" s="1"/>
  <c r="F50" i="2"/>
  <c r="I50" i="2" s="1"/>
  <c r="L50" i="2" s="1"/>
  <c r="O50" i="2" s="1"/>
  <c r="R50" i="2" s="1"/>
  <c r="U50" i="2" s="1"/>
  <c r="X50" i="2" s="1"/>
  <c r="O14" i="10" s="1"/>
  <c r="E50" i="2"/>
  <c r="H50" i="2" s="1"/>
  <c r="K50" i="2" s="1"/>
  <c r="N50" i="2" s="1"/>
  <c r="Q50" i="2" s="1"/>
  <c r="T50" i="2" s="1"/>
  <c r="Q49" i="2"/>
  <c r="T49" i="2" s="1"/>
  <c r="W49" i="2" s="1"/>
  <c r="Z49" i="2" s="1"/>
  <c r="G49" i="2"/>
  <c r="J49" i="2" s="1"/>
  <c r="M49" i="2" s="1"/>
  <c r="P49" i="2" s="1"/>
  <c r="S49" i="2" s="1"/>
  <c r="V49" i="2" s="1"/>
  <c r="Y49" i="2" s="1"/>
  <c r="AB49" i="2" s="1"/>
  <c r="F49" i="2"/>
  <c r="I49" i="2" s="1"/>
  <c r="L49" i="2" s="1"/>
  <c r="O49" i="2" s="1"/>
  <c r="R49" i="2" s="1"/>
  <c r="U49" i="2" s="1"/>
  <c r="X49" i="2" s="1"/>
  <c r="AA49" i="2" s="1"/>
  <c r="E49" i="2"/>
  <c r="H49" i="2" s="1"/>
  <c r="K49" i="2" s="1"/>
  <c r="N49" i="2" s="1"/>
  <c r="U42" i="2"/>
  <c r="Z42" i="2" s="1"/>
  <c r="AE42" i="2" s="1"/>
  <c r="AJ42" i="2" s="1"/>
  <c r="AO42" i="2" s="1"/>
  <c r="AT42" i="2" s="1"/>
  <c r="S42" i="2"/>
  <c r="X42" i="2" s="1"/>
  <c r="AC42" i="2" s="1"/>
  <c r="AH42" i="2" s="1"/>
  <c r="AM42" i="2" s="1"/>
  <c r="AR42" i="2" s="1"/>
  <c r="P42" i="2"/>
  <c r="O42" i="2"/>
  <c r="T42" i="2" s="1"/>
  <c r="Y42" i="2" s="1"/>
  <c r="AD42" i="2" s="1"/>
  <c r="AI42" i="2" s="1"/>
  <c r="AN42" i="2" s="1"/>
  <c r="AS42" i="2" s="1"/>
  <c r="N42" i="2"/>
  <c r="M42" i="2"/>
  <c r="R42" i="2" s="1"/>
  <c r="W42" i="2" s="1"/>
  <c r="AB42" i="2" s="1"/>
  <c r="AG42" i="2" s="1"/>
  <c r="AL42" i="2" s="1"/>
  <c r="AQ42" i="2" s="1"/>
  <c r="L42" i="2"/>
  <c r="Q42" i="2" s="1"/>
  <c r="V42" i="2" s="1"/>
  <c r="AA42" i="2" s="1"/>
  <c r="AF42" i="2" s="1"/>
  <c r="AK42" i="2" s="1"/>
  <c r="AP42" i="2" s="1"/>
  <c r="T41" i="2"/>
  <c r="Y41" i="2" s="1"/>
  <c r="AI41" i="2" s="1"/>
  <c r="AN41" i="2" s="1"/>
  <c r="R41" i="2"/>
  <c r="W41" i="2" s="1"/>
  <c r="AB41" i="2" s="1"/>
  <c r="AG41" i="2" s="1"/>
  <c r="AL41" i="2" s="1"/>
  <c r="O41" i="2"/>
  <c r="N41" i="2"/>
  <c r="S41" i="2" s="1"/>
  <c r="X41" i="2" s="1"/>
  <c r="AH41" i="2" s="1"/>
  <c r="AM41" i="2" s="1"/>
  <c r="M41" i="2"/>
  <c r="L41" i="2"/>
  <c r="Q41" i="2" s="1"/>
  <c r="V41" i="2" s="1"/>
  <c r="K41" i="2"/>
  <c r="P41" i="2" s="1"/>
  <c r="U41" i="2" s="1"/>
  <c r="Z41" i="2" s="1"/>
  <c r="AE41" i="2" s="1"/>
  <c r="AJ41" i="2" s="1"/>
  <c r="AO41" i="2" s="1"/>
  <c r="AT41" i="2" s="1"/>
  <c r="T40" i="2"/>
  <c r="Y40" i="2" s="1"/>
  <c r="AI40" i="2" s="1"/>
  <c r="AN40" i="2" s="1"/>
  <c r="O40" i="2"/>
  <c r="N40" i="2"/>
  <c r="S40" i="2" s="1"/>
  <c r="X40" i="2" s="1"/>
  <c r="M40" i="2"/>
  <c r="R40" i="2" s="1"/>
  <c r="W40" i="2" s="1"/>
  <c r="AB40" i="2" s="1"/>
  <c r="AG40" i="2" s="1"/>
  <c r="L40" i="2"/>
  <c r="Q40" i="2" s="1"/>
  <c r="V40" i="2" s="1"/>
  <c r="K40" i="2"/>
  <c r="P40" i="2" s="1"/>
  <c r="U40" i="2" s="1"/>
  <c r="Z40" i="2" s="1"/>
  <c r="AE40" i="2" s="1"/>
  <c r="AJ40" i="2" s="1"/>
  <c r="AO40" i="2" s="1"/>
  <c r="AT40" i="2" s="1"/>
  <c r="R39" i="2"/>
  <c r="R43" i="2" s="1"/>
  <c r="W43" i="2" s="1"/>
  <c r="AB43" i="2" s="1"/>
  <c r="AG43" i="2" s="1"/>
  <c r="AL43" i="2" s="1"/>
  <c r="AQ43" i="2" s="1"/>
  <c r="O39" i="2"/>
  <c r="T39" i="2" s="1"/>
  <c r="N39" i="2"/>
  <c r="S39" i="2" s="1"/>
  <c r="M39" i="2"/>
  <c r="L39" i="2"/>
  <c r="Q39" i="2" s="1"/>
  <c r="V39" i="2" s="1"/>
  <c r="AA39" i="2" s="1"/>
  <c r="AF39" i="2" s="1"/>
  <c r="AK39" i="2" s="1"/>
  <c r="AP39" i="2" s="1"/>
  <c r="K39" i="2"/>
  <c r="P39" i="2" s="1"/>
  <c r="U39" i="2" s="1"/>
  <c r="U43" i="2" s="1"/>
  <c r="Z43" i="2" s="1"/>
  <c r="AE43" i="2" s="1"/>
  <c r="AJ43" i="2" s="1"/>
  <c r="AO43" i="2" s="1"/>
  <c r="AT43" i="2" s="1"/>
  <c r="Q31" i="2"/>
  <c r="V31" i="2" s="1"/>
  <c r="AA31" i="2" s="1"/>
  <c r="AF31" i="2" s="1"/>
  <c r="AK31" i="2" s="1"/>
  <c r="AP31" i="2" s="1"/>
  <c r="O31" i="2"/>
  <c r="T31" i="2" s="1"/>
  <c r="Y31" i="2" s="1"/>
  <c r="AD31" i="2" s="1"/>
  <c r="AI31" i="2" s="1"/>
  <c r="AN31" i="2" s="1"/>
  <c r="N31" i="2"/>
  <c r="S31" i="2" s="1"/>
  <c r="X31" i="2" s="1"/>
  <c r="AC31" i="2" s="1"/>
  <c r="AH31" i="2" s="1"/>
  <c r="AM31" i="2" s="1"/>
  <c r="M31" i="2"/>
  <c r="R31" i="2" s="1"/>
  <c r="W31" i="2" s="1"/>
  <c r="AB31" i="2" s="1"/>
  <c r="AG31" i="2" s="1"/>
  <c r="AL31" i="2" s="1"/>
  <c r="L31" i="2"/>
  <c r="K31" i="2"/>
  <c r="P31" i="2" s="1"/>
  <c r="U31" i="2" s="1"/>
  <c r="Z31" i="2" s="1"/>
  <c r="AE31" i="2" s="1"/>
  <c r="O30" i="2"/>
  <c r="T30" i="2" s="1"/>
  <c r="Y30" i="2" s="1"/>
  <c r="AD30" i="2" s="1"/>
  <c r="AI30" i="2" s="1"/>
  <c r="AN30" i="2" s="1"/>
  <c r="N30" i="2"/>
  <c r="S30" i="2" s="1"/>
  <c r="X30" i="2" s="1"/>
  <c r="AC30" i="2" s="1"/>
  <c r="AH30" i="2" s="1"/>
  <c r="AM30" i="2" s="1"/>
  <c r="M30" i="2"/>
  <c r="R30" i="2" s="1"/>
  <c r="W30" i="2" s="1"/>
  <c r="AB30" i="2" s="1"/>
  <c r="AG30" i="2" s="1"/>
  <c r="AL30" i="2" s="1"/>
  <c r="L30" i="2"/>
  <c r="Q30" i="2" s="1"/>
  <c r="V30" i="2" s="1"/>
  <c r="AA30" i="2" s="1"/>
  <c r="AF30" i="2" s="1"/>
  <c r="AK30" i="2" s="1"/>
  <c r="AP30" i="2" s="1"/>
  <c r="F16" i="17" s="1"/>
  <c r="Q16" i="17"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H20" i="2"/>
  <c r="K20" i="2" s="1"/>
  <c r="N20" i="2" s="1"/>
  <c r="Q20" i="2" s="1"/>
  <c r="T20" i="2" s="1"/>
  <c r="W20" i="2" s="1"/>
  <c r="G20" i="2"/>
  <c r="J20" i="2" s="1"/>
  <c r="M20" i="2" s="1"/>
  <c r="P20" i="2" s="1"/>
  <c r="S20" i="2" s="1"/>
  <c r="V20" i="2" s="1"/>
  <c r="Y20" i="2" s="1"/>
  <c r="F20" i="2"/>
  <c r="I20" i="2" s="1"/>
  <c r="L20" i="2" s="1"/>
  <c r="O20" i="2" s="1"/>
  <c r="R20" i="2" s="1"/>
  <c r="U20" i="2" s="1"/>
  <c r="X20" i="2" s="1"/>
  <c r="E20" i="2"/>
  <c r="G19" i="2"/>
  <c r="J19" i="2" s="1"/>
  <c r="M19" i="2" s="1"/>
  <c r="P19" i="2" s="1"/>
  <c r="S19" i="2" s="1"/>
  <c r="V19" i="2" s="1"/>
  <c r="Y19" i="2" s="1"/>
  <c r="F19" i="2"/>
  <c r="I19" i="2" s="1"/>
  <c r="L19" i="2" s="1"/>
  <c r="O19" i="2" s="1"/>
  <c r="R19" i="2" s="1"/>
  <c r="U19" i="2" s="1"/>
  <c r="X19" i="2" s="1"/>
  <c r="E19" i="2"/>
  <c r="H19" i="2" s="1"/>
  <c r="K19" i="2" s="1"/>
  <c r="N19" i="2" s="1"/>
  <c r="Q19" i="2" s="1"/>
  <c r="T19" i="2" s="1"/>
  <c r="W19" i="2" s="1"/>
  <c r="H18" i="2"/>
  <c r="K18" i="2" s="1"/>
  <c r="N18" i="2" s="1"/>
  <c r="Q18" i="2" s="1"/>
  <c r="T18" i="2" s="1"/>
  <c r="W18" i="2" s="1"/>
  <c r="Z18" i="2" s="1"/>
  <c r="G18" i="2"/>
  <c r="J18" i="2" s="1"/>
  <c r="M18" i="2" s="1"/>
  <c r="P18" i="2" s="1"/>
  <c r="S18" i="2" s="1"/>
  <c r="V18" i="2" s="1"/>
  <c r="Y18" i="2" s="1"/>
  <c r="F18" i="2"/>
  <c r="I18" i="2" s="1"/>
  <c r="L18" i="2" s="1"/>
  <c r="O18" i="2" s="1"/>
  <c r="R18" i="2" s="1"/>
  <c r="U18" i="2" s="1"/>
  <c r="X18" i="2" s="1"/>
  <c r="E18" i="2"/>
  <c r="G17" i="2"/>
  <c r="J17" i="2" s="1"/>
  <c r="M17" i="2" s="1"/>
  <c r="P17" i="2" s="1"/>
  <c r="S17" i="2" s="1"/>
  <c r="V17" i="2" s="1"/>
  <c r="Y17" i="2" s="1"/>
  <c r="F17" i="2"/>
  <c r="I17" i="2" s="1"/>
  <c r="L17" i="2" s="1"/>
  <c r="O17" i="2" s="1"/>
  <c r="R17" i="2" s="1"/>
  <c r="U17" i="2" s="1"/>
  <c r="X17" i="2" s="1"/>
  <c r="E17" i="2"/>
  <c r="H17" i="2" s="1"/>
  <c r="K17" i="2" s="1"/>
  <c r="N17" i="2" s="1"/>
  <c r="Q17" i="2" s="1"/>
  <c r="T17" i="2" s="1"/>
  <c r="W17" i="2" s="1"/>
  <c r="I16" i="2"/>
  <c r="L16" i="2" s="1"/>
  <c r="O16" i="2" s="1"/>
  <c r="R16" i="2" s="1"/>
  <c r="U16" i="2" s="1"/>
  <c r="X16" i="2" s="1"/>
  <c r="G16" i="2"/>
  <c r="J16" i="2" s="1"/>
  <c r="M16" i="2" s="1"/>
  <c r="P16" i="2" s="1"/>
  <c r="S16" i="2" s="1"/>
  <c r="V16" i="2" s="1"/>
  <c r="Y16" i="2" s="1"/>
  <c r="F16" i="2"/>
  <c r="E16" i="2"/>
  <c r="H16" i="2" s="1"/>
  <c r="K16" i="2" s="1"/>
  <c r="N16" i="2" s="1"/>
  <c r="Q16" i="2" s="1"/>
  <c r="T16" i="2" s="1"/>
  <c r="W16" i="2" s="1"/>
  <c r="F14" i="17" s="1"/>
  <c r="F18" i="17" s="1"/>
  <c r="F22" i="17" s="1"/>
  <c r="G15" i="2"/>
  <c r="J15" i="2" s="1"/>
  <c r="M15" i="2" s="1"/>
  <c r="P15" i="2" s="1"/>
  <c r="S15" i="2" s="1"/>
  <c r="V15" i="2" s="1"/>
  <c r="Y15" i="2" s="1"/>
  <c r="F15" i="2"/>
  <c r="I15" i="2" s="1"/>
  <c r="L15" i="2" s="1"/>
  <c r="O15" i="2" s="1"/>
  <c r="R15" i="2" s="1"/>
  <c r="U15" i="2" s="1"/>
  <c r="X15" i="2" s="1"/>
  <c r="H15" i="2"/>
  <c r="K15" i="2" s="1"/>
  <c r="N15" i="2" s="1"/>
  <c r="Q15" i="2" s="1"/>
  <c r="T15" i="2" s="1"/>
  <c r="W15" i="2" s="1"/>
  <c r="F14" i="11" s="1"/>
  <c r="G14" i="2"/>
  <c r="J14" i="2" s="1"/>
  <c r="M14" i="2" s="1"/>
  <c r="P14" i="2" s="1"/>
  <c r="S14" i="2" s="1"/>
  <c r="V14" i="2" s="1"/>
  <c r="Y14" i="2" s="1"/>
  <c r="F14" i="2"/>
  <c r="I14" i="2" s="1"/>
  <c r="L14" i="2" s="1"/>
  <c r="O14" i="2" s="1"/>
  <c r="R14" i="2" s="1"/>
  <c r="U14" i="2" s="1"/>
  <c r="X14" i="2" s="1"/>
  <c r="E14" i="2"/>
  <c r="H14" i="2" s="1"/>
  <c r="K14" i="2" s="1"/>
  <c r="N14" i="2" s="1"/>
  <c r="Q14" i="2" s="1"/>
  <c r="T14" i="2" s="1"/>
  <c r="W14" i="2" s="1"/>
  <c r="Q13" i="2"/>
  <c r="T13" i="2" s="1"/>
  <c r="W13" i="2" s="1"/>
  <c r="G13" i="2"/>
  <c r="J13" i="2" s="1"/>
  <c r="M13" i="2" s="1"/>
  <c r="F13" i="2"/>
  <c r="I13" i="2" s="1"/>
  <c r="L13" i="2" s="1"/>
  <c r="E13" i="2"/>
  <c r="H13" i="2" s="1"/>
  <c r="K13" i="2" s="1"/>
  <c r="N13" i="2" s="1"/>
  <c r="Q18" i="17" l="1"/>
  <c r="Q22" i="17" s="1"/>
  <c r="G14" i="11"/>
  <c r="AT45" i="2"/>
  <c r="F13" i="23"/>
  <c r="N39" i="12"/>
  <c r="N40" i="12" s="1"/>
  <c r="N44" i="12" s="1"/>
  <c r="J14" i="12"/>
  <c r="L14" i="12"/>
  <c r="G14" i="12"/>
  <c r="M14" i="12"/>
  <c r="H14" i="12"/>
  <c r="K14" i="12" s="1"/>
  <c r="L14" i="17"/>
  <c r="I14" i="17"/>
  <c r="C18" i="17"/>
  <c r="C22" i="17" s="1"/>
  <c r="C37" i="28"/>
  <c r="H37" i="28" s="1"/>
  <c r="G13" i="28"/>
  <c r="C16" i="28"/>
  <c r="C20" i="28" s="1"/>
  <c r="C62" i="19"/>
  <c r="L13" i="19"/>
  <c r="I13" i="19"/>
  <c r="J13" i="19" s="1"/>
  <c r="E13" i="19"/>
  <c r="C17" i="19"/>
  <c r="C21" i="19" s="1"/>
  <c r="F13" i="10"/>
  <c r="AF40" i="2"/>
  <c r="AK40" i="2" s="1"/>
  <c r="AP40" i="2" s="1"/>
  <c r="AA40" i="2"/>
  <c r="M37" i="12"/>
  <c r="O37" i="12" s="1"/>
  <c r="O14" i="9"/>
  <c r="J14" i="9"/>
  <c r="M14" i="9"/>
  <c r="N14" i="9" s="1"/>
  <c r="N16" i="9" s="1"/>
  <c r="N21" i="9" s="1"/>
  <c r="I14" i="9"/>
  <c r="F14" i="9"/>
  <c r="G14" i="9" s="1"/>
  <c r="AH40" i="2"/>
  <c r="AM40" i="2" s="1"/>
  <c r="C64" i="19"/>
  <c r="I15" i="19"/>
  <c r="J15" i="19" s="1"/>
  <c r="E15" i="19"/>
  <c r="L15" i="19"/>
  <c r="I14" i="21"/>
  <c r="J14" i="21" s="1"/>
  <c r="H14" i="21"/>
  <c r="K14" i="21" s="1"/>
  <c r="O14" i="21"/>
  <c r="D14" i="21"/>
  <c r="I14" i="28"/>
  <c r="I38" i="28" s="1"/>
  <c r="C38" i="28"/>
  <c r="H38" i="28" s="1"/>
  <c r="L38" i="28"/>
  <c r="J14" i="28"/>
  <c r="J38" i="28" s="1"/>
  <c r="G14" i="28"/>
  <c r="G38" i="28" s="1"/>
  <c r="P38" i="28"/>
  <c r="AF29" i="2"/>
  <c r="AK29" i="2" s="1"/>
  <c r="AP29" i="2" s="1"/>
  <c r="F15" i="11" s="1"/>
  <c r="AA29" i="2"/>
  <c r="L15" i="17"/>
  <c r="I15" i="17"/>
  <c r="J15" i="17" s="1"/>
  <c r="P15" i="17"/>
  <c r="AA41" i="2"/>
  <c r="AF41" i="2" s="1"/>
  <c r="AK41" i="2" s="1"/>
  <c r="AP41" i="2" s="1"/>
  <c r="L37" i="28"/>
  <c r="P16" i="17"/>
  <c r="I16" i="17"/>
  <c r="J16" i="17" s="1"/>
  <c r="L16" i="17"/>
  <c r="E14" i="19"/>
  <c r="L14" i="19"/>
  <c r="I14" i="19"/>
  <c r="J14" i="19" s="1"/>
  <c r="C63" i="19"/>
  <c r="C17" i="11"/>
  <c r="C21" i="11" s="1"/>
  <c r="T32" i="2"/>
  <c r="Y32" i="2" s="1"/>
  <c r="AD32" i="2" s="1"/>
  <c r="AI32" i="2" s="1"/>
  <c r="AN32" i="2" s="1"/>
  <c r="Y28" i="2"/>
  <c r="AD28" i="2" s="1"/>
  <c r="AI28" i="2" s="1"/>
  <c r="AN28" i="2" s="1"/>
  <c r="K21" i="2"/>
  <c r="N21" i="2" s="1"/>
  <c r="Q21" i="2" s="1"/>
  <c r="T21" i="2" s="1"/>
  <c r="W21" i="2" s="1"/>
  <c r="V28" i="2"/>
  <c r="AA28" i="2" s="1"/>
  <c r="AF28" i="2" s="1"/>
  <c r="AK28" i="2" s="1"/>
  <c r="Q32" i="2"/>
  <c r="V32" i="2" s="1"/>
  <c r="AA32" i="2" s="1"/>
  <c r="AF32" i="2" s="1"/>
  <c r="AK32" i="2" s="1"/>
  <c r="AP32" i="2"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Y39" i="2"/>
  <c r="AD39" i="2" s="1"/>
  <c r="AI39" i="2" s="1"/>
  <c r="AN39" i="2" s="1"/>
  <c r="AS39" i="2" s="1"/>
  <c r="W28" i="2"/>
  <c r="AB28" i="2" s="1"/>
  <c r="AG28" i="2" s="1"/>
  <c r="AL28" i="2" s="1"/>
  <c r="R32" i="2"/>
  <c r="W32" i="2" s="1"/>
  <c r="AB32" i="2" s="1"/>
  <c r="AG32" i="2" s="1"/>
  <c r="AL32" i="2" s="1"/>
  <c r="Z28" i="2"/>
  <c r="AE28" i="2" s="1"/>
  <c r="U32" i="2"/>
  <c r="Z32" i="2" s="1"/>
  <c r="AE32" i="2" s="1"/>
  <c r="O13" i="2"/>
  <c r="R13" i="2" s="1"/>
  <c r="U13" i="2" s="1"/>
  <c r="X13" i="2" s="1"/>
  <c r="L21" i="2"/>
  <c r="O21" i="2" s="1"/>
  <c r="R21" i="2" s="1"/>
  <c r="U21" i="2" s="1"/>
  <c r="X21" i="2" s="1"/>
  <c r="S43" i="2"/>
  <c r="X43" i="2" s="1"/>
  <c r="AC43" i="2" s="1"/>
  <c r="AH43" i="2" s="1"/>
  <c r="AM43" i="2" s="1"/>
  <c r="AR43" i="2" s="1"/>
  <c r="X39" i="2"/>
  <c r="AC39" i="2" s="1"/>
  <c r="AH39" i="2" s="1"/>
  <c r="AM39" i="2" s="1"/>
  <c r="AR39" i="2" s="1"/>
  <c r="W39" i="2"/>
  <c r="AB39" i="2" s="1"/>
  <c r="AG39" i="2" s="1"/>
  <c r="AL39" i="2" s="1"/>
  <c r="AQ39" i="2" s="1"/>
  <c r="Q43" i="2"/>
  <c r="V43" i="2" s="1"/>
  <c r="AA43" i="2" s="1"/>
  <c r="AF43" i="2" s="1"/>
  <c r="AK43" i="2" s="1"/>
  <c r="AP43" i="2" s="1"/>
  <c r="Z39" i="2"/>
  <c r="AE39" i="2" s="1"/>
  <c r="AJ39" i="2" s="1"/>
  <c r="AO39" i="2" s="1"/>
  <c r="AT39" i="2" s="1"/>
  <c r="G64" i="19" l="1"/>
  <c r="H64" i="19"/>
  <c r="K64" i="19" s="1"/>
  <c r="G63" i="19"/>
  <c r="H63" i="19"/>
  <c r="K63" i="19" s="1"/>
  <c r="G62" i="19"/>
  <c r="H62" i="19"/>
  <c r="G66" i="19"/>
  <c r="G70" i="19" s="1"/>
  <c r="E39" i="12"/>
  <c r="J39" i="12" s="1"/>
  <c r="J40" i="12" s="1"/>
  <c r="J44" i="12" s="1"/>
  <c r="F39" i="12"/>
  <c r="F40" i="12" s="1"/>
  <c r="F44" i="12" s="1"/>
  <c r="E40" i="12"/>
  <c r="E44" i="12" s="1"/>
  <c r="H40" i="28"/>
  <c r="H44" i="28" s="1"/>
  <c r="J62" i="19"/>
  <c r="D62" i="19"/>
  <c r="J64" i="19"/>
  <c r="D64" i="19"/>
  <c r="J63" i="19"/>
  <c r="D63" i="19"/>
  <c r="Q15" i="19"/>
  <c r="Q17" i="19" s="1"/>
  <c r="Q21" i="19" s="1"/>
  <c r="O15" i="19"/>
  <c r="O17" i="19" s="1"/>
  <c r="O21" i="19" s="1"/>
  <c r="L40" i="28"/>
  <c r="L44" i="28" s="1"/>
  <c r="G14" i="21"/>
  <c r="N14" i="21" s="1"/>
  <c r="Q14" i="21" s="1"/>
  <c r="F14" i="21"/>
  <c r="M14" i="21" s="1"/>
  <c r="P14" i="21" s="1"/>
  <c r="J17" i="19"/>
  <c r="J21" i="19" s="1"/>
  <c r="J18" i="17"/>
  <c r="J22" i="17" s="1"/>
  <c r="K14" i="11"/>
  <c r="I14" i="11"/>
  <c r="N63" i="19"/>
  <c r="F63" i="19"/>
  <c r="F62" i="19"/>
  <c r="N62" i="19"/>
  <c r="F17" i="11"/>
  <c r="F21" i="11" s="1"/>
  <c r="G15" i="11"/>
  <c r="G17" i="11" s="1"/>
  <c r="G21" i="11" s="1"/>
  <c r="N64" i="19"/>
  <c r="F64" i="19"/>
  <c r="R64" i="19" s="1"/>
  <c r="R66" i="19" s="1"/>
  <c r="R70" i="19" s="1"/>
  <c r="C40" i="28"/>
  <c r="C44" i="28" s="1"/>
  <c r="E17" i="19"/>
  <c r="E21" i="19" s="1"/>
  <c r="F14" i="23"/>
  <c r="I13" i="10"/>
  <c r="M64" i="19"/>
  <c r="S64" i="19" s="1"/>
  <c r="L64" i="19"/>
  <c r="E64" i="19"/>
  <c r="I64" i="19"/>
  <c r="F14" i="10"/>
  <c r="I14" i="10"/>
  <c r="J14" i="10"/>
  <c r="P14" i="10" s="1"/>
  <c r="Q14" i="10" s="1"/>
  <c r="I13" i="28"/>
  <c r="G37" i="28"/>
  <c r="G40" i="28" s="1"/>
  <c r="G44" i="28" s="1"/>
  <c r="G16" i="28"/>
  <c r="G20" i="28" s="1"/>
  <c r="I18" i="17"/>
  <c r="I22" i="17" s="1"/>
  <c r="O13" i="9"/>
  <c r="O16" i="9" s="1"/>
  <c r="O21" i="9" s="1"/>
  <c r="M16" i="9"/>
  <c r="M21" i="9" s="1"/>
  <c r="K15" i="11"/>
  <c r="F14" i="20"/>
  <c r="N14" i="20"/>
  <c r="M17" i="19"/>
  <c r="M21" i="19" s="1"/>
  <c r="O13" i="10"/>
  <c r="P13" i="10" s="1"/>
  <c r="Q13" i="10" s="1"/>
  <c r="D39" i="12"/>
  <c r="I39" i="12" s="1"/>
  <c r="L39" i="12"/>
  <c r="H39" i="12"/>
  <c r="M39" i="12"/>
  <c r="H37" i="12"/>
  <c r="D37" i="12"/>
  <c r="I37" i="12" s="1"/>
  <c r="L37" i="12"/>
  <c r="L18" i="17"/>
  <c r="L22" i="17" s="1"/>
  <c r="I17" i="19"/>
  <c r="I21" i="19" s="1"/>
  <c r="H17" i="11"/>
  <c r="H21" i="11" s="1"/>
  <c r="H14" i="15"/>
  <c r="K14" i="15"/>
  <c r="M14" i="15"/>
  <c r="O14" i="15" s="1"/>
  <c r="O16" i="15" s="1"/>
  <c r="O20" i="15" s="1"/>
  <c r="F14" i="15"/>
  <c r="G14" i="15" s="1"/>
  <c r="H15" i="21"/>
  <c r="O15" i="21"/>
  <c r="I15" i="21"/>
  <c r="J15" i="21" s="1"/>
  <c r="L15" i="21"/>
  <c r="D15" i="21"/>
  <c r="P15" i="21" s="1"/>
  <c r="M15" i="11"/>
  <c r="N15" i="11" s="1"/>
  <c r="N17" i="11" s="1"/>
  <c r="N21" i="11" s="1"/>
  <c r="J13" i="9"/>
  <c r="J16" i="9" s="1"/>
  <c r="J21" i="9" s="1"/>
  <c r="I13" i="9"/>
  <c r="I16" i="9" s="1"/>
  <c r="I21" i="9" s="1"/>
  <c r="F13" i="9"/>
  <c r="C16" i="9"/>
  <c r="C21" i="9" s="1"/>
  <c r="L16" i="28"/>
  <c r="L20" i="28" s="1"/>
  <c r="L17" i="19"/>
  <c r="L21" i="19" s="1"/>
  <c r="P18" i="17"/>
  <c r="P22" i="17" s="1"/>
  <c r="J15" i="10"/>
  <c r="P15" i="10" s="1"/>
  <c r="Q15" i="10" s="1"/>
  <c r="I15" i="10"/>
  <c r="M15" i="10"/>
  <c r="O15" i="10" s="1"/>
  <c r="F15" i="10"/>
  <c r="L13" i="12"/>
  <c r="L16" i="12" s="1"/>
  <c r="L20" i="12" s="1"/>
  <c r="J13" i="12"/>
  <c r="G13" i="12"/>
  <c r="H13" i="12"/>
  <c r="K13" i="12" s="1"/>
  <c r="K16" i="12" s="1"/>
  <c r="K20" i="12" s="1"/>
  <c r="C16" i="12"/>
  <c r="C20" i="12" s="1"/>
  <c r="P37" i="28"/>
  <c r="P40" i="28" s="1"/>
  <c r="P44" i="28" s="1"/>
  <c r="P16" i="28"/>
  <c r="P20" i="28" s="1"/>
  <c r="P17" i="19"/>
  <c r="P21" i="19" s="1"/>
  <c r="F13" i="20"/>
  <c r="G13" i="20" s="1"/>
  <c r="L13" i="20"/>
  <c r="H13" i="20"/>
  <c r="J13" i="20" s="1"/>
  <c r="K13" i="20"/>
  <c r="C17" i="20"/>
  <c r="C21" i="20" s="1"/>
  <c r="I62" i="19"/>
  <c r="E62" i="19"/>
  <c r="L62" i="19"/>
  <c r="M62" i="19"/>
  <c r="S62" i="19" s="1"/>
  <c r="C66" i="19"/>
  <c r="C70" i="19" s="1"/>
  <c r="M14" i="34"/>
  <c r="Q17" i="34" s="1"/>
  <c r="Q21" i="34" s="1"/>
  <c r="I14" i="34"/>
  <c r="H14" i="34"/>
  <c r="K14" i="34" s="1"/>
  <c r="F14" i="34"/>
  <c r="N14" i="34" s="1"/>
  <c r="R14" i="34" s="1"/>
  <c r="R17" i="34" s="1"/>
  <c r="R21" i="34" s="1"/>
  <c r="C17" i="34"/>
  <c r="C21" i="34" s="1"/>
  <c r="M38" i="12"/>
  <c r="M63" i="19"/>
  <c r="S63" i="19"/>
  <c r="I63" i="19"/>
  <c r="L63" i="19"/>
  <c r="E63" i="19"/>
  <c r="F13" i="15"/>
  <c r="Q13" i="15"/>
  <c r="K13" i="15"/>
  <c r="H13" i="15"/>
  <c r="C16" i="15"/>
  <c r="C20" i="15" s="1"/>
  <c r="C17" i="10"/>
  <c r="C21" i="10" s="1"/>
  <c r="O14" i="12"/>
  <c r="J14" i="15" l="1"/>
  <c r="P14" i="15"/>
  <c r="I17" i="11"/>
  <c r="I21" i="11" s="1"/>
  <c r="J14" i="11"/>
  <c r="J17" i="11" s="1"/>
  <c r="J21" i="11" s="1"/>
  <c r="K62" i="19"/>
  <c r="K66" i="19" s="1"/>
  <c r="K70" i="19" s="1"/>
  <c r="H66" i="19"/>
  <c r="H70" i="19" s="1"/>
  <c r="J66" i="19"/>
  <c r="J70" i="19" s="1"/>
  <c r="P37" i="12"/>
  <c r="K37" i="12"/>
  <c r="J13" i="15"/>
  <c r="J16" i="15" s="1"/>
  <c r="J20" i="15" s="1"/>
  <c r="P13" i="15"/>
  <c r="P16" i="15" s="1"/>
  <c r="P20" i="15" s="1"/>
  <c r="P39" i="12"/>
  <c r="K39" i="12"/>
  <c r="H16" i="12"/>
  <c r="H20" i="12" s="1"/>
  <c r="P13" i="12"/>
  <c r="P16" i="12" s="1"/>
  <c r="P20" i="12" s="1"/>
  <c r="Q17" i="10"/>
  <c r="Q21" i="10" s="1"/>
  <c r="D66" i="19"/>
  <c r="D70" i="19" s="1"/>
  <c r="K17" i="11"/>
  <c r="K21" i="11" s="1"/>
  <c r="G15" i="21"/>
  <c r="N15" i="21" s="1"/>
  <c r="F15" i="21"/>
  <c r="M15" i="21" s="1"/>
  <c r="F16" i="23"/>
  <c r="F20" i="23" s="1"/>
  <c r="P14" i="23"/>
  <c r="P16" i="23" s="1"/>
  <c r="P20" i="23" s="1"/>
  <c r="L66" i="19"/>
  <c r="L70" i="19" s="1"/>
  <c r="P17" i="10"/>
  <c r="P21" i="10" s="1"/>
  <c r="N66" i="19"/>
  <c r="N70" i="19" s="1"/>
  <c r="F17" i="10"/>
  <c r="F21" i="10" s="1"/>
  <c r="F66" i="19"/>
  <c r="F70" i="19" s="1"/>
  <c r="Q14" i="15"/>
  <c r="Q16" i="15" s="1"/>
  <c r="Q20" i="15" s="1"/>
  <c r="N14" i="15"/>
  <c r="N16" i="15" s="1"/>
  <c r="N20" i="15" s="1"/>
  <c r="O39" i="12"/>
  <c r="O40" i="12" s="1"/>
  <c r="O44" i="12" s="1"/>
  <c r="M17" i="11"/>
  <c r="M21" i="11" s="1"/>
  <c r="G14" i="34"/>
  <c r="O17" i="10"/>
  <c r="O21" i="10" s="1"/>
  <c r="H14" i="20"/>
  <c r="J14" i="20" s="1"/>
  <c r="J17" i="20" s="1"/>
  <c r="J21" i="20" s="1"/>
  <c r="G14" i="20"/>
  <c r="F16" i="15"/>
  <c r="F20" i="15" s="1"/>
  <c r="G13" i="15"/>
  <c r="G16" i="15" s="1"/>
  <c r="G20" i="15" s="1"/>
  <c r="K16" i="15"/>
  <c r="K20" i="15" s="1"/>
  <c r="F16" i="9"/>
  <c r="F21" i="9" s="1"/>
  <c r="G13" i="9"/>
  <c r="G16" i="9" s="1"/>
  <c r="G21" i="9" s="1"/>
  <c r="M16" i="15"/>
  <c r="M20" i="15" s="1"/>
  <c r="G16" i="12"/>
  <c r="G20" i="12" s="1"/>
  <c r="O13" i="12"/>
  <c r="O16" i="12" s="1"/>
  <c r="O20" i="12" s="1"/>
  <c r="M16" i="12"/>
  <c r="M20" i="12" s="1"/>
  <c r="J16" i="12"/>
  <c r="J20" i="12" s="1"/>
  <c r="C40" i="12"/>
  <c r="C44" i="12" s="1"/>
  <c r="E66" i="19"/>
  <c r="E70" i="19" s="1"/>
  <c r="M17" i="10"/>
  <c r="M21" i="10" s="1"/>
  <c r="I14" i="23"/>
  <c r="O14" i="23"/>
  <c r="L16" i="23"/>
  <c r="L20" i="23" s="1"/>
  <c r="C16" i="23"/>
  <c r="C20" i="23" s="1"/>
  <c r="D13" i="21"/>
  <c r="C17" i="21"/>
  <c r="C21" i="21" s="1"/>
  <c r="O13" i="23"/>
  <c r="H16" i="15"/>
  <c r="H20" i="15" s="1"/>
  <c r="I66" i="19"/>
  <c r="I70" i="19" s="1"/>
  <c r="S66" i="19"/>
  <c r="S70" i="19" s="1"/>
  <c r="J13" i="28"/>
  <c r="K13" i="28" s="1"/>
  <c r="I37" i="28"/>
  <c r="I40" i="28" s="1"/>
  <c r="I44" i="28" s="1"/>
  <c r="I16" i="28"/>
  <c r="I20" i="28" s="1"/>
  <c r="M66" i="19"/>
  <c r="M70" i="19" s="1"/>
  <c r="F15" i="20"/>
  <c r="N15" i="20"/>
  <c r="L15" i="20"/>
  <c r="K15" i="20"/>
  <c r="H15" i="20"/>
  <c r="J15" i="20" s="1"/>
  <c r="J13" i="10"/>
  <c r="J17" i="10" s="1"/>
  <c r="J21" i="10" s="1"/>
  <c r="I17" i="10"/>
  <c r="I21" i="10" s="1"/>
  <c r="P14" i="34"/>
  <c r="L38" i="12"/>
  <c r="L40" i="12" s="1"/>
  <c r="L44" i="12" s="1"/>
  <c r="D38" i="12"/>
  <c r="H38" i="12"/>
  <c r="K38" i="12" s="1"/>
  <c r="H15" i="34"/>
  <c r="F15" i="34"/>
  <c r="N15" i="34" s="1"/>
  <c r="O15" i="34" s="1"/>
  <c r="O17" i="34" s="1"/>
  <c r="O21" i="34" s="1"/>
  <c r="P15" i="34"/>
  <c r="M15" i="34"/>
  <c r="M17" i="34" s="1"/>
  <c r="M21" i="34" s="1"/>
  <c r="I15" i="34"/>
  <c r="I17" i="34" s="1"/>
  <c r="I21" i="34" s="1"/>
  <c r="K37" i="28" l="1"/>
  <c r="K40" i="28" s="1"/>
  <c r="K44" i="28" s="1"/>
  <c r="K16" i="28"/>
  <c r="K20" i="28" s="1"/>
  <c r="K40" i="12"/>
  <c r="K44" i="12" s="1"/>
  <c r="H17" i="34"/>
  <c r="H21" i="34" s="1"/>
  <c r="K15" i="34"/>
  <c r="K17" i="34" s="1"/>
  <c r="K21" i="34" s="1"/>
  <c r="H40" i="12"/>
  <c r="H44" i="12" s="1"/>
  <c r="P38" i="12"/>
  <c r="P40" i="12" s="1"/>
  <c r="P44" i="12" s="1"/>
  <c r="D40" i="12"/>
  <c r="D44" i="12" s="1"/>
  <c r="I38" i="12"/>
  <c r="I40" i="12" s="1"/>
  <c r="I44" i="12" s="1"/>
  <c r="G13" i="21"/>
  <c r="N13" i="21" s="1"/>
  <c r="F13" i="21"/>
  <c r="O15" i="20"/>
  <c r="O17" i="20" s="1"/>
  <c r="O21" i="20" s="1"/>
  <c r="P15" i="20"/>
  <c r="Q17" i="11"/>
  <c r="Q21" i="11" s="1"/>
  <c r="O17" i="11"/>
  <c r="O21" i="11" s="1"/>
  <c r="N17" i="34"/>
  <c r="N21" i="34" s="1"/>
  <c r="K14" i="20"/>
  <c r="L14" i="20" s="1"/>
  <c r="L17" i="20" s="1"/>
  <c r="L21" i="20" s="1"/>
  <c r="I14" i="20"/>
  <c r="I17" i="20" s="1"/>
  <c r="I21" i="20" s="1"/>
  <c r="H17" i="20"/>
  <c r="H21" i="20" s="1"/>
  <c r="F17" i="34"/>
  <c r="F21" i="34" s="1"/>
  <c r="G15" i="34"/>
  <c r="G17" i="34" s="1"/>
  <c r="G21" i="34" s="1"/>
  <c r="F17" i="20"/>
  <c r="F21" i="20" s="1"/>
  <c r="G15" i="20"/>
  <c r="G17" i="20" s="1"/>
  <c r="G21" i="20" s="1"/>
  <c r="O16" i="23"/>
  <c r="O20" i="23" s="1"/>
  <c r="M40" i="12"/>
  <c r="M44" i="12" s="1"/>
  <c r="O13" i="21"/>
  <c r="O17" i="21" s="1"/>
  <c r="O21" i="21" s="1"/>
  <c r="L17" i="21"/>
  <c r="L21" i="21" s="1"/>
  <c r="I16" i="23"/>
  <c r="I20" i="23" s="1"/>
  <c r="J37" i="28"/>
  <c r="J40" i="28" s="1"/>
  <c r="J44" i="28" s="1"/>
  <c r="J16" i="28"/>
  <c r="J20" i="28" s="1"/>
  <c r="H13" i="21"/>
  <c r="D17" i="21"/>
  <c r="D21" i="21" s="1"/>
  <c r="P17" i="34"/>
  <c r="P21" i="34" s="1"/>
  <c r="R15" i="20"/>
  <c r="R17" i="20" s="1"/>
  <c r="R21" i="20" s="1"/>
  <c r="N17" i="20"/>
  <c r="N21" i="20" s="1"/>
  <c r="P17" i="20" l="1"/>
  <c r="P21" i="20" s="1"/>
  <c r="Q15" i="20"/>
  <c r="Q17" i="20" s="1"/>
  <c r="Q21" i="20" s="1"/>
  <c r="G17" i="21"/>
  <c r="G21" i="21" s="1"/>
  <c r="J13" i="21"/>
  <c r="J17" i="21" s="1"/>
  <c r="J21" i="21" s="1"/>
  <c r="K13" i="21"/>
  <c r="K17" i="21" s="1"/>
  <c r="K21" i="21" s="1"/>
  <c r="N17" i="21"/>
  <c r="N21" i="21" s="1"/>
  <c r="Q13" i="21"/>
  <c r="Q17" i="21" s="1"/>
  <c r="Q21" i="21" s="1"/>
  <c r="F17" i="21"/>
  <c r="F21" i="21" s="1"/>
  <c r="M13" i="21"/>
  <c r="K17" i="20"/>
  <c r="K21" i="20" s="1"/>
  <c r="I17" i="21"/>
  <c r="I21" i="21" s="1"/>
  <c r="H17" i="21"/>
  <c r="H21" i="21" s="1"/>
  <c r="M17" i="21" l="1"/>
  <c r="M21" i="21" s="1"/>
  <c r="P13" i="21"/>
  <c r="P17" i="21" s="1"/>
  <c r="P21"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s>
  <commentList>
    <comment ref="R27" authorId="0" shapeId="0" xr:uid="{4F7B621E-63D5-48B5-8621-A5A267EFC692}">
      <text>
        <r>
          <rPr>
            <b/>
            <sz val="8"/>
            <color indexed="81"/>
            <rFont val="Tahoma"/>
            <family val="2"/>
          </rPr>
          <t>De acuerdo con la Resolución 40261 Tabla 2</t>
        </r>
      </text>
    </comment>
    <comment ref="S27" authorId="0" shapeId="0" xr:uid="{A08F9DF2-239E-4FC7-AD30-80B357183B0E}">
      <text>
        <r>
          <rPr>
            <b/>
            <sz val="9"/>
            <color indexed="81"/>
            <rFont val="Tahoma"/>
            <family val="2"/>
          </rPr>
          <t>De acuerdo con la Resolución 40261 Tabla 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AC3" authorId="0" shapeId="0" xr:uid="{3DCC39E5-7CC0-4C50-B274-4AEA0F053793}">
      <text>
        <r>
          <rPr>
            <sz val="9"/>
            <color indexed="81"/>
            <rFont val="Tahoma"/>
            <family val="2"/>
          </rPr>
          <t>Inflación Año 2017</t>
        </r>
      </text>
    </commen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<sst xmlns="http://schemas.openxmlformats.org/spreadsheetml/2006/main" count="4110" uniqueCount="517">
  <si>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</si>
  <si>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</si>
  <si>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</si>
  <si>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</si>
  <si>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</si>
  <si>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</si>
  <si>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</si>
  <si>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</si>
  <si>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</si>
  <si>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</si>
  <si>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</si>
  <si>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</si>
  <si>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</si>
  <si>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</si>
  <si>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</si>
  <si>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</si>
  <si>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</si>
  <si>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</si>
  <si>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</si>
  <si>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</si>
  <si>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</si>
  <si>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</si>
  <si>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</si>
  <si>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</si>
  <si>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</si>
  <si>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</si>
  <si>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</si>
  <si>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</si>
  <si>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</si>
  <si>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</si>
  <si>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</si>
  <si>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</si>
  <si>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</si>
  <si>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</si>
  <si>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</si>
  <si>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</si>
  <si>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</si>
  <si>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</si>
  <si>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</si>
  <si>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</si>
  <si>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</si>
  <si>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</si>
  <si>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</si>
  <si>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</si>
  <si>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</si>
  <si>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</si>
  <si>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</si>
  <si>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</si>
  <si>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</si>
  <si>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</si>
  <si>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</si>
  <si>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</si>
  <si>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</si>
  <si>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</si>
  <si>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</si>
  <si>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</si>
  <si>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</si>
  <si>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</si>
  <si>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</si>
  <si>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</si>
  <si>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</si>
  <si>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</si>
  <si>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</si>
  <si>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</si>
  <si>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</si>
  <si>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</si>
  <si>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</si>
  <si>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</si>
  <si>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</si>
  <si>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</si>
  <si>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</si>
  <si>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</si>
  <si>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</si>
  <si>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</si>
  <si>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</si>
  <si>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</si>
  <si>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</si>
  <si>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</si>
  <si>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</si>
  <si>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</si>
  <si>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</si>
  <si>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</si>
  <si>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</si>
  <si>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</si>
  <si>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</si>
  <si>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</si>
  <si>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</si>
  <si>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</si>
  <si>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</si>
  <si>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</si>
  <si>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</si>
  <si>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</si>
  <si>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</si>
  <si>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</si>
  <si>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</si>
  <si>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</si>
  <si>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Gasolina Corriente</t>
  </si>
  <si>
    <t>ACPM B2</t>
  </si>
  <si>
    <t>Marcación de las actividades de distribución de la Gasolina Motor Corriente, Corriente Oxigenada, ACPM y ACPM con Biocombustibles</t>
  </si>
  <si>
    <t>Gasolina Corriente Oxigenada 8%</t>
  </si>
  <si>
    <t>ACPM B10</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</si>
  <si>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</si>
  <si>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</si>
  <si>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</si>
  <si>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</si>
  <si>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</si>
  <si>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</si>
  <si>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</si>
  <si>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</si>
  <si>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</si>
  <si>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</si>
  <si>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</si>
  <si>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</si>
  <si>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</si>
  <si>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</si>
  <si>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</si>
  <si>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</si>
  <si>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</si>
  <si>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</si>
  <si>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</si>
  <si>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</si>
  <si>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</si>
  <si>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</si>
  <si>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</si>
  <si>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</si>
  <si>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Ingreso al productor</t>
  </si>
  <si>
    <t>Tarifa de marcación</t>
  </si>
  <si>
    <t>(*)</t>
  </si>
  <si>
    <t>Impuesto Nacional a la Gasolina y al ACPM</t>
  </si>
  <si>
    <t>Impuesto sobre las Ventas</t>
  </si>
  <si>
    <t>(3)</t>
  </si>
  <si>
    <t>Impuesto al carbono</t>
  </si>
  <si>
    <t>(**)</t>
  </si>
  <si>
    <t>(***)</t>
  </si>
  <si>
    <t>Sobretasa</t>
  </si>
  <si>
    <t>(****)</t>
  </si>
  <si>
    <t>Transporte planta de abasto a estación de servicio</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</si>
  <si>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</si>
  <si>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</si>
  <si>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</si>
  <si>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</si>
  <si>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</si>
  <si>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</si>
  <si>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</si>
  <si>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</si>
  <si>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</si>
  <si>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</si>
  <si>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</si>
  <si>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</si>
  <si>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</si>
  <si>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</si>
  <si>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</si>
  <si>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</si>
  <si>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</si>
  <si>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BIOCOMBUSTIBLE B100</t>
  </si>
  <si>
    <t xml:space="preserve">Biodiesel B2 con destino a mezcla </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</si>
  <si>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</si>
  <si>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</si>
  <si>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</si>
  <si>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</si>
  <si>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</si>
  <si>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</si>
  <si>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</si>
  <si>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</si>
  <si>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</si>
  <si>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</si>
  <si>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</si>
  <si>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</si>
  <si>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</si>
  <si>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</si>
  <si>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</si>
  <si>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</si>
  <si>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</si>
  <si>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</si>
  <si>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</si>
  <si>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</si>
  <si>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</si>
  <si>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</si>
  <si>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</si>
  <si>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</si>
  <si>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</si>
  <si>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</si>
  <si>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</si>
  <si>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</si>
  <si>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</si>
  <si>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</si>
  <si>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</si>
  <si>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</si>
  <si>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</si>
  <si>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</si>
  <si>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</si>
  <si>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</si>
  <si>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</si>
  <si>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</si>
  <si>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</si>
  <si>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</si>
  <si>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</si>
  <si>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</si>
  <si>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</si>
  <si>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</si>
  <si>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</si>
  <si>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</si>
  <si>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</si>
  <si>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</si>
  <si>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</si>
  <si>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</si>
  <si>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</si>
  <si>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</si>
  <si>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</si>
  <si>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</si>
  <si>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</si>
  <si>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</si>
  <si>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</si>
  <si>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</si>
  <si>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</si>
  <si>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</si>
  <si>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</si>
  <si>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</si>
  <si>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</si>
  <si>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</si>
  <si>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</si>
  <si>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</si>
  <si>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</si>
  <si>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</si>
  <si>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</si>
  <si>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</si>
  <si>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</si>
  <si>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</si>
  <si>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</si>
  <si>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</si>
  <si>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</si>
  <si>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</si>
  <si>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</si>
  <si>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</si>
  <si>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</si>
  <si>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</si>
  <si>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</si>
  <si>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</si>
  <si>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</si>
  <si>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</si>
  <si>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</si>
  <si>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</si>
  <si>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</si>
  <si>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</si>
  <si>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</si>
  <si>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</si>
  <si>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</si>
  <si>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</si>
  <si>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</si>
  <si>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</si>
  <si>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</si>
  <si>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</si>
  <si>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</si>
  <si>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</si>
  <si>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DEPARTAMENTO DE CHOCÓ</t>
  </si>
  <si>
    <t>DEPARTAMENTO DE GUAINIA</t>
  </si>
  <si>
    <t>Valor del transporte de la planta de Inirida a las estaciones de servicio</t>
  </si>
  <si>
    <t>DEPARTAMENTO DE LA GUAJIRA</t>
  </si>
  <si>
    <t>ORIGEN: Refinería de Cartagena                                                PLANTA DE ABASTO:Ayatawocoop  y Discowacoop- ubicadas en el municipio de Maicao; abastecidas desde Galapa  y Baranoa</t>
  </si>
  <si>
    <t>DEPARTAMENTO DE LA GUAJIRA - GRANDES CONSUMIDORES</t>
  </si>
  <si>
    <t>Corresponde al valor del transporte desde la planta de abastecimiento (punto de entrega del poliducto) hasta las plantas de Maicao</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</si>
  <si>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</si>
  <si>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</si>
  <si>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</si>
  <si>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</si>
  <si>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</si>
  <si>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</si>
  <si>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</si>
  <si>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Tarifa de transporte (a. poliductos y b. biocombustibles)</t>
  </si>
  <si>
    <t>Valor correspondiente al flete desde la planta de abastecimiento mayorista hasta las estaciones de servicio de los diferentes municipios.</t>
  </si>
  <si>
    <t>DEPARTAMENTO VAUPES</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</si>
  <si>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</si>
  <si>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</si>
  <si>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</si>
  <si>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</si>
  <si>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</si>
  <si>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</si>
  <si>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</si>
  <si>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</si>
  <si>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</si>
  <si>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</si>
  <si>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</si>
  <si>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</si>
  <si>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</si>
  <si>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</si>
  <si>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</si>
  <si>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</si>
  <si>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</si>
  <si>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</si>
  <si>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</si>
  <si>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</si>
  <si>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</si>
  <si>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</si>
  <si>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r>
      <t>Tarifa de transporte</t>
    </r>
    <r>
      <rPr>
        <b/>
        <i/>
        <sz val="10"/>
        <rFont val="Calibri"/>
        <family val="2"/>
        <scheme val="minor"/>
      </rPr>
      <t xml:space="preserve"> (poliductos y biocombustibles)</t>
    </r>
  </si>
  <si>
    <t>Valor del transporte desde la plantas de abastecimiento (Chimitá, Mansilla, Tocancipá) hasta la Planta de Guainía (Puerto Inírida)</t>
  </si>
  <si>
    <t>PUTUMAYO</t>
  </si>
  <si>
    <t>DEPARTAMENTO DE PUTUMAYO</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</si>
  <si>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</si>
  <si>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</si>
  <si>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</si>
  <si>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</si>
  <si>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</si>
  <si>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</si>
  <si>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</si>
  <si>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</si>
  <si>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</si>
  <si>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</si>
  <si>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</si>
  <si>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Fuente: Resoluciones MME</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</si>
  <si>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</si>
  <si>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</si>
  <si>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</si>
  <si>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</si>
  <si>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</si>
  <si>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</si>
  <si>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</si>
  <si>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</si>
  <si>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</si>
  <si>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</si>
  <si>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</si>
  <si>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</si>
  <si>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</si>
  <si>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</si>
  <si>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</si>
  <si>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</si>
  <si>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</si>
  <si>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</si>
  <si>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</si>
  <si>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</si>
  <si>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</si>
  <si>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</si>
  <si>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</si>
  <si>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</si>
  <si>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</si>
  <si>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</si>
  <si>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</si>
  <si>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</si>
  <si>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</si>
  <si>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</si>
  <si>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</si>
  <si>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</si>
  <si>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</si>
  <si>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</si>
  <si>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</si>
  <si>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</si>
  <si>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</si>
  <si>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</si>
  <si>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</si>
  <si>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</si>
  <si>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</si>
  <si>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</si>
  <si>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</si>
  <si>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</si>
  <si>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</si>
  <si>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</si>
  <si>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</si>
  <si>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</si>
  <si>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</si>
  <si>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</si>
  <si>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</si>
  <si>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</si>
  <si>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</si>
  <si>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</si>
  <si>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</si>
  <si>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</si>
  <si>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</si>
  <si>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</si>
  <si>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</si>
  <si>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</si>
  <si>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</si>
  <si>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Biodiesel B2</t>
  </si>
  <si>
    <t>Biodiesel B2 con destino a mezcla</t>
  </si>
  <si>
    <t>Acpm mezcla</t>
  </si>
  <si>
    <t xml:space="preserve">Acpm mezcla </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</si>
  <si>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</si>
  <si>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</si>
  <si>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</si>
  <si>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t>Z74</t>
  </si>
  <si>
    <t>Remarcacion</t>
  </si>
  <si>
    <t>IP GASOLINA</t>
  </si>
  <si>
    <t>BIODIESEL B2B EXTRA</t>
  </si>
  <si>
    <t>GASOLINA MOTOR REGULAR IAD81</t>
  </si>
  <si>
    <t>GASOLINA MOTOR REGULAR</t>
  </si>
  <si>
    <t>ESTRUCTURAS DE PRECIOS PARA GASOLINA MOTOR CORRIENTE OXIGENADA VIGENTES A PARTIR DE 10 DE NOVIEMBRE 2020</t>
  </si>
  <si>
    <t>Punto medio meta inflación Banrep 2021</t>
  </si>
  <si>
    <t>OK actualizada</t>
  </si>
  <si>
    <t>Se ajusta el 1 Feb 21</t>
  </si>
  <si>
    <t>Pdte</t>
  </si>
  <si>
    <t>Punto medio meta inflación Banrep 2020</t>
  </si>
  <si>
    <t>Tarifa de transporte terrestre</t>
  </si>
  <si>
    <t>REVISAR SI CONTINUA</t>
  </si>
  <si>
    <t>B12 ZDF</t>
  </si>
  <si>
    <t>OCTUBRE</t>
  </si>
  <si>
    <t>B10 A B12</t>
  </si>
  <si>
    <t>B2- ABRIL</t>
  </si>
  <si>
    <t>Biodiesel B12</t>
  </si>
  <si>
    <t>PETRODECOL CARTAGENA 9000014799</t>
  </si>
  <si>
    <t>PRODUCTO</t>
  </si>
  <si>
    <t>Para ser distribuida en territorio Nacional</t>
  </si>
  <si>
    <t>Para ser distribuida en Zonas de Frontera</t>
  </si>
  <si>
    <t>Art 1</t>
  </si>
  <si>
    <t>GMC</t>
  </si>
  <si>
    <r>
      <t>12,94</t>
    </r>
    <r>
      <rPr>
        <sz val="11"/>
        <color rgb="FFFF0000"/>
        <rFont val="Calibri"/>
        <family val="2"/>
        <scheme val="minor"/>
      </rPr>
      <t>**</t>
    </r>
  </si>
  <si>
    <t>Art 2</t>
  </si>
  <si>
    <t>Art 3</t>
  </si>
  <si>
    <t>Art 4</t>
  </si>
  <si>
    <t>** Remarcación: marcación nacional mas marcación para zona de frontera</t>
  </si>
  <si>
    <r>
      <t xml:space="preserve">GMC </t>
    </r>
    <r>
      <rPr>
        <sz val="9"/>
        <color theme="1"/>
        <rFont val="Calibri"/>
        <family val="2"/>
        <scheme val="minor"/>
      </rPr>
      <t>oxigenada</t>
    </r>
  </si>
  <si>
    <r>
      <t xml:space="preserve">ACPM </t>
    </r>
    <r>
      <rPr>
        <sz val="9"/>
        <color theme="1"/>
        <rFont val="Calibri"/>
        <family val="2"/>
        <scheme val="minor"/>
      </rPr>
      <t>mezclado con biocombustible</t>
    </r>
  </si>
  <si>
    <r>
      <t xml:space="preserve">GMC </t>
    </r>
    <r>
      <rPr>
        <i/>
        <sz val="9"/>
        <color theme="1"/>
        <rFont val="Calibri"/>
        <family val="2"/>
        <scheme val="minor"/>
      </rPr>
      <t>Importada</t>
    </r>
  </si>
  <si>
    <r>
      <t xml:space="preserve">GMC </t>
    </r>
    <r>
      <rPr>
        <i/>
        <sz val="9"/>
        <color theme="1"/>
        <rFont val="Calibri"/>
        <family val="2"/>
        <scheme val="minor"/>
      </rPr>
      <t>oxig importada</t>
    </r>
  </si>
  <si>
    <r>
      <t xml:space="preserve">ACPM </t>
    </r>
    <r>
      <rPr>
        <i/>
        <sz val="9"/>
        <color theme="1"/>
        <rFont val="Calibri"/>
        <family val="2"/>
        <scheme val="minor"/>
      </rPr>
      <t>Importada</t>
    </r>
  </si>
  <si>
    <t>4,55.</t>
  </si>
  <si>
    <t>Resolucion 90302 del 30 Abril de 2013</t>
  </si>
  <si>
    <t>2013 Resolucion 90302 Abril de 2013</t>
  </si>
  <si>
    <t>Costos de conversión de las actividades de reconversión socio-laboral -Resolución 90302 del 30 de abril de 2013</t>
  </si>
  <si>
    <t>De acuerdo con lo establecido en la Resolución 40111 de MME se establecerá un incremento escalonado según Paragrafo 3 Tabla 2</t>
  </si>
  <si>
    <t>De acuerdo con lo establecido en la Resolución 40111 de MME Articulo 4</t>
  </si>
  <si>
    <t>En los departamentos y en las circunstancias donde se aplique doble marcación se deberá cobrar la tarifa adicional correspondiente</t>
  </si>
  <si>
    <t>LA GUAJIRA (Rioacha)</t>
  </si>
  <si>
    <t>CESAR( Valledupar)</t>
  </si>
  <si>
    <t>CESAR (La Jagua, La Paz)</t>
  </si>
  <si>
    <t>DEPARTAMENTO DE CESAR (Valledupar)</t>
  </si>
  <si>
    <t>DEPARTAMENTO DE CESAR (La Jagua, La Paz)</t>
  </si>
  <si>
    <t>DEPARTAMENTO DE LA GUAJIRA (Rioacha)</t>
  </si>
  <si>
    <t>CHEQUEO B4</t>
  </si>
  <si>
    <t>Valor de referencia de sobretasa según  la Ley 2093 del 29 Junio 2021 por medio de la cual se modifican las Leyes 488 de 1998 y 788 de 2002</t>
  </si>
  <si>
    <t>(5)</t>
  </si>
  <si>
    <t>De acuerdo con lo establecido en la Resolución 40111 de MME se establecerá un incremento escalonado según Paragrafo 1 Tabla 1 para la Gasolina Motor corriente y paragrafo 3 Tabla 2 para la mezcla Bio</t>
  </si>
  <si>
    <t>De acuerdo con lo establecido en la Resolución 40111 de MME se establecerá un incremento escalonado según Paragrafo 1 Tabla 1 para la Gasolina Motor corriente en Cesar municipio de Rio de Oro y paragrafo 3 Tabla 2 para la mezcla Bio</t>
  </si>
  <si>
    <t xml:space="preserve">De acuerdo con lo establecido en la Resolución 40111 de MME </t>
  </si>
  <si>
    <t>CHOCO</t>
  </si>
  <si>
    <t>GUAJIRA</t>
  </si>
  <si>
    <t>CDF CESAR RIO DE ORO</t>
  </si>
  <si>
    <t>ELECTROCOMBUSTIBLE (EC0)</t>
  </si>
  <si>
    <t>ELECTROCOMBUSTIBLE (EC2)</t>
  </si>
  <si>
    <t>CHEQUEO B10</t>
  </si>
  <si>
    <t>CHEQUEO B12</t>
  </si>
  <si>
    <t>B10 A B12 resolución 40111</t>
  </si>
  <si>
    <r>
      <t xml:space="preserve">B5 ZDF
</t>
    </r>
    <r>
      <rPr>
        <sz val="9"/>
        <color theme="1"/>
        <rFont val="Calibri"/>
        <family val="2"/>
        <scheme val="minor"/>
      </rPr>
      <t>(a partir Oct 2021)</t>
    </r>
  </si>
  <si>
    <t xml:space="preserve">ESTRUCTURAS DE PRECIOS PARA LA MEZCLA DE BIOCOMBUSTIBLE PARA USO EN MOTORES DIESEL CON EL ACPM VIGENTES A PARTIR </t>
  </si>
  <si>
    <t>GASOLINA M CORRIENTE OXIGENADA E5 
(a partir Oct 2021)</t>
  </si>
  <si>
    <r>
      <t xml:space="preserve">VICHADA </t>
    </r>
    <r>
      <rPr>
        <sz val="8"/>
        <rFont val="Calibri"/>
        <family val="2"/>
        <scheme val="minor"/>
      </rPr>
      <t>(Puerto Carreño)</t>
    </r>
  </si>
  <si>
    <r>
      <t xml:space="preserve">VICHADA </t>
    </r>
    <r>
      <rPr>
        <sz val="8"/>
        <rFont val="Calibri"/>
        <family val="2"/>
        <scheme val="minor"/>
      </rPr>
      <t>(Cumaribo/Primavera)</t>
    </r>
  </si>
  <si>
    <t>Biodiesel B5</t>
  </si>
  <si>
    <t>CHEQUEO B5</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</si>
  <si>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</si>
  <si>
    <t>Oxigenada 5%</t>
  </si>
  <si>
    <t xml:space="preserve">Biodiesel B5 con destino a mezcla </t>
  </si>
  <si>
    <t>Punto medio meta inflación Banrep 2019</t>
  </si>
  <si>
    <t>Punto medio meta inflación Banrep 2018</t>
  </si>
  <si>
    <t>Punto medio meta inflación Banrep 2022</t>
  </si>
  <si>
    <t>DEPARTAMENTO VICHADA (Cumaribo, La Primavera)</t>
  </si>
  <si>
    <t>VICHADA (Cumaribo, La Primavera)</t>
  </si>
  <si>
    <t>Oxigena 5%</t>
  </si>
  <si>
    <t>EC3</t>
  </si>
  <si>
    <t>ELECTROCOMBUSTIBLE (EC3)</t>
  </si>
  <si>
    <t>Biodiesel B3</t>
  </si>
  <si>
    <t>Oxigenada 6%</t>
  </si>
  <si>
    <t>Oxigena 6%</t>
  </si>
  <si>
    <t>Biodiesel B11</t>
  </si>
  <si>
    <t>B11 ZDF</t>
  </si>
  <si>
    <t>(6) La base gravable y tarifa del impuesto nacional a la Gasolina, ACPM e impuesto al carbono que entrarán en vigencia a partir del 1° de febrero de 2022 se publica de acuerdo con el proyecto de resolución  disponible en el sitio web de la Unidad Administrativa Especial Dirección de Impuestos y Aduanas Nacionales -DIAN para dicha vigencia. En todo caso el presente valor corresponderá al definido en firme por la DIAN</t>
  </si>
  <si>
    <t>Impuesto al carbono (6)</t>
  </si>
  <si>
    <t>Impuesto Nacional a la gasolina y al ACPM (6)</t>
  </si>
  <si>
    <t xml:space="preserve">Impuesto Nacional a la gasolina y al ACPM </t>
  </si>
  <si>
    <t>3. Impuesto al carbono</t>
  </si>
  <si>
    <t xml:space="preserve">Acpm  </t>
  </si>
  <si>
    <t>B10 ZDF</t>
  </si>
  <si>
    <t>DEPARTAMENTO VICHADA (Puerto Carreño)</t>
  </si>
  <si>
    <r>
      <t>13,33</t>
    </r>
    <r>
      <rPr>
        <sz val="11"/>
        <color rgb="FFFF0000"/>
        <rFont val="Calibri"/>
        <family val="2"/>
        <scheme val="minor"/>
      </rPr>
      <t>**</t>
    </r>
  </si>
  <si>
    <t xml:space="preserve"> PLANTA DE ABASTO: Plantas autorizadas por el plan de abastecimiento del MME</t>
  </si>
  <si>
    <t xml:space="preserve"> Plantas de abasto: las autorizadas de acuerdo con el plan de abastecimiento del MME</t>
  </si>
  <si>
    <t>De acuerdo con lo establecido en la Resoluccion 91349 de 2014 del MME para combustible de origen nacional o importado a ser distribuido en zonas de frontera, aplica la tarifa de marcación o remarcación vigente a la fecha según corresponda</t>
  </si>
  <si>
    <t xml:space="preserve">Biodiesel B2 </t>
  </si>
  <si>
    <t>OJO ACTUALIZAR</t>
  </si>
  <si>
    <r>
      <t xml:space="preserve">GAS CORRIENTE </t>
    </r>
    <r>
      <rPr>
        <b/>
        <sz val="12"/>
        <rFont val="Calibri"/>
        <family val="2"/>
        <scheme val="minor"/>
      </rPr>
      <t xml:space="preserve"> </t>
    </r>
    <r>
      <rPr>
        <b/>
        <sz val="16"/>
        <rFont val="Calibri"/>
        <family val="2"/>
        <scheme val="minor"/>
      </rPr>
      <t>E10</t>
    </r>
  </si>
  <si>
    <r>
      <t xml:space="preserve">GAS CORRIENTE
 </t>
    </r>
    <r>
      <rPr>
        <b/>
        <sz val="11"/>
        <color theme="1"/>
        <rFont val="Calibri"/>
        <family val="2"/>
        <scheme val="minor"/>
      </rPr>
      <t xml:space="preserve"> E4</t>
    </r>
  </si>
  <si>
    <r>
      <t xml:space="preserve">GAS CORRIENTE 
</t>
    </r>
    <r>
      <rPr>
        <b/>
        <sz val="16"/>
        <color rgb="FFFF0000"/>
        <rFont val="Calibri"/>
        <family val="2"/>
        <scheme val="minor"/>
      </rPr>
      <t>E5</t>
    </r>
  </si>
  <si>
    <r>
      <t xml:space="preserve">GAS CORRIENTE 
</t>
    </r>
    <r>
      <rPr>
        <b/>
        <sz val="12"/>
        <rFont val="Calibri"/>
        <family val="2"/>
        <scheme val="minor"/>
      </rPr>
      <t xml:space="preserve"> </t>
    </r>
    <r>
      <rPr>
        <b/>
        <sz val="16"/>
        <rFont val="Calibri"/>
        <family val="2"/>
        <scheme val="minor"/>
      </rPr>
      <t>E6</t>
    </r>
  </si>
  <si>
    <t>Gasolina Corriente E10</t>
  </si>
  <si>
    <t>Gasolina Corriente E5</t>
  </si>
  <si>
    <t>Por encima del Cupo</t>
  </si>
  <si>
    <t>Oxigenada 4%</t>
  </si>
  <si>
    <t>Gasolina Corriente E4</t>
  </si>
  <si>
    <t>Oxigena 4%</t>
  </si>
  <si>
    <t>Z74 (ECP) / Z51 (MNAL)</t>
  </si>
  <si>
    <t>AÑO</t>
  </si>
  <si>
    <t>Septiembre</t>
  </si>
  <si>
    <t>año</t>
  </si>
  <si>
    <t>gal</t>
  </si>
  <si>
    <t>%</t>
  </si>
  <si>
    <t>GMR</t>
  </si>
  <si>
    <t>ACPM Base para Mezcla</t>
  </si>
  <si>
    <t>ACPM Base</t>
  </si>
  <si>
    <t>SIN CUPO</t>
  </si>
  <si>
    <t>Biodiesel B2 ZDF</t>
  </si>
  <si>
    <t>CON CUPO</t>
  </si>
  <si>
    <t xml:space="preserve">Biodiesel B5 </t>
  </si>
  <si>
    <r>
      <t xml:space="preserve">GAS CORRIENTE
 </t>
    </r>
    <r>
      <rPr>
        <b/>
        <sz val="11"/>
        <color theme="1"/>
        <rFont val="Calibri"/>
        <family val="2"/>
        <scheme val="minor"/>
      </rPr>
      <t xml:space="preserve"> E2</t>
    </r>
  </si>
  <si>
    <t>Oxigenada 2%</t>
  </si>
  <si>
    <t>Gasolina Corriente E2</t>
  </si>
  <si>
    <t>2%</t>
  </si>
  <si>
    <t>4%</t>
  </si>
  <si>
    <t>Oxigena 2%</t>
  </si>
  <si>
    <t>Biodiesel B8</t>
  </si>
  <si>
    <t>B8</t>
  </si>
  <si>
    <t>DEPARTAMENTO DE CESAR ( Rió de Oro)</t>
  </si>
  <si>
    <t>Punto medio meta inflación Banrep 2023</t>
  </si>
  <si>
    <t>Gasolina corriente</t>
  </si>
  <si>
    <t>Ecopetrol</t>
  </si>
  <si>
    <t>E2</t>
  </si>
  <si>
    <t>SAN ANDRÉS</t>
  </si>
  <si>
    <t>PROVIDENCIA Y SANTA CATALINA</t>
  </si>
  <si>
    <t>04.11.2023</t>
  </si>
  <si>
    <t>Vigencia: 04 de Noviembre de 2023; 00:00 horas</t>
  </si>
  <si>
    <t>30.11.2023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</si>
</sst>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 numFmtId="173" formatCode="&quot;Oxigenada&quot;\ \4\%"/>
    <numFmt numFmtId="174" formatCode="0.000"/>
    <numFmt numFmtId="175" formatCode="0.0000"/>
    <numFmt numFmtId="176" formatCode="0.00000"/>
    <numFmt numFmtId="177" formatCode="_-* #,##0.000_-;\-* #,##0.000_-;_-* &quot;-&quot;_-;_-@_-"/>
    <numFmt numFmtId="178" formatCode="&quot;Oxigenada&quot;\ 0\%"/>
    <numFmt numFmtId="179" formatCode="_-* #,##0.0000000_-;\-* #,##0.0000000_-;_-* &quot;-&quot;_-;_-@_-"/>
    <numFmt numFmtId="180" formatCode="_-* #,##0.0_-;\-* #,##0.0_-;_-* &quot;-&quot;??_-;_-@_-"/>
    <numFmt numFmtId="181" formatCode="_-* #,##0_-;\-* #,##0_-;_-* &quot;-&quot;??_-;_-@_-"/>
    <numFmt numFmtId="182" formatCode="0.000000"/>
  </numFmts>
  <fonts count="84"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name val="Arial"/>
      <family val="2"/>
    </font>
    <font>
      <sz val="14"/>
      <color theme="0"/>
      <name val="Arial"/>
      <family val="2"/>
    </font>
    <font>
      <sz val="8"/>
      <color theme="0"/>
      <name val="Arial"/>
      <family val="2"/>
    </font>
    <font>
      <b/>
      <sz val="11"/>
      <name val="Arial"/>
      <family val="2"/>
    </font>
    <font>
      <sz val="10"/>
      <color theme="0" tint="-0.499984740745262"/>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sz val="10"/>
      <color rgb="FFC0000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i/>
      <sz val="10"/>
      <name val="Calibri"/>
      <family val="2"/>
      <scheme val="minor"/>
    </font>
    <font>
      <sz val="11"/>
      <color rgb="FFFF0000"/>
      <name val="Calibri"/>
      <family val="2"/>
      <scheme val="minor"/>
    </font>
    <font>
      <sz val="10"/>
      <color rgb="FFFF0000"/>
      <name val="Arial"/>
      <family val="2"/>
    </font>
    <font>
      <b/>
      <sz val="10"/>
      <color theme="0" tint="-0.34998626667073579"/>
      <name val="Arial"/>
      <family val="2"/>
    </font>
    <font>
      <sz val="11"/>
      <name val="Calibri"/>
      <family val="2"/>
    </font>
    <font>
      <sz val="11"/>
      <color rgb="FFFF0000"/>
      <name val="Arial"/>
      <family val="2"/>
    </font>
    <font>
      <sz val="11"/>
      <color theme="0" tint="-4.9989318521683403E-2"/>
      <name val="Calibri"/>
      <family val="2"/>
      <scheme val="minor"/>
    </font>
    <font>
      <i/>
      <sz val="11"/>
      <color theme="1"/>
      <name val="Calibri"/>
      <family val="2"/>
      <scheme val="minor"/>
    </font>
    <font>
      <i/>
      <sz val="9"/>
      <color theme="1"/>
      <name val="Calibri"/>
      <family val="2"/>
      <scheme val="minor"/>
    </font>
    <font>
      <sz val="10"/>
      <color theme="3" tint="0.39997558519241921"/>
      <name val="Calibri"/>
      <family val="2"/>
      <scheme val="minor"/>
    </font>
    <font>
      <b/>
      <sz val="16"/>
      <color rgb="FFFF0000"/>
      <name val="Calibri"/>
      <family val="2"/>
      <scheme val="minor"/>
    </font>
    <font>
      <b/>
      <sz val="8"/>
      <color indexed="81"/>
      <name val="Tahoma"/>
      <family val="2"/>
    </font>
    <font>
      <b/>
      <sz val="8"/>
      <color theme="1"/>
      <name val="Calibri"/>
      <family val="2"/>
      <scheme val="minor"/>
    </font>
    <font>
      <sz val="8"/>
      <name val="Calibri"/>
      <family val="2"/>
      <scheme val="minor"/>
    </font>
    <font>
      <sz val="12"/>
      <color rgb="FFFF0000"/>
      <name val="Calibri"/>
      <family val="2"/>
    </font>
    <font>
      <b/>
      <sz val="10"/>
      <color theme="1"/>
      <name val="Verdana"/>
      <family val="2"/>
    </font>
    <font>
      <u/>
      <sz val="11"/>
      <color theme="10"/>
      <name val="Calibri"/>
      <family val="2"/>
      <scheme val="minor"/>
    </font>
    <font>
      <b/>
      <sz val="8"/>
      <name val="Calibri"/>
      <family val="2"/>
      <scheme val="minor"/>
    </font>
    <font>
      <b/>
      <sz val="12"/>
      <name val="Calibri"/>
      <family val="2"/>
      <scheme val="minor"/>
    </font>
    <font>
      <sz val="12"/>
      <color theme="1"/>
      <name val="Calibri"/>
      <family val="2"/>
      <scheme val="minor"/>
    </font>
    <font>
      <b/>
      <sz val="11"/>
      <name val="Calibri"/>
      <family val="2"/>
      <scheme val="minor"/>
    </font>
    <font>
      <b/>
      <sz val="12"/>
      <name val="Arial"/>
      <family val="2"/>
    </font>
    <font>
      <sz val="14"/>
      <name val="Arial"/>
      <family val="2"/>
    </font>
    <font>
      <sz val="16"/>
      <color rgb="FFFF0000"/>
      <name val="Calibri"/>
      <family val="2"/>
      <scheme val="minor"/>
    </font>
    <font>
      <b/>
      <sz val="11"/>
      <color theme="0" tint="-4.9989318521683403E-2"/>
      <name val="Calibri"/>
      <family val="2"/>
      <scheme val="minor"/>
    </font>
  </fonts>
  <fills count="37">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CCFF66"/>
        <bgColor indexed="64"/>
      </patternFill>
    </fill>
    <fill>
      <patternFill patternType="solid">
        <fgColor theme="8" tint="0.79998168889431442"/>
        <bgColor indexed="64"/>
      </patternFill>
    </fill>
    <fill>
      <patternFill patternType="solid">
        <fgColor rgb="FFFFFF99"/>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style="double">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diagonal/>
    </border>
    <border>
      <left/>
      <right/>
      <top/>
      <bottom style="double">
        <color rgb="FF92D050"/>
      </bottom>
      <diagonal/>
    </border>
    <border>
      <left/>
      <right/>
      <top style="thin">
        <color indexed="64"/>
      </top>
      <bottom style="dotted">
        <color rgb="FF92D050"/>
      </bottom>
      <diagonal/>
    </border>
    <border>
      <left style="mediumDashed">
        <color theme="0" tint="-0.24994659260841701"/>
      </left>
      <right style="mediumDashed">
        <color theme="0" tint="-0.24994659260841701"/>
      </right>
      <top style="mediumDashed">
        <color theme="0" tint="-0.24994659260841701"/>
      </top>
      <bottom/>
      <diagonal/>
    </border>
    <border>
      <left style="mediumDashed">
        <color theme="0" tint="-0.24994659260841701"/>
      </left>
      <right style="mediumDashed">
        <color theme="0" tint="-0.24994659260841701"/>
      </right>
      <top/>
      <bottom/>
      <diagonal/>
    </border>
    <border>
      <left style="mediumDashed">
        <color theme="0" tint="-0.24994659260841701"/>
      </left>
      <right style="mediumDashed">
        <color theme="0" tint="-0.24994659260841701"/>
      </right>
      <top/>
      <bottom style="mediumDashed">
        <color theme="0" tint="-0.24994659260841701"/>
      </bottom>
      <diagonal/>
    </border>
    <border>
      <left style="dotted">
        <color rgb="FF92D050"/>
      </left>
      <right style="dotted">
        <color rgb="FF92D050"/>
      </right>
      <top/>
      <bottom style="double">
        <color rgb="FF92D050"/>
      </bottom>
      <diagonal/>
    </border>
    <border>
      <left style="thin">
        <color theme="0"/>
      </left>
      <right style="dotted">
        <color rgb="FF92D050"/>
      </right>
      <top style="thin">
        <color theme="0"/>
      </top>
      <bottom style="thin">
        <color theme="0"/>
      </bottom>
      <diagonal/>
    </border>
    <border>
      <left style="dotted">
        <color rgb="FF92D050"/>
      </left>
      <right style="dotted">
        <color rgb="FF92D05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dotted">
        <color rgb="FF92D050"/>
      </left>
      <right/>
      <top style="dotted">
        <color rgb="FF92D050"/>
      </top>
      <bottom/>
      <diagonal/>
    </border>
    <border>
      <left/>
      <right/>
      <top style="dotted">
        <color rgb="FF92D050"/>
      </top>
      <bottom style="thin">
        <color indexed="64"/>
      </bottom>
      <diagonal/>
    </border>
    <border>
      <left/>
      <right style="double">
        <color rgb="FF92D050"/>
      </right>
      <top/>
      <bottom style="double">
        <color rgb="FF92D050"/>
      </bottom>
      <diagonal/>
    </border>
    <border>
      <left style="double">
        <color rgb="FF92D050"/>
      </left>
      <right style="dashed">
        <color rgb="FF92D050"/>
      </right>
      <top style="double">
        <color rgb="FF92D050"/>
      </top>
      <bottom style="dashed">
        <color rgb="FF92D050"/>
      </bottom>
      <diagonal/>
    </border>
    <border>
      <left style="dashed">
        <color rgb="FF92D050"/>
      </left>
      <right style="dashed">
        <color rgb="FF92D050"/>
      </right>
      <top style="double">
        <color rgb="FF92D050"/>
      </top>
      <bottom style="dashed">
        <color rgb="FF92D050"/>
      </bottom>
      <diagonal/>
    </border>
    <border>
      <left style="dashed">
        <color rgb="FF92D050"/>
      </left>
      <right style="double">
        <color rgb="FF92D050"/>
      </right>
      <top style="double">
        <color rgb="FF92D050"/>
      </top>
      <bottom style="dashed">
        <color rgb="FF92D050"/>
      </bottom>
      <diagonal/>
    </border>
    <border>
      <left style="dashed">
        <color rgb="FF92D050"/>
      </left>
      <right style="double">
        <color rgb="FF92D050"/>
      </right>
      <top style="dashed">
        <color rgb="FF92D050"/>
      </top>
      <bottom style="dashed">
        <color rgb="FF92D050"/>
      </bottom>
      <diagonal/>
    </border>
    <border>
      <left style="dashed">
        <color rgb="FF92D050"/>
      </left>
      <right style="double">
        <color rgb="FF92D050"/>
      </right>
      <top style="dashed">
        <color rgb="FF92D050"/>
      </top>
      <bottom style="double">
        <color rgb="FF92D050"/>
      </bottom>
      <diagonal/>
    </border>
    <border>
      <left style="dashed">
        <color rgb="FF92D050"/>
      </left>
      <right/>
      <top style="dotted">
        <color rgb="FF92D050"/>
      </top>
      <bottom style="dotted">
        <color rgb="FF92D050"/>
      </bottom>
      <diagonal/>
    </border>
    <border>
      <left style="double">
        <color rgb="FF92D050"/>
      </left>
      <right/>
      <top/>
      <bottom style="dashed">
        <color rgb="FF92D050"/>
      </bottom>
      <diagonal/>
    </border>
    <border>
      <left/>
      <right/>
      <top/>
      <bottom style="dashed">
        <color rgb="FF92D050"/>
      </bottom>
      <diagonal/>
    </border>
    <border>
      <left/>
      <right style="double">
        <color rgb="FF92D050"/>
      </right>
      <top/>
      <bottom style="dashed">
        <color rgb="FF92D050"/>
      </bottom>
      <diagonal/>
    </border>
  </borders>
  <cellStyleXfs count="14">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31" fillId="0" borderId="0" applyNumberFormat="0" applyFill="0" applyBorder="0" applyAlignment="0" applyProtection="0">
      <alignment vertical="top"/>
      <protection locked="0"/>
    </xf>
    <xf numFmtId="0" fontId="43" fillId="0" borderId="0"/>
    <xf numFmtId="41" fontId="1" fillId="0" borderId="0" applyFont="0" applyFill="0" applyBorder="0" applyAlignment="0" applyProtection="0"/>
    <xf numFmtId="0" fontId="75" fillId="0" borderId="0" applyNumberFormat="0" applyFill="0" applyBorder="0" applyAlignment="0" applyProtection="0"/>
    <xf numFmtId="9" fontId="9" fillId="0" borderId="0" applyFont="0" applyFill="0" applyBorder="0" applyAlignment="0" applyProtection="0"/>
  </cellStyleXfs>
  <cellXfs count="895">
    <xf numFmtId="0" fontId="0" fillId="0" borderId="0" xfId="0"/>
    <xf numFmtId="0" fontId="2" fillId="0" borderId="0" xfId="0" applyFont="1"/>
    <xf numFmtId="0" fontId="0" fillId="0" borderId="0" xfId="0"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Border="1" applyAlignment="1">
      <alignment horizontal="center"/>
    </xf>
    <xf numFmtId="43" fontId="0" fillId="2" borderId="1" xfId="0" applyNumberFormat="1" applyFill="1" applyBorder="1"/>
    <xf numFmtId="0" fontId="7" fillId="0" borderId="0" xfId="0" applyFont="1"/>
    <xf numFmtId="0" fontId="7" fillId="0" borderId="1" xfId="0" applyFont="1" applyBorder="1"/>
    <xf numFmtId="0" fontId="8" fillId="0" borderId="1" xfId="0" applyFont="1" applyBorder="1"/>
    <xf numFmtId="0" fontId="0" fillId="0" borderId="0" xfId="1" applyNumberFormat="1" applyFont="1"/>
    <xf numFmtId="0" fontId="0" fillId="3" borderId="1" xfId="0" applyFill="1" applyBorder="1" applyAlignment="1">
      <alignment horizontal="center"/>
    </xf>
    <xf numFmtId="164" fontId="0" fillId="2" borderId="1" xfId="1" applyNumberFormat="1" applyFont="1" applyFill="1" applyBorder="1"/>
    <xf numFmtId="0" fontId="0" fillId="4" borderId="0" xfId="0" applyFill="1"/>
    <xf numFmtId="0" fontId="10" fillId="0" borderId="0" xfId="0" applyFont="1"/>
    <xf numFmtId="0" fontId="0" fillId="2" borderId="0" xfId="0" applyFill="1"/>
    <xf numFmtId="0" fontId="0" fillId="0" borderId="1" xfId="0" applyBorder="1"/>
    <xf numFmtId="10" fontId="0" fillId="0" borderId="1" xfId="0" applyNumberFormat="1" applyBorder="1"/>
    <xf numFmtId="0" fontId="0" fillId="0" borderId="2" xfId="0" applyBorder="1"/>
    <xf numFmtId="10" fontId="0" fillId="0" borderId="10" xfId="0" applyNumberFormat="1" applyBorder="1"/>
    <xf numFmtId="10" fontId="0" fillId="0" borderId="11" xfId="0" applyNumberFormat="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14" fillId="9" borderId="0" xfId="0" applyFont="1" applyFill="1" applyAlignment="1" applyProtection="1">
      <alignment vertical="center"/>
      <protection hidden="1"/>
    </xf>
    <xf numFmtId="0" fontId="14" fillId="0" borderId="0" xfId="0" applyFont="1" applyAlignment="1" applyProtection="1">
      <alignment vertical="center"/>
      <protection hidden="1"/>
    </xf>
    <xf numFmtId="0" fontId="15" fillId="11" borderId="0" xfId="0" applyFont="1" applyFill="1" applyAlignment="1" applyProtection="1">
      <alignment horizontal="center" vertical="center"/>
      <protection hidden="1"/>
    </xf>
    <xf numFmtId="15" fontId="16" fillId="12" borderId="25" xfId="0" quotePrefix="1" applyNumberFormat="1" applyFont="1" applyFill="1" applyBorder="1" applyAlignment="1" applyProtection="1">
      <alignment horizontal="center" vertical="center" wrapText="1"/>
      <protection hidden="1"/>
    </xf>
    <xf numFmtId="43" fontId="17" fillId="0" borderId="22" xfId="4" applyFont="1" applyFill="1" applyBorder="1" applyAlignment="1" applyProtection="1">
      <alignment vertical="center" wrapText="1"/>
      <protection hidden="1"/>
    </xf>
    <xf numFmtId="43" fontId="17" fillId="0" borderId="23" xfId="4" applyFont="1" applyFill="1" applyBorder="1" applyAlignment="1" applyProtection="1">
      <alignment horizontal="center" vertical="center" wrapText="1"/>
      <protection hidden="1"/>
    </xf>
    <xf numFmtId="0" fontId="18" fillId="0" borderId="0" xfId="0" applyFont="1" applyAlignment="1" applyProtection="1">
      <alignment horizontal="justify" vertical="top" wrapText="1"/>
      <protection hidden="1"/>
    </xf>
    <xf numFmtId="0" fontId="15" fillId="13" borderId="0" xfId="0" applyFont="1" applyFill="1" applyAlignment="1" applyProtection="1">
      <alignment vertical="center"/>
      <protection hidden="1"/>
    </xf>
    <xf numFmtId="0" fontId="13" fillId="12" borderId="33" xfId="0" quotePrefix="1" applyFont="1" applyFill="1" applyBorder="1" applyAlignment="1" applyProtection="1">
      <alignment horizontal="center" vertical="center" wrapText="1"/>
      <protection hidden="1"/>
    </xf>
    <xf numFmtId="15" fontId="16" fillId="12" borderId="34" xfId="0" applyNumberFormat="1" applyFont="1" applyFill="1" applyBorder="1" applyAlignment="1" applyProtection="1">
      <alignment horizontal="center" vertical="center" wrapText="1"/>
      <protection hidden="1"/>
    </xf>
    <xf numFmtId="0" fontId="17" fillId="0" borderId="28" xfId="0" applyFont="1" applyBorder="1" applyAlignment="1" applyProtection="1">
      <alignment horizontal="left" vertical="center" wrapText="1"/>
      <protection hidden="1"/>
    </xf>
    <xf numFmtId="0" fontId="17" fillId="0" borderId="35" xfId="0" applyFont="1" applyBorder="1" applyAlignment="1" applyProtection="1">
      <alignment horizontal="left" vertical="center" wrapText="1"/>
      <protection hidden="1"/>
    </xf>
    <xf numFmtId="43" fontId="17" fillId="0" borderId="22" xfId="4" applyFont="1" applyFill="1" applyBorder="1" applyAlignment="1" applyProtection="1">
      <alignment horizontal="right" vertical="center" wrapText="1"/>
      <protection hidden="1"/>
    </xf>
    <xf numFmtId="43" fontId="17" fillId="13" borderId="23" xfId="4" applyFont="1" applyFill="1" applyBorder="1" applyAlignment="1" applyProtection="1">
      <alignment horizontal="right" vertical="center" wrapText="1"/>
      <protection hidden="1"/>
    </xf>
    <xf numFmtId="0" fontId="17" fillId="0" borderId="29" xfId="0" applyFont="1" applyBorder="1" applyAlignment="1" applyProtection="1">
      <alignment horizontal="left" vertical="center" wrapText="1"/>
      <protection hidden="1"/>
    </xf>
    <xf numFmtId="0" fontId="17" fillId="0" borderId="36" xfId="0" applyFont="1" applyBorder="1" applyAlignment="1" applyProtection="1">
      <alignment horizontal="left" vertical="center" wrapText="1"/>
      <protection hidden="1"/>
    </xf>
    <xf numFmtId="43" fontId="17" fillId="0" borderId="25" xfId="4" applyFont="1" applyFill="1" applyBorder="1" applyAlignment="1" applyProtection="1">
      <alignment horizontal="right" vertical="center" wrapText="1"/>
      <protection hidden="1"/>
    </xf>
    <xf numFmtId="2" fontId="17" fillId="0" borderId="26" xfId="0" applyNumberFormat="1" applyFont="1" applyBorder="1" applyAlignment="1" applyProtection="1">
      <alignment horizontal="right" vertical="center" wrapText="1"/>
      <protection hidden="1"/>
    </xf>
    <xf numFmtId="0" fontId="14" fillId="13" borderId="0" xfId="0" applyFont="1" applyFill="1" applyAlignment="1" applyProtection="1">
      <alignment vertical="center"/>
      <protection hidden="1"/>
    </xf>
    <xf numFmtId="43" fontId="17" fillId="9" borderId="0" xfId="4" applyFont="1" applyFill="1" applyBorder="1" applyAlignment="1" applyProtection="1">
      <alignment vertical="center" wrapText="1"/>
      <protection hidden="1"/>
    </xf>
    <xf numFmtId="43" fontId="17" fillId="9" borderId="0" xfId="4" applyFont="1" applyFill="1" applyBorder="1" applyAlignment="1" applyProtection="1">
      <alignment horizontal="center" vertical="center" wrapText="1"/>
      <protection hidden="1"/>
    </xf>
    <xf numFmtId="0" fontId="9" fillId="13" borderId="0" xfId="0" applyFont="1" applyFill="1" applyAlignment="1" applyProtection="1">
      <alignment vertical="center"/>
      <protection hidden="1"/>
    </xf>
    <xf numFmtId="0" fontId="18" fillId="0" borderId="0" xfId="0" applyFont="1" applyAlignment="1" applyProtection="1">
      <alignment horizontal="justify" vertical="center" wrapText="1"/>
      <protection hidden="1"/>
    </xf>
    <xf numFmtId="0" fontId="22" fillId="0" borderId="0" xfId="0" applyFont="1" applyAlignment="1" applyProtection="1">
      <alignment horizontal="left" vertical="center" wrapText="1"/>
      <protection hidden="1"/>
    </xf>
    <xf numFmtId="43" fontId="22" fillId="0" borderId="0" xfId="4" applyFont="1" applyFill="1" applyBorder="1" applyAlignment="1" applyProtection="1">
      <alignment horizontal="right" vertical="center" wrapText="1"/>
      <protection hidden="1"/>
    </xf>
    <xf numFmtId="0" fontId="9" fillId="13" borderId="0" xfId="0" applyFont="1" applyFill="1" applyAlignment="1" applyProtection="1">
      <alignment vertical="top"/>
      <protection hidden="1"/>
    </xf>
    <xf numFmtId="43" fontId="17" fillId="0" borderId="23" xfId="4" applyFont="1" applyFill="1" applyBorder="1" applyAlignment="1" applyProtection="1">
      <alignment horizontal="right" vertical="center" wrapText="1"/>
      <protection hidden="1"/>
    </xf>
    <xf numFmtId="0" fontId="24" fillId="0" borderId="0" xfId="0" applyFont="1"/>
    <xf numFmtId="0" fontId="25" fillId="12" borderId="42" xfId="0" applyFont="1" applyFill="1" applyBorder="1" applyAlignment="1" applyProtection="1">
      <alignment horizontal="center" vertical="center" wrapText="1"/>
      <protection hidden="1"/>
    </xf>
    <xf numFmtId="0" fontId="25" fillId="14" borderId="42" xfId="0" applyFont="1" applyFill="1" applyBorder="1" applyAlignment="1" applyProtection="1">
      <alignment horizontal="center" vertical="center" wrapText="1"/>
      <protection hidden="1"/>
    </xf>
    <xf numFmtId="9" fontId="23" fillId="12" borderId="42" xfId="0" quotePrefix="1" applyNumberFormat="1" applyFont="1" applyFill="1" applyBorder="1" applyAlignment="1" applyProtection="1">
      <alignment horizontal="center" vertical="center" wrapText="1"/>
      <protection hidden="1"/>
    </xf>
    <xf numFmtId="9" fontId="23" fillId="14" borderId="42" xfId="0" quotePrefix="1" applyNumberFormat="1" applyFont="1" applyFill="1" applyBorder="1" applyAlignment="1" applyProtection="1">
      <alignment horizontal="center" vertical="center" wrapText="1"/>
      <protection hidden="1"/>
    </xf>
    <xf numFmtId="15" fontId="23" fillId="12" borderId="47" xfId="0" quotePrefix="1" applyNumberFormat="1" applyFont="1" applyFill="1" applyBorder="1" applyAlignment="1" applyProtection="1">
      <alignment horizontal="center" vertical="center" wrapText="1"/>
      <protection hidden="1"/>
    </xf>
    <xf numFmtId="15" fontId="23" fillId="14" borderId="47" xfId="0" quotePrefix="1" applyNumberFormat="1" applyFont="1" applyFill="1" applyBorder="1" applyAlignment="1" applyProtection="1">
      <alignment horizontal="center" vertical="center" wrapText="1"/>
      <protection hidden="1"/>
    </xf>
    <xf numFmtId="167" fontId="22" fillId="0" borderId="48" xfId="4" applyNumberFormat="1" applyFont="1" applyBorder="1" applyAlignment="1" applyProtection="1">
      <alignment horizontal="left" vertical="center" wrapText="1"/>
      <protection hidden="1"/>
    </xf>
    <xf numFmtId="167" fontId="22" fillId="0" borderId="49" xfId="4" applyNumberFormat="1" applyFont="1" applyBorder="1" applyAlignment="1" applyProtection="1">
      <alignment horizontal="left" vertical="center" wrapText="1"/>
      <protection hidden="1"/>
    </xf>
    <xf numFmtId="43" fontId="22" fillId="9" borderId="42" xfId="4" applyFont="1" applyFill="1" applyBorder="1" applyAlignment="1" applyProtection="1">
      <alignment horizontal="center" vertical="center" wrapText="1"/>
      <protection hidden="1"/>
    </xf>
    <xf numFmtId="0" fontId="22" fillId="0" borderId="28" xfId="0" applyFont="1" applyBorder="1" applyAlignment="1" applyProtection="1">
      <alignment horizontal="left" vertical="center" wrapText="1"/>
      <protection hidden="1"/>
    </xf>
    <xf numFmtId="167" fontId="22" fillId="9" borderId="42" xfId="4" applyNumberFormat="1" applyFont="1" applyFill="1" applyBorder="1" applyAlignment="1" applyProtection="1">
      <alignment horizontal="center" vertical="center" wrapText="1"/>
      <protection hidden="1"/>
    </xf>
    <xf numFmtId="167" fontId="22" fillId="0" borderId="42" xfId="4" applyNumberFormat="1" applyFont="1" applyFill="1" applyBorder="1" applyAlignment="1" applyProtection="1">
      <alignment horizontal="center" vertical="center" wrapText="1"/>
      <protection hidden="1"/>
    </xf>
    <xf numFmtId="43" fontId="22" fillId="0" borderId="49" xfId="4" applyFont="1" applyBorder="1" applyAlignment="1" applyProtection="1">
      <alignment horizontal="left" vertical="center" wrapText="1"/>
      <protection hidden="1"/>
    </xf>
    <xf numFmtId="0" fontId="22" fillId="0" borderId="50" xfId="0" applyFont="1" applyBorder="1" applyAlignment="1" applyProtection="1">
      <alignment horizontal="left" vertical="center" wrapText="1"/>
      <protection hidden="1"/>
    </xf>
    <xf numFmtId="43" fontId="22" fillId="9" borderId="47" xfId="4" applyFont="1" applyFill="1" applyBorder="1" applyAlignment="1" applyProtection="1">
      <alignment horizontal="center" vertical="center" wrapText="1"/>
      <protection hidden="1"/>
    </xf>
    <xf numFmtId="0" fontId="26" fillId="0" borderId="0" xfId="3" applyFont="1" applyAlignment="1" applyProtection="1">
      <alignment vertical="center"/>
      <protection hidden="1"/>
    </xf>
    <xf numFmtId="0" fontId="28" fillId="16" borderId="28" xfId="3" quotePrefix="1" applyFont="1" applyFill="1" applyBorder="1" applyAlignment="1" applyProtection="1">
      <alignment horizontal="left" vertical="center"/>
      <protection hidden="1"/>
    </xf>
    <xf numFmtId="0" fontId="27" fillId="12" borderId="28" xfId="3" applyFont="1" applyFill="1" applyBorder="1" applyAlignment="1" applyProtection="1">
      <alignment horizontal="center" vertical="center" wrapText="1"/>
      <protection hidden="1"/>
    </xf>
    <xf numFmtId="0" fontId="26" fillId="0" borderId="28" xfId="0" applyFont="1" applyBorder="1" applyAlignment="1" applyProtection="1">
      <alignment horizontal="center" vertical="center" wrapText="1"/>
      <protection hidden="1"/>
    </xf>
    <xf numFmtId="43" fontId="26" fillId="13" borderId="23" xfId="8" applyFont="1" applyFill="1" applyBorder="1" applyAlignment="1" applyProtection="1">
      <alignment vertical="center" wrapText="1"/>
      <protection hidden="1"/>
    </xf>
    <xf numFmtId="43" fontId="26" fillId="13" borderId="28" xfId="8" applyFont="1" applyFill="1" applyBorder="1" applyAlignment="1" applyProtection="1">
      <alignment horizontal="center" vertical="center" wrapText="1"/>
      <protection hidden="1"/>
    </xf>
    <xf numFmtId="43" fontId="26" fillId="13" borderId="23" xfId="8" applyFont="1" applyFill="1" applyBorder="1" applyAlignment="1" applyProtection="1">
      <alignment horizontal="center" vertical="center" wrapText="1"/>
      <protection hidden="1"/>
    </xf>
    <xf numFmtId="43" fontId="26" fillId="13" borderId="35" xfId="8" applyFont="1" applyFill="1" applyBorder="1" applyAlignment="1" applyProtection="1">
      <alignment horizontal="center" vertical="center" wrapText="1"/>
      <protection hidden="1"/>
    </xf>
    <xf numFmtId="43" fontId="26" fillId="0" borderId="23" xfId="8" applyFont="1" applyFill="1" applyBorder="1" applyAlignment="1" applyProtection="1">
      <alignment horizontal="center" vertical="center" wrapText="1"/>
      <protection hidden="1"/>
    </xf>
    <xf numFmtId="0" fontId="26" fillId="0" borderId="23" xfId="0" applyFont="1" applyBorder="1" applyAlignment="1" applyProtection="1">
      <alignment horizontal="left" vertical="center" wrapText="1"/>
      <protection hidden="1"/>
    </xf>
    <xf numFmtId="0" fontId="26" fillId="17" borderId="28" xfId="0" applyFont="1" applyFill="1" applyBorder="1" applyAlignment="1" applyProtection="1">
      <alignment horizontal="center" vertical="center" wrapText="1"/>
      <protection hidden="1"/>
    </xf>
    <xf numFmtId="43" fontId="26" fillId="17" borderId="28" xfId="8" applyFont="1" applyFill="1" applyBorder="1" applyAlignment="1" applyProtection="1">
      <alignment horizontal="center" vertical="center" wrapText="1"/>
      <protection hidden="1"/>
    </xf>
    <xf numFmtId="43" fontId="26" fillId="17" borderId="23" xfId="8" applyFont="1" applyFill="1" applyBorder="1" applyAlignment="1" applyProtection="1">
      <alignment horizontal="center" vertical="center" wrapText="1"/>
      <protection hidden="1"/>
    </xf>
    <xf numFmtId="43" fontId="26" fillId="13" borderId="28" xfId="8" quotePrefix="1" applyFont="1" applyFill="1" applyBorder="1" applyAlignment="1" applyProtection="1">
      <alignment horizontal="center" vertical="center" wrapText="1"/>
      <protection hidden="1"/>
    </xf>
    <xf numFmtId="0" fontId="26" fillId="17" borderId="29" xfId="0" applyFont="1" applyFill="1" applyBorder="1" applyAlignment="1" applyProtection="1">
      <alignment horizontal="center" vertical="center" wrapText="1"/>
      <protection hidden="1"/>
    </xf>
    <xf numFmtId="0" fontId="26" fillId="17" borderId="26" xfId="0" applyFont="1" applyFill="1" applyBorder="1" applyAlignment="1" applyProtection="1">
      <alignment horizontal="left" vertical="center" wrapText="1"/>
      <protection hidden="1"/>
    </xf>
    <xf numFmtId="43" fontId="26" fillId="17" borderId="29" xfId="8" applyFont="1" applyFill="1" applyBorder="1" applyAlignment="1" applyProtection="1">
      <alignment horizontal="center" vertical="center" wrapText="1"/>
      <protection hidden="1"/>
    </xf>
    <xf numFmtId="43" fontId="26" fillId="17" borderId="26" xfId="8" applyFont="1" applyFill="1" applyBorder="1" applyAlignment="1" applyProtection="1">
      <alignment horizontal="center" vertical="center" wrapText="1"/>
      <protection hidden="1"/>
    </xf>
    <xf numFmtId="43" fontId="26" fillId="17" borderId="36" xfId="8"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19" fillId="0" borderId="0" xfId="0" applyFont="1" applyAlignment="1" applyProtection="1">
      <alignment horizontal="left" vertical="center" wrapText="1"/>
      <protection hidden="1"/>
    </xf>
    <xf numFmtId="43" fontId="19" fillId="0" borderId="0" xfId="8" applyFont="1" applyFill="1" applyBorder="1" applyAlignment="1" applyProtection="1">
      <alignment vertical="center" wrapText="1"/>
      <protection hidden="1"/>
    </xf>
    <xf numFmtId="0" fontId="26" fillId="0" borderId="0" xfId="3" quotePrefix="1" applyFont="1" applyAlignment="1" applyProtection="1">
      <alignment horizontal="right" vertical="center" wrapText="1"/>
      <protection hidden="1"/>
    </xf>
    <xf numFmtId="0" fontId="30" fillId="0" borderId="0" xfId="3" applyFont="1" applyAlignment="1" applyProtection="1">
      <alignment horizontal="left" vertical="center" wrapText="1"/>
      <protection hidden="1"/>
    </xf>
    <xf numFmtId="0" fontId="26" fillId="0" borderId="0" xfId="3" applyFont="1" applyAlignment="1" applyProtection="1">
      <alignment horizontal="left" vertical="center"/>
      <protection hidden="1"/>
    </xf>
    <xf numFmtId="0" fontId="26" fillId="0" borderId="0" xfId="3" quotePrefix="1" applyFont="1" applyAlignment="1" applyProtection="1">
      <alignment vertical="center" wrapText="1"/>
      <protection hidden="1"/>
    </xf>
    <xf numFmtId="0" fontId="28" fillId="16" borderId="52" xfId="3" quotePrefix="1" applyFont="1" applyFill="1" applyBorder="1" applyAlignment="1" applyProtection="1">
      <alignment horizontal="left" vertical="center" wrapText="1"/>
      <protection hidden="1"/>
    </xf>
    <xf numFmtId="0" fontId="27" fillId="16" borderId="53" xfId="3" applyFont="1" applyFill="1" applyBorder="1" applyAlignment="1" applyProtection="1">
      <alignment vertical="center" wrapText="1"/>
      <protection hidden="1"/>
    </xf>
    <xf numFmtId="0" fontId="28" fillId="16" borderId="28" xfId="3" quotePrefix="1" applyFont="1" applyFill="1" applyBorder="1" applyAlignment="1" applyProtection="1">
      <alignment horizontal="left" vertical="center" wrapText="1"/>
      <protection hidden="1"/>
    </xf>
    <xf numFmtId="0" fontId="27" fillId="12" borderId="22" xfId="3" applyFont="1" applyFill="1" applyBorder="1" applyAlignment="1" applyProtection="1">
      <alignment horizontal="center" vertical="center" wrapText="1"/>
      <protection hidden="1"/>
    </xf>
    <xf numFmtId="9" fontId="27" fillId="12" borderId="23" xfId="3" quotePrefix="1" applyNumberFormat="1" applyFont="1" applyFill="1" applyBorder="1" applyAlignment="1" applyProtection="1">
      <alignment horizontal="center" vertical="center" wrapText="1"/>
      <protection hidden="1"/>
    </xf>
    <xf numFmtId="43" fontId="26" fillId="13" borderId="22" xfId="8" applyFont="1" applyFill="1" applyBorder="1" applyAlignment="1" applyProtection="1">
      <alignment horizontal="center" vertical="center" wrapText="1"/>
      <protection hidden="1"/>
    </xf>
    <xf numFmtId="43" fontId="26" fillId="13" borderId="22" xfId="8" quotePrefix="1" applyFont="1" applyFill="1" applyBorder="1" applyAlignment="1" applyProtection="1">
      <alignment horizontal="center" vertical="center" wrapText="1"/>
      <protection hidden="1"/>
    </xf>
    <xf numFmtId="43" fontId="26" fillId="0" borderId="28" xfId="6" quotePrefix="1" applyFont="1" applyFill="1" applyBorder="1" applyAlignment="1" applyProtection="1">
      <alignment horizontal="center" vertical="center" wrapText="1"/>
      <protection hidden="1"/>
    </xf>
    <xf numFmtId="43" fontId="26" fillId="0" borderId="22" xfId="6" quotePrefix="1" applyFont="1" applyFill="1" applyBorder="1" applyAlignment="1" applyProtection="1">
      <alignment horizontal="center" vertical="center" wrapText="1"/>
      <protection hidden="1"/>
    </xf>
    <xf numFmtId="43" fontId="26" fillId="0" borderId="22" xfId="8" applyFont="1" applyFill="1" applyBorder="1" applyAlignment="1" applyProtection="1">
      <alignment horizontal="center" vertical="center" wrapText="1"/>
      <protection hidden="1"/>
    </xf>
    <xf numFmtId="0" fontId="26" fillId="17" borderId="23" xfId="0" applyFont="1" applyFill="1" applyBorder="1" applyAlignment="1" applyProtection="1">
      <alignment horizontal="left" vertical="center" wrapText="1"/>
      <protection hidden="1"/>
    </xf>
    <xf numFmtId="43" fontId="26" fillId="17" borderId="22" xfId="8" applyFont="1" applyFill="1" applyBorder="1" applyAlignment="1" applyProtection="1">
      <alignment horizontal="center" vertical="center" wrapText="1"/>
      <protection hidden="1"/>
    </xf>
    <xf numFmtId="43" fontId="26" fillId="0" borderId="28" xfId="8" applyFont="1" applyFill="1" applyBorder="1" applyAlignment="1" applyProtection="1">
      <alignment horizontal="center" vertical="center" wrapText="1"/>
      <protection hidden="1"/>
    </xf>
    <xf numFmtId="43" fontId="26" fillId="17" borderId="25" xfId="8" applyFont="1" applyFill="1" applyBorder="1" applyAlignment="1" applyProtection="1">
      <alignment horizontal="center" vertical="center" wrapText="1"/>
      <protection hidden="1"/>
    </xf>
    <xf numFmtId="0" fontId="31" fillId="0" borderId="0" xfId="9" applyFill="1" applyBorder="1" applyAlignment="1" applyProtection="1">
      <alignment vertical="center" wrapText="1"/>
      <protection hidden="1"/>
    </xf>
    <xf numFmtId="0" fontId="26" fillId="0" borderId="0" xfId="3" applyFont="1" applyAlignment="1" applyProtection="1">
      <alignment horizontal="right" vertical="center" wrapText="1"/>
      <protection hidden="1"/>
    </xf>
    <xf numFmtId="0" fontId="30" fillId="0" borderId="0" xfId="3" quotePrefix="1" applyFont="1" applyAlignment="1" applyProtection="1">
      <alignment horizontal="right" vertical="center" wrapText="1"/>
      <protection hidden="1"/>
    </xf>
    <xf numFmtId="0" fontId="30" fillId="0" borderId="0" xfId="3" quotePrefix="1" applyFont="1" applyAlignment="1" applyProtection="1">
      <alignment horizontal="right" vertical="center"/>
      <protection hidden="1"/>
    </xf>
    <xf numFmtId="0" fontId="30" fillId="0" borderId="0" xfId="3" applyFont="1" applyAlignment="1" applyProtection="1">
      <alignment vertical="center"/>
      <protection hidden="1"/>
    </xf>
    <xf numFmtId="9" fontId="27" fillId="12" borderId="22" xfId="7" quotePrefix="1"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0" fontId="10" fillId="0" borderId="0" xfId="0" applyFont="1" applyAlignment="1" applyProtection="1">
      <alignment vertical="center"/>
      <protection hidden="1"/>
    </xf>
    <xf numFmtId="0" fontId="28" fillId="16" borderId="52" xfId="3" quotePrefix="1" applyFont="1" applyFill="1" applyBorder="1" applyAlignment="1" applyProtection="1">
      <alignment horizontal="left" vertical="center"/>
      <protection hidden="1"/>
    </xf>
    <xf numFmtId="0" fontId="27" fillId="16" borderId="53" xfId="3" applyFont="1" applyFill="1" applyBorder="1" applyAlignment="1" applyProtection="1">
      <alignment vertical="center"/>
      <protection hidden="1"/>
    </xf>
    <xf numFmtId="43" fontId="26" fillId="0" borderId="56" xfId="8" applyFont="1" applyFill="1" applyBorder="1" applyAlignment="1" applyProtection="1">
      <alignment horizontal="center" vertical="center" wrapText="1"/>
      <protection hidden="1"/>
    </xf>
    <xf numFmtId="43" fontId="26" fillId="0" borderId="56" xfId="0" applyNumberFormat="1" applyFont="1" applyBorder="1" applyAlignment="1" applyProtection="1">
      <alignment horizontal="center" vertical="center" wrapText="1"/>
      <protection hidden="1"/>
    </xf>
    <xf numFmtId="43" fontId="26" fillId="13" borderId="35" xfId="8" quotePrefix="1" applyFont="1" applyFill="1" applyBorder="1" applyAlignment="1" applyProtection="1">
      <alignment horizontal="center" vertical="center" wrapText="1"/>
      <protection hidden="1"/>
    </xf>
    <xf numFmtId="43" fontId="26" fillId="13" borderId="56" xfId="8" applyFont="1" applyFill="1" applyBorder="1" applyAlignment="1" applyProtection="1">
      <alignment horizontal="center" vertical="center" wrapText="1"/>
      <protection hidden="1"/>
    </xf>
    <xf numFmtId="43" fontId="26" fillId="13" borderId="57" xfId="8" applyFont="1" applyFill="1" applyBorder="1" applyAlignment="1" applyProtection="1">
      <alignment horizontal="center" vertical="center" wrapText="1"/>
      <protection hidden="1"/>
    </xf>
    <xf numFmtId="43" fontId="26" fillId="13" borderId="58" xfId="8" applyFont="1" applyFill="1" applyBorder="1" applyAlignment="1" applyProtection="1">
      <alignment horizontal="center" vertical="center" wrapText="1"/>
      <protection hidden="1"/>
    </xf>
    <xf numFmtId="165" fontId="26" fillId="17" borderId="56" xfId="0" applyNumberFormat="1" applyFont="1" applyFill="1" applyBorder="1" applyAlignment="1" applyProtection="1">
      <alignment horizontal="center" vertical="center" wrapText="1"/>
      <protection hidden="1"/>
    </xf>
    <xf numFmtId="43" fontId="26" fillId="17" borderId="0" xfId="8" applyFont="1" applyFill="1" applyBorder="1" applyAlignment="1" applyProtection="1">
      <alignment horizontal="center" vertical="center" wrapText="1"/>
      <protection hidden="1"/>
    </xf>
    <xf numFmtId="43" fontId="26" fillId="17" borderId="56" xfId="8" applyFont="1" applyFill="1" applyBorder="1" applyAlignment="1" applyProtection="1">
      <alignment horizontal="center" vertical="center" wrapText="1"/>
      <protection hidden="1"/>
    </xf>
    <xf numFmtId="43" fontId="26" fillId="13" borderId="19" xfId="8" applyFont="1" applyFill="1" applyBorder="1" applyAlignment="1" applyProtection="1">
      <alignment horizontal="center" vertical="center" wrapText="1"/>
      <protection hidden="1"/>
    </xf>
    <xf numFmtId="43" fontId="26" fillId="0" borderId="35" xfId="8" applyFont="1" applyFill="1" applyBorder="1" applyAlignment="1" applyProtection="1">
      <alignment horizontal="center" vertical="center" wrapText="1"/>
      <protection hidden="1"/>
    </xf>
    <xf numFmtId="0" fontId="26" fillId="17" borderId="60" xfId="0" applyFont="1" applyFill="1" applyBorder="1" applyAlignment="1" applyProtection="1">
      <alignment horizontal="center" vertical="center" wrapText="1"/>
      <protection hidden="1"/>
    </xf>
    <xf numFmtId="43" fontId="26" fillId="17" borderId="60" xfId="8" applyFont="1" applyFill="1" applyBorder="1" applyAlignment="1" applyProtection="1">
      <alignment horizontal="center" vertical="center" wrapText="1"/>
      <protection hidden="1"/>
    </xf>
    <xf numFmtId="164" fontId="0" fillId="20" borderId="1" xfId="1" applyNumberFormat="1" applyFont="1" applyFill="1" applyBorder="1"/>
    <xf numFmtId="165" fontId="26" fillId="0" borderId="56" xfId="0" applyNumberFormat="1" applyFont="1" applyBorder="1" applyAlignment="1" applyProtection="1">
      <alignment horizontal="left" vertical="center" wrapText="1"/>
      <protection hidden="1"/>
    </xf>
    <xf numFmtId="0" fontId="26" fillId="0" borderId="0" xfId="3" applyFont="1" applyAlignment="1" applyProtection="1">
      <alignment vertical="center" wrapText="1"/>
      <protection hidden="1"/>
    </xf>
    <xf numFmtId="0" fontId="10" fillId="0" borderId="0" xfId="0" applyFont="1" applyProtection="1">
      <protection hidden="1"/>
    </xf>
    <xf numFmtId="0" fontId="30" fillId="0" borderId="0" xfId="3" applyFont="1" applyAlignment="1" applyProtection="1">
      <alignment horizontal="justify" vertical="center" wrapText="1"/>
      <protection hidden="1"/>
    </xf>
    <xf numFmtId="43" fontId="26" fillId="0" borderId="55" xfId="8" applyFont="1" applyFill="1" applyBorder="1" applyAlignment="1" applyProtection="1">
      <alignment horizontal="center" vertical="center" wrapText="1"/>
      <protection hidden="1"/>
    </xf>
    <xf numFmtId="43" fontId="26" fillId="0" borderId="59" xfId="8" applyFont="1" applyFill="1" applyBorder="1" applyAlignment="1" applyProtection="1">
      <alignment horizontal="center" vertical="center" wrapText="1"/>
      <protection hidden="1"/>
    </xf>
    <xf numFmtId="43" fontId="26" fillId="0" borderId="61" xfId="8" applyFont="1" applyFill="1" applyBorder="1" applyAlignment="1" applyProtection="1">
      <alignment horizontal="center" vertical="center" wrapText="1"/>
      <protection hidden="1"/>
    </xf>
    <xf numFmtId="43" fontId="26" fillId="13" borderId="59" xfId="8" applyFont="1" applyFill="1" applyBorder="1" applyAlignment="1" applyProtection="1">
      <alignment horizontal="center" vertical="center" wrapText="1"/>
      <protection hidden="1"/>
    </xf>
    <xf numFmtId="43" fontId="26" fillId="0" borderId="63" xfId="8" applyFont="1" applyFill="1" applyBorder="1" applyAlignment="1" applyProtection="1">
      <alignment horizontal="left" vertical="center"/>
      <protection hidden="1"/>
    </xf>
    <xf numFmtId="0" fontId="26" fillId="0" borderId="0" xfId="3" quotePrefix="1" applyFont="1" applyAlignment="1" applyProtection="1">
      <alignment vertical="center"/>
      <protection hidden="1"/>
    </xf>
    <xf numFmtId="43" fontId="26" fillId="13" borderId="55" xfId="8" applyFont="1" applyFill="1" applyBorder="1" applyAlignment="1" applyProtection="1">
      <alignment horizontal="center" vertical="center" wrapText="1"/>
      <protection hidden="1"/>
    </xf>
    <xf numFmtId="43" fontId="26" fillId="17" borderId="55" xfId="8" applyFont="1" applyFill="1" applyBorder="1" applyAlignment="1" applyProtection="1">
      <alignment horizontal="center" vertical="center" wrapText="1"/>
      <protection hidden="1"/>
    </xf>
    <xf numFmtId="43" fontId="26" fillId="17" borderId="64" xfId="8" applyFont="1" applyFill="1" applyBorder="1" applyAlignment="1" applyProtection="1">
      <alignment horizontal="center" vertical="center" wrapText="1"/>
      <protection hidden="1"/>
    </xf>
    <xf numFmtId="167" fontId="22" fillId="8" borderId="49" xfId="4" applyNumberFormat="1" applyFont="1" applyFill="1" applyBorder="1" applyAlignment="1" applyProtection="1">
      <alignment horizontal="left" vertical="center" wrapText="1"/>
      <protection hidden="1"/>
    </xf>
    <xf numFmtId="167" fontId="22" fillId="3" borderId="49" xfId="4" applyNumberFormat="1" applyFont="1" applyFill="1" applyBorder="1" applyAlignment="1" applyProtection="1">
      <alignment horizontal="left" vertical="center" wrapText="1"/>
      <protection hidden="1"/>
    </xf>
    <xf numFmtId="0" fontId="19" fillId="0" borderId="0" xfId="3" applyFont="1" applyAlignment="1" applyProtection="1">
      <alignment vertical="center" wrapText="1"/>
      <protection hidden="1"/>
    </xf>
    <xf numFmtId="0" fontId="27" fillId="12" borderId="55" xfId="3" applyFont="1" applyFill="1" applyBorder="1" applyAlignment="1" applyProtection="1">
      <alignment horizontal="center" vertical="center" wrapText="1"/>
      <protection hidden="1"/>
    </xf>
    <xf numFmtId="43" fontId="26" fillId="13" borderId="65" xfId="8" applyFont="1" applyFill="1" applyBorder="1" applyAlignment="1" applyProtection="1">
      <alignment horizontal="center" vertical="center" wrapText="1"/>
      <protection hidden="1"/>
    </xf>
    <xf numFmtId="43" fontId="26" fillId="13" borderId="55" xfId="8" quotePrefix="1" applyFont="1" applyFill="1" applyBorder="1" applyAlignment="1" applyProtection="1">
      <alignment horizontal="center" vertical="center" wrapText="1"/>
      <protection hidden="1"/>
    </xf>
    <xf numFmtId="43" fontId="26" fillId="0" borderId="65" xfId="8" applyFont="1" applyFill="1" applyBorder="1" applyAlignment="1" applyProtection="1">
      <alignment horizontal="center" vertical="center" wrapText="1"/>
      <protection hidden="1"/>
    </xf>
    <xf numFmtId="43" fontId="26" fillId="0" borderId="56" xfId="0" applyNumberFormat="1" applyFont="1" applyBorder="1" applyAlignment="1" applyProtection="1">
      <alignment horizontal="right" vertical="center" wrapText="1"/>
      <protection hidden="1"/>
    </xf>
    <xf numFmtId="43" fontId="26" fillId="23" borderId="22" xfId="8" applyFont="1" applyFill="1" applyBorder="1" applyAlignment="1" applyProtection="1">
      <alignment horizontal="center" vertical="center" wrapText="1"/>
      <protection hidden="1"/>
    </xf>
    <xf numFmtId="43" fontId="26" fillId="23" borderId="55" xfId="8" applyFont="1" applyFill="1" applyBorder="1" applyAlignment="1" applyProtection="1">
      <alignment horizontal="center" vertical="center" wrapText="1"/>
      <protection hidden="1"/>
    </xf>
    <xf numFmtId="43" fontId="26" fillId="17" borderId="65" xfId="8" applyFont="1" applyFill="1" applyBorder="1" applyAlignment="1" applyProtection="1">
      <alignment horizontal="center" vertical="center" wrapText="1"/>
      <protection hidden="1"/>
    </xf>
    <xf numFmtId="43" fontId="26" fillId="23" borderId="23" xfId="8" applyFont="1" applyFill="1" applyBorder="1" applyAlignment="1" applyProtection="1">
      <alignment horizontal="center" vertical="center" wrapText="1"/>
      <protection hidden="1"/>
    </xf>
    <xf numFmtId="43" fontId="26" fillId="17" borderId="56" xfId="0" applyNumberFormat="1" applyFont="1" applyFill="1" applyBorder="1" applyAlignment="1" applyProtection="1">
      <alignment horizontal="right" vertical="center" wrapText="1"/>
      <protection hidden="1"/>
    </xf>
    <xf numFmtId="43" fontId="26" fillId="13" borderId="56" xfId="8" applyFont="1" applyFill="1" applyBorder="1" applyAlignment="1" applyProtection="1">
      <alignment horizontal="right" vertical="center" wrapText="1"/>
      <protection hidden="1"/>
    </xf>
    <xf numFmtId="0" fontId="26" fillId="17" borderId="60" xfId="0" applyFont="1" applyFill="1" applyBorder="1" applyAlignment="1" applyProtection="1">
      <alignment horizontal="right" vertical="center" wrapText="1"/>
      <protection hidden="1"/>
    </xf>
    <xf numFmtId="43" fontId="26" fillId="17" borderId="66" xfId="8" applyFont="1" applyFill="1" applyBorder="1" applyAlignment="1" applyProtection="1">
      <alignment horizontal="center" vertical="center" wrapText="1"/>
      <protection hidden="1"/>
    </xf>
    <xf numFmtId="0" fontId="33" fillId="0" borderId="0" xfId="3" quotePrefix="1" applyFont="1" applyAlignment="1" applyProtection="1">
      <alignment horizontal="right" vertical="center" wrapText="1"/>
      <protection hidden="1"/>
    </xf>
    <xf numFmtId="0" fontId="0" fillId="0" borderId="0" xfId="0" applyAlignment="1" applyProtection="1">
      <alignment vertical="center"/>
      <protection hidden="1"/>
    </xf>
    <xf numFmtId="0" fontId="30" fillId="0" borderId="0" xfId="3" applyFont="1" applyAlignment="1" applyProtection="1">
      <alignment vertical="center" wrapText="1"/>
      <protection hidden="1"/>
    </xf>
    <xf numFmtId="0" fontId="27" fillId="12" borderId="59" xfId="3" applyFont="1" applyFill="1" applyBorder="1" applyAlignment="1" applyProtection="1">
      <alignment horizontal="center" vertical="center" wrapText="1"/>
      <protection hidden="1"/>
    </xf>
    <xf numFmtId="2" fontId="26" fillId="0" borderId="56" xfId="0" applyNumberFormat="1" applyFont="1" applyBorder="1" applyAlignment="1" applyProtection="1">
      <alignment horizontal="right" vertical="center" wrapText="1"/>
      <protection hidden="1"/>
    </xf>
    <xf numFmtId="164" fontId="26" fillId="0" borderId="56" xfId="1" applyNumberFormat="1" applyFont="1" applyBorder="1" applyAlignment="1" applyProtection="1">
      <alignment horizontal="right" vertical="center" wrapText="1"/>
      <protection hidden="1"/>
    </xf>
    <xf numFmtId="43" fontId="26" fillId="0" borderId="56" xfId="0" quotePrefix="1" applyNumberFormat="1" applyFont="1" applyBorder="1" applyAlignment="1" applyProtection="1">
      <alignment horizontal="center" vertical="center" wrapText="1"/>
      <protection hidden="1"/>
    </xf>
    <xf numFmtId="43" fontId="26" fillId="0" borderId="56" xfId="0" quotePrefix="1" applyNumberFormat="1" applyFont="1" applyBorder="1" applyAlignment="1" applyProtection="1">
      <alignment horizontal="right" vertical="center" wrapText="1"/>
      <protection hidden="1"/>
    </xf>
    <xf numFmtId="170" fontId="26" fillId="0" borderId="56" xfId="0" applyNumberFormat="1" applyFont="1" applyBorder="1" applyAlignment="1" applyProtection="1">
      <alignment horizontal="center" vertical="center" wrapText="1"/>
      <protection hidden="1"/>
    </xf>
    <xf numFmtId="43" fontId="26" fillId="0" borderId="65" xfId="0" applyNumberFormat="1" applyFont="1" applyBorder="1" applyAlignment="1" applyProtection="1">
      <alignment horizontal="center" vertical="center" wrapText="1"/>
      <protection hidden="1"/>
    </xf>
    <xf numFmtId="0" fontId="27" fillId="16" borderId="28" xfId="3" quotePrefix="1" applyFont="1" applyFill="1" applyBorder="1" applyAlignment="1" applyProtection="1">
      <alignment horizontal="left" vertical="center" wrapText="1"/>
      <protection hidden="1"/>
    </xf>
    <xf numFmtId="9" fontId="27" fillId="12" borderId="28" xfId="7" quotePrefix="1" applyFont="1" applyFill="1" applyBorder="1" applyAlignment="1" applyProtection="1">
      <alignment horizontal="center" vertical="center" wrapText="1"/>
      <protection hidden="1"/>
    </xf>
    <xf numFmtId="169" fontId="27" fillId="12" borderId="59" xfId="3" quotePrefix="1" applyNumberFormat="1" applyFont="1" applyFill="1" applyBorder="1" applyAlignment="1" applyProtection="1">
      <alignment horizontal="center" vertical="center" wrapText="1"/>
      <protection hidden="1"/>
    </xf>
    <xf numFmtId="0" fontId="19" fillId="0" borderId="0" xfId="3" applyFont="1" applyAlignment="1" applyProtection="1">
      <alignment horizontal="justify" vertical="center" wrapText="1"/>
      <protection hidden="1"/>
    </xf>
    <xf numFmtId="0" fontId="28" fillId="16" borderId="27" xfId="3" quotePrefix="1" applyFont="1" applyFill="1" applyBorder="1" applyAlignment="1" applyProtection="1">
      <alignment horizontal="left" vertical="center"/>
      <protection hidden="1"/>
    </xf>
    <xf numFmtId="0" fontId="27" fillId="24" borderId="68" xfId="3" applyFont="1" applyFill="1" applyBorder="1" applyAlignment="1" applyProtection="1">
      <alignment horizontal="center" vertical="center" wrapText="1"/>
      <protection hidden="1"/>
    </xf>
    <xf numFmtId="0" fontId="27" fillId="24" borderId="69" xfId="3" applyFont="1" applyFill="1" applyBorder="1" applyAlignment="1" applyProtection="1">
      <alignment horizontal="center" vertical="center" wrapText="1"/>
      <protection hidden="1"/>
    </xf>
    <xf numFmtId="168" fontId="38" fillId="24" borderId="65" xfId="3" quotePrefix="1" applyNumberFormat="1" applyFont="1" applyFill="1" applyBorder="1" applyAlignment="1" applyProtection="1">
      <alignment horizontal="center" vertical="center" wrapText="1"/>
      <protection hidden="1"/>
    </xf>
    <xf numFmtId="9" fontId="38" fillId="24" borderId="23" xfId="7" applyFont="1" applyFill="1" applyBorder="1" applyAlignment="1" applyProtection="1">
      <alignment horizontal="center" vertical="center" wrapText="1"/>
      <protection hidden="1"/>
    </xf>
    <xf numFmtId="0" fontId="27" fillId="24" borderId="65" xfId="3" applyFont="1" applyFill="1" applyBorder="1" applyAlignment="1" applyProtection="1">
      <alignment horizontal="center" vertical="center" wrapText="1"/>
      <protection hidden="1"/>
    </xf>
    <xf numFmtId="0" fontId="27" fillId="24" borderId="23" xfId="3" applyFont="1" applyFill="1" applyBorder="1" applyAlignment="1" applyProtection="1">
      <alignment horizontal="center" vertical="center" wrapText="1"/>
      <protection hidden="1"/>
    </xf>
    <xf numFmtId="0" fontId="26" fillId="0" borderId="55" xfId="0" applyFont="1" applyBorder="1" applyAlignment="1" applyProtection="1">
      <alignment horizontal="left" vertical="center" wrapText="1"/>
      <protection hidden="1"/>
    </xf>
    <xf numFmtId="43" fontId="26" fillId="0" borderId="28" xfId="8" quotePrefix="1" applyFont="1" applyFill="1" applyBorder="1" applyAlignment="1" applyProtection="1">
      <alignment horizontal="center" vertical="center" wrapText="1"/>
      <protection hidden="1"/>
    </xf>
    <xf numFmtId="0" fontId="26" fillId="17" borderId="55" xfId="0" applyFont="1" applyFill="1" applyBorder="1" applyAlignment="1" applyProtection="1">
      <alignment horizontal="left" vertical="center" wrapText="1"/>
      <protection hidden="1"/>
    </xf>
    <xf numFmtId="0" fontId="26" fillId="17" borderId="64" xfId="0" applyFont="1" applyFill="1" applyBorder="1" applyAlignment="1" applyProtection="1">
      <alignment horizontal="left" vertical="center" wrapText="1"/>
      <protection hidden="1"/>
    </xf>
    <xf numFmtId="0" fontId="39" fillId="0" borderId="0" xfId="0" applyFont="1" applyAlignment="1" applyProtection="1">
      <alignment horizontal="left" vertical="center" wrapText="1"/>
      <protection hidden="1"/>
    </xf>
    <xf numFmtId="43" fontId="39" fillId="0" borderId="0" xfId="8" applyFont="1" applyFill="1" applyBorder="1" applyAlignment="1" applyProtection="1">
      <alignment vertical="center" wrapText="1"/>
      <protection hidden="1"/>
    </xf>
    <xf numFmtId="0" fontId="26" fillId="0" borderId="0" xfId="3" quotePrefix="1" applyFont="1" applyAlignment="1" applyProtection="1">
      <alignment horizontal="right" vertical="center"/>
      <protection hidden="1"/>
    </xf>
    <xf numFmtId="0" fontId="40" fillId="0" borderId="0" xfId="0" applyFont="1" applyAlignment="1" applyProtection="1">
      <alignment horizontal="centerContinuous" vertical="center"/>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40" fillId="0" borderId="0" xfId="0" quotePrefix="1" applyFont="1" applyAlignment="1" applyProtection="1">
      <alignment horizontal="left" vertical="center"/>
      <protection hidden="1"/>
    </xf>
    <xf numFmtId="4" fontId="40" fillId="0" borderId="0" xfId="10" applyNumberFormat="1" applyFont="1" applyAlignment="1" applyProtection="1">
      <alignment horizontal="center" vertical="center"/>
      <protection hidden="1"/>
    </xf>
    <xf numFmtId="0" fontId="44" fillId="0" borderId="0" xfId="2" applyFont="1" applyAlignment="1" applyProtection="1">
      <alignment vertical="center"/>
      <protection hidden="1"/>
    </xf>
    <xf numFmtId="0" fontId="44" fillId="0" borderId="0" xfId="2" applyFont="1" applyAlignment="1" applyProtection="1">
      <alignment vertical="center" wrapText="1"/>
      <protection hidden="1"/>
    </xf>
    <xf numFmtId="0" fontId="45" fillId="0" borderId="0" xfId="0" applyFont="1" applyAlignment="1" applyProtection="1">
      <alignment vertical="center"/>
      <protection hidden="1"/>
    </xf>
    <xf numFmtId="4" fontId="46" fillId="0" borderId="0" xfId="10" applyNumberFormat="1" applyFont="1" applyAlignment="1" applyProtection="1">
      <alignment horizontal="center" vertical="center"/>
      <protection hidden="1"/>
    </xf>
    <xf numFmtId="0" fontId="46" fillId="0" borderId="0" xfId="0" applyFont="1" applyAlignment="1" applyProtection="1">
      <alignment horizontal="center" vertical="center"/>
      <protection hidden="1"/>
    </xf>
    <xf numFmtId="0" fontId="46" fillId="0" borderId="0" xfId="0" applyFont="1" applyAlignment="1" applyProtection="1">
      <alignment vertical="center"/>
      <protection hidden="1"/>
    </xf>
    <xf numFmtId="0" fontId="47" fillId="0" borderId="0" xfId="2" applyFont="1" applyAlignment="1" applyProtection="1">
      <alignment vertical="center"/>
      <protection hidden="1"/>
    </xf>
    <xf numFmtId="2" fontId="40" fillId="0" borderId="28" xfId="0" applyNumberFormat="1" applyFont="1" applyBorder="1" applyAlignment="1" applyProtection="1">
      <alignment vertical="center"/>
      <protection hidden="1"/>
    </xf>
    <xf numFmtId="2" fontId="40" fillId="0" borderId="22" xfId="0" applyNumberFormat="1" applyFont="1" applyBorder="1" applyAlignment="1" applyProtection="1">
      <alignment horizontal="center" vertical="center"/>
      <protection hidden="1"/>
    </xf>
    <xf numFmtId="4" fontId="40" fillId="0" borderId="22" xfId="0" applyNumberFormat="1" applyFont="1" applyBorder="1" applyAlignment="1" applyProtection="1">
      <alignment horizontal="center" vertical="center"/>
      <protection hidden="1"/>
    </xf>
    <xf numFmtId="4" fontId="40" fillId="0" borderId="23" xfId="0" applyNumberFormat="1" applyFont="1" applyBorder="1" applyAlignment="1" applyProtection="1">
      <alignment horizontal="center" vertical="center"/>
      <protection hidden="1"/>
    </xf>
    <xf numFmtId="4" fontId="40" fillId="0" borderId="22" xfId="0" quotePrefix="1" applyNumberFormat="1" applyFont="1" applyBorder="1" applyAlignment="1" applyProtection="1">
      <alignment horizontal="center" vertical="center"/>
      <protection hidden="1"/>
    </xf>
    <xf numFmtId="4" fontId="40" fillId="0" borderId="23" xfId="0" quotePrefix="1" applyNumberFormat="1" applyFont="1" applyBorder="1" applyAlignment="1" applyProtection="1">
      <alignment horizontal="center" vertical="center"/>
      <protection hidden="1"/>
    </xf>
    <xf numFmtId="2" fontId="40" fillId="0" borderId="28" xfId="0" applyNumberFormat="1" applyFont="1" applyBorder="1" applyAlignment="1" applyProtection="1">
      <alignment horizontal="left" vertical="center"/>
      <protection hidden="1"/>
    </xf>
    <xf numFmtId="3" fontId="40" fillId="0" borderId="22" xfId="0" quotePrefix="1" applyNumberFormat="1" applyFont="1" applyBorder="1" applyAlignment="1" applyProtection="1">
      <alignment horizontal="center" vertical="center"/>
      <protection hidden="1"/>
    </xf>
    <xf numFmtId="3" fontId="40" fillId="0" borderId="23" xfId="0" quotePrefix="1" applyNumberFormat="1" applyFont="1" applyBorder="1" applyAlignment="1" applyProtection="1">
      <alignment horizontal="center" vertical="center"/>
      <protection hidden="1"/>
    </xf>
    <xf numFmtId="2" fontId="40" fillId="0" borderId="29" xfId="0" applyNumberFormat="1" applyFont="1" applyBorder="1" applyAlignment="1" applyProtection="1">
      <alignment horizontal="left" vertical="center"/>
      <protection hidden="1"/>
    </xf>
    <xf numFmtId="3" fontId="40" fillId="0" borderId="25" xfId="0" quotePrefix="1" applyNumberFormat="1" applyFont="1" applyBorder="1" applyAlignment="1" applyProtection="1">
      <alignment horizontal="center" vertical="center"/>
      <protection hidden="1"/>
    </xf>
    <xf numFmtId="3" fontId="40" fillId="0" borderId="26" xfId="0" quotePrefix="1" applyNumberFormat="1" applyFont="1" applyBorder="1" applyAlignment="1" applyProtection="1">
      <alignment horizontal="center" vertical="center"/>
      <protection hidden="1"/>
    </xf>
    <xf numFmtId="43" fontId="26" fillId="13" borderId="33" xfId="8" applyFont="1" applyFill="1" applyBorder="1" applyAlignment="1" applyProtection="1">
      <alignment horizontal="center" vertical="center" wrapText="1"/>
      <protection hidden="1"/>
    </xf>
    <xf numFmtId="43" fontId="26" fillId="17" borderId="71" xfId="8" applyFont="1" applyFill="1" applyBorder="1" applyAlignment="1" applyProtection="1">
      <alignment horizontal="center" vertical="center" wrapText="1"/>
      <protection hidden="1"/>
    </xf>
    <xf numFmtId="43" fontId="26" fillId="13" borderId="21" xfId="8" applyFont="1" applyFill="1" applyBorder="1" applyAlignment="1" applyProtection="1">
      <alignment horizontal="center" vertical="center" wrapText="1"/>
      <protection hidden="1"/>
    </xf>
    <xf numFmtId="165" fontId="26" fillId="17" borderId="55" xfId="0" applyNumberFormat="1" applyFont="1" applyFill="1" applyBorder="1" applyAlignment="1" applyProtection="1">
      <alignment horizontal="center" vertical="center" wrapText="1"/>
      <protection hidden="1"/>
    </xf>
    <xf numFmtId="43" fontId="26" fillId="0" borderId="28" xfId="0" applyNumberFormat="1" applyFont="1" applyBorder="1" applyAlignment="1" applyProtection="1">
      <alignment horizontal="right" vertical="center" wrapText="1"/>
      <protection hidden="1"/>
    </xf>
    <xf numFmtId="2" fontId="48" fillId="8" borderId="1" xfId="0" applyNumberFormat="1" applyFont="1" applyFill="1" applyBorder="1"/>
    <xf numFmtId="0" fontId="49" fillId="0" borderId="0" xfId="0" applyFont="1"/>
    <xf numFmtId="0" fontId="50" fillId="0" borderId="0" xfId="0" applyFont="1"/>
    <xf numFmtId="0" fontId="0" fillId="0" borderId="0" xfId="0" applyAlignment="1">
      <alignment horizontal="center" vertical="center"/>
    </xf>
    <xf numFmtId="0" fontId="51" fillId="0" borderId="0" xfId="0" applyFont="1"/>
    <xf numFmtId="10" fontId="52" fillId="8" borderId="1" xfId="0" applyNumberFormat="1" applyFont="1" applyFill="1" applyBorder="1" applyAlignment="1">
      <alignment horizontal="center"/>
    </xf>
    <xf numFmtId="0" fontId="52" fillId="8" borderId="1" xfId="0" applyFont="1" applyFill="1" applyBorder="1" applyAlignment="1">
      <alignment horizontal="center"/>
    </xf>
    <xf numFmtId="0" fontId="53"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55" fillId="5" borderId="1" xfId="1" applyNumberFormat="1" applyFont="1" applyFill="1" applyBorder="1" applyAlignment="1">
      <alignment horizontal="center" vertical="center" wrapText="1"/>
    </xf>
    <xf numFmtId="0" fontId="56" fillId="0" borderId="0" xfId="0" applyFont="1"/>
    <xf numFmtId="4" fontId="56" fillId="0" borderId="0" xfId="0" applyNumberFormat="1" applyFont="1"/>
    <xf numFmtId="171" fontId="56" fillId="0" borderId="0" xfId="0" applyNumberFormat="1" applyFont="1"/>
    <xf numFmtId="171" fontId="56" fillId="3" borderId="0" xfId="0" applyNumberFormat="1" applyFont="1" applyFill="1"/>
    <xf numFmtId="0" fontId="57" fillId="3" borderId="0" xfId="0" applyFont="1" applyFill="1"/>
    <xf numFmtId="43" fontId="56" fillId="0" borderId="0" xfId="0" applyNumberFormat="1" applyFont="1"/>
    <xf numFmtId="164" fontId="0" fillId="0" borderId="1" xfId="1" applyNumberFormat="1" applyFont="1" applyFill="1" applyBorder="1"/>
    <xf numFmtId="0" fontId="54" fillId="0" borderId="1" xfId="0" applyFont="1" applyBorder="1"/>
    <xf numFmtId="164" fontId="0" fillId="5" borderId="1" xfId="1" applyNumberFormat="1" applyFont="1" applyFill="1" applyBorder="1"/>
    <xf numFmtId="164" fontId="55"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54" fillId="0" borderId="1" xfId="0" applyFont="1" applyBorder="1" applyAlignment="1">
      <alignment horizontal="right"/>
    </xf>
    <xf numFmtId="0" fontId="56" fillId="8" borderId="0" xfId="0" applyFont="1" applyFill="1"/>
    <xf numFmtId="43" fontId="56" fillId="8" borderId="0" xfId="0" applyNumberFormat="1" applyFont="1" applyFill="1"/>
    <xf numFmtId="0" fontId="57" fillId="8" borderId="0" xfId="0" applyFont="1" applyFill="1" applyAlignment="1">
      <alignment horizontal="center"/>
    </xf>
    <xf numFmtId="171" fontId="56" fillId="8" borderId="0" xfId="0" applyNumberFormat="1" applyFont="1" applyFill="1"/>
    <xf numFmtId="0" fontId="57" fillId="8" borderId="0" xfId="0" applyFont="1" applyFill="1"/>
    <xf numFmtId="4" fontId="56" fillId="8" borderId="0" xfId="0" applyNumberFormat="1" applyFont="1" applyFill="1"/>
    <xf numFmtId="0" fontId="0" fillId="26" borderId="1" xfId="0" applyFill="1" applyBorder="1" applyAlignment="1">
      <alignment horizontal="center"/>
    </xf>
    <xf numFmtId="0" fontId="56" fillId="3" borderId="0" xfId="0" applyFont="1" applyFill="1"/>
    <xf numFmtId="4" fontId="58" fillId="0" borderId="0" xfId="0" applyNumberFormat="1" applyFont="1"/>
    <xf numFmtId="43" fontId="17" fillId="0" borderId="55" xfId="4" applyFont="1" applyFill="1" applyBorder="1" applyAlignment="1" applyProtection="1">
      <alignment vertical="center" wrapText="1"/>
      <protection hidden="1"/>
    </xf>
    <xf numFmtId="43" fontId="17" fillId="0" borderId="55" xfId="4" applyFont="1" applyFill="1" applyBorder="1" applyAlignment="1" applyProtection="1">
      <alignment horizontal="right" vertical="center" wrapText="1"/>
      <protection hidden="1"/>
    </xf>
    <xf numFmtId="43" fontId="17" fillId="0" borderId="64" xfId="4" applyFont="1" applyFill="1" applyBorder="1" applyAlignment="1" applyProtection="1">
      <alignment horizontal="right" vertical="center" wrapText="1"/>
      <protection hidden="1"/>
    </xf>
    <xf numFmtId="0" fontId="57" fillId="22" borderId="0" xfId="0" applyFont="1" applyFill="1"/>
    <xf numFmtId="9" fontId="27" fillId="12" borderId="22" xfId="7" applyFont="1" applyFill="1" applyBorder="1" applyAlignment="1" applyProtection="1">
      <alignment horizontal="center" vertical="center" wrapText="1"/>
      <protection hidden="1"/>
    </xf>
    <xf numFmtId="9" fontId="27" fillId="12" borderId="23" xfId="7" applyFont="1" applyFill="1" applyBorder="1" applyAlignment="1" applyProtection="1">
      <alignment horizontal="center" vertical="center" wrapText="1"/>
      <protection hidden="1"/>
    </xf>
    <xf numFmtId="164" fontId="0" fillId="0" borderId="0" xfId="1" applyNumberFormat="1" applyFont="1"/>
    <xf numFmtId="43" fontId="26" fillId="17" borderId="73" xfId="8" applyFont="1" applyFill="1" applyBorder="1" applyAlignment="1" applyProtection="1">
      <alignment horizontal="center" vertical="center" wrapText="1"/>
      <protection hidden="1"/>
    </xf>
    <xf numFmtId="43" fontId="26" fillId="17" borderId="74" xfId="8" applyFont="1" applyFill="1" applyBorder="1" applyAlignment="1" applyProtection="1">
      <alignment horizontal="center" vertical="center" wrapText="1"/>
      <protection hidden="1"/>
    </xf>
    <xf numFmtId="43" fontId="26" fillId="17" borderId="75" xfId="8" applyFont="1" applyFill="1" applyBorder="1" applyAlignment="1" applyProtection="1">
      <alignment horizontal="center" vertical="center" wrapText="1"/>
      <protection hidden="1"/>
    </xf>
    <xf numFmtId="43" fontId="58" fillId="0" borderId="0" xfId="0" applyNumberFormat="1" applyFont="1"/>
    <xf numFmtId="0" fontId="58" fillId="0" borderId="0" xfId="0" applyFont="1"/>
    <xf numFmtId="0" fontId="61" fillId="3" borderId="0" xfId="0" applyFont="1" applyFill="1"/>
    <xf numFmtId="171" fontId="58" fillId="3" borderId="0" xfId="0" applyNumberFormat="1" applyFont="1" applyFill="1"/>
    <xf numFmtId="0" fontId="60" fillId="0" borderId="1" xfId="0" applyFont="1" applyBorder="1"/>
    <xf numFmtId="2" fontId="60" fillId="0" borderId="1" xfId="0" applyNumberFormat="1" applyFont="1" applyBorder="1"/>
    <xf numFmtId="43" fontId="56" fillId="3" borderId="0" xfId="0" applyNumberFormat="1" applyFont="1" applyFill="1"/>
    <xf numFmtId="4" fontId="56" fillId="3" borderId="0" xfId="0" applyNumberFormat="1" applyFont="1" applyFill="1"/>
    <xf numFmtId="0" fontId="14" fillId="3" borderId="0" xfId="0" applyFont="1" applyFill="1" applyAlignment="1" applyProtection="1">
      <alignment vertical="center"/>
      <protection hidden="1"/>
    </xf>
    <xf numFmtId="0" fontId="27" fillId="0" borderId="0" xfId="3" applyFont="1" applyAlignment="1" applyProtection="1">
      <alignment horizontal="left" vertical="center"/>
      <protection hidden="1"/>
    </xf>
    <xf numFmtId="4" fontId="58" fillId="3" borderId="0" xfId="0" applyNumberFormat="1" applyFont="1" applyFill="1"/>
    <xf numFmtId="0" fontId="0" fillId="3" borderId="0" xfId="0" applyFill="1"/>
    <xf numFmtId="0" fontId="24" fillId="3" borderId="0" xfId="0" applyFont="1" applyFill="1"/>
    <xf numFmtId="0" fontId="24" fillId="27" borderId="0" xfId="0" applyFont="1" applyFill="1"/>
    <xf numFmtId="0" fontId="63" fillId="19" borderId="0" xfId="0" applyFont="1" applyFill="1"/>
    <xf numFmtId="0" fontId="56" fillId="7" borderId="0" xfId="0" applyFont="1" applyFill="1"/>
    <xf numFmtId="172" fontId="41" fillId="0" borderId="0" xfId="0" applyNumberFormat="1" applyFont="1" applyAlignment="1" applyProtection="1">
      <alignment vertical="center"/>
      <protection hidden="1"/>
    </xf>
    <xf numFmtId="0" fontId="0" fillId="28" borderId="0" xfId="0" applyFill="1"/>
    <xf numFmtId="2" fontId="48" fillId="0" borderId="1" xfId="0" applyNumberFormat="1" applyFont="1" applyBorder="1"/>
    <xf numFmtId="10" fontId="0" fillId="28" borderId="1" xfId="0" applyNumberFormat="1" applyFill="1" applyBorder="1"/>
    <xf numFmtId="0" fontId="60" fillId="0" borderId="0" xfId="0" applyFont="1"/>
    <xf numFmtId="2" fontId="24" fillId="0" borderId="0" xfId="0" applyNumberFormat="1" applyFont="1"/>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0" fontId="0" fillId="0" borderId="79" xfId="0" applyBorder="1" applyAlignment="1">
      <alignment horizontal="center" vertical="center" wrapText="1"/>
    </xf>
    <xf numFmtId="0" fontId="0" fillId="0" borderId="80" xfId="0" applyBorder="1" applyAlignment="1">
      <alignment horizontal="center" vertical="center" wrapText="1"/>
    </xf>
    <xf numFmtId="2" fontId="0" fillId="7" borderId="79" xfId="0" applyNumberFormat="1" applyFill="1" applyBorder="1"/>
    <xf numFmtId="2" fontId="0" fillId="7" borderId="80" xfId="0" applyNumberFormat="1" applyFill="1" applyBorder="1"/>
    <xf numFmtId="2" fontId="0" fillId="7" borderId="81" xfId="0" applyNumberFormat="1" applyFill="1" applyBorder="1"/>
    <xf numFmtId="2" fontId="0" fillId="7" borderId="82" xfId="0" applyNumberFormat="1" applyFill="1" applyBorder="1"/>
    <xf numFmtId="2" fontId="0" fillId="7" borderId="83" xfId="0" applyNumberFormat="1" applyFill="1" applyBorder="1"/>
    <xf numFmtId="2" fontId="0" fillId="6" borderId="2" xfId="0" applyNumberFormat="1" applyFill="1" applyBorder="1"/>
    <xf numFmtId="2" fontId="0" fillId="7" borderId="11" xfId="0" applyNumberFormat="1" applyFill="1" applyBorder="1"/>
    <xf numFmtId="2" fontId="0" fillId="3" borderId="79" xfId="0" applyNumberFormat="1" applyFill="1" applyBorder="1"/>
    <xf numFmtId="2" fontId="0" fillId="3" borderId="80" xfId="0" applyNumberFormat="1" applyFill="1" applyBorder="1"/>
    <xf numFmtId="2" fontId="0" fillId="3" borderId="81" xfId="0" applyNumberFormat="1" applyFill="1" applyBorder="1"/>
    <xf numFmtId="2" fontId="0" fillId="3" borderId="82" xfId="0" applyNumberFormat="1" applyFill="1" applyBorder="1"/>
    <xf numFmtId="2" fontId="0" fillId="3" borderId="83" xfId="0" applyNumberFormat="1" applyFill="1" applyBorder="1"/>
    <xf numFmtId="0" fontId="64" fillId="0" borderId="0" xfId="0" applyFont="1" applyAlignment="1" applyProtection="1">
      <alignment vertical="center"/>
      <protection hidden="1"/>
    </xf>
    <xf numFmtId="0" fontId="54" fillId="0" borderId="0" xfId="0" applyFont="1"/>
    <xf numFmtId="2" fontId="0" fillId="0" borderId="0" xfId="0" applyNumberFormat="1"/>
    <xf numFmtId="0" fontId="0" fillId="22" borderId="0" xfId="0" applyFill="1"/>
    <xf numFmtId="43" fontId="0" fillId="3" borderId="0" xfId="0" applyNumberFormat="1" applyFill="1"/>
    <xf numFmtId="164" fontId="0" fillId="27" borderId="1" xfId="1" applyNumberFormat="1" applyFont="1" applyFill="1" applyBorder="1" applyAlignment="1">
      <alignment horizontal="center" vertical="center"/>
    </xf>
    <xf numFmtId="0" fontId="29" fillId="21" borderId="14" xfId="3" applyFont="1" applyFill="1" applyBorder="1" applyAlignment="1" applyProtection="1">
      <alignment vertical="center" wrapText="1"/>
      <protection hidden="1"/>
    </xf>
    <xf numFmtId="0" fontId="29" fillId="21" borderId="31" xfId="3" applyFont="1" applyFill="1" applyBorder="1" applyAlignment="1" applyProtection="1">
      <alignment vertical="center" wrapText="1"/>
      <protection hidden="1"/>
    </xf>
    <xf numFmtId="0" fontId="0" fillId="5" borderId="84" xfId="0" applyFill="1" applyBorder="1" applyAlignment="1">
      <alignment vertical="center"/>
    </xf>
    <xf numFmtId="0" fontId="0" fillId="3" borderId="84" xfId="0" applyFill="1" applyBorder="1" applyAlignment="1">
      <alignment horizontal="center" vertical="center" wrapText="1"/>
    </xf>
    <xf numFmtId="0" fontId="0" fillId="0" borderId="85" xfId="0" applyBorder="1" applyAlignment="1">
      <alignment horizontal="left" vertical="center"/>
    </xf>
    <xf numFmtId="0" fontId="0" fillId="0" borderId="84" xfId="0" applyBorder="1" applyAlignment="1">
      <alignment horizontal="center" vertical="center"/>
    </xf>
    <xf numFmtId="175" fontId="0" fillId="0" borderId="0" xfId="0" applyNumberFormat="1"/>
    <xf numFmtId="176" fontId="0" fillId="0" borderId="0" xfId="0" applyNumberFormat="1"/>
    <xf numFmtId="174" fontId="60" fillId="3" borderId="1" xfId="0" applyNumberFormat="1" applyFont="1" applyFill="1" applyBorder="1"/>
    <xf numFmtId="2" fontId="60" fillId="3" borderId="1" xfId="0" applyNumberFormat="1" applyFont="1" applyFill="1" applyBorder="1"/>
    <xf numFmtId="0" fontId="65" fillId="0" borderId="0" xfId="0" applyFont="1"/>
    <xf numFmtId="0" fontId="66" fillId="0" borderId="85" xfId="0" applyFont="1" applyBorder="1" applyAlignment="1">
      <alignment horizontal="left" vertical="center"/>
    </xf>
    <xf numFmtId="0" fontId="0" fillId="27" borderId="84" xfId="0" applyFill="1" applyBorder="1" applyAlignment="1">
      <alignment vertical="center" wrapText="1"/>
    </xf>
    <xf numFmtId="175" fontId="0" fillId="7" borderId="79" xfId="0" applyNumberFormat="1" applyFill="1" applyBorder="1"/>
    <xf numFmtId="174" fontId="0" fillId="0" borderId="0" xfId="0" applyNumberFormat="1"/>
    <xf numFmtId="2" fontId="26" fillId="0" borderId="0" xfId="3" quotePrefix="1" applyNumberFormat="1" applyFont="1" applyAlignment="1" applyProtection="1">
      <alignment vertical="center" wrapText="1"/>
      <protection hidden="1"/>
    </xf>
    <xf numFmtId="10" fontId="0" fillId="0" borderId="0" xfId="0" applyNumberFormat="1"/>
    <xf numFmtId="173" fontId="27" fillId="12" borderId="22" xfId="3" quotePrefix="1" applyNumberFormat="1"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171" fontId="56" fillId="19" borderId="0" xfId="0" applyNumberFormat="1" applyFont="1" applyFill="1"/>
    <xf numFmtId="0" fontId="56" fillId="19" borderId="0" xfId="0" applyFont="1" applyFill="1"/>
    <xf numFmtId="43" fontId="56" fillId="19" borderId="0" xfId="0" applyNumberFormat="1" applyFont="1" applyFill="1"/>
    <xf numFmtId="0" fontId="56" fillId="22" borderId="0" xfId="0" applyFont="1" applyFill="1"/>
    <xf numFmtId="43" fontId="56" fillId="22" borderId="0" xfId="0" applyNumberFormat="1" applyFont="1" applyFill="1"/>
    <xf numFmtId="171" fontId="56" fillId="22" borderId="0" xfId="0" applyNumberFormat="1" applyFont="1" applyFill="1"/>
    <xf numFmtId="43" fontId="56" fillId="25" borderId="0" xfId="0" applyNumberFormat="1" applyFont="1" applyFill="1"/>
    <xf numFmtId="0" fontId="56" fillId="25" borderId="0" xfId="0" applyFont="1" applyFill="1"/>
    <xf numFmtId="0" fontId="56" fillId="15" borderId="0" xfId="0" applyFont="1" applyFill="1"/>
    <xf numFmtId="43" fontId="56" fillId="15" borderId="0" xfId="0" applyNumberFormat="1" applyFont="1" applyFill="1"/>
    <xf numFmtId="171" fontId="56" fillId="15" borderId="0" xfId="0" applyNumberFormat="1" applyFont="1" applyFill="1"/>
    <xf numFmtId="0" fontId="48" fillId="0" borderId="0" xfId="0" applyFont="1"/>
    <xf numFmtId="165" fontId="14" fillId="3" borderId="0" xfId="0" applyNumberFormat="1" applyFont="1" applyFill="1" applyAlignment="1" applyProtection="1">
      <alignment vertical="center"/>
      <protection hidden="1"/>
    </xf>
    <xf numFmtId="43" fontId="14" fillId="3" borderId="0" xfId="0" applyNumberFormat="1" applyFont="1" applyFill="1" applyAlignment="1" applyProtection="1">
      <alignment vertical="center"/>
      <protection hidden="1"/>
    </xf>
    <xf numFmtId="0" fontId="14" fillId="27" borderId="0" xfId="0" applyFont="1" applyFill="1" applyAlignment="1" applyProtection="1">
      <alignment vertical="center"/>
      <protection hidden="1"/>
    </xf>
    <xf numFmtId="0" fontId="0" fillId="27" borderId="0" xfId="0" applyFill="1"/>
    <xf numFmtId="43" fontId="0" fillId="27" borderId="0" xfId="0" applyNumberFormat="1" applyFill="1"/>
    <xf numFmtId="167" fontId="14" fillId="0" borderId="0" xfId="0" applyNumberFormat="1" applyFont="1" applyAlignment="1" applyProtection="1">
      <alignment vertical="center"/>
      <protection hidden="1"/>
    </xf>
    <xf numFmtId="2" fontId="0" fillId="3" borderId="0" xfId="0" applyNumberFormat="1" applyFill="1"/>
    <xf numFmtId="43" fontId="14" fillId="19" borderId="0" xfId="0" applyNumberFormat="1" applyFont="1" applyFill="1" applyAlignment="1" applyProtection="1">
      <alignment vertical="center"/>
      <protection hidden="1"/>
    </xf>
    <xf numFmtId="43" fontId="0" fillId="19" borderId="0" xfId="0" applyNumberFormat="1" applyFill="1"/>
    <xf numFmtId="0" fontId="0" fillId="19" borderId="0" xfId="0" applyFill="1"/>
    <xf numFmtId="9" fontId="0" fillId="27" borderId="0" xfId="0" applyNumberFormat="1" applyFill="1" applyAlignment="1">
      <alignment horizontal="center" vertical="center"/>
    </xf>
    <xf numFmtId="9" fontId="24" fillId="3" borderId="0" xfId="0" applyNumberFormat="1" applyFont="1" applyFill="1"/>
    <xf numFmtId="2" fontId="24" fillId="3" borderId="0" xfId="0" applyNumberFormat="1" applyFont="1" applyFill="1"/>
    <xf numFmtId="43" fontId="24" fillId="3" borderId="0" xfId="0" applyNumberFormat="1" applyFont="1" applyFill="1"/>
    <xf numFmtId="0" fontId="24" fillId="19" borderId="0" xfId="0" applyFont="1" applyFill="1"/>
    <xf numFmtId="9" fontId="24" fillId="19" borderId="0" xfId="0" applyNumberFormat="1" applyFont="1" applyFill="1"/>
    <xf numFmtId="2" fontId="24" fillId="19" borderId="0" xfId="0" applyNumberFormat="1" applyFont="1" applyFill="1"/>
    <xf numFmtId="43" fontId="24" fillId="19" borderId="0" xfId="0" applyNumberFormat="1" applyFont="1" applyFill="1"/>
    <xf numFmtId="43" fontId="24" fillId="27" borderId="0" xfId="0" applyNumberFormat="1" applyFont="1" applyFill="1"/>
    <xf numFmtId="169" fontId="27" fillId="12" borderId="22" xfId="3" quotePrefix="1" applyNumberFormat="1" applyFont="1" applyFill="1" applyBorder="1" applyAlignment="1" applyProtection="1">
      <alignment horizontal="center" vertical="center" wrapText="1"/>
      <protection hidden="1"/>
    </xf>
    <xf numFmtId="178" fontId="27" fillId="12" borderId="22" xfId="3" quotePrefix="1" applyNumberFormat="1" applyFont="1" applyFill="1" applyBorder="1" applyAlignment="1" applyProtection="1">
      <alignment horizontal="center" vertical="center" wrapText="1"/>
      <protection hidden="1"/>
    </xf>
    <xf numFmtId="164" fontId="55" fillId="20" borderId="1" xfId="1" applyNumberFormat="1" applyFont="1" applyFill="1" applyBorder="1" applyAlignment="1">
      <alignment horizontal="center" vertical="center" wrapText="1"/>
    </xf>
    <xf numFmtId="43" fontId="24" fillId="0" borderId="1" xfId="0" applyNumberFormat="1" applyFont="1" applyBorder="1" applyAlignment="1">
      <alignment horizontal="center"/>
    </xf>
    <xf numFmtId="0" fontId="19" fillId="0" borderId="0" xfId="3" applyFont="1" applyAlignment="1" applyProtection="1">
      <alignment horizontal="left" vertical="center" wrapText="1"/>
      <protection hidden="1"/>
    </xf>
    <xf numFmtId="0" fontId="21" fillId="10" borderId="0" xfId="0" applyFont="1" applyFill="1" applyAlignment="1" applyProtection="1">
      <alignment horizontal="center" vertical="center" wrapText="1"/>
      <protection hidden="1"/>
    </xf>
    <xf numFmtId="164" fontId="71" fillId="29" borderId="1" xfId="1" applyNumberFormat="1" applyFont="1" applyFill="1" applyBorder="1" applyAlignment="1">
      <alignment horizontal="center" vertical="center" wrapText="1"/>
    </xf>
    <xf numFmtId="164" fontId="8" fillId="0" borderId="0" xfId="1" applyNumberFormat="1" applyFont="1" applyBorder="1"/>
    <xf numFmtId="2" fontId="24" fillId="2" borderId="0" xfId="0" applyNumberFormat="1" applyFont="1" applyFill="1"/>
    <xf numFmtId="166" fontId="17" fillId="30" borderId="20" xfId="4" applyNumberFormat="1" applyFont="1" applyFill="1" applyBorder="1" applyAlignment="1" applyProtection="1">
      <alignment horizontal="center" vertical="center" wrapText="1"/>
      <protection hidden="1"/>
    </xf>
    <xf numFmtId="167" fontId="22" fillId="30" borderId="45" xfId="4" applyNumberFormat="1" applyFont="1" applyFill="1" applyBorder="1" applyAlignment="1" applyProtection="1">
      <alignment horizontal="center" vertical="center" wrapText="1"/>
      <protection hidden="1"/>
    </xf>
    <xf numFmtId="167" fontId="62" fillId="30" borderId="45" xfId="4" applyNumberFormat="1" applyFont="1" applyFill="1" applyBorder="1" applyAlignment="1" applyProtection="1">
      <alignment horizontal="center" vertical="center" wrapText="1"/>
      <protection hidden="1"/>
    </xf>
    <xf numFmtId="43" fontId="22" fillId="30" borderId="42" xfId="4" applyFont="1" applyFill="1" applyBorder="1" applyAlignment="1" applyProtection="1">
      <alignment horizontal="center" wrapText="1"/>
      <protection hidden="1"/>
    </xf>
    <xf numFmtId="43" fontId="22" fillId="30" borderId="42" xfId="4" applyFont="1" applyFill="1" applyBorder="1" applyAlignment="1" applyProtection="1">
      <alignment horizontal="center" vertical="center" wrapText="1"/>
      <protection hidden="1"/>
    </xf>
    <xf numFmtId="2" fontId="56" fillId="3" borderId="0" xfId="0" applyNumberFormat="1" applyFont="1" applyFill="1"/>
    <xf numFmtId="171" fontId="73" fillId="28" borderId="1" xfId="0" applyNumberFormat="1" applyFont="1" applyFill="1" applyBorder="1" applyAlignment="1">
      <alignment horizontal="center"/>
    </xf>
    <xf numFmtId="43" fontId="17" fillId="3" borderId="23" xfId="4" applyFont="1" applyFill="1" applyBorder="1" applyAlignment="1" applyProtection="1">
      <alignment horizontal="right" vertical="center" wrapText="1"/>
      <protection hidden="1"/>
    </xf>
    <xf numFmtId="0" fontId="10" fillId="0" borderId="9" xfId="0" applyFont="1" applyBorder="1" applyAlignment="1">
      <alignment vertical="center"/>
    </xf>
    <xf numFmtId="0" fontId="10" fillId="0" borderId="1" xfId="0" applyFont="1" applyBorder="1" applyAlignment="1">
      <alignment vertical="center"/>
    </xf>
    <xf numFmtId="0" fontId="10" fillId="28" borderId="1" xfId="0" applyFont="1" applyFill="1" applyBorder="1" applyAlignment="1">
      <alignment vertical="center"/>
    </xf>
    <xf numFmtId="0" fontId="0" fillId="23" borderId="11" xfId="0" applyFill="1" applyBorder="1" applyAlignment="1">
      <alignment horizontal="center" vertical="center" wrapText="1"/>
    </xf>
    <xf numFmtId="0" fontId="0" fillId="23" borderId="1" xfId="0" applyFill="1" applyBorder="1" applyAlignment="1">
      <alignment horizontal="center" vertical="center" wrapText="1"/>
    </xf>
    <xf numFmtId="2" fontId="0" fillId="23" borderId="11" xfId="0" applyNumberFormat="1" applyFill="1" applyBorder="1"/>
    <xf numFmtId="2" fontId="0" fillId="23" borderId="1" xfId="0" applyNumberFormat="1" applyFill="1" applyBorder="1"/>
    <xf numFmtId="0" fontId="0" fillId="31" borderId="0" xfId="0" applyFill="1"/>
    <xf numFmtId="9" fontId="0" fillId="31" borderId="0" xfId="0" applyNumberFormat="1" applyFill="1" applyAlignment="1">
      <alignment horizontal="center"/>
    </xf>
    <xf numFmtId="0" fontId="0" fillId="31" borderId="1" xfId="0" applyFill="1" applyBorder="1" applyAlignment="1">
      <alignment horizontal="center" vertical="center" wrapText="1"/>
    </xf>
    <xf numFmtId="2" fontId="0" fillId="31" borderId="1" xfId="0" applyNumberFormat="1" applyFill="1" applyBorder="1"/>
    <xf numFmtId="2" fontId="48" fillId="31" borderId="1" xfId="0" applyNumberFormat="1" applyFont="1" applyFill="1" applyBorder="1"/>
    <xf numFmtId="0" fontId="0" fillId="32" borderId="0" xfId="0" applyFill="1"/>
    <xf numFmtId="9" fontId="0" fillId="32" borderId="0" xfId="0" applyNumberFormat="1" applyFill="1" applyAlignment="1">
      <alignment horizontal="center"/>
    </xf>
    <xf numFmtId="0" fontId="0" fillId="32" borderId="1" xfId="0" applyFill="1" applyBorder="1" applyAlignment="1">
      <alignment horizontal="center" vertical="center" wrapText="1"/>
    </xf>
    <xf numFmtId="2" fontId="0" fillId="32" borderId="1" xfId="0" applyNumberFormat="1" applyFill="1" applyBorder="1"/>
    <xf numFmtId="174" fontId="0" fillId="32" borderId="1" xfId="0" applyNumberFormat="1" applyFill="1" applyBorder="1"/>
    <xf numFmtId="0" fontId="0" fillId="32" borderId="11" xfId="0" applyFill="1" applyBorder="1" applyAlignment="1">
      <alignment horizontal="center" vertical="center" wrapText="1"/>
    </xf>
    <xf numFmtId="2" fontId="0" fillId="32" borderId="11" xfId="0" applyNumberFormat="1" applyFill="1" applyBorder="1"/>
    <xf numFmtId="43" fontId="26" fillId="0" borderId="58" xfId="0" applyNumberFormat="1" applyFont="1" applyBorder="1" applyAlignment="1" applyProtection="1">
      <alignment horizontal="center" vertical="center" wrapText="1"/>
      <protection hidden="1"/>
    </xf>
    <xf numFmtId="43" fontId="26" fillId="17" borderId="57" xfId="8" applyFont="1" applyFill="1" applyBorder="1" applyAlignment="1" applyProtection="1">
      <alignment horizontal="center" vertical="center" wrapText="1"/>
      <protection hidden="1"/>
    </xf>
    <xf numFmtId="43" fontId="26" fillId="13" borderId="31" xfId="8" applyFont="1" applyFill="1" applyBorder="1" applyAlignment="1" applyProtection="1">
      <alignment horizontal="center" vertical="center" wrapText="1"/>
      <protection hidden="1"/>
    </xf>
    <xf numFmtId="43" fontId="26" fillId="31" borderId="56" xfId="0" applyNumberFormat="1" applyFont="1" applyFill="1" applyBorder="1" applyAlignment="1" applyProtection="1">
      <alignment horizontal="right" vertical="center" wrapText="1"/>
      <protection hidden="1"/>
    </xf>
    <xf numFmtId="43" fontId="26" fillId="31" borderId="22" xfId="8" applyFont="1" applyFill="1" applyBorder="1" applyAlignment="1" applyProtection="1">
      <alignment horizontal="center" vertical="center" wrapText="1"/>
      <protection hidden="1"/>
    </xf>
    <xf numFmtId="43" fontId="26" fillId="0" borderId="35" xfId="8" quotePrefix="1" applyFont="1" applyFill="1" applyBorder="1" applyAlignment="1" applyProtection="1">
      <alignment horizontal="center" vertical="center" wrapText="1"/>
      <protection hidden="1"/>
    </xf>
    <xf numFmtId="2" fontId="54" fillId="0" borderId="0" xfId="0" applyNumberFormat="1" applyFont="1"/>
    <xf numFmtId="0" fontId="74" fillId="19" borderId="0" xfId="0" applyFont="1" applyFill="1" applyAlignment="1" applyProtection="1">
      <alignment horizontal="center" vertical="center"/>
      <protection hidden="1"/>
    </xf>
    <xf numFmtId="179" fontId="0" fillId="0" borderId="0" xfId="11" applyNumberFormat="1" applyFont="1"/>
    <xf numFmtId="179" fontId="0" fillId="0" borderId="0" xfId="0" applyNumberFormat="1"/>
    <xf numFmtId="179" fontId="0" fillId="3" borderId="0" xfId="0" applyNumberFormat="1" applyFill="1" applyAlignment="1">
      <alignment horizontal="center"/>
    </xf>
    <xf numFmtId="0" fontId="30" fillId="0" borderId="0" xfId="3" applyFont="1" applyAlignment="1" applyProtection="1">
      <alignment horizontal="justify" vertical="justify" wrapText="1"/>
      <protection hidden="1"/>
    </xf>
    <xf numFmtId="0" fontId="29" fillId="16" borderId="14" xfId="3" applyFont="1" applyFill="1" applyBorder="1" applyAlignment="1" applyProtection="1">
      <alignment horizontal="center" vertical="center"/>
      <protection hidden="1"/>
    </xf>
    <xf numFmtId="0" fontId="32" fillId="3" borderId="0" xfId="3" applyFont="1" applyFill="1" applyAlignment="1" applyProtection="1">
      <alignment horizontal="justify" vertical="center" wrapText="1"/>
      <protection hidden="1"/>
    </xf>
    <xf numFmtId="0" fontId="29" fillId="16" borderId="7" xfId="3" applyFont="1" applyFill="1" applyBorder="1" applyAlignment="1" applyProtection="1">
      <alignment horizontal="center" vertical="center"/>
      <protection hidden="1"/>
    </xf>
    <xf numFmtId="164" fontId="76" fillId="8" borderId="1" xfId="1" applyNumberFormat="1" applyFont="1" applyFill="1" applyBorder="1" applyAlignment="1">
      <alignment horizontal="center" vertical="center" wrapText="1"/>
    </xf>
    <xf numFmtId="43" fontId="26" fillId="8" borderId="22" xfId="8" applyFont="1" applyFill="1" applyBorder="1" applyAlignment="1" applyProtection="1">
      <alignment horizontal="center" vertical="center" wrapText="1"/>
      <protection hidden="1"/>
    </xf>
    <xf numFmtId="2" fontId="26" fillId="8" borderId="56" xfId="0" applyNumberFormat="1" applyFont="1" applyFill="1" applyBorder="1" applyAlignment="1" applyProtection="1">
      <alignment horizontal="right" vertical="center" wrapText="1"/>
      <protection hidden="1"/>
    </xf>
    <xf numFmtId="43" fontId="26" fillId="8" borderId="56" xfId="0" applyNumberFormat="1" applyFont="1" applyFill="1" applyBorder="1" applyAlignment="1" applyProtection="1">
      <alignment horizontal="center" vertical="center" wrapText="1"/>
      <protection hidden="1"/>
    </xf>
    <xf numFmtId="43" fontId="26" fillId="8" borderId="56" xfId="0" applyNumberFormat="1" applyFont="1" applyFill="1" applyBorder="1" applyAlignment="1" applyProtection="1">
      <alignment horizontal="right" vertical="center" wrapText="1"/>
      <protection hidden="1"/>
    </xf>
    <xf numFmtId="0" fontId="27" fillId="24" borderId="90" xfId="3" applyFont="1" applyFill="1" applyBorder="1" applyAlignment="1" applyProtection="1">
      <alignment horizontal="center" vertical="center" wrapText="1"/>
      <protection hidden="1"/>
    </xf>
    <xf numFmtId="9" fontId="38" fillId="24" borderId="56" xfId="7" applyFont="1" applyFill="1" applyBorder="1" applyAlignment="1" applyProtection="1">
      <alignment horizontal="center" vertical="center" wrapText="1"/>
      <protection hidden="1"/>
    </xf>
    <xf numFmtId="0" fontId="27" fillId="24" borderId="56" xfId="3" applyFont="1" applyFill="1" applyBorder="1" applyAlignment="1" applyProtection="1">
      <alignment horizontal="center" vertical="center" wrapText="1"/>
      <protection hidden="1"/>
    </xf>
    <xf numFmtId="166" fontId="17" fillId="7" borderId="20" xfId="4" applyNumberFormat="1" applyFont="1" applyFill="1" applyBorder="1" applyAlignment="1" applyProtection="1">
      <alignment horizontal="center" vertical="center" wrapText="1"/>
      <protection hidden="1"/>
    </xf>
    <xf numFmtId="43" fontId="26" fillId="13" borderId="22" xfId="6" quotePrefix="1" applyFont="1" applyFill="1" applyBorder="1" applyAlignment="1" applyProtection="1">
      <alignment horizontal="center" vertical="center" wrapText="1"/>
      <protection hidden="1"/>
    </xf>
    <xf numFmtId="43" fontId="26" fillId="13" borderId="28" xfId="6" quotePrefix="1" applyFont="1" applyFill="1" applyBorder="1" applyAlignment="1" applyProtection="1">
      <alignment horizontal="center" vertical="center" wrapText="1"/>
      <protection hidden="1"/>
    </xf>
    <xf numFmtId="0" fontId="23" fillId="11" borderId="0" xfId="0" applyFont="1" applyFill="1" applyAlignment="1" applyProtection="1">
      <alignment horizontal="center" vertical="center" wrapText="1"/>
      <protection hidden="1"/>
    </xf>
    <xf numFmtId="177" fontId="0" fillId="33" borderId="1" xfId="1" applyNumberFormat="1" applyFont="1" applyFill="1" applyBorder="1"/>
    <xf numFmtId="164" fontId="0" fillId="22" borderId="1" xfId="1" applyNumberFormat="1" applyFont="1" applyFill="1" applyBorder="1"/>
    <xf numFmtId="174" fontId="0" fillId="0" borderId="1" xfId="0" applyNumberFormat="1" applyBorder="1"/>
    <xf numFmtId="175" fontId="0" fillId="0" borderId="1" xfId="0" applyNumberFormat="1" applyBorder="1"/>
    <xf numFmtId="2" fontId="0" fillId="0" borderId="11" xfId="0" applyNumberFormat="1" applyBorder="1"/>
    <xf numFmtId="0" fontId="59" fillId="0" borderId="0" xfId="3" applyFont="1" applyAlignment="1" applyProtection="1">
      <alignment vertical="center" wrapText="1"/>
      <protection hidden="1"/>
    </xf>
    <xf numFmtId="43" fontId="26" fillId="0" borderId="56" xfId="8" quotePrefix="1" applyFont="1" applyFill="1" applyBorder="1" applyAlignment="1" applyProtection="1">
      <alignment horizontal="center" vertical="center" wrapText="1"/>
      <protection hidden="1"/>
    </xf>
    <xf numFmtId="177" fontId="0" fillId="0" borderId="1" xfId="1" applyNumberFormat="1" applyFont="1" applyFill="1" applyBorder="1"/>
    <xf numFmtId="164" fontId="78" fillId="27" borderId="1" xfId="1" applyNumberFormat="1" applyFont="1" applyFill="1" applyBorder="1"/>
    <xf numFmtId="168" fontId="38" fillId="24" borderId="56" xfId="3" quotePrefix="1" applyNumberFormat="1" applyFont="1" applyFill="1" applyBorder="1" applyAlignment="1" applyProtection="1">
      <alignment horizontal="center" vertical="center" wrapText="1"/>
      <protection hidden="1"/>
    </xf>
    <xf numFmtId="43" fontId="26" fillId="13" borderId="56" xfId="8" quotePrefix="1" applyFont="1" applyFill="1" applyBorder="1" applyAlignment="1" applyProtection="1">
      <alignment horizontal="center" vertical="center" wrapText="1"/>
      <protection hidden="1"/>
    </xf>
    <xf numFmtId="2" fontId="56" fillId="0" borderId="0" xfId="0" applyNumberFormat="1" applyFont="1"/>
    <xf numFmtId="0" fontId="8" fillId="0" borderId="0" xfId="0" applyFont="1"/>
    <xf numFmtId="9" fontId="8" fillId="0" borderId="0" xfId="0" applyNumberFormat="1" applyFont="1"/>
    <xf numFmtId="2" fontId="8" fillId="0" borderId="0" xfId="0" applyNumberFormat="1" applyFont="1"/>
    <xf numFmtId="0" fontId="79" fillId="0" borderId="91" xfId="0" applyFont="1" applyBorder="1" applyAlignment="1">
      <alignment horizontal="center"/>
    </xf>
    <xf numFmtId="2" fontId="8" fillId="0" borderId="92" xfId="0" applyNumberFormat="1" applyFont="1" applyBorder="1"/>
    <xf numFmtId="2" fontId="60" fillId="0" borderId="92" xfId="0" applyNumberFormat="1" applyFont="1" applyBorder="1"/>
    <xf numFmtId="0" fontId="27" fillId="16" borderId="0" xfId="3" applyFont="1" applyFill="1" applyAlignment="1" applyProtection="1">
      <alignment vertical="center" wrapText="1"/>
      <protection hidden="1"/>
    </xf>
    <xf numFmtId="0" fontId="29" fillId="16" borderId="14" xfId="3" applyFont="1" applyFill="1" applyBorder="1" applyAlignment="1" applyProtection="1">
      <alignment horizontal="center" vertical="center" wrapText="1"/>
      <protection hidden="1"/>
    </xf>
    <xf numFmtId="0" fontId="29" fillId="16" borderId="31" xfId="3" applyFont="1" applyFill="1" applyBorder="1" applyAlignment="1" applyProtection="1">
      <alignment horizontal="center" vertical="center" wrapText="1"/>
      <protection hidden="1"/>
    </xf>
    <xf numFmtId="43" fontId="26" fillId="3" borderId="56" xfId="8" applyFont="1" applyFill="1" applyBorder="1" applyAlignment="1" applyProtection="1">
      <alignment horizontal="center" vertical="center" wrapText="1"/>
      <protection hidden="1"/>
    </xf>
    <xf numFmtId="43" fontId="26" fillId="3" borderId="58" xfId="8" applyFont="1" applyFill="1" applyBorder="1" applyAlignment="1" applyProtection="1">
      <alignment horizontal="center" vertical="center" wrapText="1"/>
      <protection hidden="1"/>
    </xf>
    <xf numFmtId="9" fontId="27" fillId="12" borderId="22" xfId="3" quotePrefix="1" applyNumberFormat="1" applyFont="1" applyFill="1" applyBorder="1" applyAlignment="1" applyProtection="1">
      <alignment horizontal="center" vertical="center" wrapText="1"/>
      <protection hidden="1"/>
    </xf>
    <xf numFmtId="43" fontId="26" fillId="3" borderId="35" xfId="8" quotePrefix="1" applyFont="1" applyFill="1" applyBorder="1" applyAlignment="1" applyProtection="1">
      <alignment horizontal="center" vertical="center" wrapText="1"/>
      <protection hidden="1"/>
    </xf>
    <xf numFmtId="43" fontId="26" fillId="3" borderId="35" xfId="8" applyFont="1" applyFill="1" applyBorder="1" applyAlignment="1" applyProtection="1">
      <alignment horizontal="center" vertical="center" wrapText="1"/>
      <protection hidden="1"/>
    </xf>
    <xf numFmtId="0" fontId="27" fillId="12" borderId="35" xfId="3" applyFont="1" applyFill="1" applyBorder="1" applyAlignment="1" applyProtection="1">
      <alignment horizontal="center" vertical="center" wrapText="1"/>
      <protection hidden="1"/>
    </xf>
    <xf numFmtId="9" fontId="27" fillId="12" borderId="56" xfId="3" quotePrefix="1" applyNumberFormat="1" applyFont="1" applyFill="1" applyBorder="1" applyAlignment="1" applyProtection="1">
      <alignment horizontal="center" vertical="center" wrapText="1"/>
      <protection hidden="1"/>
    </xf>
    <xf numFmtId="43" fontId="26" fillId="23" borderId="56" xfId="8" applyFont="1" applyFill="1" applyBorder="1" applyAlignment="1" applyProtection="1">
      <alignment horizontal="center" vertical="center" wrapText="1"/>
      <protection hidden="1"/>
    </xf>
    <xf numFmtId="9" fontId="27" fillId="12" borderId="55" xfId="3" quotePrefix="1" applyNumberFormat="1" applyFont="1" applyFill="1" applyBorder="1" applyAlignment="1" applyProtection="1">
      <alignment horizontal="center" vertical="center" wrapText="1"/>
      <protection hidden="1"/>
    </xf>
    <xf numFmtId="43" fontId="22" fillId="0" borderId="42" xfId="4" applyFont="1" applyFill="1" applyBorder="1" applyAlignment="1" applyProtection="1">
      <alignment horizontal="center" vertical="center" wrapText="1"/>
      <protection hidden="1"/>
    </xf>
    <xf numFmtId="43" fontId="22" fillId="0" borderId="47" xfId="4" applyFont="1" applyFill="1" applyBorder="1" applyAlignment="1" applyProtection="1">
      <alignment horizontal="center" vertical="center" wrapText="1"/>
      <protection hidden="1"/>
    </xf>
    <xf numFmtId="43" fontId="62" fillId="0" borderId="47" xfId="4" applyFont="1" applyFill="1" applyBorder="1" applyAlignment="1" applyProtection="1">
      <alignment horizontal="center" vertical="center" wrapText="1"/>
      <protection hidden="1"/>
    </xf>
    <xf numFmtId="43" fontId="14" fillId="0" borderId="42" xfId="4" applyFont="1" applyFill="1" applyBorder="1" applyAlignment="1" applyProtection="1">
      <alignment horizontal="center" vertical="center" wrapText="1"/>
      <protection hidden="1"/>
    </xf>
    <xf numFmtId="167" fontId="14" fillId="0" borderId="42" xfId="4" applyNumberFormat="1" applyFont="1" applyFill="1" applyBorder="1" applyAlignment="1" applyProtection="1">
      <alignment horizontal="center" vertical="center" wrapText="1"/>
      <protection hidden="1"/>
    </xf>
    <xf numFmtId="167" fontId="14" fillId="0" borderId="0" xfId="4" applyNumberFormat="1" applyFont="1" applyFill="1" applyBorder="1" applyAlignment="1" applyProtection="1">
      <alignment horizontal="center" vertical="center" wrapText="1"/>
      <protection hidden="1"/>
    </xf>
    <xf numFmtId="43" fontId="14" fillId="0" borderId="22" xfId="4" applyFont="1" applyFill="1" applyBorder="1" applyAlignment="1" applyProtection="1">
      <alignment horizontal="center" vertical="center" wrapText="1"/>
      <protection hidden="1"/>
    </xf>
    <xf numFmtId="43" fontId="17" fillId="28" borderId="42" xfId="4" applyFont="1" applyFill="1" applyBorder="1" applyAlignment="1" applyProtection="1">
      <alignment horizontal="center" vertical="center" wrapText="1"/>
      <protection hidden="1"/>
    </xf>
    <xf numFmtId="0" fontId="14" fillId="0" borderId="22" xfId="0" applyFont="1" applyBorder="1" applyAlignment="1" applyProtection="1">
      <alignment vertical="center"/>
      <protection hidden="1"/>
    </xf>
    <xf numFmtId="43" fontId="14" fillId="0" borderId="23" xfId="4" applyFont="1" applyFill="1" applyBorder="1" applyAlignment="1" applyProtection="1">
      <alignment horizontal="center" vertical="center" wrapText="1"/>
      <protection hidden="1"/>
    </xf>
    <xf numFmtId="43" fontId="14" fillId="0" borderId="22" xfId="4" applyFont="1" applyFill="1" applyBorder="1" applyAlignment="1" applyProtection="1">
      <alignment horizontal="right" vertical="center" wrapText="1"/>
      <protection hidden="1"/>
    </xf>
    <xf numFmtId="0" fontId="14" fillId="0" borderId="27" xfId="0" applyFont="1" applyBorder="1" applyAlignment="1" applyProtection="1">
      <alignment horizontal="left" vertical="center" wrapText="1"/>
      <protection hidden="1"/>
    </xf>
    <xf numFmtId="0" fontId="14" fillId="0" borderId="28" xfId="0" applyFont="1" applyBorder="1" applyAlignment="1" applyProtection="1">
      <alignment horizontal="left" vertical="center" wrapText="1"/>
      <protection hidden="1"/>
    </xf>
    <xf numFmtId="0" fontId="14" fillId="22" borderId="28" xfId="0" applyFont="1" applyFill="1" applyBorder="1" applyAlignment="1" applyProtection="1">
      <alignment horizontal="left" vertical="center" wrapText="1"/>
      <protection hidden="1"/>
    </xf>
    <xf numFmtId="0" fontId="14" fillId="3" borderId="28" xfId="0" applyFont="1" applyFill="1" applyBorder="1" applyAlignment="1" applyProtection="1">
      <alignment horizontal="left" vertical="center" wrapText="1"/>
      <protection hidden="1"/>
    </xf>
    <xf numFmtId="15" fontId="16" fillId="12" borderId="94" xfId="0" quotePrefix="1" applyNumberFormat="1" applyFont="1" applyFill="1" applyBorder="1" applyAlignment="1" applyProtection="1">
      <alignment horizontal="center" vertical="center" wrapText="1"/>
      <protection hidden="1"/>
    </xf>
    <xf numFmtId="15" fontId="16" fillId="12" borderId="0" xfId="0" quotePrefix="1" applyNumberFormat="1" applyFont="1" applyFill="1" applyAlignment="1" applyProtection="1">
      <alignment horizontal="center" vertical="center" wrapText="1"/>
      <protection hidden="1"/>
    </xf>
    <xf numFmtId="166" fontId="17" fillId="30" borderId="0" xfId="4" applyNumberFormat="1" applyFont="1" applyFill="1" applyBorder="1" applyAlignment="1" applyProtection="1">
      <alignment horizontal="center" vertical="center" wrapText="1"/>
      <protection hidden="1"/>
    </xf>
    <xf numFmtId="43" fontId="17" fillId="0" borderId="0" xfId="4" applyFont="1" applyFill="1" applyBorder="1" applyAlignment="1" applyProtection="1">
      <alignment horizontal="center" vertical="center" wrapText="1"/>
      <protection hidden="1"/>
    </xf>
    <xf numFmtId="43" fontId="17" fillId="0" borderId="0" xfId="4" applyFont="1" applyFill="1" applyBorder="1" applyAlignment="1" applyProtection="1">
      <alignment horizontal="right" vertical="center" wrapText="1"/>
      <protection hidden="1"/>
    </xf>
    <xf numFmtId="43" fontId="17" fillId="13" borderId="0" xfId="4" applyFont="1" applyFill="1" applyBorder="1" applyAlignment="1" applyProtection="1">
      <alignment horizontal="right" vertical="center" wrapText="1"/>
      <protection hidden="1"/>
    </xf>
    <xf numFmtId="2" fontId="17" fillId="0" borderId="0" xfId="0" applyNumberFormat="1" applyFont="1" applyAlignment="1" applyProtection="1">
      <alignment horizontal="right" vertical="center" wrapText="1"/>
      <protection hidden="1"/>
    </xf>
    <xf numFmtId="9" fontId="13" fillId="12" borderId="95" xfId="5" quotePrefix="1" applyFont="1" applyFill="1" applyBorder="1" applyAlignment="1" applyProtection="1">
      <alignment horizontal="center" vertical="center" wrapText="1"/>
      <protection hidden="1"/>
    </xf>
    <xf numFmtId="9" fontId="13" fillId="12" borderId="96" xfId="5" quotePrefix="1" applyFont="1" applyFill="1" applyBorder="1" applyAlignment="1" applyProtection="1">
      <alignment horizontal="center" vertical="center" wrapText="1"/>
      <protection hidden="1"/>
    </xf>
    <xf numFmtId="9" fontId="13" fillId="12" borderId="97" xfId="5" quotePrefix="1" applyFont="1" applyFill="1" applyBorder="1" applyAlignment="1" applyProtection="1">
      <alignment horizontal="center" vertical="center" wrapText="1"/>
      <protection hidden="1"/>
    </xf>
    <xf numFmtId="43" fontId="17" fillId="28" borderId="21" xfId="4" applyFont="1" applyFill="1" applyBorder="1" applyAlignment="1" applyProtection="1">
      <alignment horizontal="right" vertical="center" wrapText="1"/>
      <protection hidden="1"/>
    </xf>
    <xf numFmtId="43" fontId="22" fillId="28" borderId="45" xfId="4" applyFont="1" applyFill="1" applyBorder="1" applyAlignment="1" applyProtection="1">
      <alignment horizontal="center" vertical="center" wrapText="1"/>
      <protection hidden="1"/>
    </xf>
    <xf numFmtId="43" fontId="17" fillId="28" borderId="45" xfId="4" applyFont="1" applyFill="1" applyBorder="1" applyAlignment="1" applyProtection="1">
      <alignment horizontal="center" vertical="center" wrapText="1"/>
      <protection hidden="1"/>
    </xf>
    <xf numFmtId="43" fontId="80" fillId="28" borderId="23" xfId="4" applyFont="1" applyFill="1" applyBorder="1" applyAlignment="1" applyProtection="1">
      <alignment horizontal="center" vertical="center" wrapText="1"/>
      <protection hidden="1"/>
    </xf>
    <xf numFmtId="164" fontId="8" fillId="0" borderId="1" xfId="1" applyNumberFormat="1" applyFont="1" applyFill="1" applyBorder="1"/>
    <xf numFmtId="164" fontId="8" fillId="0" borderId="1" xfId="1" applyNumberFormat="1" applyFont="1" applyFill="1" applyBorder="1" applyAlignment="1">
      <alignment horizontal="center"/>
    </xf>
    <xf numFmtId="164" fontId="71" fillId="8" borderId="1" xfId="1" applyNumberFormat="1" applyFont="1" applyFill="1" applyBorder="1" applyAlignment="1">
      <alignment horizontal="center" vertical="center" wrapText="1"/>
    </xf>
    <xf numFmtId="164" fontId="8" fillId="27" borderId="1" xfId="1" applyNumberFormat="1" applyFont="1" applyFill="1" applyBorder="1"/>
    <xf numFmtId="43" fontId="26" fillId="3" borderId="55" xfId="8" applyFont="1" applyFill="1" applyBorder="1" applyAlignment="1" applyProtection="1">
      <alignment horizontal="center" vertical="center" wrapText="1"/>
      <protection hidden="1"/>
    </xf>
    <xf numFmtId="0" fontId="29" fillId="16" borderId="13" xfId="3" applyFont="1" applyFill="1" applyBorder="1" applyAlignment="1" applyProtection="1">
      <alignment vertical="center" wrapText="1"/>
      <protection hidden="1"/>
    </xf>
    <xf numFmtId="0" fontId="29" fillId="16" borderId="14" xfId="3" applyFont="1" applyFill="1" applyBorder="1" applyAlignment="1" applyProtection="1">
      <alignment vertical="center" wrapText="1"/>
      <protection hidden="1"/>
    </xf>
    <xf numFmtId="0" fontId="29" fillId="16" borderId="15" xfId="3" applyFont="1" applyFill="1" applyBorder="1" applyAlignment="1" applyProtection="1">
      <alignment vertical="center" wrapText="1"/>
      <protection hidden="1"/>
    </xf>
    <xf numFmtId="0" fontId="29" fillId="16" borderId="30" xfId="3" applyFont="1" applyFill="1" applyBorder="1" applyAlignment="1" applyProtection="1">
      <alignment vertical="center" wrapText="1"/>
      <protection hidden="1"/>
    </xf>
    <xf numFmtId="0" fontId="29" fillId="16" borderId="31" xfId="3" applyFont="1" applyFill="1" applyBorder="1" applyAlignment="1" applyProtection="1">
      <alignment vertical="center" wrapText="1"/>
      <protection hidden="1"/>
    </xf>
    <xf numFmtId="0" fontId="29" fillId="16" borderId="54" xfId="3" applyFont="1" applyFill="1" applyBorder="1" applyAlignment="1" applyProtection="1">
      <alignment vertical="center" wrapText="1"/>
      <protection hidden="1"/>
    </xf>
    <xf numFmtId="0" fontId="27" fillId="12" borderId="62" xfId="3" applyFont="1" applyFill="1" applyBorder="1" applyAlignment="1" applyProtection="1">
      <alignment horizontal="center" vertical="center" wrapText="1"/>
      <protection hidden="1"/>
    </xf>
    <xf numFmtId="0" fontId="27" fillId="12" borderId="54" xfId="3" applyFont="1" applyFill="1" applyBorder="1" applyAlignment="1" applyProtection="1">
      <alignment horizontal="center" vertical="center" wrapText="1"/>
      <protection hidden="1"/>
    </xf>
    <xf numFmtId="0" fontId="30" fillId="0" borderId="0" xfId="3" applyFont="1" applyAlignment="1" applyProtection="1">
      <alignment horizontal="center" vertical="center" wrapText="1"/>
      <protection hidden="1"/>
    </xf>
    <xf numFmtId="0" fontId="29" fillId="16" borderId="13" xfId="3" applyFont="1" applyFill="1" applyBorder="1" applyAlignment="1" applyProtection="1">
      <alignment vertical="center"/>
      <protection hidden="1"/>
    </xf>
    <xf numFmtId="0" fontId="29" fillId="16" borderId="14" xfId="3" applyFont="1" applyFill="1" applyBorder="1" applyAlignment="1" applyProtection="1">
      <alignment vertical="center"/>
      <protection hidden="1"/>
    </xf>
    <xf numFmtId="0" fontId="29" fillId="16" borderId="15" xfId="3" applyFont="1" applyFill="1" applyBorder="1" applyAlignment="1" applyProtection="1">
      <alignment vertical="center"/>
      <protection hidden="1"/>
    </xf>
    <xf numFmtId="0" fontId="29" fillId="16" borderId="30" xfId="3" applyFont="1" applyFill="1" applyBorder="1" applyAlignment="1" applyProtection="1">
      <alignment vertical="center"/>
      <protection hidden="1"/>
    </xf>
    <xf numFmtId="0" fontId="29" fillId="16" borderId="31" xfId="3" applyFont="1" applyFill="1" applyBorder="1" applyAlignment="1" applyProtection="1">
      <alignment vertical="center"/>
      <protection hidden="1"/>
    </xf>
    <xf numFmtId="0" fontId="29" fillId="16" borderId="54" xfId="3" applyFont="1" applyFill="1" applyBorder="1" applyAlignment="1" applyProtection="1">
      <alignment vertical="center"/>
      <protection hidden="1"/>
    </xf>
    <xf numFmtId="2" fontId="26" fillId="0" borderId="0" xfId="0" applyNumberFormat="1" applyFont="1" applyAlignment="1" applyProtection="1">
      <alignment horizontal="right" vertical="center" wrapText="1"/>
      <protection hidden="1"/>
    </xf>
    <xf numFmtId="43" fontId="26" fillId="0" borderId="0" xfId="0" applyNumberFormat="1" applyFont="1" applyAlignment="1" applyProtection="1">
      <alignment horizontal="center" vertical="center" wrapText="1"/>
      <protection hidden="1"/>
    </xf>
    <xf numFmtId="43" fontId="26" fillId="0" borderId="0" xfId="0" applyNumberFormat="1" applyFont="1" applyAlignment="1" applyProtection="1">
      <alignment horizontal="right" vertical="center" wrapText="1"/>
      <protection hidden="1"/>
    </xf>
    <xf numFmtId="43" fontId="26" fillId="13" borderId="0" xfId="8" applyFont="1" applyFill="1" applyBorder="1" applyAlignment="1" applyProtection="1">
      <alignment horizontal="center" vertical="center" wrapText="1"/>
      <protection hidden="1"/>
    </xf>
    <xf numFmtId="43" fontId="26" fillId="23" borderId="0" xfId="8" applyFont="1" applyFill="1" applyBorder="1" applyAlignment="1" applyProtection="1">
      <alignment horizontal="center" vertical="center" wrapText="1"/>
      <protection hidden="1"/>
    </xf>
    <xf numFmtId="43" fontId="24" fillId="28" borderId="1" xfId="0" applyNumberFormat="1" applyFont="1" applyFill="1" applyBorder="1" applyAlignment="1">
      <alignment horizontal="center"/>
    </xf>
    <xf numFmtId="4" fontId="56" fillId="28" borderId="0" xfId="0" applyNumberFormat="1" applyFont="1" applyFill="1"/>
    <xf numFmtId="2" fontId="56" fillId="28" borderId="0" xfId="0" applyNumberFormat="1" applyFont="1" applyFill="1"/>
    <xf numFmtId="2" fontId="0" fillId="32" borderId="0" xfId="0" applyNumberFormat="1" applyFill="1"/>
    <xf numFmtId="2" fontId="0" fillId="27" borderId="0" xfId="0" applyNumberFormat="1" applyFill="1"/>
    <xf numFmtId="2" fontId="60" fillId="0" borderId="0" xfId="0" applyNumberFormat="1" applyFont="1"/>
    <xf numFmtId="43" fontId="0" fillId="0" borderId="0" xfId="6" applyFont="1"/>
    <xf numFmtId="180" fontId="0" fillId="0" borderId="0" xfId="6" applyNumberFormat="1" applyFont="1"/>
    <xf numFmtId="181" fontId="0" fillId="0" borderId="0" xfId="6" applyNumberFormat="1" applyFont="1"/>
    <xf numFmtId="9" fontId="0" fillId="0" borderId="0" xfId="0" applyNumberFormat="1"/>
    <xf numFmtId="43" fontId="24" fillId="0" borderId="0" xfId="0" applyNumberFormat="1" applyFont="1"/>
    <xf numFmtId="0" fontId="81" fillId="13" borderId="0" xfId="0" applyFont="1" applyFill="1" applyAlignment="1" applyProtection="1">
      <alignment vertical="center"/>
      <protection hidden="1"/>
    </xf>
    <xf numFmtId="0" fontId="82" fillId="3" borderId="0" xfId="0" applyFont="1" applyFill="1"/>
    <xf numFmtId="43" fontId="0" fillId="28" borderId="1" xfId="0" applyNumberFormat="1" applyFill="1" applyBorder="1" applyAlignment="1">
      <alignment vertical="center"/>
    </xf>
    <xf numFmtId="0" fontId="78" fillId="0" borderId="1" xfId="0" applyFont="1" applyBorder="1"/>
    <xf numFmtId="164" fontId="8" fillId="19" borderId="1" xfId="1" applyNumberFormat="1" applyFont="1" applyFill="1" applyBorder="1"/>
    <xf numFmtId="164" fontId="0" fillId="15" borderId="1" xfId="1" applyNumberFormat="1" applyFont="1" applyFill="1" applyBorder="1"/>
    <xf numFmtId="43" fontId="26" fillId="0" borderId="22" xfId="8" quotePrefix="1" applyFont="1" applyFill="1" applyBorder="1" applyAlignment="1" applyProtection="1">
      <alignment horizontal="center" vertical="center" wrapText="1"/>
      <protection hidden="1"/>
    </xf>
    <xf numFmtId="43" fontId="26" fillId="17" borderId="58" xfId="8" applyFont="1" applyFill="1" applyBorder="1" applyAlignment="1" applyProtection="1">
      <alignment horizontal="center" vertical="center" wrapText="1"/>
      <protection hidden="1"/>
    </xf>
    <xf numFmtId="0" fontId="27" fillId="12" borderId="57" xfId="3" applyFont="1" applyFill="1" applyBorder="1" applyAlignment="1" applyProtection="1">
      <alignment horizontal="center" vertical="center" wrapText="1"/>
      <protection hidden="1"/>
    </xf>
    <xf numFmtId="0" fontId="27" fillId="12" borderId="19" xfId="3" applyFont="1" applyFill="1" applyBorder="1" applyAlignment="1" applyProtection="1">
      <alignment horizontal="center" vertical="center" wrapText="1"/>
      <protection hidden="1"/>
    </xf>
    <xf numFmtId="43" fontId="17" fillId="28" borderId="18" xfId="4" applyFont="1" applyFill="1" applyBorder="1" applyAlignment="1" applyProtection="1">
      <alignment horizontal="right" vertical="center" wrapText="1"/>
      <protection hidden="1"/>
    </xf>
    <xf numFmtId="43" fontId="14" fillId="0" borderId="55" xfId="4" applyFont="1" applyFill="1" applyBorder="1" applyAlignment="1" applyProtection="1">
      <alignment horizontal="right" vertical="center" wrapText="1"/>
      <protection hidden="1"/>
    </xf>
    <xf numFmtId="43" fontId="14" fillId="0" borderId="55" xfId="4" applyFont="1" applyFill="1" applyBorder="1" applyAlignment="1" applyProtection="1">
      <alignment horizontal="center" vertical="center" wrapText="1"/>
      <protection hidden="1"/>
    </xf>
    <xf numFmtId="0" fontId="14" fillId="0" borderId="55" xfId="0" applyFont="1" applyBorder="1" applyAlignment="1" applyProtection="1">
      <alignment vertical="center"/>
      <protection hidden="1"/>
    </xf>
    <xf numFmtId="43" fontId="26" fillId="0" borderId="55" xfId="6" quotePrefix="1" applyFont="1" applyFill="1" applyBorder="1" applyAlignment="1" applyProtection="1">
      <alignment horizontal="center" vertical="center" wrapText="1"/>
      <protection hidden="1"/>
    </xf>
    <xf numFmtId="169" fontId="27" fillId="12" borderId="28" xfId="3" quotePrefix="1" applyNumberFormat="1" applyFont="1" applyFill="1" applyBorder="1" applyAlignment="1" applyProtection="1">
      <alignment horizontal="center" vertical="center" wrapText="1"/>
      <protection hidden="1"/>
    </xf>
    <xf numFmtId="9" fontId="27" fillId="12" borderId="19" xfId="3" applyNumberFormat="1" applyFont="1" applyFill="1" applyBorder="1" applyAlignment="1" applyProtection="1">
      <alignment horizontal="center" vertical="center" wrapText="1"/>
      <protection hidden="1"/>
    </xf>
    <xf numFmtId="43" fontId="26" fillId="13" borderId="22" xfId="8" applyFont="1" applyFill="1" applyBorder="1" applyAlignment="1" applyProtection="1">
      <alignment horizontal="right" vertical="center" wrapText="1"/>
      <protection hidden="1"/>
    </xf>
    <xf numFmtId="43" fontId="26" fillId="0" borderId="22" xfId="8" applyFont="1" applyFill="1" applyBorder="1" applyAlignment="1" applyProtection="1">
      <alignment horizontal="right" vertical="center" wrapText="1"/>
      <protection hidden="1"/>
    </xf>
    <xf numFmtId="164" fontId="0" fillId="0" borderId="9" xfId="1" applyNumberFormat="1" applyFont="1" applyBorder="1"/>
    <xf numFmtId="164" fontId="8" fillId="19" borderId="9" xfId="1" applyNumberFormat="1" applyFont="1" applyFill="1" applyBorder="1"/>
    <xf numFmtId="164" fontId="0" fillId="15" borderId="9" xfId="1" applyNumberFormat="1" applyFont="1" applyFill="1" applyBorder="1"/>
    <xf numFmtId="164" fontId="8" fillId="0" borderId="9" xfId="1" applyNumberFormat="1" applyFont="1" applyFill="1" applyBorder="1"/>
    <xf numFmtId="164" fontId="8" fillId="0" borderId="9" xfId="1" applyNumberFormat="1" applyFont="1" applyFill="1" applyBorder="1" applyAlignment="1">
      <alignment horizontal="center"/>
    </xf>
    <xf numFmtId="164" fontId="8" fillId="27" borderId="9" xfId="1" applyNumberFormat="1" applyFont="1" applyFill="1" applyBorder="1"/>
    <xf numFmtId="164" fontId="0" fillId="20" borderId="9" xfId="1" applyNumberFormat="1" applyFont="1" applyFill="1" applyBorder="1"/>
    <xf numFmtId="43" fontId="24" fillId="0" borderId="9" xfId="0" applyNumberFormat="1" applyFont="1" applyBorder="1" applyAlignment="1">
      <alignment horizontal="center"/>
    </xf>
    <xf numFmtId="164" fontId="0" fillId="0" borderId="12" xfId="1" applyNumberFormat="1" applyFont="1" applyBorder="1"/>
    <xf numFmtId="164" fontId="8" fillId="19" borderId="12" xfId="1" applyNumberFormat="1" applyFont="1" applyFill="1" applyBorder="1"/>
    <xf numFmtId="164" fontId="0" fillId="15" borderId="12" xfId="1" applyNumberFormat="1" applyFont="1" applyFill="1" applyBorder="1"/>
    <xf numFmtId="164" fontId="8" fillId="0" borderId="12" xfId="1" applyNumberFormat="1" applyFont="1" applyFill="1" applyBorder="1"/>
    <xf numFmtId="164" fontId="0" fillId="22" borderId="12" xfId="1" applyNumberFormat="1" applyFont="1" applyFill="1" applyBorder="1"/>
    <xf numFmtId="164" fontId="78" fillId="27" borderId="12" xfId="1" applyNumberFormat="1" applyFont="1" applyFill="1" applyBorder="1"/>
    <xf numFmtId="43" fontId="24" fillId="0" borderId="12" xfId="0" applyNumberFormat="1" applyFont="1" applyBorder="1" applyAlignment="1">
      <alignment horizontal="center"/>
    </xf>
    <xf numFmtId="164" fontId="0" fillId="0" borderId="98" xfId="1" applyNumberFormat="1" applyFont="1" applyBorder="1"/>
    <xf numFmtId="164" fontId="8" fillId="19" borderId="99" xfId="1" applyNumberFormat="1" applyFont="1" applyFill="1" applyBorder="1"/>
    <xf numFmtId="164" fontId="0" fillId="15" borderId="99" xfId="1" applyNumberFormat="1" applyFont="1" applyFill="1" applyBorder="1"/>
    <xf numFmtId="164" fontId="0" fillId="0" borderId="99" xfId="1" applyNumberFormat="1" applyFont="1" applyBorder="1"/>
    <xf numFmtId="164" fontId="8" fillId="0" borderId="99" xfId="1" applyNumberFormat="1" applyFont="1" applyFill="1" applyBorder="1"/>
    <xf numFmtId="164" fontId="0" fillId="33" borderId="99" xfId="1" applyNumberFormat="1" applyFont="1" applyFill="1" applyBorder="1"/>
    <xf numFmtId="164" fontId="78" fillId="27" borderId="99" xfId="1" applyNumberFormat="1" applyFont="1" applyFill="1" applyBorder="1"/>
    <xf numFmtId="43" fontId="24" fillId="0" borderId="99" xfId="0" applyNumberFormat="1" applyFont="1" applyBorder="1" applyAlignment="1">
      <alignment horizontal="center"/>
    </xf>
    <xf numFmtId="43" fontId="0" fillId="3" borderId="100" xfId="0" applyNumberFormat="1" applyFill="1" applyBorder="1"/>
    <xf numFmtId="164" fontId="0" fillId="22" borderId="9" xfId="1" applyNumberFormat="1" applyFont="1" applyFill="1" applyBorder="1"/>
    <xf numFmtId="164" fontId="78" fillId="27" borderId="9" xfId="1" applyNumberFormat="1" applyFont="1" applyFill="1" applyBorder="1"/>
    <xf numFmtId="164" fontId="8" fillId="0" borderId="12" xfId="1" applyNumberFormat="1" applyFont="1" applyFill="1" applyBorder="1" applyAlignment="1">
      <alignment horizontal="center"/>
    </xf>
    <xf numFmtId="164" fontId="8" fillId="27" borderId="12" xfId="1" applyNumberFormat="1" applyFont="1" applyFill="1" applyBorder="1"/>
    <xf numFmtId="164" fontId="0" fillId="20" borderId="12" xfId="1" applyNumberFormat="1" applyFont="1" applyFill="1" applyBorder="1"/>
    <xf numFmtId="43" fontId="24" fillId="2" borderId="12" xfId="0" applyNumberFormat="1" applyFont="1" applyFill="1" applyBorder="1" applyAlignment="1">
      <alignment horizontal="center"/>
    </xf>
    <xf numFmtId="164" fontId="8" fillId="0" borderId="99" xfId="1" applyNumberFormat="1" applyFont="1" applyFill="1" applyBorder="1" applyAlignment="1">
      <alignment horizontal="center"/>
    </xf>
    <xf numFmtId="164" fontId="8" fillId="27" borderId="99" xfId="1" applyNumberFormat="1" applyFont="1" applyFill="1" applyBorder="1"/>
    <xf numFmtId="0" fontId="0" fillId="0" borderId="101" xfId="0" applyBorder="1"/>
    <xf numFmtId="164" fontId="0" fillId="20" borderId="99" xfId="1" applyNumberFormat="1" applyFont="1" applyFill="1" applyBorder="1"/>
    <xf numFmtId="0" fontId="0" fillId="22" borderId="100" xfId="0" applyFill="1" applyBorder="1"/>
    <xf numFmtId="164" fontId="8" fillId="3" borderId="9" xfId="1" applyNumberFormat="1" applyFont="1" applyFill="1" applyBorder="1"/>
    <xf numFmtId="43" fontId="24" fillId="28" borderId="9" xfId="0" applyNumberFormat="1" applyFont="1" applyFill="1" applyBorder="1" applyAlignment="1">
      <alignment horizontal="center"/>
    </xf>
    <xf numFmtId="164" fontId="0" fillId="22" borderId="99" xfId="1" applyNumberFormat="1" applyFont="1" applyFill="1" applyBorder="1"/>
    <xf numFmtId="0" fontId="60" fillId="0" borderId="100" xfId="0" applyFont="1" applyBorder="1"/>
    <xf numFmtId="0" fontId="56" fillId="34" borderId="0" xfId="0" applyFont="1" applyFill="1"/>
    <xf numFmtId="0" fontId="26" fillId="25" borderId="0" xfId="3" quotePrefix="1" applyFont="1" applyFill="1" applyAlignment="1" applyProtection="1">
      <alignment vertical="center" wrapText="1"/>
      <protection hidden="1"/>
    </xf>
    <xf numFmtId="43" fontId="19" fillId="25" borderId="0" xfId="8" applyFont="1" applyFill="1" applyBorder="1" applyAlignment="1" applyProtection="1">
      <alignment vertical="center" wrapText="1"/>
      <protection hidden="1"/>
    </xf>
    <xf numFmtId="0" fontId="27" fillId="12" borderId="56" xfId="3" applyFont="1" applyFill="1" applyBorder="1" applyAlignment="1" applyProtection="1">
      <alignment horizontal="center" vertical="center" wrapText="1"/>
      <protection hidden="1"/>
    </xf>
    <xf numFmtId="43" fontId="26" fillId="17" borderId="103" xfId="8" applyFont="1" applyFill="1" applyBorder="1" applyAlignment="1" applyProtection="1">
      <alignment horizontal="center" vertical="center" wrapText="1"/>
      <protection hidden="1"/>
    </xf>
    <xf numFmtId="9" fontId="27" fillId="12" borderId="56" xfId="7" quotePrefix="1" applyFont="1" applyFill="1" applyBorder="1" applyAlignment="1" applyProtection="1">
      <alignment horizontal="center" vertical="center" wrapText="1"/>
      <protection hidden="1"/>
    </xf>
    <xf numFmtId="0" fontId="19" fillId="25" borderId="0" xfId="3" applyFont="1" applyFill="1" applyAlignment="1" applyProtection="1">
      <alignment vertical="center" wrapText="1"/>
      <protection hidden="1"/>
    </xf>
    <xf numFmtId="164" fontId="26" fillId="0" borderId="56" xfId="1" applyNumberFormat="1" applyFont="1" applyFill="1" applyBorder="1" applyAlignment="1" applyProtection="1">
      <alignment horizontal="right" vertical="center" wrapText="1"/>
      <protection hidden="1"/>
    </xf>
    <xf numFmtId="0" fontId="0" fillId="35" borderId="0" xfId="0" applyFill="1"/>
    <xf numFmtId="9" fontId="0" fillId="35" borderId="0" xfId="0" applyNumberFormat="1" applyFill="1" applyAlignment="1">
      <alignment horizontal="center"/>
    </xf>
    <xf numFmtId="0" fontId="0" fillId="35" borderId="1" xfId="0" applyFill="1" applyBorder="1" applyAlignment="1">
      <alignment horizontal="center" vertical="center" wrapText="1"/>
    </xf>
    <xf numFmtId="2" fontId="0" fillId="35" borderId="1" xfId="0" applyNumberFormat="1" applyFill="1" applyBorder="1"/>
    <xf numFmtId="174" fontId="0" fillId="35" borderId="1" xfId="0" applyNumberFormat="1" applyFill="1" applyBorder="1"/>
    <xf numFmtId="174" fontId="0" fillId="23" borderId="11" xfId="0" applyNumberFormat="1" applyFill="1" applyBorder="1"/>
    <xf numFmtId="174" fontId="0" fillId="7" borderId="79" xfId="0" applyNumberFormat="1" applyFill="1" applyBorder="1"/>
    <xf numFmtId="176" fontId="0" fillId="7" borderId="79" xfId="0" applyNumberFormat="1" applyFill="1" applyBorder="1"/>
    <xf numFmtId="182" fontId="0" fillId="7" borderId="79" xfId="0" applyNumberFormat="1" applyFill="1" applyBorder="1"/>
    <xf numFmtId="0" fontId="0" fillId="28" borderId="11" xfId="0" applyFill="1" applyBorder="1" applyAlignment="1">
      <alignment horizontal="center" vertical="center" wrapText="1"/>
    </xf>
    <xf numFmtId="0" fontId="0" fillId="28" borderId="1" xfId="0" applyFill="1" applyBorder="1" applyAlignment="1">
      <alignment horizontal="center" vertical="center" wrapText="1"/>
    </xf>
    <xf numFmtId="2" fontId="0" fillId="28" borderId="11" xfId="0" applyNumberFormat="1" applyFill="1" applyBorder="1"/>
    <xf numFmtId="2" fontId="0" fillId="28" borderId="1" xfId="0" applyNumberFormat="1" applyFill="1" applyBorder="1"/>
    <xf numFmtId="0" fontId="29" fillId="16" borderId="0" xfId="3" applyFont="1" applyFill="1" applyAlignment="1" applyProtection="1">
      <alignment horizontal="center" vertical="center"/>
      <protection hidden="1"/>
    </xf>
    <xf numFmtId="9" fontId="27" fillId="12" borderId="55" xfId="7" applyFont="1" applyFill="1" applyBorder="1" applyAlignment="1" applyProtection="1">
      <alignment horizontal="center" vertical="center" wrapText="1"/>
      <protection hidden="1"/>
    </xf>
    <xf numFmtId="9" fontId="27" fillId="12" borderId="19" xfId="7" applyFont="1" applyFill="1" applyBorder="1" applyAlignment="1" applyProtection="1">
      <alignment horizontal="center" vertical="center" wrapText="1"/>
      <protection hidden="1"/>
    </xf>
    <xf numFmtId="0" fontId="27" fillId="12" borderId="49" xfId="3" applyFont="1" applyFill="1" applyBorder="1" applyAlignment="1" applyProtection="1">
      <alignment horizontal="center" vertical="center" wrapText="1"/>
      <protection hidden="1"/>
    </xf>
    <xf numFmtId="0" fontId="27" fillId="12" borderId="42" xfId="3" applyFont="1" applyFill="1" applyBorder="1" applyAlignment="1" applyProtection="1">
      <alignment horizontal="center" vertical="center" wrapText="1"/>
      <protection hidden="1"/>
    </xf>
    <xf numFmtId="0" fontId="27" fillId="12" borderId="108" xfId="3" applyFont="1" applyFill="1" applyBorder="1" applyAlignment="1" applyProtection="1">
      <alignment horizontal="center" vertical="center" wrapText="1"/>
      <protection hidden="1"/>
    </xf>
    <xf numFmtId="169" fontId="27" fillId="12" borderId="49" xfId="3" quotePrefix="1" applyNumberFormat="1" applyFont="1" applyFill="1" applyBorder="1" applyAlignment="1" applyProtection="1">
      <alignment horizontal="center" vertical="center" wrapText="1"/>
      <protection hidden="1"/>
    </xf>
    <xf numFmtId="169" fontId="27" fillId="12" borderId="42" xfId="3" quotePrefix="1" applyNumberFormat="1" applyFont="1" applyFill="1" applyBorder="1" applyAlignment="1" applyProtection="1">
      <alignment horizontal="center" vertical="center" wrapText="1"/>
      <protection hidden="1"/>
    </xf>
    <xf numFmtId="9" fontId="27" fillId="12" borderId="42" xfId="3" quotePrefix="1" applyNumberFormat="1" applyFont="1" applyFill="1" applyBorder="1" applyAlignment="1" applyProtection="1">
      <alignment horizontal="center" vertical="center" wrapText="1"/>
      <protection hidden="1"/>
    </xf>
    <xf numFmtId="9" fontId="27" fillId="12" borderId="108" xfId="3" quotePrefix="1" applyNumberFormat="1" applyFont="1" applyFill="1" applyBorder="1" applyAlignment="1" applyProtection="1">
      <alignment horizontal="center" vertical="center" wrapText="1"/>
      <protection hidden="1"/>
    </xf>
    <xf numFmtId="43" fontId="26" fillId="13" borderId="49" xfId="8" applyFont="1" applyFill="1" applyBorder="1" applyAlignment="1" applyProtection="1">
      <alignment horizontal="center" vertical="center" wrapText="1"/>
      <protection hidden="1"/>
    </xf>
    <xf numFmtId="2" fontId="26" fillId="0" borderId="42" xfId="0" applyNumberFormat="1" applyFont="1" applyBorder="1" applyAlignment="1" applyProtection="1">
      <alignment horizontal="right" vertical="center" wrapText="1"/>
      <protection hidden="1"/>
    </xf>
    <xf numFmtId="2" fontId="26" fillId="8" borderId="42" xfId="0" applyNumberFormat="1" applyFont="1" applyFill="1" applyBorder="1" applyAlignment="1" applyProtection="1">
      <alignment horizontal="right" vertical="center" wrapText="1"/>
      <protection hidden="1"/>
    </xf>
    <xf numFmtId="43" fontId="26" fillId="13" borderId="42" xfId="8" applyFont="1" applyFill="1" applyBorder="1" applyAlignment="1" applyProtection="1">
      <alignment horizontal="center" vertical="center" wrapText="1"/>
      <protection hidden="1"/>
    </xf>
    <xf numFmtId="43" fontId="26" fillId="13" borderId="108" xfId="8" applyFont="1" applyFill="1" applyBorder="1" applyAlignment="1" applyProtection="1">
      <alignment horizontal="center" vertical="center" wrapText="1"/>
      <protection hidden="1"/>
    </xf>
    <xf numFmtId="43" fontId="26" fillId="0" borderId="49" xfId="8" applyFont="1" applyFill="1" applyBorder="1" applyAlignment="1" applyProtection="1">
      <alignment horizontal="center" vertical="center" wrapText="1"/>
      <protection hidden="1"/>
    </xf>
    <xf numFmtId="43" fontId="26" fillId="0" borderId="42" xfId="0" applyNumberFormat="1" applyFont="1" applyBorder="1" applyAlignment="1" applyProtection="1">
      <alignment horizontal="center" vertical="center" wrapText="1"/>
      <protection hidden="1"/>
    </xf>
    <xf numFmtId="43" fontId="26" fillId="8" borderId="42" xfId="0" applyNumberFormat="1" applyFont="1" applyFill="1" applyBorder="1" applyAlignment="1" applyProtection="1">
      <alignment horizontal="center" vertical="center" wrapText="1"/>
      <protection hidden="1"/>
    </xf>
    <xf numFmtId="43" fontId="26" fillId="0" borderId="42" xfId="8" applyFont="1" applyFill="1" applyBorder="1" applyAlignment="1" applyProtection="1">
      <alignment horizontal="center" vertical="center" wrapText="1"/>
      <protection hidden="1"/>
    </xf>
    <xf numFmtId="43" fontId="26" fillId="0" borderId="108" xfId="8" applyFont="1" applyFill="1" applyBorder="1" applyAlignment="1" applyProtection="1">
      <alignment horizontal="center" vertical="center" wrapText="1"/>
      <protection hidden="1"/>
    </xf>
    <xf numFmtId="43" fontId="26" fillId="0" borderId="42" xfId="0" applyNumberFormat="1" applyFont="1" applyBorder="1" applyAlignment="1" applyProtection="1">
      <alignment horizontal="right" vertical="center" wrapText="1"/>
      <protection hidden="1"/>
    </xf>
    <xf numFmtId="43" fontId="26" fillId="8" borderId="42" xfId="0" applyNumberFormat="1" applyFont="1" applyFill="1" applyBorder="1" applyAlignment="1" applyProtection="1">
      <alignment horizontal="right" vertical="center" wrapText="1"/>
      <protection hidden="1"/>
    </xf>
    <xf numFmtId="43" fontId="26" fillId="0" borderId="42" xfId="0" quotePrefix="1" applyNumberFormat="1" applyFont="1" applyBorder="1" applyAlignment="1" applyProtection="1">
      <alignment horizontal="center" vertical="center" wrapText="1"/>
      <protection hidden="1"/>
    </xf>
    <xf numFmtId="43" fontId="26" fillId="8" borderId="42" xfId="8" applyFont="1" applyFill="1" applyBorder="1" applyAlignment="1" applyProtection="1">
      <alignment horizontal="center" vertical="center" wrapText="1"/>
      <protection hidden="1"/>
    </xf>
    <xf numFmtId="43" fontId="26" fillId="17" borderId="49" xfId="8" applyFont="1" applyFill="1" applyBorder="1" applyAlignment="1" applyProtection="1">
      <alignment horizontal="center" vertical="center" wrapText="1"/>
      <protection hidden="1"/>
    </xf>
    <xf numFmtId="43" fontId="26" fillId="23" borderId="42" xfId="8" applyFont="1" applyFill="1" applyBorder="1" applyAlignment="1" applyProtection="1">
      <alignment horizontal="center" vertical="center" wrapText="1"/>
      <protection hidden="1"/>
    </xf>
    <xf numFmtId="43" fontId="26" fillId="23" borderId="108" xfId="8" applyFont="1" applyFill="1" applyBorder="1" applyAlignment="1" applyProtection="1">
      <alignment horizontal="center" vertical="center" wrapText="1"/>
      <protection hidden="1"/>
    </xf>
    <xf numFmtId="43" fontId="26" fillId="0" borderId="49" xfId="0" applyNumberFormat="1" applyFont="1" applyBorder="1" applyAlignment="1" applyProtection="1">
      <alignment horizontal="center" vertical="center" wrapText="1"/>
      <protection hidden="1"/>
    </xf>
    <xf numFmtId="43" fontId="26" fillId="17" borderId="42" xfId="0" applyNumberFormat="1" applyFont="1" applyFill="1" applyBorder="1" applyAlignment="1" applyProtection="1">
      <alignment horizontal="right" vertical="center" wrapText="1"/>
      <protection hidden="1"/>
    </xf>
    <xf numFmtId="43" fontId="26" fillId="17" borderId="42" xfId="8" applyFont="1" applyFill="1" applyBorder="1" applyAlignment="1" applyProtection="1">
      <alignment horizontal="center" vertical="center" wrapText="1"/>
      <protection hidden="1"/>
    </xf>
    <xf numFmtId="43" fontId="26" fillId="17" borderId="108" xfId="8" applyFont="1" applyFill="1" applyBorder="1" applyAlignment="1" applyProtection="1">
      <alignment horizontal="center" vertical="center" wrapText="1"/>
      <protection hidden="1"/>
    </xf>
    <xf numFmtId="43" fontId="26" fillId="13" borderId="42" xfId="8" applyFont="1" applyFill="1" applyBorder="1" applyAlignment="1" applyProtection="1">
      <alignment horizontal="right" vertical="center" wrapText="1"/>
      <protection hidden="1"/>
    </xf>
    <xf numFmtId="43" fontId="26" fillId="17" borderId="50" xfId="8" applyFont="1" applyFill="1" applyBorder="1" applyAlignment="1" applyProtection="1">
      <alignment horizontal="center" vertical="center" wrapText="1"/>
      <protection hidden="1"/>
    </xf>
    <xf numFmtId="43" fontId="26" fillId="17" borderId="47" xfId="8" applyFont="1" applyFill="1" applyBorder="1" applyAlignment="1" applyProtection="1">
      <alignment horizontal="center" vertical="center" wrapText="1"/>
      <protection hidden="1"/>
    </xf>
    <xf numFmtId="43" fontId="26" fillId="17" borderId="109" xfId="8" applyFont="1" applyFill="1" applyBorder="1" applyAlignment="1" applyProtection="1">
      <alignment horizontal="center" vertical="center" wrapText="1"/>
      <protection hidden="1"/>
    </xf>
    <xf numFmtId="0" fontId="27" fillId="12" borderId="21" xfId="3" applyFont="1" applyFill="1" applyBorder="1" applyAlignment="1" applyProtection="1">
      <alignment horizontal="center" vertical="center" wrapText="1"/>
      <protection hidden="1"/>
    </xf>
    <xf numFmtId="173" fontId="27" fillId="12" borderId="49" xfId="3" quotePrefix="1" applyNumberFormat="1" applyFont="1" applyFill="1" applyBorder="1" applyAlignment="1" applyProtection="1">
      <alignment horizontal="center" vertical="center" wrapText="1"/>
      <protection hidden="1"/>
    </xf>
    <xf numFmtId="178" fontId="27" fillId="12" borderId="42" xfId="3" quotePrefix="1" applyNumberFormat="1" applyFont="1" applyFill="1" applyBorder="1" applyAlignment="1" applyProtection="1">
      <alignment horizontal="center" vertical="center" wrapText="1"/>
      <protection hidden="1"/>
    </xf>
    <xf numFmtId="43" fontId="26" fillId="0" borderId="42" xfId="8" quotePrefix="1" applyFont="1" applyFill="1" applyBorder="1" applyAlignment="1" applyProtection="1">
      <alignment horizontal="center" vertical="center" wrapText="1"/>
      <protection hidden="1"/>
    </xf>
    <xf numFmtId="43" fontId="26" fillId="0" borderId="108" xfId="8" quotePrefix="1" applyFont="1" applyFill="1" applyBorder="1" applyAlignment="1" applyProtection="1">
      <alignment horizontal="center" vertical="center" wrapText="1"/>
      <protection hidden="1"/>
    </xf>
    <xf numFmtId="165" fontId="26" fillId="17" borderId="49" xfId="0" applyNumberFormat="1" applyFont="1" applyFill="1" applyBorder="1" applyAlignment="1" applyProtection="1">
      <alignment horizontal="center" vertical="center" wrapText="1"/>
      <protection hidden="1"/>
    </xf>
    <xf numFmtId="165" fontId="26" fillId="17" borderId="42" xfId="0" applyNumberFormat="1" applyFont="1" applyFill="1" applyBorder="1" applyAlignment="1" applyProtection="1">
      <alignment horizontal="center" vertical="center" wrapText="1"/>
      <protection hidden="1"/>
    </xf>
    <xf numFmtId="165" fontId="26" fillId="17" borderId="108" xfId="0" applyNumberFormat="1" applyFont="1" applyFill="1" applyBorder="1" applyAlignment="1" applyProtection="1">
      <alignment horizontal="center" vertical="center" wrapText="1"/>
      <protection hidden="1"/>
    </xf>
    <xf numFmtId="43" fontId="26" fillId="0" borderId="110" xfId="8" applyFont="1" applyFill="1" applyBorder="1" applyAlignment="1" applyProtection="1">
      <alignment horizontal="center" vertical="center" wrapText="1"/>
      <protection hidden="1"/>
    </xf>
    <xf numFmtId="9" fontId="27" fillId="12" borderId="42" xfId="7" applyFont="1" applyFill="1" applyBorder="1" applyAlignment="1" applyProtection="1">
      <alignment horizontal="center" vertical="center" wrapText="1"/>
      <protection hidden="1"/>
    </xf>
    <xf numFmtId="9" fontId="27" fillId="12" borderId="108" xfId="7" applyFont="1" applyFill="1" applyBorder="1" applyAlignment="1" applyProtection="1">
      <alignment horizontal="center" vertical="center" wrapText="1"/>
      <protection hidden="1"/>
    </xf>
    <xf numFmtId="43" fontId="26" fillId="3" borderId="42" xfId="8" applyFont="1" applyFill="1" applyBorder="1" applyAlignment="1" applyProtection="1">
      <alignment horizontal="center" vertical="center" wrapText="1"/>
      <protection hidden="1"/>
    </xf>
    <xf numFmtId="43" fontId="26" fillId="13" borderId="42" xfId="8" quotePrefix="1" applyFont="1" applyFill="1" applyBorder="1" applyAlignment="1" applyProtection="1">
      <alignment horizontal="center" vertical="center" wrapText="1"/>
      <protection hidden="1"/>
    </xf>
    <xf numFmtId="43" fontId="26" fillId="3" borderId="49" xfId="8" applyFont="1" applyFill="1" applyBorder="1" applyAlignment="1" applyProtection="1">
      <alignment horizontal="center" vertical="center" wrapText="1"/>
      <protection hidden="1"/>
    </xf>
    <xf numFmtId="43" fontId="26" fillId="3" borderId="108" xfId="8" applyFont="1" applyFill="1" applyBorder="1" applyAlignment="1" applyProtection="1">
      <alignment horizontal="center" vertical="center" wrapText="1"/>
      <protection hidden="1"/>
    </xf>
    <xf numFmtId="9" fontId="27" fillId="12" borderId="59" xfId="3" quotePrefix="1" applyNumberFormat="1" applyFont="1" applyFill="1" applyBorder="1" applyAlignment="1" applyProtection="1">
      <alignment horizontal="center" vertical="center" wrapText="1"/>
      <protection hidden="1"/>
    </xf>
    <xf numFmtId="43" fontId="26" fillId="23" borderId="35" xfId="8" applyFont="1" applyFill="1" applyBorder="1" applyAlignment="1" applyProtection="1">
      <alignment horizontal="center" vertical="center" wrapText="1"/>
      <protection hidden="1"/>
    </xf>
    <xf numFmtId="43" fontId="26" fillId="17" borderId="35" xfId="8" applyFont="1" applyFill="1" applyBorder="1" applyAlignment="1" applyProtection="1">
      <alignment horizontal="center" vertical="center" wrapText="1"/>
      <protection hidden="1"/>
    </xf>
    <xf numFmtId="49" fontId="26" fillId="0" borderId="49" xfId="6" applyNumberFormat="1" applyFont="1" applyFill="1" applyBorder="1" applyAlignment="1" applyProtection="1">
      <alignment horizontal="center" vertical="center" wrapText="1"/>
      <protection hidden="1"/>
    </xf>
    <xf numFmtId="49" fontId="26" fillId="0" borderId="42" xfId="6" applyNumberFormat="1" applyFont="1" applyFill="1" applyBorder="1" applyAlignment="1" applyProtection="1">
      <alignment horizontal="center" vertical="center" wrapText="1"/>
      <protection hidden="1"/>
    </xf>
    <xf numFmtId="43" fontId="26" fillId="31" borderId="56" xfId="0" applyNumberFormat="1" applyFont="1" applyFill="1" applyBorder="1" applyAlignment="1" applyProtection="1">
      <alignment horizontal="center" vertical="center" wrapText="1"/>
      <protection hidden="1"/>
    </xf>
    <xf numFmtId="43" fontId="26" fillId="31" borderId="55" xfId="8" applyFont="1" applyFill="1" applyBorder="1" applyAlignment="1" applyProtection="1">
      <alignment horizontal="center" vertical="center" wrapText="1"/>
      <protection hidden="1"/>
    </xf>
    <xf numFmtId="178" fontId="27" fillId="12" borderId="49" xfId="3" quotePrefix="1" applyNumberFormat="1" applyFont="1" applyFill="1" applyBorder="1" applyAlignment="1" applyProtection="1">
      <alignment horizontal="center" vertical="center" wrapText="1"/>
      <protection hidden="1"/>
    </xf>
    <xf numFmtId="43" fontId="26" fillId="31" borderId="49" xfId="8" applyFont="1" applyFill="1" applyBorder="1" applyAlignment="1" applyProtection="1">
      <alignment horizontal="center" vertical="center" wrapText="1"/>
      <protection hidden="1"/>
    </xf>
    <xf numFmtId="43" fontId="26" fillId="31" borderId="42" xfId="8" applyFont="1" applyFill="1" applyBorder="1" applyAlignment="1" applyProtection="1">
      <alignment horizontal="center" vertical="center" wrapText="1"/>
      <protection hidden="1"/>
    </xf>
    <xf numFmtId="43" fontId="26" fillId="31" borderId="108" xfId="8" applyFont="1" applyFill="1" applyBorder="1" applyAlignment="1" applyProtection="1">
      <alignment horizontal="center" vertical="center" wrapText="1"/>
      <protection hidden="1"/>
    </xf>
    <xf numFmtId="43" fontId="26" fillId="31" borderId="50" xfId="8" applyFont="1" applyFill="1" applyBorder="1" applyAlignment="1" applyProtection="1">
      <alignment horizontal="center" vertical="center" wrapText="1"/>
      <protection hidden="1"/>
    </xf>
    <xf numFmtId="43" fontId="26" fillId="3" borderId="42" xfId="8" quotePrefix="1" applyFont="1" applyFill="1" applyBorder="1" applyAlignment="1" applyProtection="1">
      <alignment horizontal="center" vertical="center" wrapText="1"/>
      <protection hidden="1"/>
    </xf>
    <xf numFmtId="173" fontId="27" fillId="12" borderId="42" xfId="3" quotePrefix="1" applyNumberFormat="1" applyFont="1" applyFill="1" applyBorder="1" applyAlignment="1" applyProtection="1">
      <alignment horizontal="center" vertical="center" wrapText="1"/>
      <protection hidden="1"/>
    </xf>
    <xf numFmtId="9" fontId="27" fillId="12" borderId="42" xfId="7" quotePrefix="1" applyFont="1" applyFill="1" applyBorder="1" applyAlignment="1" applyProtection="1">
      <alignment horizontal="center" vertical="center" wrapText="1"/>
      <protection hidden="1"/>
    </xf>
    <xf numFmtId="165" fontId="26" fillId="0" borderId="49" xfId="0" applyNumberFormat="1" applyFont="1" applyBorder="1" applyAlignment="1" applyProtection="1">
      <alignment horizontal="left" vertical="center" wrapText="1"/>
      <protection hidden="1"/>
    </xf>
    <xf numFmtId="165" fontId="26" fillId="0" borderId="42" xfId="0" applyNumberFormat="1" applyFont="1" applyBorder="1" applyAlignment="1" applyProtection="1">
      <alignment horizontal="left" vertical="center" wrapText="1"/>
      <protection hidden="1"/>
    </xf>
    <xf numFmtId="43" fontId="26" fillId="8" borderId="42" xfId="8" quotePrefix="1" applyFont="1" applyFill="1" applyBorder="1" applyAlignment="1" applyProtection="1">
      <alignment horizontal="center" vertical="center" wrapText="1"/>
      <protection hidden="1"/>
    </xf>
    <xf numFmtId="43" fontId="26" fillId="0" borderId="49" xfId="0" applyNumberFormat="1" applyFont="1" applyBorder="1" applyAlignment="1" applyProtection="1">
      <alignment horizontal="right" vertical="center" wrapText="1"/>
      <protection hidden="1"/>
    </xf>
    <xf numFmtId="43" fontId="26" fillId="13" borderId="108" xfId="8" applyFont="1" applyFill="1" applyBorder="1" applyAlignment="1" applyProtection="1">
      <alignment horizontal="right" vertical="center" wrapText="1"/>
      <protection hidden="1"/>
    </xf>
    <xf numFmtId="43" fontId="26" fillId="0" borderId="42" xfId="8" applyFont="1" applyFill="1" applyBorder="1" applyAlignment="1" applyProtection="1">
      <alignment horizontal="right" vertical="center" wrapText="1"/>
      <protection hidden="1"/>
    </xf>
    <xf numFmtId="165" fontId="26" fillId="17" borderId="49" xfId="0" applyNumberFormat="1" applyFont="1" applyFill="1" applyBorder="1" applyAlignment="1" applyProtection="1">
      <alignment horizontal="right" vertical="center" wrapText="1"/>
      <protection hidden="1"/>
    </xf>
    <xf numFmtId="165" fontId="26" fillId="17" borderId="42" xfId="0" applyNumberFormat="1" applyFont="1" applyFill="1" applyBorder="1" applyAlignment="1" applyProtection="1">
      <alignment horizontal="right" vertical="center" wrapText="1"/>
      <protection hidden="1"/>
    </xf>
    <xf numFmtId="165" fontId="26" fillId="17" borderId="108" xfId="0" applyNumberFormat="1" applyFont="1" applyFill="1" applyBorder="1" applyAlignment="1" applyProtection="1">
      <alignment horizontal="right" vertical="center" wrapText="1"/>
      <protection hidden="1"/>
    </xf>
    <xf numFmtId="43" fontId="26" fillId="0" borderId="108" xfId="8" applyFont="1" applyFill="1" applyBorder="1" applyAlignment="1" applyProtection="1">
      <alignment horizontal="right" vertical="center" wrapText="1"/>
      <protection hidden="1"/>
    </xf>
    <xf numFmtId="0" fontId="26" fillId="17" borderId="50" xfId="0" applyFont="1" applyFill="1" applyBorder="1" applyAlignment="1" applyProtection="1">
      <alignment horizontal="center" vertical="center" wrapText="1"/>
      <protection hidden="1"/>
    </xf>
    <xf numFmtId="0" fontId="26" fillId="17" borderId="47" xfId="0" applyFont="1" applyFill="1" applyBorder="1" applyAlignment="1" applyProtection="1">
      <alignment horizontal="center" vertical="center" wrapText="1"/>
      <protection hidden="1"/>
    </xf>
    <xf numFmtId="43" fontId="26" fillId="13" borderId="108" xfId="8" quotePrefix="1" applyFont="1" applyFill="1" applyBorder="1" applyAlignment="1" applyProtection="1">
      <alignment horizontal="center" vertical="center" wrapText="1"/>
      <protection hidden="1"/>
    </xf>
    <xf numFmtId="0" fontId="59" fillId="0" borderId="0" xfId="3" applyFont="1" applyAlignment="1" applyProtection="1">
      <alignment vertical="center"/>
      <protection hidden="1"/>
    </xf>
    <xf numFmtId="165" fontId="26" fillId="3" borderId="42" xfId="0" applyNumberFormat="1" applyFont="1" applyFill="1" applyBorder="1" applyAlignment="1" applyProtection="1">
      <alignment horizontal="left" vertical="center" wrapText="1"/>
      <protection hidden="1"/>
    </xf>
    <xf numFmtId="43" fontId="26" fillId="3" borderId="42" xfId="0" applyNumberFormat="1" applyFont="1" applyFill="1" applyBorder="1" applyAlignment="1" applyProtection="1">
      <alignment horizontal="center" vertical="center" wrapText="1"/>
      <protection hidden="1"/>
    </xf>
    <xf numFmtId="43" fontId="26" fillId="30" borderId="49" xfId="8" applyFont="1" applyFill="1" applyBorder="1" applyAlignment="1" applyProtection="1">
      <alignment horizontal="center" vertical="center" wrapText="1"/>
      <protection hidden="1"/>
    </xf>
    <xf numFmtId="165" fontId="26" fillId="31" borderId="49" xfId="0" applyNumberFormat="1" applyFont="1" applyFill="1" applyBorder="1" applyAlignment="1" applyProtection="1">
      <alignment horizontal="center" vertical="center" wrapText="1"/>
      <protection hidden="1"/>
    </xf>
    <xf numFmtId="165" fontId="26" fillId="31" borderId="42" xfId="0" applyNumberFormat="1" applyFont="1" applyFill="1" applyBorder="1" applyAlignment="1" applyProtection="1">
      <alignment horizontal="center" vertical="center" wrapText="1"/>
      <protection hidden="1"/>
    </xf>
    <xf numFmtId="165" fontId="26" fillId="31" borderId="108" xfId="0" applyNumberFormat="1" applyFont="1" applyFill="1" applyBorder="1" applyAlignment="1" applyProtection="1">
      <alignment horizontal="center" vertical="center" wrapText="1"/>
      <protection hidden="1"/>
    </xf>
    <xf numFmtId="43" fontId="26" fillId="31" borderId="47" xfId="8" applyFont="1" applyFill="1" applyBorder="1" applyAlignment="1" applyProtection="1">
      <alignment horizontal="center" vertical="center" wrapText="1"/>
      <protection hidden="1"/>
    </xf>
    <xf numFmtId="165" fontId="26" fillId="0" borderId="49" xfId="0" applyNumberFormat="1" applyFont="1" applyBorder="1" applyAlignment="1" applyProtection="1">
      <alignment horizontal="center" vertical="center" wrapText="1"/>
      <protection hidden="1"/>
    </xf>
    <xf numFmtId="165" fontId="26" fillId="0" borderId="42" xfId="0" applyNumberFormat="1" applyFont="1" applyBorder="1" applyAlignment="1" applyProtection="1">
      <alignment horizontal="center" vertical="center" wrapText="1"/>
      <protection hidden="1"/>
    </xf>
    <xf numFmtId="165" fontId="26" fillId="3" borderId="42" xfId="0" applyNumberFormat="1" applyFont="1" applyFill="1" applyBorder="1" applyAlignment="1" applyProtection="1">
      <alignment horizontal="center" vertical="center" wrapText="1"/>
      <protection hidden="1"/>
    </xf>
    <xf numFmtId="43" fontId="26" fillId="0" borderId="49" xfId="8" applyFont="1" applyFill="1" applyBorder="1" applyAlignment="1" applyProtection="1">
      <alignment horizontal="right" vertical="center" wrapText="1"/>
      <protection hidden="1"/>
    </xf>
    <xf numFmtId="43" fontId="26" fillId="0" borderId="42" xfId="8" quotePrefix="1" applyFont="1" applyFill="1" applyBorder="1" applyAlignment="1" applyProtection="1">
      <alignment horizontal="right" vertical="center" wrapText="1"/>
      <protection hidden="1"/>
    </xf>
    <xf numFmtId="43" fontId="26" fillId="0" borderId="108" xfId="8" quotePrefix="1" applyFont="1" applyFill="1" applyBorder="1" applyAlignment="1" applyProtection="1">
      <alignment horizontal="right" vertical="center" wrapText="1"/>
      <protection hidden="1"/>
    </xf>
    <xf numFmtId="43" fontId="26" fillId="30" borderId="42" xfId="8" applyFont="1" applyFill="1" applyBorder="1" applyAlignment="1" applyProtection="1">
      <alignment horizontal="center" vertical="center" wrapText="1"/>
      <protection hidden="1"/>
    </xf>
    <xf numFmtId="2" fontId="8" fillId="28" borderId="92" xfId="0" applyNumberFormat="1" applyFont="1" applyFill="1" applyBorder="1"/>
    <xf numFmtId="2" fontId="8" fillId="28" borderId="93" xfId="0" applyNumberFormat="1" applyFont="1" applyFill="1" applyBorder="1"/>
    <xf numFmtId="172" fontId="8" fillId="0" borderId="0" xfId="0" applyNumberFormat="1" applyFont="1"/>
    <xf numFmtId="172" fontId="8" fillId="0" borderId="93" xfId="0" applyNumberFormat="1" applyFont="1" applyBorder="1"/>
    <xf numFmtId="43" fontId="14" fillId="3" borderId="22" xfId="4" applyFont="1" applyFill="1" applyBorder="1" applyAlignment="1" applyProtection="1">
      <alignment horizontal="right" vertical="center" wrapText="1"/>
      <protection hidden="1"/>
    </xf>
    <xf numFmtId="43" fontId="22" fillId="3" borderId="42" xfId="4" applyFont="1" applyFill="1" applyBorder="1" applyAlignment="1" applyProtection="1">
      <alignment horizontal="center" vertical="center" wrapText="1"/>
      <protection hidden="1"/>
    </xf>
    <xf numFmtId="175" fontId="0" fillId="32" borderId="1" xfId="0" applyNumberFormat="1" applyFill="1" applyBorder="1"/>
    <xf numFmtId="2" fontId="26" fillId="36" borderId="0" xfId="3" quotePrefix="1" applyNumberFormat="1" applyFont="1" applyFill="1" applyAlignment="1" applyProtection="1">
      <alignment vertical="center" wrapText="1"/>
      <protection hidden="1"/>
    </xf>
    <xf numFmtId="0" fontId="26" fillId="36" borderId="0" xfId="3" quotePrefix="1" applyFont="1" applyFill="1" applyAlignment="1" applyProtection="1">
      <alignment vertical="center" wrapText="1"/>
      <protection hidden="1"/>
    </xf>
    <xf numFmtId="0" fontId="0" fillId="36" borderId="0" xfId="0" applyFill="1"/>
    <xf numFmtId="0" fontId="26" fillId="32" borderId="0" xfId="3" quotePrefix="1" applyFont="1" applyFill="1" applyAlignment="1" applyProtection="1">
      <alignment vertical="center"/>
      <protection hidden="1"/>
    </xf>
    <xf numFmtId="0" fontId="26" fillId="32" borderId="0" xfId="3" quotePrefix="1" applyFont="1" applyFill="1" applyAlignment="1" applyProtection="1">
      <alignment vertical="center" wrapText="1"/>
      <protection hidden="1"/>
    </xf>
    <xf numFmtId="0" fontId="0" fillId="13" borderId="0" xfId="0" applyFill="1"/>
    <xf numFmtId="0" fontId="26" fillId="5" borderId="0" xfId="3" quotePrefix="1" applyFont="1" applyFill="1" applyAlignment="1" applyProtection="1">
      <alignment vertical="center" wrapText="1"/>
      <protection hidden="1"/>
    </xf>
    <xf numFmtId="0" fontId="0" fillId="5" borderId="0" xfId="0" applyFill="1"/>
    <xf numFmtId="0" fontId="26" fillId="5" borderId="0" xfId="3" quotePrefix="1" applyFont="1" applyFill="1" applyAlignment="1" applyProtection="1">
      <alignment vertical="center"/>
      <protection hidden="1"/>
    </xf>
    <xf numFmtId="10" fontId="8" fillId="27" borderId="1" xfId="0" applyNumberFormat="1" applyFont="1" applyFill="1" applyBorder="1"/>
    <xf numFmtId="10" fontId="8" fillId="7" borderId="1" xfId="0" applyNumberFormat="1" applyFont="1" applyFill="1" applyBorder="1"/>
    <xf numFmtId="0" fontId="0" fillId="0" borderId="86" xfId="0"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0" fillId="0" borderId="1" xfId="0"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0" fillId="31" borderId="2" xfId="0" applyFill="1" applyBorder="1" applyAlignment="1">
      <alignment horizontal="center"/>
    </xf>
    <xf numFmtId="0" fontId="0" fillId="31" borderId="10" xfId="0" applyFill="1" applyBorder="1" applyAlignment="1">
      <alignment horizontal="center"/>
    </xf>
    <xf numFmtId="0" fontId="0" fillId="31" borderId="11" xfId="0" applyFill="1" applyBorder="1" applyAlignment="1">
      <alignment horizontal="center"/>
    </xf>
    <xf numFmtId="0" fontId="0" fillId="31" borderId="2" xfId="0" applyFill="1" applyBorder="1" applyAlignment="1">
      <alignment horizontal="center" vertical="center" wrapText="1"/>
    </xf>
    <xf numFmtId="0" fontId="0" fillId="31" borderId="11" xfId="0" applyFill="1" applyBorder="1" applyAlignment="1">
      <alignment horizontal="center" vertical="center" wrapText="1"/>
    </xf>
    <xf numFmtId="0" fontId="0" fillId="31" borderId="9" xfId="0" applyFill="1" applyBorder="1" applyAlignment="1">
      <alignment horizontal="center" vertical="center" wrapText="1"/>
    </xf>
    <xf numFmtId="0" fontId="0" fillId="31" borderId="12" xfId="0" applyFill="1" applyBorder="1" applyAlignment="1">
      <alignment horizontal="center" vertical="center" wrapText="1"/>
    </xf>
    <xf numFmtId="0" fontId="0" fillId="35" borderId="1" xfId="0" applyFill="1" applyBorder="1" applyAlignment="1">
      <alignment horizontal="center"/>
    </xf>
    <xf numFmtId="0" fontId="0" fillId="35" borderId="1" xfId="0" applyFill="1" applyBorder="1" applyAlignment="1">
      <alignment horizontal="center" vertical="center" wrapText="1"/>
    </xf>
    <xf numFmtId="0" fontId="0" fillId="32" borderId="11" xfId="0" applyFill="1" applyBorder="1" applyAlignment="1">
      <alignment horizontal="center"/>
    </xf>
    <xf numFmtId="0" fontId="0" fillId="32" borderId="1" xfId="0" applyFill="1" applyBorder="1" applyAlignment="1">
      <alignment horizontal="center"/>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32" borderId="1" xfId="0" applyFill="1" applyBorder="1" applyAlignment="1">
      <alignment horizontal="center" vertical="center" wrapText="1"/>
    </xf>
    <xf numFmtId="0" fontId="0" fillId="0" borderId="76" xfId="0" applyBorder="1" applyAlignment="1">
      <alignment horizontal="center"/>
    </xf>
    <xf numFmtId="0" fontId="0" fillId="0" borderId="77" xfId="0" applyBorder="1" applyAlignment="1">
      <alignment horizontal="center"/>
    </xf>
    <xf numFmtId="0" fontId="0" fillId="0" borderId="78"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xf>
    <xf numFmtId="0" fontId="0" fillId="23" borderId="11" xfId="0" applyFill="1" applyBorder="1" applyAlignment="1">
      <alignment horizontal="center"/>
    </xf>
    <xf numFmtId="0" fontId="0" fillId="23" borderId="1" xfId="0" applyFill="1" applyBorder="1" applyAlignment="1">
      <alignment horizontal="center"/>
    </xf>
    <xf numFmtId="0" fontId="0" fillId="0" borderId="1" xfId="0" applyBorder="1" applyAlignment="1">
      <alignment horizontal="center" vertical="center"/>
    </xf>
    <xf numFmtId="0" fontId="0" fillId="3" borderId="1" xfId="0" applyFill="1" applyBorder="1" applyAlignment="1">
      <alignment horizontal="center"/>
    </xf>
    <xf numFmtId="0" fontId="18" fillId="0" borderId="0" xfId="0" applyFont="1" applyAlignment="1" applyProtection="1">
      <alignment horizontal="justify" vertical="center" wrapText="1"/>
      <protection hidden="1"/>
    </xf>
    <xf numFmtId="0" fontId="21" fillId="10" borderId="16" xfId="0" applyFont="1" applyFill="1" applyBorder="1" applyAlignment="1" applyProtection="1">
      <alignment horizontal="center" vertical="center" wrapText="1"/>
      <protection hidden="1"/>
    </xf>
    <xf numFmtId="0" fontId="21" fillId="10" borderId="0" xfId="0" applyFont="1" applyFill="1" applyAlignment="1" applyProtection="1">
      <alignment horizontal="center" vertical="center" wrapText="1"/>
      <protection hidden="1"/>
    </xf>
    <xf numFmtId="0" fontId="15" fillId="11" borderId="30" xfId="0" applyFont="1" applyFill="1" applyBorder="1" applyAlignment="1" applyProtection="1">
      <alignment horizontal="center" vertical="center"/>
      <protection hidden="1"/>
    </xf>
    <xf numFmtId="0" fontId="15" fillId="11" borderId="31" xfId="0" applyFont="1" applyFill="1" applyBorder="1" applyAlignment="1" applyProtection="1">
      <alignment horizontal="center" vertical="center"/>
      <protection hidden="1"/>
    </xf>
    <xf numFmtId="0" fontId="13" fillId="12" borderId="32" xfId="0" applyFont="1" applyFill="1" applyBorder="1" applyAlignment="1" applyProtection="1">
      <alignment horizontal="center" vertical="center" wrapText="1"/>
      <protection hidden="1"/>
    </xf>
    <xf numFmtId="0" fontId="13" fillId="12" borderId="17" xfId="0" applyFont="1" applyFill="1" applyBorder="1" applyAlignment="1" applyProtection="1">
      <alignment horizontal="center" vertical="center" wrapText="1"/>
      <protection hidden="1"/>
    </xf>
    <xf numFmtId="0" fontId="13" fillId="12" borderId="24" xfId="0" applyFont="1" applyFill="1" applyBorder="1" applyAlignment="1" applyProtection="1">
      <alignment horizontal="center" vertical="center" wrapText="1"/>
      <protection hidden="1"/>
    </xf>
    <xf numFmtId="0" fontId="13" fillId="12" borderId="33" xfId="0" quotePrefix="1" applyFont="1" applyFill="1" applyBorder="1" applyAlignment="1" applyProtection="1">
      <alignment horizontal="center" vertical="center" wrapText="1"/>
      <protection hidden="1"/>
    </xf>
    <xf numFmtId="0" fontId="13" fillId="12" borderId="21" xfId="0" quotePrefix="1" applyFont="1" applyFill="1" applyBorder="1" applyAlignment="1" applyProtection="1">
      <alignment horizontal="center" vertical="center" wrapText="1"/>
      <protection hidden="1"/>
    </xf>
    <xf numFmtId="0" fontId="13" fillId="12" borderId="18" xfId="0" quotePrefix="1" applyFont="1" applyFill="1" applyBorder="1" applyAlignment="1" applyProtection="1">
      <alignment horizontal="center" vertical="center" wrapText="1"/>
      <protection hidden="1"/>
    </xf>
    <xf numFmtId="0" fontId="18" fillId="0" borderId="0" xfId="0" applyFont="1" applyAlignment="1" applyProtection="1">
      <alignment horizontal="justify" vertical="top" wrapText="1"/>
      <protection hidden="1"/>
    </xf>
    <xf numFmtId="0" fontId="19" fillId="0" borderId="0" xfId="3" applyFont="1" applyAlignment="1" applyProtection="1">
      <alignment horizontal="left" vertical="center" wrapText="1"/>
      <protection hidden="1"/>
    </xf>
    <xf numFmtId="0" fontId="23" fillId="11" borderId="37" xfId="0" applyFont="1" applyFill="1" applyBorder="1" applyAlignment="1" applyProtection="1">
      <alignment horizontal="center" vertical="center" wrapText="1"/>
      <protection hidden="1"/>
    </xf>
    <xf numFmtId="0" fontId="23" fillId="11" borderId="38" xfId="0" applyFont="1" applyFill="1" applyBorder="1" applyAlignment="1" applyProtection="1">
      <alignment horizontal="center" vertical="center" wrapText="1"/>
      <protection hidden="1"/>
    </xf>
    <xf numFmtId="0" fontId="23" fillId="11" borderId="39" xfId="0" applyFont="1" applyFill="1" applyBorder="1" applyAlignment="1" applyProtection="1">
      <alignment horizontal="center" vertical="center" wrapText="1"/>
      <protection hidden="1"/>
    </xf>
    <xf numFmtId="0" fontId="23" fillId="11" borderId="40" xfId="0" applyFont="1" applyFill="1" applyBorder="1" applyAlignment="1" applyProtection="1">
      <alignment horizontal="center" vertical="center" wrapText="1"/>
      <protection hidden="1"/>
    </xf>
    <xf numFmtId="0" fontId="25" fillId="12" borderId="41" xfId="0" applyFont="1" applyFill="1" applyBorder="1" applyAlignment="1" applyProtection="1">
      <alignment horizontal="center" vertical="center" wrapText="1"/>
      <protection hidden="1"/>
    </xf>
    <xf numFmtId="0" fontId="25" fillId="12" borderId="44" xfId="0" applyFont="1" applyFill="1" applyBorder="1" applyAlignment="1" applyProtection="1">
      <alignment horizontal="center" vertical="center" wrapText="1"/>
      <protection hidden="1"/>
    </xf>
    <xf numFmtId="0" fontId="25" fillId="12" borderId="46" xfId="0" applyFont="1" applyFill="1" applyBorder="1" applyAlignment="1" applyProtection="1">
      <alignment horizontal="center" vertical="center" wrapText="1"/>
      <protection hidden="1"/>
    </xf>
    <xf numFmtId="0" fontId="25" fillId="12" borderId="43" xfId="0" applyFont="1" applyFill="1" applyBorder="1" applyAlignment="1" applyProtection="1">
      <alignment horizontal="center" vertical="center" wrapText="1"/>
      <protection hidden="1"/>
    </xf>
    <xf numFmtId="0" fontId="25" fillId="12" borderId="45" xfId="0" applyFont="1" applyFill="1" applyBorder="1" applyAlignment="1" applyProtection="1">
      <alignment horizontal="center" vertical="center" wrapText="1"/>
      <protection hidden="1"/>
    </xf>
    <xf numFmtId="0" fontId="30" fillId="0" borderId="0" xfId="3" applyFont="1" applyAlignment="1" applyProtection="1">
      <alignment horizontal="justify" vertical="justify" wrapText="1"/>
      <protection hidden="1"/>
    </xf>
    <xf numFmtId="0" fontId="30" fillId="0" borderId="0" xfId="3" applyFont="1" applyAlignment="1" applyProtection="1">
      <alignment horizontal="left" vertical="center" wrapText="1"/>
      <protection hidden="1"/>
    </xf>
    <xf numFmtId="0" fontId="27" fillId="12" borderId="32" xfId="3" applyFont="1" applyFill="1" applyBorder="1" applyAlignment="1" applyProtection="1">
      <alignment horizontal="center" vertical="center" wrapText="1"/>
      <protection hidden="1"/>
    </xf>
    <xf numFmtId="0" fontId="27" fillId="12" borderId="27" xfId="3" applyFont="1" applyFill="1" applyBorder="1" applyAlignment="1" applyProtection="1">
      <alignment horizontal="center" vertical="center" wrapText="1"/>
      <protection hidden="1"/>
    </xf>
    <xf numFmtId="0" fontId="59" fillId="0" borderId="0" xfId="3" applyFont="1" applyAlignment="1" applyProtection="1">
      <alignment horizontal="justify" vertical="center" wrapText="1"/>
      <protection hidden="1"/>
    </xf>
    <xf numFmtId="0" fontId="30" fillId="0" borderId="0" xfId="3" applyFont="1" applyAlignment="1" applyProtection="1">
      <alignment horizontal="justify" vertical="center" wrapText="1"/>
      <protection hidden="1"/>
    </xf>
    <xf numFmtId="0" fontId="29" fillId="16" borderId="13" xfId="3" applyFont="1" applyFill="1" applyBorder="1" applyAlignment="1" applyProtection="1">
      <alignment horizontal="center" vertical="center" wrapText="1"/>
      <protection hidden="1"/>
    </xf>
    <xf numFmtId="0" fontId="29" fillId="16" borderId="14" xfId="3" applyFont="1" applyFill="1" applyBorder="1" applyAlignment="1" applyProtection="1">
      <alignment horizontal="center" vertical="center" wrapText="1"/>
      <protection hidden="1"/>
    </xf>
    <xf numFmtId="0" fontId="29" fillId="16" borderId="15" xfId="3" applyFont="1" applyFill="1" applyBorder="1" applyAlignment="1" applyProtection="1">
      <alignment horizontal="center" vertical="center" wrapText="1"/>
      <protection hidden="1"/>
    </xf>
    <xf numFmtId="0" fontId="29" fillId="16" borderId="30" xfId="3" applyFont="1" applyFill="1" applyBorder="1" applyAlignment="1" applyProtection="1">
      <alignment horizontal="center" vertical="center" wrapText="1"/>
      <protection hidden="1"/>
    </xf>
    <xf numFmtId="0" fontId="29" fillId="16" borderId="31" xfId="3" applyFont="1" applyFill="1" applyBorder="1" applyAlignment="1" applyProtection="1">
      <alignment horizontal="center" vertical="center" wrapText="1"/>
      <protection hidden="1"/>
    </xf>
    <xf numFmtId="0" fontId="29" fillId="16" borderId="54" xfId="3" applyFont="1" applyFill="1" applyBorder="1" applyAlignment="1" applyProtection="1">
      <alignment horizontal="center" vertical="center" wrapText="1"/>
      <protection hidden="1"/>
    </xf>
    <xf numFmtId="0" fontId="27" fillId="12" borderId="28" xfId="3" quotePrefix="1" applyFont="1" applyFill="1" applyBorder="1" applyAlignment="1" applyProtection="1">
      <alignment horizontal="center" vertical="center" wrapText="1"/>
      <protection hidden="1"/>
    </xf>
    <xf numFmtId="0" fontId="27" fillId="0" borderId="28" xfId="0" applyFont="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27" fillId="0" borderId="23" xfId="0" applyFont="1" applyBorder="1" applyAlignment="1" applyProtection="1">
      <alignment horizontal="center" vertical="center" wrapText="1"/>
      <protection hidden="1"/>
    </xf>
    <xf numFmtId="0" fontId="27" fillId="12" borderId="57" xfId="3" applyFont="1" applyFill="1" applyBorder="1" applyAlignment="1" applyProtection="1">
      <alignment horizontal="center" vertical="center" wrapText="1"/>
      <protection hidden="1"/>
    </xf>
    <xf numFmtId="0" fontId="27" fillId="12" borderId="19" xfId="3" applyFont="1" applyFill="1" applyBorder="1" applyAlignment="1" applyProtection="1">
      <alignment horizontal="center" vertical="center" wrapText="1"/>
      <protection hidden="1"/>
    </xf>
    <xf numFmtId="0" fontId="27" fillId="18" borderId="16" xfId="3" applyFont="1" applyFill="1" applyBorder="1" applyAlignment="1" applyProtection="1">
      <alignment horizontal="center" vertical="center" wrapText="1"/>
      <protection hidden="1"/>
    </xf>
    <xf numFmtId="0" fontId="27" fillId="18" borderId="0" xfId="3" applyFont="1" applyFill="1" applyAlignment="1" applyProtection="1">
      <alignment horizontal="center" vertical="center" wrapText="1"/>
      <protection hidden="1"/>
    </xf>
    <xf numFmtId="0" fontId="27" fillId="18" borderId="30" xfId="3" applyFont="1" applyFill="1" applyBorder="1" applyAlignment="1" applyProtection="1">
      <alignment horizontal="center" vertical="center" wrapText="1"/>
      <protection hidden="1"/>
    </xf>
    <xf numFmtId="0" fontId="27" fillId="18" borderId="31" xfId="3" applyFont="1" applyFill="1" applyBorder="1" applyAlignment="1" applyProtection="1">
      <alignment horizontal="center" vertical="center" wrapText="1"/>
      <protection hidden="1"/>
    </xf>
    <xf numFmtId="0" fontId="20" fillId="0" borderId="0" xfId="3" applyFont="1" applyAlignment="1" applyProtection="1">
      <alignment horizontal="justify" vertical="center" wrapText="1"/>
      <protection hidden="1"/>
    </xf>
    <xf numFmtId="0" fontId="19" fillId="0" borderId="0" xfId="3" applyFont="1" applyAlignment="1" applyProtection="1">
      <alignment horizontal="justify" vertical="center" wrapText="1"/>
      <protection hidden="1"/>
    </xf>
    <xf numFmtId="0" fontId="29" fillId="21" borderId="105" xfId="3" applyFont="1" applyFill="1" applyBorder="1" applyAlignment="1" applyProtection="1">
      <alignment horizontal="center" vertical="center"/>
      <protection hidden="1"/>
    </xf>
    <xf numFmtId="0" fontId="29" fillId="21" borderId="106" xfId="3" applyFont="1" applyFill="1" applyBorder="1" applyAlignment="1" applyProtection="1">
      <alignment horizontal="center" vertical="center"/>
      <protection hidden="1"/>
    </xf>
    <xf numFmtId="0" fontId="29" fillId="21" borderId="107" xfId="3" applyFont="1" applyFill="1" applyBorder="1" applyAlignment="1" applyProtection="1">
      <alignment horizontal="center" vertical="center"/>
      <protection hidden="1"/>
    </xf>
    <xf numFmtId="0" fontId="29" fillId="21" borderId="49" xfId="3" applyFont="1" applyFill="1" applyBorder="1" applyAlignment="1" applyProtection="1">
      <alignment horizontal="center" vertical="center"/>
      <protection hidden="1"/>
    </xf>
    <xf numFmtId="0" fontId="29" fillId="21" borderId="42" xfId="3" applyFont="1" applyFill="1" applyBorder="1" applyAlignment="1" applyProtection="1">
      <alignment horizontal="center" vertical="center"/>
      <protection hidden="1"/>
    </xf>
    <xf numFmtId="0" fontId="29" fillId="21" borderId="108" xfId="3" applyFont="1" applyFill="1" applyBorder="1" applyAlignment="1" applyProtection="1">
      <alignment horizontal="center" vertical="center"/>
      <protection hidden="1"/>
    </xf>
    <xf numFmtId="0" fontId="29" fillId="16" borderId="16" xfId="3" applyFont="1" applyFill="1" applyBorder="1" applyAlignment="1" applyProtection="1">
      <alignment horizontal="center" vertical="center"/>
      <protection hidden="1"/>
    </xf>
    <xf numFmtId="0" fontId="29" fillId="16" borderId="0" xfId="3" applyFont="1" applyFill="1" applyAlignment="1" applyProtection="1">
      <alignment horizontal="center" vertical="center"/>
      <protection hidden="1"/>
    </xf>
    <xf numFmtId="0" fontId="29" fillId="16" borderId="30" xfId="3" applyFont="1" applyFill="1" applyBorder="1" applyAlignment="1" applyProtection="1">
      <alignment horizontal="center" vertical="center"/>
      <protection hidden="1"/>
    </xf>
    <xf numFmtId="0" fontId="29" fillId="16" borderId="31" xfId="3" applyFont="1" applyFill="1" applyBorder="1" applyAlignment="1" applyProtection="1">
      <alignment horizontal="center" vertical="center"/>
      <protection hidden="1"/>
    </xf>
    <xf numFmtId="0" fontId="29" fillId="16" borderId="13" xfId="3" applyFont="1" applyFill="1" applyBorder="1" applyAlignment="1" applyProtection="1">
      <alignment horizontal="center" vertical="center"/>
      <protection hidden="1"/>
    </xf>
    <xf numFmtId="0" fontId="29" fillId="16" borderId="14" xfId="3" applyFont="1" applyFill="1" applyBorder="1" applyAlignment="1" applyProtection="1">
      <alignment horizontal="center" vertical="center"/>
      <protection hidden="1"/>
    </xf>
    <xf numFmtId="0" fontId="27" fillId="21" borderId="105" xfId="3" quotePrefix="1" applyFont="1" applyFill="1" applyBorder="1" applyAlignment="1" applyProtection="1">
      <alignment horizontal="center" vertical="center"/>
      <protection hidden="1"/>
    </xf>
    <xf numFmtId="0" fontId="27" fillId="21" borderId="106" xfId="3" quotePrefix="1" applyFont="1" applyFill="1" applyBorder="1" applyAlignment="1" applyProtection="1">
      <alignment horizontal="center" vertical="center"/>
      <protection hidden="1"/>
    </xf>
    <xf numFmtId="0" fontId="27" fillId="21" borderId="107" xfId="3" quotePrefix="1" applyFont="1" applyFill="1" applyBorder="1" applyAlignment="1" applyProtection="1">
      <alignment horizontal="center" vertical="center"/>
      <protection hidden="1"/>
    </xf>
    <xf numFmtId="0" fontId="27" fillId="21" borderId="49" xfId="3" quotePrefix="1" applyFont="1" applyFill="1" applyBorder="1" applyAlignment="1" applyProtection="1">
      <alignment horizontal="center" vertical="center"/>
      <protection hidden="1"/>
    </xf>
    <xf numFmtId="0" fontId="27" fillId="21" borderId="42" xfId="3" quotePrefix="1" applyFont="1" applyFill="1" applyBorder="1" applyAlignment="1" applyProtection="1">
      <alignment horizontal="center" vertical="center"/>
      <protection hidden="1"/>
    </xf>
    <xf numFmtId="0" fontId="27" fillId="21" borderId="108" xfId="3" quotePrefix="1" applyFont="1" applyFill="1" applyBorder="1" applyAlignment="1" applyProtection="1">
      <alignment horizontal="center" vertical="center"/>
      <protection hidden="1"/>
    </xf>
    <xf numFmtId="0" fontId="29" fillId="21" borderId="16" xfId="3" applyFont="1" applyFill="1" applyBorder="1" applyAlignment="1" applyProtection="1">
      <alignment horizontal="center" vertical="center" wrapText="1"/>
      <protection hidden="1"/>
    </xf>
    <xf numFmtId="0" fontId="29" fillId="21" borderId="0" xfId="3" applyFont="1" applyFill="1" applyAlignment="1" applyProtection="1">
      <alignment horizontal="center" vertical="center" wrapText="1"/>
      <protection hidden="1"/>
    </xf>
    <xf numFmtId="0" fontId="29" fillId="21" borderId="30" xfId="3" applyFont="1" applyFill="1" applyBorder="1" applyAlignment="1" applyProtection="1">
      <alignment horizontal="center" vertical="center" wrapText="1"/>
      <protection hidden="1"/>
    </xf>
    <xf numFmtId="0" fontId="29" fillId="21" borderId="31" xfId="3" applyFont="1" applyFill="1" applyBorder="1" applyAlignment="1" applyProtection="1">
      <alignment horizontal="center" vertical="center" wrapText="1"/>
      <protection hidden="1"/>
    </xf>
    <xf numFmtId="0" fontId="29" fillId="21" borderId="13" xfId="3" applyFont="1" applyFill="1" applyBorder="1" applyAlignment="1" applyProtection="1">
      <alignment horizontal="center" vertical="center" wrapText="1"/>
      <protection hidden="1"/>
    </xf>
    <xf numFmtId="0" fontId="29" fillId="21" borderId="14" xfId="3" applyFont="1" applyFill="1" applyBorder="1" applyAlignment="1" applyProtection="1">
      <alignment horizontal="center" vertical="center" wrapText="1"/>
      <protection hidden="1"/>
    </xf>
    <xf numFmtId="0" fontId="29" fillId="21" borderId="15" xfId="3" applyFont="1" applyFill="1" applyBorder="1" applyAlignment="1" applyProtection="1">
      <alignment horizontal="center" vertical="center" wrapText="1"/>
      <protection hidden="1"/>
    </xf>
    <xf numFmtId="0" fontId="29" fillId="21" borderId="54" xfId="3" applyFont="1" applyFill="1" applyBorder="1" applyAlignment="1" applyProtection="1">
      <alignment horizontal="center" vertical="center" wrapText="1"/>
      <protection hidden="1"/>
    </xf>
    <xf numFmtId="0" fontId="27" fillId="12" borderId="102" xfId="3" applyFont="1" applyFill="1" applyBorder="1" applyAlignment="1" applyProtection="1">
      <alignment horizontal="center" vertical="center" wrapText="1"/>
      <protection hidden="1"/>
    </xf>
    <xf numFmtId="0" fontId="27" fillId="12" borderId="18" xfId="3" applyFont="1" applyFill="1" applyBorder="1" applyAlignment="1" applyProtection="1">
      <alignment horizontal="center" vertical="center" wrapText="1"/>
      <protection hidden="1"/>
    </xf>
    <xf numFmtId="0" fontId="29" fillId="21" borderId="105" xfId="3" applyFont="1" applyFill="1" applyBorder="1" applyAlignment="1" applyProtection="1">
      <alignment horizontal="center" vertical="center" wrapText="1"/>
      <protection hidden="1"/>
    </xf>
    <xf numFmtId="0" fontId="29" fillId="21" borderId="106" xfId="3" applyFont="1" applyFill="1" applyBorder="1" applyAlignment="1" applyProtection="1">
      <alignment horizontal="center" vertical="center" wrapText="1"/>
      <protection hidden="1"/>
    </xf>
    <xf numFmtId="0" fontId="29" fillId="21" borderId="107" xfId="3" applyFont="1" applyFill="1" applyBorder="1" applyAlignment="1" applyProtection="1">
      <alignment horizontal="center" vertical="center" wrapText="1"/>
      <protection hidden="1"/>
    </xf>
    <xf numFmtId="0" fontId="29" fillId="21" borderId="49" xfId="3" applyFont="1" applyFill="1" applyBorder="1" applyAlignment="1" applyProtection="1">
      <alignment horizontal="center" vertical="center" wrapText="1"/>
      <protection hidden="1"/>
    </xf>
    <xf numFmtId="0" fontId="29" fillId="21" borderId="42" xfId="3" applyFont="1" applyFill="1" applyBorder="1" applyAlignment="1" applyProtection="1">
      <alignment horizontal="center" vertical="center" wrapText="1"/>
      <protection hidden="1"/>
    </xf>
    <xf numFmtId="0" fontId="29" fillId="21" borderId="108" xfId="3" applyFont="1" applyFill="1" applyBorder="1" applyAlignment="1" applyProtection="1">
      <alignment horizontal="center" vertical="center" wrapText="1"/>
      <protection hidden="1"/>
    </xf>
    <xf numFmtId="0" fontId="83" fillId="16" borderId="13" xfId="3" applyFont="1" applyFill="1" applyBorder="1" applyAlignment="1" applyProtection="1">
      <alignment horizontal="center" vertical="center" wrapText="1"/>
      <protection hidden="1"/>
    </xf>
    <xf numFmtId="0" fontId="83" fillId="16" borderId="14" xfId="3" applyFont="1" applyFill="1" applyBorder="1" applyAlignment="1" applyProtection="1">
      <alignment horizontal="center" vertical="center" wrapText="1"/>
      <protection hidden="1"/>
    </xf>
    <xf numFmtId="0" fontId="83" fillId="16" borderId="15" xfId="3" applyFont="1" applyFill="1" applyBorder="1" applyAlignment="1" applyProtection="1">
      <alignment horizontal="center" vertical="center" wrapText="1"/>
      <protection hidden="1"/>
    </xf>
    <xf numFmtId="0" fontId="83" fillId="16" borderId="30" xfId="3" applyFont="1" applyFill="1" applyBorder="1" applyAlignment="1" applyProtection="1">
      <alignment horizontal="center" vertical="center" wrapText="1"/>
      <protection hidden="1"/>
    </xf>
    <xf numFmtId="0" fontId="83" fillId="16" borderId="31" xfId="3" applyFont="1" applyFill="1" applyBorder="1" applyAlignment="1" applyProtection="1">
      <alignment horizontal="center" vertical="center" wrapText="1"/>
      <protection hidden="1"/>
    </xf>
    <xf numFmtId="0" fontId="83" fillId="16" borderId="54" xfId="3" applyFont="1" applyFill="1" applyBorder="1" applyAlignment="1" applyProtection="1">
      <alignment horizontal="center" vertical="center" wrapText="1"/>
      <protection hidden="1"/>
    </xf>
    <xf numFmtId="0" fontId="35" fillId="0" borderId="0" xfId="3" applyFont="1" applyAlignment="1" applyProtection="1">
      <alignment horizontal="left" vertical="center" wrapText="1"/>
      <protection hidden="1"/>
    </xf>
    <xf numFmtId="0" fontId="29" fillId="16" borderId="51" xfId="3" applyFont="1" applyFill="1" applyBorder="1" applyAlignment="1" applyProtection="1">
      <alignment horizontal="center" vertical="center" wrapText="1"/>
      <protection hidden="1"/>
    </xf>
    <xf numFmtId="0" fontId="29" fillId="16" borderId="89" xfId="3" applyFont="1" applyFill="1" applyBorder="1" applyAlignment="1" applyProtection="1">
      <alignment horizontal="center" vertical="center" wrapText="1"/>
      <protection hidden="1"/>
    </xf>
    <xf numFmtId="0" fontId="29" fillId="16" borderId="104" xfId="3" applyFont="1" applyFill="1" applyBorder="1" applyAlignment="1" applyProtection="1">
      <alignment horizontal="center" vertical="center" wrapText="1"/>
      <protection hidden="1"/>
    </xf>
    <xf numFmtId="0" fontId="27" fillId="12" borderId="17" xfId="3" applyFont="1" applyFill="1" applyBorder="1" applyAlignment="1" applyProtection="1">
      <alignment horizontal="center" vertical="center" wrapText="1"/>
      <protection hidden="1"/>
    </xf>
    <xf numFmtId="0" fontId="29" fillId="16" borderId="105" xfId="3" applyFont="1" applyFill="1" applyBorder="1" applyAlignment="1" applyProtection="1">
      <alignment horizontal="center" vertical="center" wrapText="1"/>
      <protection hidden="1"/>
    </xf>
    <xf numFmtId="0" fontId="29" fillId="16" borderId="106" xfId="3" applyFont="1" applyFill="1" applyBorder="1" applyAlignment="1" applyProtection="1">
      <alignment horizontal="center" vertical="center" wrapText="1"/>
      <protection hidden="1"/>
    </xf>
    <xf numFmtId="0" fontId="29" fillId="16" borderId="107" xfId="3" applyFont="1" applyFill="1" applyBorder="1" applyAlignment="1" applyProtection="1">
      <alignment horizontal="center" vertical="center" wrapText="1"/>
      <protection hidden="1"/>
    </xf>
    <xf numFmtId="0" fontId="29" fillId="16" borderId="49" xfId="3" applyFont="1" applyFill="1" applyBorder="1" applyAlignment="1" applyProtection="1">
      <alignment horizontal="center" vertical="center" wrapText="1"/>
      <protection hidden="1"/>
    </xf>
    <xf numFmtId="0" fontId="29" fillId="16" borderId="42" xfId="3" applyFont="1" applyFill="1" applyBorder="1" applyAlignment="1" applyProtection="1">
      <alignment horizontal="center" vertical="center" wrapText="1"/>
      <protection hidden="1"/>
    </xf>
    <xf numFmtId="0" fontId="29" fillId="16" borderId="108" xfId="3" applyFont="1" applyFill="1" applyBorder="1" applyAlignment="1" applyProtection="1">
      <alignment horizontal="center" vertical="center" wrapText="1"/>
      <protection hidden="1"/>
    </xf>
    <xf numFmtId="0" fontId="29" fillId="21" borderId="111" xfId="3" applyFont="1" applyFill="1" applyBorder="1" applyAlignment="1" applyProtection="1">
      <alignment horizontal="center" vertical="center" wrapText="1"/>
      <protection hidden="1"/>
    </xf>
    <xf numFmtId="0" fontId="29" fillId="21" borderId="112" xfId="3" applyFont="1" applyFill="1" applyBorder="1" applyAlignment="1" applyProtection="1">
      <alignment horizontal="center" vertical="center" wrapText="1"/>
      <protection hidden="1"/>
    </xf>
    <xf numFmtId="0" fontId="29" fillId="21" borderId="113" xfId="3" applyFont="1" applyFill="1" applyBorder="1" applyAlignment="1" applyProtection="1">
      <alignment horizontal="center" vertical="center" wrapText="1"/>
      <protection hidden="1"/>
    </xf>
    <xf numFmtId="0" fontId="32" fillId="3" borderId="0" xfId="3" applyFont="1" applyFill="1" applyAlignment="1" applyProtection="1">
      <alignment horizontal="justify" vertical="center" wrapText="1"/>
      <protection hidden="1"/>
    </xf>
    <xf numFmtId="0" fontId="29" fillId="16" borderId="7" xfId="3" applyFont="1" applyFill="1" applyBorder="1" applyAlignment="1" applyProtection="1">
      <alignment horizontal="center" vertical="center"/>
      <protection hidden="1"/>
    </xf>
    <xf numFmtId="0" fontId="29" fillId="21" borderId="14" xfId="3" applyFont="1" applyFill="1" applyBorder="1" applyAlignment="1" applyProtection="1">
      <alignment horizontal="center" vertical="center"/>
      <protection hidden="1"/>
    </xf>
    <xf numFmtId="0" fontId="29" fillId="21" borderId="15" xfId="3" applyFont="1" applyFill="1" applyBorder="1" applyAlignment="1" applyProtection="1">
      <alignment horizontal="center" vertical="center"/>
      <protection hidden="1"/>
    </xf>
    <xf numFmtId="0" fontId="29" fillId="21" borderId="7" xfId="3" applyFont="1" applyFill="1" applyBorder="1" applyAlignment="1" applyProtection="1">
      <alignment horizontal="center" vertical="center"/>
      <protection hidden="1"/>
    </xf>
    <xf numFmtId="0" fontId="29" fillId="21" borderId="67" xfId="3" applyFont="1" applyFill="1" applyBorder="1" applyAlignment="1" applyProtection="1">
      <alignment horizontal="center" vertical="center"/>
      <protection hidden="1"/>
    </xf>
    <xf numFmtId="0" fontId="27" fillId="16" borderId="72" xfId="3" applyFont="1" applyFill="1" applyBorder="1" applyAlignment="1" applyProtection="1">
      <alignment horizontal="center" vertical="center"/>
      <protection hidden="1"/>
    </xf>
    <xf numFmtId="0" fontId="27" fillId="16" borderId="18" xfId="3" applyFont="1" applyFill="1" applyBorder="1" applyAlignment="1" applyProtection="1">
      <alignment horizontal="center" vertical="center"/>
      <protection hidden="1"/>
    </xf>
    <xf numFmtId="0" fontId="26" fillId="0" borderId="7" xfId="3" applyFont="1" applyBorder="1" applyAlignment="1" applyProtection="1">
      <alignment horizontal="left" vertical="center"/>
      <protection hidden="1"/>
    </xf>
    <xf numFmtId="0" fontId="26" fillId="0" borderId="0" xfId="3" applyFont="1" applyAlignment="1" applyProtection="1">
      <alignment horizontal="left" vertical="center"/>
      <protection hidden="1"/>
    </xf>
    <xf numFmtId="0" fontId="27" fillId="12" borderId="58" xfId="3" applyFont="1" applyFill="1" applyBorder="1" applyAlignment="1" applyProtection="1">
      <alignment horizontal="center" vertical="center" wrapText="1"/>
      <protection hidden="1"/>
    </xf>
    <xf numFmtId="0" fontId="27" fillId="12" borderId="31" xfId="3" applyFont="1" applyFill="1" applyBorder="1" applyAlignment="1" applyProtection="1">
      <alignment horizontal="center" vertical="center" wrapText="1"/>
      <protection hidden="1"/>
    </xf>
    <xf numFmtId="0" fontId="27" fillId="12" borderId="55" xfId="3" applyFont="1" applyFill="1" applyBorder="1" applyAlignment="1" applyProtection="1">
      <alignment horizontal="center" vertical="center"/>
      <protection hidden="1"/>
    </xf>
    <xf numFmtId="0" fontId="27" fillId="0" borderId="55" xfId="0" applyFont="1" applyBorder="1" applyAlignment="1" applyProtection="1">
      <alignment horizontal="center" vertical="center"/>
      <protection hidden="1"/>
    </xf>
    <xf numFmtId="0" fontId="30" fillId="0" borderId="0" xfId="3" applyFont="1" applyAlignment="1" applyProtection="1">
      <alignment horizontal="center" vertical="center" wrapText="1"/>
      <protection hidden="1"/>
    </xf>
    <xf numFmtId="0" fontId="19" fillId="0" borderId="0" xfId="3" applyFont="1" applyAlignment="1" applyProtection="1">
      <alignment horizontal="justify" vertical="justify" wrapText="1"/>
      <protection hidden="1"/>
    </xf>
    <xf numFmtId="0" fontId="68" fillId="0" borderId="0" xfId="3" applyFont="1" applyAlignment="1" applyProtection="1">
      <alignment horizontal="left" vertical="center" wrapText="1"/>
      <protection hidden="1"/>
    </xf>
    <xf numFmtId="0" fontId="29" fillId="21" borderId="16" xfId="3" applyFont="1" applyFill="1" applyBorder="1" applyAlignment="1" applyProtection="1">
      <alignment horizontal="center" vertical="center"/>
      <protection hidden="1"/>
    </xf>
    <xf numFmtId="0" fontId="29" fillId="21" borderId="0" xfId="3" applyFont="1" applyFill="1" applyAlignment="1" applyProtection="1">
      <alignment horizontal="center" vertical="center"/>
      <protection hidden="1"/>
    </xf>
    <xf numFmtId="0" fontId="29" fillId="21" borderId="111" xfId="3" applyFont="1" applyFill="1" applyBorder="1" applyAlignment="1" applyProtection="1">
      <alignment horizontal="center" vertical="center"/>
      <protection hidden="1"/>
    </xf>
    <xf numFmtId="0" fontId="29" fillId="21" borderId="112" xfId="3" applyFont="1" applyFill="1" applyBorder="1" applyAlignment="1" applyProtection="1">
      <alignment horizontal="center" vertical="center"/>
      <protection hidden="1"/>
    </xf>
    <xf numFmtId="0" fontId="27" fillId="12" borderId="49" xfId="3" applyFont="1" applyFill="1" applyBorder="1" applyAlignment="1" applyProtection="1">
      <alignment horizontal="center" vertical="center" wrapText="1"/>
      <protection hidden="1"/>
    </xf>
    <xf numFmtId="0" fontId="29" fillId="16" borderId="15" xfId="3" applyFont="1" applyFill="1" applyBorder="1" applyAlignment="1" applyProtection="1">
      <alignment horizontal="center" vertical="center"/>
      <protection hidden="1"/>
    </xf>
    <xf numFmtId="0" fontId="29" fillId="16" borderId="111" xfId="3" applyFont="1" applyFill="1" applyBorder="1" applyAlignment="1" applyProtection="1">
      <alignment horizontal="center" vertical="center"/>
      <protection hidden="1"/>
    </xf>
    <xf numFmtId="0" fontId="29" fillId="16" borderId="112" xfId="3" applyFont="1" applyFill="1" applyBorder="1" applyAlignment="1" applyProtection="1">
      <alignment horizontal="center" vertical="center"/>
      <protection hidden="1"/>
    </xf>
    <xf numFmtId="0" fontId="29" fillId="16" borderId="113" xfId="3" applyFont="1" applyFill="1" applyBorder="1" applyAlignment="1" applyProtection="1">
      <alignment horizontal="center" vertical="center"/>
      <protection hidden="1"/>
    </xf>
    <xf numFmtId="0" fontId="29" fillId="21" borderId="13" xfId="3" applyFont="1" applyFill="1" applyBorder="1" applyAlignment="1" applyProtection="1">
      <alignment horizontal="center" vertical="center"/>
      <protection hidden="1"/>
    </xf>
    <xf numFmtId="0" fontId="29" fillId="21" borderId="113" xfId="3" applyFont="1" applyFill="1" applyBorder="1" applyAlignment="1" applyProtection="1">
      <alignment horizontal="center" vertical="center"/>
      <protection hidden="1"/>
    </xf>
    <xf numFmtId="0" fontId="19" fillId="0" borderId="0" xfId="3" applyFont="1" applyAlignment="1" applyProtection="1">
      <alignment horizontal="center" vertical="center" wrapText="1"/>
      <protection hidden="1"/>
    </xf>
    <xf numFmtId="0" fontId="59" fillId="0" borderId="0" xfId="3" applyFont="1" applyAlignment="1" applyProtection="1">
      <alignment horizontal="center" vertical="center" wrapText="1"/>
      <protection hidden="1"/>
    </xf>
    <xf numFmtId="0" fontId="30" fillId="0" borderId="0" xfId="3" applyFont="1" applyAlignment="1" applyProtection="1">
      <alignment horizontal="left" vertical="justify"/>
      <protection hidden="1"/>
    </xf>
    <xf numFmtId="0" fontId="59" fillId="0" borderId="0" xfId="3" applyFont="1" applyAlignment="1" applyProtection="1">
      <alignment horizontal="left" vertical="center" wrapText="1"/>
      <protection hidden="1"/>
    </xf>
    <xf numFmtId="0" fontId="40" fillId="0" borderId="0" xfId="0" applyFont="1" applyAlignment="1" applyProtection="1">
      <alignment horizontal="center" vertical="center"/>
      <protection hidden="1"/>
    </xf>
    <xf numFmtId="0" fontId="27" fillId="12" borderId="52" xfId="3" applyFont="1" applyFill="1" applyBorder="1" applyAlignment="1" applyProtection="1">
      <alignment horizontal="center" vertical="center" wrapText="1"/>
      <protection hidden="1"/>
    </xf>
    <xf numFmtId="0" fontId="27" fillId="12" borderId="28" xfId="3" applyFont="1" applyFill="1" applyBorder="1" applyAlignment="1" applyProtection="1">
      <alignment horizontal="center" vertical="center" wrapText="1"/>
      <protection hidden="1"/>
    </xf>
    <xf numFmtId="0" fontId="27" fillId="12" borderId="70" xfId="3" applyFont="1" applyFill="1" applyBorder="1" applyAlignment="1" applyProtection="1">
      <alignment horizontal="center" vertical="center" wrapText="1"/>
      <protection hidden="1"/>
    </xf>
    <xf numFmtId="0" fontId="27" fillId="12" borderId="22" xfId="3" applyFont="1" applyFill="1" applyBorder="1" applyAlignment="1" applyProtection="1">
      <alignment horizontal="center" vertical="center" wrapText="1"/>
      <protection hidden="1"/>
    </xf>
    <xf numFmtId="0" fontId="27" fillId="12" borderId="53" xfId="3" applyFont="1" applyFill="1" applyBorder="1" applyAlignment="1" applyProtection="1">
      <alignment horizontal="center" vertical="center" wrapText="1"/>
      <protection hidden="1"/>
    </xf>
    <xf numFmtId="0" fontId="45" fillId="0" borderId="0" xfId="0" applyFont="1" applyAlignment="1" applyProtection="1">
      <alignment horizontal="justify" vertical="justify"/>
      <protection hidden="1"/>
    </xf>
  </cellXfs>
  <cellStyles count="14">
    <cellStyle name="Hipervínculo" xfId="9" builtinId="8"/>
    <cellStyle name="Hipervínculo 2" xfId="12" xr:uid="{71BEC5F9-FC71-4534-A608-0DC25C29D296}"/>
    <cellStyle name="Millares" xfId="6" builtinId="3"/>
    <cellStyle name="Millares [0]" xfId="1" builtinId="6"/>
    <cellStyle name="Millares [0] 2" xfId="11" xr:uid="{9A2E8975-D3B1-464A-A0E5-574EB0EE48BB}"/>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 name="Porcentual 2 2" xfId="13" xr:uid="{10156946-0071-47D7-AF99-52B11402ED93}"/>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 Type="http://schemas.openxmlformats.org/officeDocument/2006/relationships/image" Target="../media/image12.png"/><Relationship Id="rId16" Type="http://schemas.openxmlformats.org/officeDocument/2006/relationships/image" Target="../media/image26.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5" Type="http://schemas.openxmlformats.org/officeDocument/2006/relationships/image" Target="../media/image2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48729</xdr:colOff>
      <xdr:row>2</xdr:row>
      <xdr:rowOff>574187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2000" y="190500"/>
          <a:ext cx="2886075" cy="764687"/>
        </a:xfrm>
        <a:prstGeom prst="rect">
          <a:avLst/>
        </a:prstGeom>
      </xdr:spPr>
    </xdr:pic>
    <xdr:clientData/>
  </xdr:twoCellAnchor>
  <xdr:twoCellAnchor editAs="oneCell">
    <xdr:from>
      <xdr:col>0</xdr:col>
      <xdr:colOff>237849</xdr:colOff>
      <xdr:row>28</xdr:row>
      <xdr:rowOff>96907</xdr:rowOff>
    </xdr:from>
    <xdr:to>
      <xdr:col>6</xdr:col>
      <xdr:colOff>476198</xdr:colOff>
      <xdr:row>37</xdr:row>
      <xdr:rowOff>163831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37849" y="5773807"/>
          <a:ext cx="7763099" cy="1692524"/>
        </a:xfrm>
        <a:prstGeom prst="rect">
          <a:avLst/>
        </a:prstGeom>
      </xdr:spPr>
    </xdr:pic>
    <xdr:clientData/>
  </xdr:twoCellAnchor>
  <xdr:twoCellAnchor editAs="oneCell">
    <xdr:from>
      <xdr:col>7</xdr:col>
      <xdr:colOff>730704</xdr:colOff>
      <xdr:row>14</xdr:row>
      <xdr:rowOff>90715</xdr:rowOff>
    </xdr:from>
    <xdr:to>
      <xdr:col>23</xdr:col>
      <xdr:colOff>691125</xdr:colOff>
      <xdr:row>22</xdr:row>
      <xdr:rowOff>122698</xdr:rowOff>
    </xdr:to>
    <xdr:pic>
      <xdr:nvPicPr>
        <xdr:cNvPr id="5" name="Imagen 4">
          <a:extLst>
            <a:ext uri="{FF2B5EF4-FFF2-40B4-BE49-F238E27FC236}">
              <a16:creationId xmlns:a16="http://schemas.microsoft.com/office/drawing/2014/main" id="{F2CBF4E4-450F-4632-B8C2-2885F47D9C96}"/>
            </a:ext>
          </a:extLst>
        </xdr:cNvPr>
        <xdr:cNvPicPr>
          <a:picLocks noChangeAspect="1"/>
        </xdr:cNvPicPr>
      </xdr:nvPicPr>
      <xdr:blipFill>
        <a:blip xmlns:r="http://schemas.openxmlformats.org/officeDocument/2006/relationships" r:embed="rId3"/>
        <a:stretch>
          <a:fillRect/>
        </a:stretch>
      </xdr:blipFill>
      <xdr:spPr>
        <a:xfrm>
          <a:off x="9069161" y="3302001"/>
          <a:ext cx="12674935" cy="1697497"/>
        </a:xfrm>
        <a:prstGeom prst="rect">
          <a:avLst/>
        </a:prstGeom>
      </xdr:spPr>
    </xdr:pic>
    <xdr:clientData/>
  </xdr:twoCellAnchor>
  <xdr:twoCellAnchor>
    <xdr:from>
      <xdr:col>9</xdr:col>
      <xdr:colOff>0</xdr:colOff>
      <xdr:row>14</xdr:row>
      <xdr:rowOff>28575</xdr:rowOff>
    </xdr:from>
    <xdr:to>
      <xdr:col>13</xdr:col>
      <xdr:colOff>464819</xdr:colOff>
      <xdr:row>28</xdr:row>
      <xdr:rowOff>122714</xdr:rowOff>
    </xdr:to>
    <xdr:pic>
      <xdr:nvPicPr>
        <xdr:cNvPr id="4" name="Imagen 3">
          <a:extLst>
            <a:ext uri="{FF2B5EF4-FFF2-40B4-BE49-F238E27FC236}">
              <a16:creationId xmlns:a16="http://schemas.microsoft.com/office/drawing/2014/main" id="{0155BF43-5D89-4AA3-9EF1-30D4C6BB11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96475" y="3171825"/>
          <a:ext cx="3627119" cy="2808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57868</xdr:colOff>
      <xdr:row>26</xdr:row>
      <xdr:rowOff>38521</xdr:rowOff>
    </xdr:from>
    <xdr:to>
      <xdr:col>23</xdr:col>
      <xdr:colOff>524382</xdr:colOff>
      <xdr:row>31</xdr:row>
      <xdr:rowOff>182096</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8541811" y="4937092"/>
          <a:ext cx="2044398" cy="2002946"/>
        </a:xfrm>
        <a:prstGeom prst="rect">
          <a:avLst/>
        </a:prstGeom>
      </xdr:spPr>
    </xdr:pic>
    <xdr:clientData/>
  </xdr:twoCellAnchor>
  <xdr:twoCellAnchor editAs="oneCell">
    <xdr:from>
      <xdr:col>24</xdr:col>
      <xdr:colOff>137660</xdr:colOff>
      <xdr:row>25</xdr:row>
      <xdr:rowOff>184769</xdr:rowOff>
    </xdr:from>
    <xdr:to>
      <xdr:col>26</xdr:col>
      <xdr:colOff>256565</xdr:colOff>
      <xdr:row>31</xdr:row>
      <xdr:rowOff>220070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4548" t="6115" r="12715" b="5678"/>
        <a:stretch/>
      </xdr:blipFill>
      <xdr:spPr>
        <a:xfrm>
          <a:off x="21005574" y="4898283"/>
          <a:ext cx="1688535" cy="2056870"/>
        </a:xfrm>
        <a:prstGeom prst="rect">
          <a:avLst/>
        </a:prstGeom>
      </xdr:spPr>
    </xdr:pic>
    <xdr:clientData/>
  </xdr:twoCellAnchor>
  <xdr:twoCellAnchor editAs="oneCell">
    <xdr:from>
      <xdr:col>21</xdr:col>
      <xdr:colOff>697032</xdr:colOff>
      <xdr:row>34</xdr:row>
      <xdr:rowOff>120265</xdr:rowOff>
    </xdr:from>
    <xdr:to>
      <xdr:col>23</xdr:col>
      <xdr:colOff>600500</xdr:colOff>
      <xdr:row>35</xdr:row>
      <xdr:rowOff>181121</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052489" y="6680091"/>
          <a:ext cx="1424295" cy="331517"/>
        </a:xfrm>
        <a:prstGeom prst="rect">
          <a:avLst/>
        </a:prstGeom>
      </xdr:spPr>
    </xdr:pic>
    <xdr:clientData/>
  </xdr:twoCellAnchor>
  <xdr:twoCellAnchor editAs="oneCell">
    <xdr:from>
      <xdr:col>21</xdr:col>
      <xdr:colOff>736893</xdr:colOff>
      <xdr:row>36</xdr:row>
      <xdr:rowOff>105602</xdr:rowOff>
    </xdr:from>
    <xdr:to>
      <xdr:col>22</xdr:col>
      <xdr:colOff>752872</xdr:colOff>
      <xdr:row>41</xdr:row>
      <xdr:rowOff>104566</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2092350" y="7046428"/>
          <a:ext cx="762106" cy="1297860"/>
        </a:xfrm>
        <a:prstGeom prst="rect">
          <a:avLst/>
        </a:prstGeom>
      </xdr:spPr>
    </xdr:pic>
    <xdr:clientData/>
  </xdr:twoCellAnchor>
  <xdr:twoCellAnchor editAs="oneCell">
    <xdr:from>
      <xdr:col>23</xdr:col>
      <xdr:colOff>762000</xdr:colOff>
      <xdr:row>37</xdr:row>
      <xdr:rowOff>0</xdr:rowOff>
    </xdr:from>
    <xdr:to>
      <xdr:col>26</xdr:col>
      <xdr:colOff>561371</xdr:colOff>
      <xdr:row>38</xdr:row>
      <xdr:rowOff>221045</xdr:rowOff>
    </xdr:to>
    <xdr:pic>
      <xdr:nvPicPr>
        <xdr:cNvPr id="8" name="Imagen 7">
          <a:extLst>
            <a:ext uri="{FF2B5EF4-FFF2-40B4-BE49-F238E27FC236}">
              <a16:creationId xmlns:a16="http://schemas.microsoft.com/office/drawing/2014/main" id="{941C2F5D-938D-5858-2CC9-F78FD763A312}"/>
            </a:ext>
          </a:extLst>
        </xdr:cNvPr>
        <xdr:cNvPicPr>
          <a:picLocks noChangeAspect="1"/>
        </xdr:cNvPicPr>
      </xdr:nvPicPr>
      <xdr:blipFill>
        <a:blip xmlns:r="http://schemas.openxmlformats.org/officeDocument/2006/relationships" r:embed="rId5"/>
        <a:stretch>
          <a:fillRect/>
        </a:stretch>
      </xdr:blipFill>
      <xdr:spPr>
        <a:xfrm>
          <a:off x="20835257" y="7641771"/>
          <a:ext cx="2180168" cy="457264"/>
        </a:xfrm>
        <a:prstGeom prst="rect">
          <a:avLst/>
        </a:prstGeom>
      </xdr:spPr>
    </xdr:pic>
    <xdr:clientData/>
  </xdr:twoCellAnchor>
  <xdr:twoCellAnchor editAs="oneCell">
    <xdr:from>
      <xdr:col>16</xdr:col>
      <xdr:colOff>271327</xdr:colOff>
      <xdr:row>26</xdr:row>
      <xdr:rowOff>123825</xdr:rowOff>
    </xdr:from>
    <xdr:to>
      <xdr:col>16</xdr:col>
      <xdr:colOff>828526</xdr:colOff>
      <xdr:row>34</xdr:row>
      <xdr:rowOff>104565</xdr:rowOff>
    </xdr:to>
    <xdr:pic>
      <xdr:nvPicPr>
        <xdr:cNvPr id="12" name="Imagen 11">
          <a:extLst>
            <a:ext uri="{FF2B5EF4-FFF2-40B4-BE49-F238E27FC236}">
              <a16:creationId xmlns:a16="http://schemas.microsoft.com/office/drawing/2014/main" id="{D8838FD9-3C87-3867-7EAE-F2E55E420241}"/>
            </a:ext>
          </a:extLst>
        </xdr:cNvPr>
        <xdr:cNvPicPr>
          <a:picLocks noChangeAspect="1"/>
        </xdr:cNvPicPr>
      </xdr:nvPicPr>
      <xdr:blipFill>
        <a:blip xmlns:r="http://schemas.openxmlformats.org/officeDocument/2006/relationships" r:embed="rId6"/>
        <a:stretch>
          <a:fillRect/>
        </a:stretch>
      </xdr:blipFill>
      <xdr:spPr>
        <a:xfrm>
          <a:off x="14682652" y="5638800"/>
          <a:ext cx="552754" cy="26064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554848</xdr:colOff>
      <xdr:row>32</xdr:row>
      <xdr:rowOff>64646</xdr:rowOff>
    </xdr:from>
    <xdr:to>
      <xdr:col>4</xdr:col>
      <xdr:colOff>555953</xdr:colOff>
      <xdr:row>37</xdr:row>
      <xdr:rowOff>214701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54848" y="6495926"/>
          <a:ext cx="4458805" cy="1262575"/>
        </a:xfrm>
        <a:prstGeom prst="rect">
          <a:avLst/>
        </a:prstGeom>
      </xdr:spPr>
    </xdr:pic>
    <xdr:clientData/>
  </xdr:twoCellAnchor>
  <xdr:twoCellAnchor>
    <xdr:from>
      <xdr:col>20</xdr:col>
      <xdr:colOff>212148</xdr:colOff>
      <xdr:row>46</xdr:row>
      <xdr:rowOff>118976</xdr:rowOff>
    </xdr:from>
    <xdr:to>
      <xdr:col>25</xdr:col>
      <xdr:colOff>219075</xdr:colOff>
      <xdr:row>56</xdr:row>
      <xdr:rowOff>104775</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18619677" y="10219211"/>
          <a:ext cx="4197927" cy="2219505"/>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29125" y="12165465"/>
            <a:ext cx="4839898" cy="655346"/>
          </a:xfrm>
          <a:prstGeom prst="rect">
            <a:avLst/>
          </a:prstGeom>
        </xdr:spPr>
      </xdr:pic>
    </xdr:grpSp>
    <xdr:clientData/>
  </xdr:twoCellAnchor>
  <xdr:twoCellAnchor editAs="oneCell">
    <xdr:from>
      <xdr:col>0</xdr:col>
      <xdr:colOff>1333500</xdr:colOff>
      <xdr:row>91</xdr:row>
      <xdr:rowOff>142271</xdr:rowOff>
    </xdr:from>
    <xdr:to>
      <xdr:col>5</xdr:col>
      <xdr:colOff>655272</xdr:colOff>
      <xdr:row>102</xdr:row>
      <xdr:rowOff>28819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33500" y="19452736"/>
          <a:ext cx="5168794" cy="1986493"/>
        </a:xfrm>
        <a:prstGeom prst="rect">
          <a:avLst/>
        </a:prstGeom>
      </xdr:spPr>
    </xdr:pic>
    <xdr:clientData/>
  </xdr:twoCellAnchor>
  <xdr:twoCellAnchor editAs="oneCell">
    <xdr:from>
      <xdr:col>56</xdr:col>
      <xdr:colOff>90268</xdr:colOff>
      <xdr:row>34</xdr:row>
      <xdr:rowOff>137149</xdr:rowOff>
    </xdr:from>
    <xdr:to>
      <xdr:col>58</xdr:col>
      <xdr:colOff>263451</xdr:colOff>
      <xdr:row>43</xdr:row>
      <xdr:rowOff>33824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stretch>
          <a:fillRect/>
        </a:stretch>
      </xdr:blipFill>
      <xdr:spPr>
        <a:xfrm>
          <a:off x="48616221" y="6833784"/>
          <a:ext cx="1750971" cy="2272322"/>
        </a:xfrm>
        <a:prstGeom prst="rect">
          <a:avLst/>
        </a:prstGeom>
      </xdr:spPr>
    </xdr:pic>
    <xdr:clientData/>
  </xdr:twoCellAnchor>
  <xdr:twoCellAnchor editAs="oneCell">
    <xdr:from>
      <xdr:col>36</xdr:col>
      <xdr:colOff>590549</xdr:colOff>
      <xdr:row>10</xdr:row>
      <xdr:rowOff>150618</xdr:rowOff>
    </xdr:from>
    <xdr:to>
      <xdr:col>42</xdr:col>
      <xdr:colOff>655086</xdr:colOff>
      <xdr:row>12</xdr:row>
      <xdr:rowOff>173414</xdr:rowOff>
    </xdr:to>
    <xdr:pic>
      <xdr:nvPicPr>
        <xdr:cNvPr id="9" name="Imagen 8">
          <a:extLst>
            <a:ext uri="{FF2B5EF4-FFF2-40B4-BE49-F238E27FC236}">
              <a16:creationId xmlns:a16="http://schemas.microsoft.com/office/drawing/2014/main" id="{A9F67D5B-7201-4461-88A1-C36B05679DD4}"/>
            </a:ext>
          </a:extLst>
        </xdr:cNvPr>
        <xdr:cNvPicPr>
          <a:picLocks noChangeAspect="1"/>
        </xdr:cNvPicPr>
      </xdr:nvPicPr>
      <xdr:blipFill>
        <a:blip xmlns:r="http://schemas.openxmlformats.org/officeDocument/2006/relationships" r:embed="rId6"/>
        <a:stretch>
          <a:fillRect/>
        </a:stretch>
      </xdr:blipFill>
      <xdr:spPr>
        <a:xfrm>
          <a:off x="32356424" y="1969893"/>
          <a:ext cx="4998487" cy="565721"/>
        </a:xfrm>
        <a:prstGeom prst="rect">
          <a:avLst/>
        </a:prstGeom>
      </xdr:spPr>
    </xdr:pic>
    <xdr:clientData/>
  </xdr:twoCellAnchor>
  <xdr:twoCellAnchor editAs="oneCell">
    <xdr:from>
      <xdr:col>0</xdr:col>
      <xdr:colOff>0</xdr:colOff>
      <xdr:row>105</xdr:row>
      <xdr:rowOff>0</xdr:rowOff>
    </xdr:from>
    <xdr:to>
      <xdr:col>7</xdr:col>
      <xdr:colOff>390676</xdr:colOff>
      <xdr:row>125</xdr:row>
      <xdr:rowOff>122090</xdr:rowOff>
    </xdr:to>
    <xdr:pic>
      <xdr:nvPicPr>
        <xdr:cNvPr id="11" name="Imagen 10">
          <a:extLst>
            <a:ext uri="{FF2B5EF4-FFF2-40B4-BE49-F238E27FC236}">
              <a16:creationId xmlns:a16="http://schemas.microsoft.com/office/drawing/2014/main" id="{4ACEB709-6789-4B68-B0FB-6853BA4DF26C}"/>
            </a:ext>
          </a:extLst>
        </xdr:cNvPr>
        <xdr:cNvPicPr>
          <a:picLocks noChangeAspect="1"/>
        </xdr:cNvPicPr>
      </xdr:nvPicPr>
      <xdr:blipFill>
        <a:blip xmlns:r="http://schemas.openxmlformats.org/officeDocument/2006/relationships" r:embed="rId7"/>
        <a:stretch>
          <a:fillRect/>
        </a:stretch>
      </xdr:blipFill>
      <xdr:spPr>
        <a:xfrm>
          <a:off x="0" y="21336000"/>
          <a:ext cx="7582958" cy="3820058"/>
        </a:xfrm>
        <a:prstGeom prst="rect">
          <a:avLst/>
        </a:prstGeom>
      </xdr:spPr>
    </xdr:pic>
    <xdr:clientData/>
  </xdr:twoCellAnchor>
  <xdr:twoCellAnchor editAs="oneCell">
    <xdr:from>
      <xdr:col>7</xdr:col>
      <xdr:colOff>871311</xdr:colOff>
      <xdr:row>91</xdr:row>
      <xdr:rowOff>165226</xdr:rowOff>
    </xdr:from>
    <xdr:to>
      <xdr:col>15</xdr:col>
      <xdr:colOff>348083</xdr:colOff>
      <xdr:row>103</xdr:row>
      <xdr:rowOff>150071</xdr:rowOff>
    </xdr:to>
    <xdr:pic>
      <xdr:nvPicPr>
        <xdr:cNvPr id="12" name="Imagen 11">
          <a:extLst>
            <a:ext uri="{FF2B5EF4-FFF2-40B4-BE49-F238E27FC236}">
              <a16:creationId xmlns:a16="http://schemas.microsoft.com/office/drawing/2014/main" id="{7914C9EC-898B-4462-B92B-C9E0C48AEC62}"/>
            </a:ext>
          </a:extLst>
        </xdr:cNvPr>
        <xdr:cNvPicPr>
          <a:picLocks noChangeAspect="1"/>
        </xdr:cNvPicPr>
      </xdr:nvPicPr>
      <xdr:blipFill>
        <a:blip xmlns:r="http://schemas.openxmlformats.org/officeDocument/2006/relationships" r:embed="rId8"/>
        <a:stretch>
          <a:fillRect/>
        </a:stretch>
      </xdr:blipFill>
      <xdr:spPr>
        <a:xfrm>
          <a:off x="8219168" y="18235512"/>
          <a:ext cx="6334772" cy="2107559"/>
        </a:xfrm>
        <a:prstGeom prst="rect">
          <a:avLst/>
        </a:prstGeom>
      </xdr:spPr>
    </xdr:pic>
    <xdr:clientData/>
  </xdr:twoCellAnchor>
  <xdr:twoCellAnchor editAs="oneCell">
    <xdr:from>
      <xdr:col>8</xdr:col>
      <xdr:colOff>335190</xdr:colOff>
      <xdr:row>105</xdr:row>
      <xdr:rowOff>147516</xdr:rowOff>
    </xdr:from>
    <xdr:to>
      <xdr:col>15</xdr:col>
      <xdr:colOff>454244</xdr:colOff>
      <xdr:row>115</xdr:row>
      <xdr:rowOff>119181</xdr:rowOff>
    </xdr:to>
    <xdr:pic>
      <xdr:nvPicPr>
        <xdr:cNvPr id="13" name="Imagen 12">
          <a:extLst>
            <a:ext uri="{FF2B5EF4-FFF2-40B4-BE49-F238E27FC236}">
              <a16:creationId xmlns:a16="http://schemas.microsoft.com/office/drawing/2014/main" id="{E2B2A85E-6DF4-4DA1-855D-60BB848FC88B}"/>
            </a:ext>
          </a:extLst>
        </xdr:cNvPr>
        <xdr:cNvPicPr>
          <a:picLocks noChangeAspect="1"/>
        </xdr:cNvPicPr>
      </xdr:nvPicPr>
      <xdr:blipFill>
        <a:blip xmlns:r="http://schemas.openxmlformats.org/officeDocument/2006/relationships" r:embed="rId9"/>
        <a:stretch>
          <a:fillRect/>
        </a:stretch>
      </xdr:blipFill>
      <xdr:spPr>
        <a:xfrm>
          <a:off x="8594726" y="20694302"/>
          <a:ext cx="6065375" cy="1740593"/>
        </a:xfrm>
        <a:prstGeom prst="rect">
          <a:avLst/>
        </a:prstGeom>
      </xdr:spPr>
    </xdr:pic>
    <xdr:clientData/>
  </xdr:twoCellAnchor>
  <xdr:twoCellAnchor editAs="oneCell">
    <xdr:from>
      <xdr:col>0</xdr:col>
      <xdr:colOff>0</xdr:colOff>
      <xdr:row>132</xdr:row>
      <xdr:rowOff>0</xdr:rowOff>
    </xdr:from>
    <xdr:to>
      <xdr:col>7</xdr:col>
      <xdr:colOff>377975</xdr:colOff>
      <xdr:row>143</xdr:row>
      <xdr:rowOff>98270</xdr:rowOff>
    </xdr:to>
    <xdr:pic>
      <xdr:nvPicPr>
        <xdr:cNvPr id="15" name="Imagen 14">
          <a:extLst>
            <a:ext uri="{FF2B5EF4-FFF2-40B4-BE49-F238E27FC236}">
              <a16:creationId xmlns:a16="http://schemas.microsoft.com/office/drawing/2014/main" id="{50B5CCC4-764A-417E-B4F5-3FDB0BCEBE2F}"/>
            </a:ext>
          </a:extLst>
        </xdr:cNvPr>
        <xdr:cNvPicPr>
          <a:picLocks noChangeAspect="1"/>
        </xdr:cNvPicPr>
      </xdr:nvPicPr>
      <xdr:blipFill>
        <a:blip xmlns:r="http://schemas.openxmlformats.org/officeDocument/2006/relationships" r:embed="rId10"/>
        <a:stretch>
          <a:fillRect/>
        </a:stretch>
      </xdr:blipFill>
      <xdr:spPr>
        <a:xfrm>
          <a:off x="0" y="26332543"/>
          <a:ext cx="7573432" cy="2133898"/>
        </a:xfrm>
        <a:prstGeom prst="rect">
          <a:avLst/>
        </a:prstGeom>
      </xdr:spPr>
    </xdr:pic>
    <xdr:clientData/>
  </xdr:twoCellAnchor>
  <xdr:twoCellAnchor editAs="oneCell">
    <xdr:from>
      <xdr:col>0</xdr:col>
      <xdr:colOff>0</xdr:colOff>
      <xdr:row>145</xdr:row>
      <xdr:rowOff>0</xdr:rowOff>
    </xdr:from>
    <xdr:to>
      <xdr:col>5</xdr:col>
      <xdr:colOff>50649</xdr:colOff>
      <xdr:row>150</xdr:row>
      <xdr:rowOff>144839</xdr:rowOff>
    </xdr:to>
    <xdr:pic>
      <xdr:nvPicPr>
        <xdr:cNvPr id="16" name="Imagen 15">
          <a:extLst>
            <a:ext uri="{FF2B5EF4-FFF2-40B4-BE49-F238E27FC236}">
              <a16:creationId xmlns:a16="http://schemas.microsoft.com/office/drawing/2014/main" id="{A75467FC-EF71-4C79-8C54-7F55EBD4A300}"/>
            </a:ext>
          </a:extLst>
        </xdr:cNvPr>
        <xdr:cNvPicPr>
          <a:picLocks noChangeAspect="1"/>
        </xdr:cNvPicPr>
      </xdr:nvPicPr>
      <xdr:blipFill>
        <a:blip xmlns:r="http://schemas.openxmlformats.org/officeDocument/2006/relationships" r:embed="rId11"/>
        <a:stretch>
          <a:fillRect/>
        </a:stretch>
      </xdr:blipFill>
      <xdr:spPr>
        <a:xfrm>
          <a:off x="0" y="28738286"/>
          <a:ext cx="5420481" cy="1066949"/>
        </a:xfrm>
        <a:prstGeom prst="rect">
          <a:avLst/>
        </a:prstGeom>
      </xdr:spPr>
    </xdr:pic>
    <xdr:clientData/>
  </xdr:twoCellAnchor>
  <xdr:twoCellAnchor editAs="oneCell">
    <xdr:from>
      <xdr:col>8</xdr:col>
      <xdr:colOff>0</xdr:colOff>
      <xdr:row>132</xdr:row>
      <xdr:rowOff>0</xdr:rowOff>
    </xdr:from>
    <xdr:to>
      <xdr:col>17</xdr:col>
      <xdr:colOff>269129</xdr:colOff>
      <xdr:row>142</xdr:row>
      <xdr:rowOff>105502</xdr:rowOff>
    </xdr:to>
    <xdr:pic>
      <xdr:nvPicPr>
        <xdr:cNvPr id="17" name="Imagen 16">
          <a:extLst>
            <a:ext uri="{FF2B5EF4-FFF2-40B4-BE49-F238E27FC236}">
              <a16:creationId xmlns:a16="http://schemas.microsoft.com/office/drawing/2014/main" id="{39205853-A194-48CF-96FB-D6EB2CFA51BF}"/>
            </a:ext>
          </a:extLst>
        </xdr:cNvPr>
        <xdr:cNvPicPr>
          <a:picLocks noChangeAspect="1"/>
        </xdr:cNvPicPr>
      </xdr:nvPicPr>
      <xdr:blipFill>
        <a:blip xmlns:r="http://schemas.openxmlformats.org/officeDocument/2006/relationships" r:embed="rId12"/>
        <a:stretch>
          <a:fillRect/>
        </a:stretch>
      </xdr:blipFill>
      <xdr:spPr>
        <a:xfrm>
          <a:off x="8077200" y="26332543"/>
          <a:ext cx="7649643" cy="1952898"/>
        </a:xfrm>
        <a:prstGeom prst="rect">
          <a:avLst/>
        </a:prstGeom>
      </xdr:spPr>
    </xdr:pic>
    <xdr:clientData/>
  </xdr:twoCellAnchor>
  <xdr:twoCellAnchor editAs="oneCell">
    <xdr:from>
      <xdr:col>17</xdr:col>
      <xdr:colOff>0</xdr:colOff>
      <xdr:row>102</xdr:row>
      <xdr:rowOff>0</xdr:rowOff>
    </xdr:from>
    <xdr:to>
      <xdr:col>25</xdr:col>
      <xdr:colOff>707254</xdr:colOff>
      <xdr:row>111</xdr:row>
      <xdr:rowOff>154015</xdr:rowOff>
    </xdr:to>
    <xdr:pic>
      <xdr:nvPicPr>
        <xdr:cNvPr id="18" name="Imagen 17">
          <a:extLst>
            <a:ext uri="{FF2B5EF4-FFF2-40B4-BE49-F238E27FC236}">
              <a16:creationId xmlns:a16="http://schemas.microsoft.com/office/drawing/2014/main" id="{071B5D14-10C7-4765-B9C7-AF874B3B01D1}"/>
            </a:ext>
          </a:extLst>
        </xdr:cNvPr>
        <xdr:cNvPicPr>
          <a:picLocks noChangeAspect="1"/>
        </xdr:cNvPicPr>
      </xdr:nvPicPr>
      <xdr:blipFill>
        <a:blip xmlns:r="http://schemas.openxmlformats.org/officeDocument/2006/relationships" r:embed="rId13"/>
        <a:stretch>
          <a:fillRect/>
        </a:stretch>
      </xdr:blipFill>
      <xdr:spPr>
        <a:xfrm>
          <a:off x="15457714" y="20780829"/>
          <a:ext cx="7478169" cy="1819529"/>
        </a:xfrm>
        <a:prstGeom prst="rect">
          <a:avLst/>
        </a:prstGeom>
      </xdr:spPr>
    </xdr:pic>
    <xdr:clientData/>
  </xdr:twoCellAnchor>
  <xdr:twoCellAnchor editAs="oneCell">
    <xdr:from>
      <xdr:col>8</xdr:col>
      <xdr:colOff>0</xdr:colOff>
      <xdr:row>146</xdr:row>
      <xdr:rowOff>0</xdr:rowOff>
    </xdr:from>
    <xdr:to>
      <xdr:col>17</xdr:col>
      <xdr:colOff>256427</xdr:colOff>
      <xdr:row>155</xdr:row>
      <xdr:rowOff>141314</xdr:rowOff>
    </xdr:to>
    <xdr:pic>
      <xdr:nvPicPr>
        <xdr:cNvPr id="19" name="Imagen 18">
          <a:extLst>
            <a:ext uri="{FF2B5EF4-FFF2-40B4-BE49-F238E27FC236}">
              <a16:creationId xmlns:a16="http://schemas.microsoft.com/office/drawing/2014/main" id="{1E0AE8EE-2A23-4A01-B79B-16EA8F473E31}"/>
            </a:ext>
          </a:extLst>
        </xdr:cNvPr>
        <xdr:cNvPicPr>
          <a:picLocks noChangeAspect="1"/>
        </xdr:cNvPicPr>
      </xdr:nvPicPr>
      <xdr:blipFill>
        <a:blip xmlns:r="http://schemas.openxmlformats.org/officeDocument/2006/relationships" r:embed="rId14"/>
        <a:stretch>
          <a:fillRect/>
        </a:stretch>
      </xdr:blipFill>
      <xdr:spPr>
        <a:xfrm>
          <a:off x="8077200" y="28923343"/>
          <a:ext cx="7640116" cy="1810003"/>
        </a:xfrm>
        <a:prstGeom prst="rect">
          <a:avLst/>
        </a:prstGeom>
      </xdr:spPr>
    </xdr:pic>
    <xdr:clientData/>
  </xdr:twoCellAnchor>
  <xdr:twoCellAnchor editAs="oneCell">
    <xdr:from>
      <xdr:col>7</xdr:col>
      <xdr:colOff>27215</xdr:colOff>
      <xdr:row>113</xdr:row>
      <xdr:rowOff>152854</xdr:rowOff>
    </xdr:from>
    <xdr:to>
      <xdr:col>14</xdr:col>
      <xdr:colOff>368743</xdr:colOff>
      <xdr:row>130</xdr:row>
      <xdr:rowOff>175760</xdr:rowOff>
    </xdr:to>
    <xdr:pic>
      <xdr:nvPicPr>
        <xdr:cNvPr id="14" name="Imagen 13">
          <a:extLst>
            <a:ext uri="{FF2B5EF4-FFF2-40B4-BE49-F238E27FC236}">
              <a16:creationId xmlns:a16="http://schemas.microsoft.com/office/drawing/2014/main" id="{8CEDBC18-0734-46F7-8D33-A3B43DBEC31C}"/>
            </a:ext>
          </a:extLst>
        </xdr:cNvPr>
        <xdr:cNvPicPr>
          <a:picLocks noChangeAspect="1"/>
        </xdr:cNvPicPr>
      </xdr:nvPicPr>
      <xdr:blipFill>
        <a:blip xmlns:r="http://schemas.openxmlformats.org/officeDocument/2006/relationships" r:embed="rId15"/>
        <a:stretch>
          <a:fillRect/>
        </a:stretch>
      </xdr:blipFill>
      <xdr:spPr>
        <a:xfrm>
          <a:off x="7375072" y="22114783"/>
          <a:ext cx="6410314" cy="3030084"/>
        </a:xfrm>
        <a:prstGeom prst="rect">
          <a:avLst/>
        </a:prstGeom>
      </xdr:spPr>
    </xdr:pic>
    <xdr:clientData/>
  </xdr:twoCellAnchor>
  <xdr:twoCellAnchor editAs="oneCell">
    <xdr:from>
      <xdr:col>0</xdr:col>
      <xdr:colOff>333375</xdr:colOff>
      <xdr:row>153</xdr:row>
      <xdr:rowOff>142874</xdr:rowOff>
    </xdr:from>
    <xdr:to>
      <xdr:col>7</xdr:col>
      <xdr:colOff>166121</xdr:colOff>
      <xdr:row>187</xdr:row>
      <xdr:rowOff>166907</xdr:rowOff>
    </xdr:to>
    <xdr:pic>
      <xdr:nvPicPr>
        <xdr:cNvPr id="20" name="Imagen 19">
          <a:extLst>
            <a:ext uri="{FF2B5EF4-FFF2-40B4-BE49-F238E27FC236}">
              <a16:creationId xmlns:a16="http://schemas.microsoft.com/office/drawing/2014/main" id="{8DA373E2-D04C-4248-AFF5-F75044E88D38}"/>
            </a:ext>
          </a:extLst>
        </xdr:cNvPr>
        <xdr:cNvPicPr>
          <a:picLocks noChangeAspect="1"/>
        </xdr:cNvPicPr>
      </xdr:nvPicPr>
      <xdr:blipFill>
        <a:blip xmlns:r="http://schemas.openxmlformats.org/officeDocument/2006/relationships" r:embed="rId16"/>
        <a:stretch>
          <a:fillRect/>
        </a:stretch>
      </xdr:blipFill>
      <xdr:spPr>
        <a:xfrm>
          <a:off x="333375" y="29727524"/>
          <a:ext cx="7014596" cy="6177183"/>
        </a:xfrm>
        <a:prstGeom prst="rect">
          <a:avLst/>
        </a:prstGeom>
      </xdr:spPr>
    </xdr:pic>
    <xdr:clientData/>
  </xdr:twoCellAnchor>
  <xdr:twoCellAnchor editAs="oneCell">
    <xdr:from>
      <xdr:col>11</xdr:col>
      <xdr:colOff>756138</xdr:colOff>
      <xdr:row>0</xdr:row>
      <xdr:rowOff>1</xdr:rowOff>
    </xdr:from>
    <xdr:to>
      <xdr:col>13</xdr:col>
      <xdr:colOff>424425</xdr:colOff>
      <xdr:row>9</xdr:row>
      <xdr:rowOff>1132</xdr:rowOff>
    </xdr:to>
    <xdr:pic>
      <xdr:nvPicPr>
        <xdr:cNvPr id="22" name="Imagen 21">
          <a:extLst>
            <a:ext uri="{FF2B5EF4-FFF2-40B4-BE49-F238E27FC236}">
              <a16:creationId xmlns:a16="http://schemas.microsoft.com/office/drawing/2014/main" id="{5A0A0018-5617-7CE6-0277-900C66819467}"/>
            </a:ext>
          </a:extLst>
        </xdr:cNvPr>
        <xdr:cNvPicPr>
          <a:picLocks noChangeAspect="1"/>
        </xdr:cNvPicPr>
      </xdr:nvPicPr>
      <xdr:blipFill>
        <a:blip xmlns:r="http://schemas.openxmlformats.org/officeDocument/2006/relationships" r:embed="rId17"/>
        <a:stretch>
          <a:fillRect/>
        </a:stretch>
      </xdr:blipFill>
      <xdr:spPr>
        <a:xfrm>
          <a:off x="11336215" y="1"/>
          <a:ext cx="1438472" cy="1636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24</xdr:col>
      <xdr:colOff>119620</xdr:colOff>
      <xdr:row>54</xdr:row>
      <xdr:rowOff>69273</xdr:rowOff>
    </xdr:from>
    <xdr:to>
      <xdr:col>26</xdr:col>
      <xdr:colOff>647194</xdr:colOff>
      <xdr:row>65</xdr:row>
      <xdr:rowOff>72348</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16531319" y="10329553"/>
          <a:ext cx="2213870" cy="2077892"/>
        </a:xfrm>
        <a:prstGeom prst="rect">
          <a:avLst/>
        </a:prstGeom>
      </xdr:spPr>
    </xdr:pic>
    <xdr:clientData/>
  </xdr:twoCellAnchor>
  <xdr:twoCellAnchor editAs="oneCell">
    <xdr:from>
      <xdr:col>20</xdr:col>
      <xdr:colOff>369093</xdr:colOff>
      <xdr:row>58</xdr:row>
      <xdr:rowOff>12644</xdr:rowOff>
    </xdr:from>
    <xdr:to>
      <xdr:col>22</xdr:col>
      <xdr:colOff>173867</xdr:colOff>
      <xdr:row>59</xdr:row>
      <xdr:rowOff>153661</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564939</xdr:colOff>
      <xdr:row>67</xdr:row>
      <xdr:rowOff>34869</xdr:rowOff>
    </xdr:to>
    <xdr:pic>
      <xdr:nvPicPr>
        <xdr:cNvPr id="5" name="Imagen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364371</xdr:colOff>
      <xdr:row>9</xdr:row>
      <xdr:rowOff>120334</xdr:rowOff>
    </xdr:from>
    <xdr:to>
      <xdr:col>28</xdr:col>
      <xdr:colOff>275</xdr:colOff>
      <xdr:row>22</xdr:row>
      <xdr:rowOff>118961</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4548" t="6115" r="12715" b="5678"/>
        <a:stretch/>
      </xdr:blipFill>
      <xdr:spPr>
        <a:xfrm>
          <a:off x="17615725" y="1880676"/>
          <a:ext cx="2087353" cy="25470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 val="EP RUs"/>
      <sheetName val="Synth.  zone &quot;E0&quot; 02"/>
      <sheetName val="Z_mantto"/>
      <sheetName val="Aviso_1"/>
      <sheetName val="Aviso_2"/>
      <sheetName val="Factor_A"/>
      <sheetName val="San_Andrés"/>
      <sheetName val="Vol Lub Mes"/>
      <sheetName val="Vol Avi Mes"/>
      <sheetName val="DATOS_PI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R27"/>
  <sheetViews>
    <sheetView showGridLines="0" topLeftCell="B1" zoomScale="80" zoomScaleNormal="80" workbookViewId="0">
      <selection activeCell="F18" sqref="F18"/>
    </sheetView>
  </sheetViews>
  <sheetFormatPr baseColWidth="10" defaultRowHeight="14.5" x14ac:dyDescent="0.35"/>
  <cols>
    <col min="3" max="3" width="31.1796875" customWidth="1"/>
    <col min="4" max="4" width="19" customWidth="1"/>
    <col min="5" max="5" width="25" customWidth="1"/>
  </cols>
  <sheetData>
    <row r="3" spans="2:18" ht="47.25" customHeight="1" x14ac:dyDescent="0.35"/>
    <row r="5" spans="2:18" ht="29" x14ac:dyDescent="0.35">
      <c r="C5" s="318" t="s">
        <v>397</v>
      </c>
      <c r="D5" s="328" t="s">
        <v>398</v>
      </c>
      <c r="E5" s="319" t="s">
        <v>399</v>
      </c>
    </row>
    <row r="6" spans="2:18" x14ac:dyDescent="0.35">
      <c r="B6" s="714" t="s">
        <v>400</v>
      </c>
      <c r="C6" s="320" t="s">
        <v>401</v>
      </c>
      <c r="D6" s="321">
        <v>8.3800000000000008</v>
      </c>
      <c r="E6" s="321" t="s">
        <v>402</v>
      </c>
      <c r="P6" s="312"/>
    </row>
    <row r="7" spans="2:18" ht="15" thickBot="1" x14ac:dyDescent="0.4">
      <c r="B7" s="716"/>
      <c r="C7" s="327" t="s">
        <v>409</v>
      </c>
      <c r="D7" s="321"/>
      <c r="E7" s="321" t="s">
        <v>412</v>
      </c>
      <c r="O7" s="312"/>
    </row>
    <row r="8" spans="2:18" x14ac:dyDescent="0.35">
      <c r="B8" s="714" t="s">
        <v>403</v>
      </c>
      <c r="C8" s="320" t="s">
        <v>407</v>
      </c>
      <c r="D8" s="321">
        <v>8.3800000000000008</v>
      </c>
      <c r="E8" s="321" t="s">
        <v>402</v>
      </c>
      <c r="H8" s="441"/>
      <c r="I8" s="442">
        <v>0.03</v>
      </c>
      <c r="J8" s="444">
        <v>2016</v>
      </c>
      <c r="K8" s="444">
        <v>2017</v>
      </c>
      <c r="L8" s="444">
        <v>2018</v>
      </c>
      <c r="M8" s="444">
        <v>2019</v>
      </c>
      <c r="N8" s="444">
        <v>2020</v>
      </c>
      <c r="O8" s="444">
        <v>2021</v>
      </c>
      <c r="P8" s="444">
        <v>2022</v>
      </c>
      <c r="Q8" s="444">
        <v>2021</v>
      </c>
    </row>
    <row r="9" spans="2:18" x14ac:dyDescent="0.35">
      <c r="B9" s="715"/>
      <c r="C9" s="327" t="s">
        <v>410</v>
      </c>
      <c r="D9" s="321"/>
      <c r="E9" s="321" t="str">
        <f>+E7</f>
        <v>4,55.</v>
      </c>
      <c r="H9" s="441">
        <v>6.82</v>
      </c>
      <c r="I9" s="443">
        <f t="shared" ref="I9:P11" si="0">+H9*(1+$I$8)</f>
        <v>7.0246000000000004</v>
      </c>
      <c r="J9" s="445">
        <f t="shared" si="0"/>
        <v>7.2353380000000005</v>
      </c>
      <c r="K9" s="445">
        <f t="shared" si="0"/>
        <v>7.4523981400000006</v>
      </c>
      <c r="L9" s="445">
        <f>+K9*(1+$I$8)-0.01</f>
        <v>7.6659700842000014</v>
      </c>
      <c r="M9" s="446">
        <f>+L9*(1+$I$8)</f>
        <v>7.8959491867260017</v>
      </c>
      <c r="N9" s="445">
        <f t="shared" si="0"/>
        <v>8.1328276623277826</v>
      </c>
      <c r="O9" s="445">
        <f>+N9*(1+$I$8)</f>
        <v>8.376812492197617</v>
      </c>
      <c r="P9" s="445">
        <f t="shared" si="0"/>
        <v>8.6281168669635466</v>
      </c>
      <c r="Q9" s="696">
        <f>+P9*(1+$I$8)</f>
        <v>8.8869603729724531</v>
      </c>
      <c r="R9" s="445"/>
    </row>
    <row r="10" spans="2:18" x14ac:dyDescent="0.35">
      <c r="B10" s="714" t="s">
        <v>404</v>
      </c>
      <c r="C10" s="320" t="s">
        <v>263</v>
      </c>
      <c r="D10" s="321">
        <v>8.3800000000000008</v>
      </c>
      <c r="E10" s="321" t="s">
        <v>402</v>
      </c>
      <c r="H10" s="441">
        <v>3.7</v>
      </c>
      <c r="I10" s="443">
        <f t="shared" si="0"/>
        <v>3.8110000000000004</v>
      </c>
      <c r="J10" s="445">
        <f t="shared" si="0"/>
        <v>3.9253300000000007</v>
      </c>
      <c r="K10" s="445">
        <f t="shared" si="0"/>
        <v>4.0430899000000009</v>
      </c>
      <c r="L10" s="445">
        <f t="shared" si="0"/>
        <v>4.1643825970000012</v>
      </c>
      <c r="M10" s="445">
        <f t="shared" si="0"/>
        <v>4.2893140749100018</v>
      </c>
      <c r="N10" s="445">
        <f t="shared" si="0"/>
        <v>4.4179934971573021</v>
      </c>
      <c r="O10" s="445">
        <f t="shared" si="0"/>
        <v>4.5505333020720213</v>
      </c>
      <c r="P10" s="445">
        <f t="shared" si="0"/>
        <v>4.6870493011341825</v>
      </c>
      <c r="Q10" s="445">
        <f>+P10*(1+$I$8)</f>
        <v>4.8276607801682081</v>
      </c>
      <c r="R10" s="445"/>
    </row>
    <row r="11" spans="2:18" ht="15" thickBot="1" x14ac:dyDescent="0.4">
      <c r="B11" s="715"/>
      <c r="C11" s="327" t="s">
        <v>411</v>
      </c>
      <c r="D11" s="321"/>
      <c r="E11" s="321" t="str">
        <f>+E9</f>
        <v>4,55.</v>
      </c>
      <c r="H11" s="441">
        <v>10.52</v>
      </c>
      <c r="I11" s="698">
        <f t="shared" si="0"/>
        <v>10.835599999999999</v>
      </c>
      <c r="J11" s="699">
        <f t="shared" si="0"/>
        <v>11.160667999999999</v>
      </c>
      <c r="K11" s="699">
        <f t="shared" si="0"/>
        <v>11.49548804</v>
      </c>
      <c r="L11" s="699">
        <f t="shared" si="0"/>
        <v>11.840352681200001</v>
      </c>
      <c r="M11" s="699">
        <f t="shared" si="0"/>
        <v>12.195563261636002</v>
      </c>
      <c r="N11" s="699">
        <f t="shared" si="0"/>
        <v>12.561430159485083</v>
      </c>
      <c r="O11" s="699">
        <f t="shared" si="0"/>
        <v>12.938273064269636</v>
      </c>
      <c r="P11" s="699">
        <f t="shared" si="0"/>
        <v>13.326421256197724</v>
      </c>
      <c r="Q11" s="697">
        <f>+P11*(1+$I$8)</f>
        <v>13.726213893883656</v>
      </c>
    </row>
    <row r="12" spans="2:18" x14ac:dyDescent="0.35">
      <c r="B12" s="716" t="s">
        <v>405</v>
      </c>
      <c r="C12" s="320" t="s">
        <v>408</v>
      </c>
      <c r="D12" s="321">
        <v>8.3800000000000008</v>
      </c>
      <c r="E12" s="321" t="s">
        <v>402</v>
      </c>
      <c r="H12" s="326"/>
      <c r="I12" s="326"/>
      <c r="J12" s="326"/>
      <c r="K12" s="326"/>
      <c r="L12" s="326"/>
      <c r="M12" s="326"/>
      <c r="N12" s="326"/>
      <c r="O12" s="326">
        <f>12.94-8.38</f>
        <v>4.5599999999999987</v>
      </c>
      <c r="P12" s="326"/>
    </row>
    <row r="13" spans="2:18" x14ac:dyDescent="0.35">
      <c r="B13" s="715"/>
      <c r="C13" s="320" t="s">
        <v>408</v>
      </c>
      <c r="D13" s="321"/>
      <c r="E13" s="321" t="str">
        <f>+E11</f>
        <v>4,55.</v>
      </c>
    </row>
    <row r="15" spans="2:18" x14ac:dyDescent="0.35">
      <c r="C15" s="291" t="s">
        <v>406</v>
      </c>
    </row>
    <row r="17" spans="2:8" ht="29" x14ac:dyDescent="0.35">
      <c r="C17" s="318" t="s">
        <v>397</v>
      </c>
      <c r="D17" s="328" t="s">
        <v>398</v>
      </c>
      <c r="E17" s="319" t="s">
        <v>399</v>
      </c>
    </row>
    <row r="18" spans="2:8" x14ac:dyDescent="0.35">
      <c r="B18" s="714" t="s">
        <v>400</v>
      </c>
      <c r="C18" s="320" t="s">
        <v>401</v>
      </c>
      <c r="D18" s="321">
        <v>8.6300000000000008</v>
      </c>
      <c r="E18" s="321" t="s">
        <v>470</v>
      </c>
      <c r="G18">
        <f>6.82+3.7</f>
        <v>10.52</v>
      </c>
    </row>
    <row r="19" spans="2:8" x14ac:dyDescent="0.35">
      <c r="B19" s="716"/>
      <c r="C19" s="327" t="s">
        <v>409</v>
      </c>
      <c r="D19" s="321"/>
      <c r="E19" s="321">
        <v>4.6900000000000004</v>
      </c>
    </row>
    <row r="20" spans="2:8" x14ac:dyDescent="0.35">
      <c r="B20" s="714" t="s">
        <v>403</v>
      </c>
      <c r="C20" s="320" t="s">
        <v>407</v>
      </c>
      <c r="D20" s="321">
        <v>8.6300000000000008</v>
      </c>
      <c r="E20" s="321" t="s">
        <v>470</v>
      </c>
    </row>
    <row r="21" spans="2:8" x14ac:dyDescent="0.35">
      <c r="B21" s="715"/>
      <c r="C21" s="327" t="s">
        <v>410</v>
      </c>
      <c r="D21" s="321"/>
      <c r="E21" s="321">
        <f>+E19</f>
        <v>4.6900000000000004</v>
      </c>
    </row>
    <row r="22" spans="2:8" x14ac:dyDescent="0.35">
      <c r="B22" s="714" t="s">
        <v>404</v>
      </c>
      <c r="C22" s="320" t="s">
        <v>263</v>
      </c>
      <c r="D22" s="321">
        <v>8.6300000000000008</v>
      </c>
      <c r="E22" s="321" t="s">
        <v>470</v>
      </c>
    </row>
    <row r="23" spans="2:8" x14ac:dyDescent="0.35">
      <c r="B23" s="715"/>
      <c r="C23" s="327" t="s">
        <v>411</v>
      </c>
      <c r="D23" s="321"/>
      <c r="E23" s="321">
        <f>+E21</f>
        <v>4.6900000000000004</v>
      </c>
    </row>
    <row r="24" spans="2:8" x14ac:dyDescent="0.35">
      <c r="B24" s="716" t="s">
        <v>405</v>
      </c>
      <c r="C24" s="320" t="s">
        <v>408</v>
      </c>
      <c r="D24" s="321">
        <v>8.6300000000000008</v>
      </c>
      <c r="E24" s="321" t="s">
        <v>470</v>
      </c>
    </row>
    <row r="25" spans="2:8" x14ac:dyDescent="0.35">
      <c r="B25" s="715"/>
      <c r="C25" s="320" t="s">
        <v>408</v>
      </c>
      <c r="D25" s="321"/>
      <c r="E25" s="321">
        <f>+E23</f>
        <v>4.6900000000000004</v>
      </c>
    </row>
    <row r="27" spans="2:8" x14ac:dyDescent="0.35">
      <c r="H27">
        <f>8.63+4.69</f>
        <v>13.32</v>
      </c>
    </row>
  </sheetData>
  <mergeCells count="8">
    <mergeCell ref="B20:B21"/>
    <mergeCell ref="B22:B23"/>
    <mergeCell ref="B24:B25"/>
    <mergeCell ref="B6:B7"/>
    <mergeCell ref="B8:B9"/>
    <mergeCell ref="B10:B11"/>
    <mergeCell ref="B12:B13"/>
    <mergeCell ref="B18:B1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V117"/>
  <sheetViews>
    <sheetView showGridLines="0" zoomScale="80" zoomScaleNormal="80" workbookViewId="0">
      <selection activeCell="B17" sqref="B17"/>
    </sheetView>
  </sheetViews>
  <sheetFormatPr baseColWidth="10" defaultColWidth="45" defaultRowHeight="14.5" x14ac:dyDescent="0.35"/>
  <cols>
    <col min="1" max="1" width="7" customWidth="1"/>
    <col min="2" max="2" width="48.453125" customWidth="1"/>
    <col min="3" max="3" width="15.1796875" bestFit="1" customWidth="1"/>
    <col min="4" max="4" width="14.7265625" hidden="1" customWidth="1"/>
    <col min="5" max="5" width="14" customWidth="1"/>
    <col min="6" max="6" width="12.81640625" hidden="1" customWidth="1"/>
    <col min="7" max="7" width="9.26953125" hidden="1" customWidth="1"/>
    <col min="8" max="8" width="13.54296875" customWidth="1"/>
    <col min="9" max="9" width="12.81640625" hidden="1" customWidth="1"/>
    <col min="10" max="10" width="13.81640625" hidden="1" customWidth="1"/>
    <col min="11" max="11" width="12.7265625" customWidth="1"/>
    <col min="12" max="12" width="14.54296875" customWidth="1"/>
    <col min="13" max="13" width="12.81640625" customWidth="1"/>
    <col min="14" max="15" width="12" hidden="1" customWidth="1"/>
    <col min="16" max="16" width="13.1796875" customWidth="1"/>
    <col min="17" max="17" width="13" customWidth="1"/>
    <col min="18" max="18" width="11.1796875" customWidth="1"/>
    <col min="19" max="19" width="15.453125" customWidth="1"/>
    <col min="20" max="20" width="14" customWidth="1"/>
    <col min="21" max="29" width="15.81640625" customWidth="1"/>
  </cols>
  <sheetData>
    <row r="1" spans="1:17" x14ac:dyDescent="0.35">
      <c r="A1" s="145" t="s">
        <v>148</v>
      </c>
      <c r="B1" s="79" t="str">
        <f>+AMAZONAS!C1</f>
        <v>Vigencia: 04 de Noviembre de 2023; 00:00 horas</v>
      </c>
      <c r="C1" s="79"/>
      <c r="D1" s="145"/>
      <c r="E1" s="145"/>
      <c r="F1" s="145"/>
      <c r="G1" s="145"/>
      <c r="H1" s="145"/>
      <c r="I1" s="145"/>
      <c r="J1" s="145"/>
      <c r="K1" s="145"/>
      <c r="L1" s="145"/>
      <c r="M1" s="145"/>
      <c r="N1" s="145"/>
      <c r="O1" s="145"/>
      <c r="P1" s="145"/>
    </row>
    <row r="2" spans="1:17" ht="15" thickBot="1" x14ac:dyDescent="0.4">
      <c r="A2" s="79" t="s">
        <v>162</v>
      </c>
      <c r="B2" s="104"/>
      <c r="C2" s="104"/>
      <c r="D2" s="709"/>
      <c r="E2" s="707"/>
      <c r="F2" s="104"/>
      <c r="G2" s="104"/>
      <c r="H2" s="104"/>
      <c r="I2" s="104"/>
      <c r="J2" s="145"/>
      <c r="K2" s="145"/>
      <c r="L2" s="104"/>
      <c r="M2" s="707"/>
      <c r="N2" s="104"/>
      <c r="O2" s="159"/>
      <c r="P2" s="104"/>
      <c r="Q2" s="104"/>
    </row>
    <row r="3" spans="1:17" ht="15" customHeight="1" thickTop="1" x14ac:dyDescent="0.35">
      <c r="A3" s="128"/>
      <c r="B3" s="106" t="s">
        <v>244</v>
      </c>
      <c r="C3" s="836" t="s">
        <v>163</v>
      </c>
      <c r="D3" s="837"/>
      <c r="E3" s="837"/>
      <c r="F3" s="837"/>
      <c r="G3" s="837"/>
      <c r="H3" s="837"/>
      <c r="I3" s="837"/>
      <c r="J3" s="837"/>
      <c r="K3" s="837"/>
      <c r="L3" s="838"/>
      <c r="M3" s="830" t="s">
        <v>232</v>
      </c>
      <c r="N3" s="831"/>
      <c r="O3" s="831"/>
      <c r="P3" s="832"/>
    </row>
    <row r="4" spans="1:17" ht="30.25" customHeight="1" x14ac:dyDescent="0.35">
      <c r="A4" s="107"/>
      <c r="B4" s="447" t="s">
        <v>471</v>
      </c>
      <c r="C4" s="839"/>
      <c r="D4" s="840"/>
      <c r="E4" s="840"/>
      <c r="F4" s="840"/>
      <c r="G4" s="840"/>
      <c r="H4" s="840"/>
      <c r="I4" s="840"/>
      <c r="J4" s="840"/>
      <c r="K4" s="840"/>
      <c r="L4" s="841"/>
      <c r="M4" s="833"/>
      <c r="N4" s="834"/>
      <c r="O4" s="834"/>
      <c r="P4" s="835"/>
    </row>
    <row r="5" spans="1:17" ht="27" customHeight="1" x14ac:dyDescent="0.35">
      <c r="A5" s="790" t="s">
        <v>164</v>
      </c>
      <c r="B5" s="792" t="s">
        <v>165</v>
      </c>
      <c r="C5" s="780" t="s">
        <v>223</v>
      </c>
      <c r="D5" s="108" t="s">
        <v>96</v>
      </c>
      <c r="E5" s="108" t="s">
        <v>96</v>
      </c>
      <c r="F5" s="108" t="s">
        <v>96</v>
      </c>
      <c r="G5" s="108" t="s">
        <v>96</v>
      </c>
      <c r="H5" s="108" t="s">
        <v>474</v>
      </c>
      <c r="I5" s="108"/>
      <c r="J5" s="108" t="s">
        <v>505</v>
      </c>
      <c r="K5" s="108" t="s">
        <v>374</v>
      </c>
      <c r="L5" s="828" t="s">
        <v>373</v>
      </c>
      <c r="M5" s="606" t="s">
        <v>96</v>
      </c>
      <c r="N5" s="607" t="s">
        <v>96</v>
      </c>
      <c r="O5" s="607" t="str">
        <f>+J5</f>
        <v>Biodiesel B8</v>
      </c>
      <c r="P5" s="608" t="s">
        <v>374</v>
      </c>
    </row>
    <row r="6" spans="1:17" ht="15.65" customHeight="1" x14ac:dyDescent="0.35">
      <c r="A6" s="790"/>
      <c r="B6" s="792"/>
      <c r="C6" s="781"/>
      <c r="D6" s="333" t="s">
        <v>504</v>
      </c>
      <c r="E6" s="333" t="s">
        <v>485</v>
      </c>
      <c r="F6" s="333" t="s">
        <v>454</v>
      </c>
      <c r="G6" s="333" t="s">
        <v>459</v>
      </c>
      <c r="H6" s="265">
        <v>0.02</v>
      </c>
      <c r="I6" s="265"/>
      <c r="J6" s="265">
        <v>0.08</v>
      </c>
      <c r="K6" s="265">
        <v>0.1</v>
      </c>
      <c r="L6" s="829"/>
      <c r="M6" s="609" t="str">
        <f>+E6</f>
        <v>Oxigena 4%</v>
      </c>
      <c r="N6" s="647" t="str">
        <f>+F6</f>
        <v>Oxigena 5%</v>
      </c>
      <c r="O6" s="647">
        <f>+J6</f>
        <v>0.08</v>
      </c>
      <c r="P6" s="648">
        <v>0.1</v>
      </c>
    </row>
    <row r="7" spans="1:17" ht="21.65" customHeight="1" x14ac:dyDescent="0.35">
      <c r="A7" s="791"/>
      <c r="B7" s="793"/>
      <c r="C7" s="81" t="s">
        <v>166</v>
      </c>
      <c r="D7" s="108" t="s">
        <v>166</v>
      </c>
      <c r="E7" s="108" t="s">
        <v>166</v>
      </c>
      <c r="F7" s="108" t="s">
        <v>166</v>
      </c>
      <c r="G7" s="108" t="s">
        <v>166</v>
      </c>
      <c r="H7" s="108" t="s">
        <v>166</v>
      </c>
      <c r="I7" s="108"/>
      <c r="J7" s="108" t="s">
        <v>166</v>
      </c>
      <c r="K7" s="108" t="s">
        <v>166</v>
      </c>
      <c r="L7" s="160" t="s">
        <v>166</v>
      </c>
      <c r="M7" s="606" t="s">
        <v>166</v>
      </c>
      <c r="N7" s="607" t="s">
        <v>166</v>
      </c>
      <c r="O7" s="607" t="s">
        <v>166</v>
      </c>
      <c r="P7" s="608" t="s">
        <v>166</v>
      </c>
    </row>
    <row r="8" spans="1:17" x14ac:dyDescent="0.35">
      <c r="A8" s="82" t="s">
        <v>167</v>
      </c>
      <c r="B8" s="88" t="s">
        <v>168</v>
      </c>
      <c r="C8" s="177">
        <f>+'Calculo IP ZDF'!B31</f>
        <v>9914.16</v>
      </c>
      <c r="D8">
        <f>+'Calculo IP ZDF'!G31</f>
        <v>10003.336799999999</v>
      </c>
      <c r="E8" s="177">
        <f>+'Calculo IP ZDF'!H31</f>
        <v>10092.5136</v>
      </c>
      <c r="F8" s="177">
        <f>+'Calculo IP ZDF'!I31</f>
        <v>10137.1</v>
      </c>
      <c r="G8" s="177">
        <f>+'Calculo IP ZDF'!J31</f>
        <v>10181.689999999999</v>
      </c>
      <c r="H8" s="177">
        <f>+'Calculo IP ZDF'!F31</f>
        <v>4801.5673999999999</v>
      </c>
      <c r="J8" s="177">
        <f>+'Calculo IP ZDF'!N31</f>
        <v>5508.5772595999997</v>
      </c>
      <c r="K8" s="177">
        <f>+'Calculo IP ZDF'!M31</f>
        <v>5744.2466670000003</v>
      </c>
      <c r="L8" s="148">
        <f>+'Calculo IP ZDF'!C31</f>
        <v>4565.8996299999999</v>
      </c>
      <c r="M8" s="613">
        <f>+'GAS CTE'!E9</f>
        <v>10092.5136</v>
      </c>
      <c r="N8" s="616">
        <f>+'GAS CTE'!F9</f>
        <v>10137.1</v>
      </c>
      <c r="O8" s="616">
        <f>+BIODIESEL!H9</f>
        <v>5699.1596</v>
      </c>
      <c r="P8" s="617">
        <f>+BIODIESEL!I9</f>
        <v>5930.6819999999998</v>
      </c>
    </row>
    <row r="9" spans="1:17" ht="26" x14ac:dyDescent="0.35">
      <c r="A9" s="82" t="s">
        <v>169</v>
      </c>
      <c r="B9" s="88" t="s">
        <v>170</v>
      </c>
      <c r="C9" s="131" t="str">
        <f>+H9</f>
        <v>------------------</v>
      </c>
      <c r="D9" s="131" t="s">
        <v>171</v>
      </c>
      <c r="E9" s="131" t="s">
        <v>171</v>
      </c>
      <c r="F9" s="131" t="s">
        <v>171</v>
      </c>
      <c r="G9" s="131" t="s">
        <v>171</v>
      </c>
      <c r="H9" s="131" t="s">
        <v>171</v>
      </c>
      <c r="I9" s="131"/>
      <c r="J9" s="131" t="s">
        <v>171</v>
      </c>
      <c r="K9" s="131" t="s">
        <v>171</v>
      </c>
      <c r="L9" s="162" t="s">
        <v>171</v>
      </c>
      <c r="M9" s="618">
        <f>+'GAS CTE'!E10</f>
        <v>636.6336</v>
      </c>
      <c r="N9" s="621">
        <f>+'GAS CTE'!F10</f>
        <v>630.00199999999995</v>
      </c>
      <c r="O9" s="621">
        <f>+BIODIESEL!H10</f>
        <v>583.96080000000006</v>
      </c>
      <c r="P9" s="622">
        <f>+BIODIESEL!I10</f>
        <v>571.26600000000008</v>
      </c>
    </row>
    <row r="10" spans="1:17" ht="26" x14ac:dyDescent="0.35">
      <c r="A10" s="82"/>
      <c r="B10" s="88" t="s">
        <v>129</v>
      </c>
      <c r="C10" s="131" t="str">
        <f>+H10</f>
        <v>------------------</v>
      </c>
      <c r="D10" s="131" t="s">
        <v>171</v>
      </c>
      <c r="E10" s="131" t="s">
        <v>171</v>
      </c>
      <c r="F10" s="131" t="s">
        <v>171</v>
      </c>
      <c r="G10" s="131" t="s">
        <v>171</v>
      </c>
      <c r="H10" s="131" t="s">
        <v>171</v>
      </c>
      <c r="I10" s="131"/>
      <c r="J10" s="131" t="s">
        <v>171</v>
      </c>
      <c r="K10" s="131" t="s">
        <v>171</v>
      </c>
      <c r="L10" s="162" t="s">
        <v>171</v>
      </c>
      <c r="M10" s="618" t="s">
        <v>130</v>
      </c>
      <c r="N10" s="621" t="s">
        <v>130</v>
      </c>
      <c r="O10" s="621" t="s">
        <v>130</v>
      </c>
      <c r="P10" s="622" t="s">
        <v>130</v>
      </c>
    </row>
    <row r="11" spans="1:17" ht="17.5" customHeight="1" x14ac:dyDescent="0.35">
      <c r="A11" s="82"/>
      <c r="B11" s="88" t="s">
        <v>131</v>
      </c>
      <c r="C11" s="164">
        <f>+'GAS CTE'!C12</f>
        <v>169</v>
      </c>
      <c r="D11" s="164">
        <f>+'GAS CTE'!D12</f>
        <v>165.62</v>
      </c>
      <c r="E11" s="164">
        <f>+'GAS CTE'!E12</f>
        <v>162.23999999999998</v>
      </c>
      <c r="F11" s="164">
        <f>+'GAS CTE'!F12</f>
        <v>160.54999999999998</v>
      </c>
      <c r="G11" s="164">
        <f>+'GAS CTE'!G12</f>
        <v>158.85999999999999</v>
      </c>
      <c r="H11" s="164">
        <f>+BIODIESEL!E12</f>
        <v>187.18</v>
      </c>
      <c r="I11" s="164"/>
      <c r="J11" s="164">
        <f>+BIODIESEL!H12</f>
        <v>175.72</v>
      </c>
      <c r="K11" s="164">
        <f>+BIODIESEL!I12</f>
        <v>171.9</v>
      </c>
      <c r="L11" s="148">
        <f>+BIODIESEL!C12</f>
        <v>191</v>
      </c>
      <c r="M11" s="618">
        <f>+'GAS CTE'!E12</f>
        <v>162.23999999999998</v>
      </c>
      <c r="N11" s="621">
        <f>+'GAS CTE'!F12</f>
        <v>160.54999999999998</v>
      </c>
      <c r="O11" s="621">
        <f>+BIODIESEL!H12</f>
        <v>175.72</v>
      </c>
      <c r="P11" s="622">
        <f>+BIODIESEL!I12</f>
        <v>171.9</v>
      </c>
    </row>
    <row r="12" spans="1:17" x14ac:dyDescent="0.35">
      <c r="A12" s="82" t="s">
        <v>172</v>
      </c>
      <c r="B12" s="88" t="s">
        <v>250</v>
      </c>
      <c r="C12" s="179" t="s">
        <v>200</v>
      </c>
      <c r="D12" s="131" t="s">
        <v>200</v>
      </c>
      <c r="E12" s="131" t="s">
        <v>200</v>
      </c>
      <c r="F12" s="131" t="s">
        <v>200</v>
      </c>
      <c r="G12" s="131" t="str">
        <f>+C12</f>
        <v>(2)</v>
      </c>
      <c r="H12" s="131" t="str">
        <f>+C12</f>
        <v>(2)</v>
      </c>
      <c r="I12" s="131"/>
      <c r="J12" s="131" t="str">
        <f>+C12</f>
        <v>(2)</v>
      </c>
      <c r="K12" s="131" t="str">
        <f>+H12</f>
        <v>(2)</v>
      </c>
      <c r="L12" s="154" t="str">
        <f>+C12</f>
        <v>(2)</v>
      </c>
      <c r="M12" s="618" t="str">
        <f>+P12</f>
        <v>(2)</v>
      </c>
      <c r="N12" s="621"/>
      <c r="O12" s="621" t="str">
        <f>+G12</f>
        <v>(2)</v>
      </c>
      <c r="P12" s="622" t="str">
        <f>+H12</f>
        <v>(2)</v>
      </c>
    </row>
    <row r="13" spans="1:17" x14ac:dyDescent="0.35">
      <c r="A13" s="82" t="s">
        <v>174</v>
      </c>
      <c r="B13" s="88" t="s">
        <v>175</v>
      </c>
      <c r="C13" s="164">
        <f>+RUBROS!AF13</f>
        <v>26.583233136281329</v>
      </c>
      <c r="D13" s="110">
        <f>+C13</f>
        <v>26.583233136281329</v>
      </c>
      <c r="E13" s="110">
        <f>+C13</f>
        <v>26.583233136281329</v>
      </c>
      <c r="F13" s="110">
        <f>+C13</f>
        <v>26.583233136281329</v>
      </c>
      <c r="G13" s="110">
        <f>+C13</f>
        <v>26.583233136281329</v>
      </c>
      <c r="H13" s="110">
        <f>+C13</f>
        <v>26.583233136281329</v>
      </c>
      <c r="I13" s="110"/>
      <c r="J13" s="110">
        <f>+C13</f>
        <v>26.583233136281329</v>
      </c>
      <c r="K13" s="110">
        <f>+H13</f>
        <v>26.583233136281329</v>
      </c>
      <c r="L13" s="154">
        <f>+C13</f>
        <v>26.583233136281329</v>
      </c>
      <c r="M13" s="613">
        <f>+RUBROS!AG13</f>
        <v>26.583233136281329</v>
      </c>
      <c r="N13" s="621">
        <f>+RUBROS!AG13</f>
        <v>26.583233136281329</v>
      </c>
      <c r="O13" s="616">
        <f>+G13</f>
        <v>26.583233136281329</v>
      </c>
      <c r="P13" s="617">
        <f>+H13</f>
        <v>26.583233136281329</v>
      </c>
    </row>
    <row r="14" spans="1:17" x14ac:dyDescent="0.35">
      <c r="A14" s="82" t="s">
        <v>178</v>
      </c>
      <c r="B14" s="88" t="s">
        <v>179</v>
      </c>
      <c r="C14" s="164">
        <f>+RUBROS!AZ42</f>
        <v>13.716213893883657</v>
      </c>
      <c r="D14" s="110">
        <f>+C14</f>
        <v>13.716213893883657</v>
      </c>
      <c r="E14" s="110">
        <f>+C14</f>
        <v>13.716213893883657</v>
      </c>
      <c r="F14" s="110">
        <f>+C14</f>
        <v>13.716213893883657</v>
      </c>
      <c r="G14" s="110">
        <f>+C14</f>
        <v>13.716213893883657</v>
      </c>
      <c r="H14" s="110">
        <f>+C14</f>
        <v>13.716213893883657</v>
      </c>
      <c r="I14" s="110"/>
      <c r="J14" s="110">
        <f>+C14</f>
        <v>13.716213893883657</v>
      </c>
      <c r="K14" s="110">
        <f>+H14</f>
        <v>13.716213893883657</v>
      </c>
      <c r="L14" s="154">
        <f>+C14</f>
        <v>13.716213893883657</v>
      </c>
      <c r="M14" s="613">
        <f>+C14</f>
        <v>13.716213893883657</v>
      </c>
      <c r="N14" s="616">
        <f>+RUBROS!AZ42</f>
        <v>13.716213893883657</v>
      </c>
      <c r="O14" s="616">
        <f>+M14</f>
        <v>13.716213893883657</v>
      </c>
      <c r="P14" s="617">
        <f>+N14</f>
        <v>13.716213893883657</v>
      </c>
    </row>
    <row r="15" spans="1:17" ht="14.5" hidden="1" customHeight="1" x14ac:dyDescent="0.35">
      <c r="A15" s="82"/>
      <c r="B15" s="88" t="s">
        <v>180</v>
      </c>
      <c r="C15" s="164"/>
      <c r="G15" s="110"/>
      <c r="J15" s="110"/>
      <c r="K15" s="110"/>
      <c r="L15" s="154"/>
      <c r="M15" s="613"/>
      <c r="N15" s="616"/>
      <c r="O15" s="616"/>
      <c r="P15" s="617"/>
    </row>
    <row r="16" spans="1:17" x14ac:dyDescent="0.35">
      <c r="A16" s="89" t="s">
        <v>181</v>
      </c>
      <c r="B16" s="115" t="s">
        <v>182</v>
      </c>
      <c r="C16" s="165">
        <f>SUM(C8:C15)</f>
        <v>10123.459447030165</v>
      </c>
      <c r="D16" s="165">
        <f>SUM(D8:D15)</f>
        <v>10209.256247030165</v>
      </c>
      <c r="E16" s="165">
        <f>SUM(E8:E15)</f>
        <v>10295.053047030166</v>
      </c>
      <c r="F16" s="165">
        <f>SUM(F8:F15)</f>
        <v>10337.949447030165</v>
      </c>
      <c r="G16" s="165">
        <f>SUM(G8:G15)</f>
        <v>10380.849447030165</v>
      </c>
      <c r="H16" s="165">
        <f t="shared" ref="H16" si="0">SUM(H8:H15)</f>
        <v>5029.0468470301657</v>
      </c>
      <c r="I16" s="165"/>
      <c r="J16" s="165">
        <f t="shared" ref="J16:P16" si="1">SUM(J8:J15)</f>
        <v>5724.5967066301655</v>
      </c>
      <c r="K16" s="165">
        <f t="shared" si="1"/>
        <v>5956.4461140301655</v>
      </c>
      <c r="L16" s="166">
        <f t="shared" si="1"/>
        <v>4797.1990770301654</v>
      </c>
      <c r="M16" s="627">
        <f t="shared" si="1"/>
        <v>10931.686647030165</v>
      </c>
      <c r="N16" s="628">
        <f t="shared" si="1"/>
        <v>10967.951447030166</v>
      </c>
      <c r="O16" s="628">
        <f t="shared" si="1"/>
        <v>6499.1398470301656</v>
      </c>
      <c r="P16" s="629">
        <f t="shared" si="1"/>
        <v>6714.1474470301655</v>
      </c>
    </row>
    <row r="17" spans="1:17" x14ac:dyDescent="0.35">
      <c r="A17" s="82" t="s">
        <v>183</v>
      </c>
      <c r="B17" s="88" t="s">
        <v>246</v>
      </c>
      <c r="C17" s="180" t="s">
        <v>214</v>
      </c>
      <c r="D17" s="110" t="s">
        <v>214</v>
      </c>
      <c r="E17" s="110" t="s">
        <v>214</v>
      </c>
      <c r="F17" s="110" t="s">
        <v>214</v>
      </c>
      <c r="G17" s="110" t="str">
        <f>+C17</f>
        <v>***</v>
      </c>
      <c r="H17" s="110" t="str">
        <f>+C17</f>
        <v>***</v>
      </c>
      <c r="I17" s="110"/>
      <c r="J17" s="110" t="str">
        <f>+H17</f>
        <v>***</v>
      </c>
      <c r="K17" s="110" t="str">
        <f>+H17</f>
        <v>***</v>
      </c>
      <c r="L17" s="154" t="str">
        <f>+H17</f>
        <v>***</v>
      </c>
      <c r="M17" s="613">
        <f>P17</f>
        <v>0</v>
      </c>
      <c r="N17" s="616">
        <f>+O17</f>
        <v>0</v>
      </c>
      <c r="O17" s="616">
        <f>+P17</f>
        <v>0</v>
      </c>
      <c r="P17" s="617">
        <f>+Q17</f>
        <v>0</v>
      </c>
    </row>
    <row r="18" spans="1:17" x14ac:dyDescent="0.35">
      <c r="A18" s="82" t="s">
        <v>185</v>
      </c>
      <c r="B18" s="88" t="s">
        <v>186</v>
      </c>
      <c r="C18" s="179" t="s">
        <v>212</v>
      </c>
      <c r="D18" s="110" t="s">
        <v>212</v>
      </c>
      <c r="E18" s="110" t="s">
        <v>212</v>
      </c>
      <c r="F18" s="110" t="s">
        <v>212</v>
      </c>
      <c r="G18" s="110" t="str">
        <f>+C18</f>
        <v>**</v>
      </c>
      <c r="H18" s="110" t="str">
        <f>+C18</f>
        <v>**</v>
      </c>
      <c r="I18" s="110"/>
      <c r="J18" s="110" t="str">
        <f>+C18</f>
        <v>**</v>
      </c>
      <c r="K18" s="110" t="str">
        <f>+H18</f>
        <v>**</v>
      </c>
      <c r="L18" s="154" t="str">
        <f>+C18</f>
        <v>**</v>
      </c>
      <c r="M18" s="613" t="str">
        <f>+J18</f>
        <v>**</v>
      </c>
      <c r="N18" s="616" t="str">
        <f>+L18</f>
        <v>**</v>
      </c>
      <c r="O18" s="616" t="str">
        <f>+M18</f>
        <v>**</v>
      </c>
      <c r="P18" s="617" t="str">
        <f>+N18</f>
        <v>**</v>
      </c>
    </row>
    <row r="19" spans="1:17" x14ac:dyDescent="0.35">
      <c r="A19" s="82" t="s">
        <v>187</v>
      </c>
      <c r="B19" s="88" t="s">
        <v>134</v>
      </c>
      <c r="C19" s="164" t="str">
        <f>+H19</f>
        <v>****</v>
      </c>
      <c r="D19" s="110" t="s">
        <v>216</v>
      </c>
      <c r="E19" s="110" t="s">
        <v>216</v>
      </c>
      <c r="F19" s="110" t="s">
        <v>216</v>
      </c>
      <c r="G19" s="110" t="str">
        <f>+H19</f>
        <v>****</v>
      </c>
      <c r="H19" s="110" t="str">
        <f>+A112</f>
        <v>****</v>
      </c>
      <c r="I19" s="110"/>
      <c r="J19" s="114" t="str">
        <f>+H19</f>
        <v>****</v>
      </c>
      <c r="K19" s="110" t="str">
        <f>+H19</f>
        <v>****</v>
      </c>
      <c r="L19" s="148" t="str">
        <f>+A112</f>
        <v>****</v>
      </c>
      <c r="M19" s="630" t="str">
        <f>C19</f>
        <v>****</v>
      </c>
      <c r="N19" s="616">
        <f>+O19</f>
        <v>0</v>
      </c>
      <c r="O19" s="616">
        <f>+P19</f>
        <v>0</v>
      </c>
      <c r="P19" s="617">
        <f>+Q19</f>
        <v>0</v>
      </c>
    </row>
    <row r="20" spans="1:17" x14ac:dyDescent="0.35">
      <c r="A20" s="89" t="s">
        <v>189</v>
      </c>
      <c r="B20" s="115" t="s">
        <v>190</v>
      </c>
      <c r="C20" s="169">
        <f t="shared" ref="C20:H20" si="2">+C16</f>
        <v>10123.459447030165</v>
      </c>
      <c r="D20" s="116">
        <f>+D16</f>
        <v>10209.256247030165</v>
      </c>
      <c r="E20" s="116">
        <f>+E16</f>
        <v>10295.053047030166</v>
      </c>
      <c r="F20" s="116">
        <f>+F16</f>
        <v>10337.949447030165</v>
      </c>
      <c r="G20" s="116">
        <f>+G16</f>
        <v>10380.849447030165</v>
      </c>
      <c r="H20" s="116">
        <f t="shared" si="2"/>
        <v>5029.0468470301657</v>
      </c>
      <c r="I20" s="116"/>
      <c r="J20" s="116">
        <f t="shared" ref="J20:P20" si="3">+J16</f>
        <v>5724.5967066301655</v>
      </c>
      <c r="K20" s="116">
        <f t="shared" si="3"/>
        <v>5956.4461140301655</v>
      </c>
      <c r="L20" s="155">
        <f t="shared" si="3"/>
        <v>4797.1990770301654</v>
      </c>
      <c r="M20" s="627">
        <f t="shared" si="3"/>
        <v>10931.686647030165</v>
      </c>
      <c r="N20" s="632">
        <f t="shared" si="3"/>
        <v>10967.951447030166</v>
      </c>
      <c r="O20" s="632">
        <f t="shared" si="3"/>
        <v>6499.1398470301656</v>
      </c>
      <c r="P20" s="633">
        <f t="shared" si="3"/>
        <v>6714.1474470301655</v>
      </c>
    </row>
    <row r="21" spans="1:17" x14ac:dyDescent="0.35">
      <c r="A21" s="82" t="s">
        <v>191</v>
      </c>
      <c r="B21" s="88" t="s">
        <v>150</v>
      </c>
      <c r="C21" s="164" t="str">
        <f>+H21</f>
        <v>***</v>
      </c>
      <c r="D21" s="110" t="s">
        <v>214</v>
      </c>
      <c r="E21" s="110" t="s">
        <v>214</v>
      </c>
      <c r="F21" s="110" t="s">
        <v>214</v>
      </c>
      <c r="G21" s="110" t="str">
        <f>+H21</f>
        <v>***</v>
      </c>
      <c r="H21" s="110" t="str">
        <f t="shared" ref="H21" si="4">+H17</f>
        <v>***</v>
      </c>
      <c r="I21" s="110"/>
      <c r="J21" s="110" t="str">
        <f>+H21</f>
        <v>***</v>
      </c>
      <c r="K21" s="110" t="str">
        <f>+H21</f>
        <v>***</v>
      </c>
      <c r="L21" s="154" t="str">
        <f>+L17</f>
        <v>***</v>
      </c>
      <c r="M21" s="613">
        <f>P21</f>
        <v>0</v>
      </c>
      <c r="N21" s="616">
        <f>+O21</f>
        <v>0</v>
      </c>
      <c r="O21" s="616">
        <f>+P21</f>
        <v>0</v>
      </c>
      <c r="P21" s="617">
        <f>+Q21</f>
        <v>0</v>
      </c>
    </row>
    <row r="22" spans="1:17" x14ac:dyDescent="0.35">
      <c r="A22" s="82" t="s">
        <v>192</v>
      </c>
      <c r="B22" s="83" t="s">
        <v>193</v>
      </c>
      <c r="C22" s="170" t="s">
        <v>218</v>
      </c>
      <c r="D22" s="110" t="s">
        <v>218</v>
      </c>
      <c r="E22" s="110" t="s">
        <v>218</v>
      </c>
      <c r="F22" s="110" t="s">
        <v>218</v>
      </c>
      <c r="G22" s="110" t="str">
        <f>+C22</f>
        <v>*****</v>
      </c>
      <c r="H22" s="110" t="s">
        <v>194</v>
      </c>
      <c r="I22" s="110"/>
      <c r="J22" s="110" t="str">
        <f>+H22</f>
        <v>N.A</v>
      </c>
      <c r="K22" s="110" t="str">
        <f>+H22</f>
        <v>N.A</v>
      </c>
      <c r="L22" s="154" t="s">
        <v>194</v>
      </c>
      <c r="M22" s="613" t="str">
        <f>+G22</f>
        <v>*****</v>
      </c>
      <c r="N22" s="616" t="s">
        <v>236</v>
      </c>
      <c r="O22" s="616" t="s">
        <v>236</v>
      </c>
      <c r="P22" s="617" t="s">
        <v>236</v>
      </c>
    </row>
    <row r="23" spans="1:17" ht="24.75" customHeight="1" x14ac:dyDescent="0.35">
      <c r="A23" s="82" t="s">
        <v>195</v>
      </c>
      <c r="B23" s="83" t="s">
        <v>196</v>
      </c>
      <c r="C23" s="170" t="s">
        <v>219</v>
      </c>
      <c r="D23" s="110" t="s">
        <v>219</v>
      </c>
      <c r="E23" s="110" t="s">
        <v>219</v>
      </c>
      <c r="F23" s="110" t="s">
        <v>219</v>
      </c>
      <c r="G23" s="110" t="str">
        <f>+C23</f>
        <v>******</v>
      </c>
      <c r="H23" s="110" t="str">
        <f>+C23</f>
        <v>******</v>
      </c>
      <c r="I23" s="110"/>
      <c r="J23" s="110" t="str">
        <f>+C23</f>
        <v>******</v>
      </c>
      <c r="K23" s="110" t="str">
        <f>+H23</f>
        <v>******</v>
      </c>
      <c r="L23" s="154" t="str">
        <f>+C23</f>
        <v>******</v>
      </c>
      <c r="M23" s="613" t="str">
        <f>+C23</f>
        <v>******</v>
      </c>
      <c r="N23" s="616" t="s">
        <v>219</v>
      </c>
      <c r="O23" s="616" t="str">
        <f>+C23</f>
        <v>******</v>
      </c>
      <c r="P23" s="617" t="str">
        <f>+D23</f>
        <v>******</v>
      </c>
    </row>
    <row r="24" spans="1:17" ht="15" thickBot="1" x14ac:dyDescent="0.4">
      <c r="A24" s="93" t="s">
        <v>197</v>
      </c>
      <c r="B24" s="94" t="s">
        <v>198</v>
      </c>
      <c r="C24" s="171"/>
      <c r="D24" s="118"/>
      <c r="E24" s="118"/>
      <c r="F24" s="118"/>
      <c r="G24" s="118"/>
      <c r="H24" s="118"/>
      <c r="I24" s="118"/>
      <c r="J24" s="118"/>
      <c r="K24" s="118"/>
      <c r="L24" s="156"/>
      <c r="M24" s="635"/>
      <c r="N24" s="636"/>
      <c r="O24" s="636"/>
      <c r="P24" s="637"/>
    </row>
    <row r="25" spans="1:17" ht="15" thickTop="1" x14ac:dyDescent="0.35">
      <c r="A25" s="98"/>
      <c r="B25" s="99"/>
      <c r="C25" s="99"/>
      <c r="D25" s="100"/>
      <c r="E25" s="100"/>
      <c r="F25" s="100"/>
      <c r="G25" s="100"/>
      <c r="H25" s="100"/>
      <c r="I25" s="100"/>
      <c r="J25" s="100"/>
      <c r="K25" s="100"/>
      <c r="L25" s="100"/>
      <c r="M25" s="100"/>
      <c r="N25" s="100"/>
      <c r="O25" s="100"/>
      <c r="P25" s="100"/>
      <c r="Q25" s="100"/>
    </row>
    <row r="26" spans="1:17" ht="15" thickBot="1" x14ac:dyDescent="0.4">
      <c r="A26" s="98"/>
      <c r="B26" s="99"/>
      <c r="C26" s="99"/>
      <c r="D26" s="100"/>
      <c r="E26" s="100"/>
      <c r="F26" s="584"/>
      <c r="G26" s="100"/>
      <c r="H26" s="100"/>
      <c r="I26" s="100"/>
      <c r="J26" s="100"/>
      <c r="K26" s="100"/>
      <c r="L26" s="100"/>
      <c r="M26" s="100"/>
      <c r="N26" s="584"/>
      <c r="O26" s="100"/>
      <c r="P26" s="100"/>
    </row>
    <row r="27" spans="1:17" ht="26.5" customHeight="1" thickTop="1" x14ac:dyDescent="0.35">
      <c r="A27" s="128"/>
      <c r="B27" s="106" t="s">
        <v>507</v>
      </c>
      <c r="C27" s="502" t="s">
        <v>163</v>
      </c>
      <c r="D27" s="503"/>
      <c r="E27" s="503"/>
      <c r="F27" s="503"/>
      <c r="G27" s="503"/>
      <c r="H27" s="503"/>
      <c r="I27" s="503"/>
      <c r="J27" s="503"/>
      <c r="K27" s="503"/>
      <c r="L27" s="504"/>
      <c r="M27" s="820" t="s">
        <v>232</v>
      </c>
      <c r="N27" s="821"/>
      <c r="O27" s="821"/>
      <c r="P27" s="821"/>
      <c r="Q27" s="100"/>
    </row>
    <row r="28" spans="1:17" ht="32.15" customHeight="1" x14ac:dyDescent="0.35">
      <c r="A28" s="107"/>
      <c r="B28" s="447" t="s">
        <v>471</v>
      </c>
      <c r="C28" s="505"/>
      <c r="D28" s="506"/>
      <c r="E28" s="506"/>
      <c r="F28" s="506"/>
      <c r="G28" s="506"/>
      <c r="H28" s="506"/>
      <c r="I28" s="506"/>
      <c r="J28" s="506"/>
      <c r="K28" s="506"/>
      <c r="L28" s="507"/>
      <c r="M28" s="822"/>
      <c r="N28" s="823"/>
      <c r="O28" s="823"/>
      <c r="P28" s="823"/>
      <c r="Q28" s="100"/>
    </row>
    <row r="29" spans="1:17" ht="38.25" customHeight="1" x14ac:dyDescent="0.35">
      <c r="A29" s="790" t="s">
        <v>164</v>
      </c>
      <c r="B29" s="792" t="s">
        <v>165</v>
      </c>
      <c r="C29" s="780" t="s">
        <v>223</v>
      </c>
      <c r="D29" s="108" t="s">
        <v>96</v>
      </c>
      <c r="E29" s="108" t="s">
        <v>96</v>
      </c>
      <c r="F29" s="108" t="s">
        <v>96</v>
      </c>
      <c r="G29" s="108" t="s">
        <v>96</v>
      </c>
      <c r="H29" s="108" t="s">
        <v>474</v>
      </c>
      <c r="I29" s="108" t="s">
        <v>444</v>
      </c>
      <c r="J29" s="108" t="s">
        <v>505</v>
      </c>
      <c r="K29" s="108" t="s">
        <v>374</v>
      </c>
      <c r="L29" s="499" t="s">
        <v>372</v>
      </c>
      <c r="M29" s="81" t="s">
        <v>96</v>
      </c>
      <c r="N29" s="81" t="s">
        <v>96</v>
      </c>
      <c r="O29" s="108" t="s">
        <v>444</v>
      </c>
      <c r="P29" s="108" t="s">
        <v>374</v>
      </c>
      <c r="Q29" s="100"/>
    </row>
    <row r="30" spans="1:17" ht="18" customHeight="1" x14ac:dyDescent="0.35">
      <c r="A30" s="790"/>
      <c r="B30" s="792"/>
      <c r="C30" s="781"/>
      <c r="D30" s="367">
        <v>2</v>
      </c>
      <c r="E30" s="333" t="s">
        <v>485</v>
      </c>
      <c r="F30" s="333" t="s">
        <v>454</v>
      </c>
      <c r="G30" s="333" t="s">
        <v>459</v>
      </c>
      <c r="H30" s="124">
        <v>0.02</v>
      </c>
      <c r="I30" s="124">
        <v>0.05</v>
      </c>
      <c r="J30" s="124">
        <v>0.08</v>
      </c>
      <c r="K30" s="265">
        <v>0.1</v>
      </c>
      <c r="L30" s="500"/>
      <c r="M30" s="367" t="str">
        <f>+M6</f>
        <v>Oxigena 4%</v>
      </c>
      <c r="N30" s="366" t="str">
        <f>+F30</f>
        <v>Oxigena 5%</v>
      </c>
      <c r="O30" s="265">
        <v>0.05</v>
      </c>
      <c r="P30" s="265">
        <v>0.1</v>
      </c>
      <c r="Q30" s="100"/>
    </row>
    <row r="31" spans="1:17" ht="16.899999999999999" customHeight="1" x14ac:dyDescent="0.35">
      <c r="A31" s="791"/>
      <c r="B31" s="793"/>
      <c r="C31" s="81" t="s">
        <v>166</v>
      </c>
      <c r="D31" s="108" t="s">
        <v>166</v>
      </c>
      <c r="E31" s="108" t="s">
        <v>166</v>
      </c>
      <c r="F31" s="108" t="s">
        <v>166</v>
      </c>
      <c r="G31" s="108" t="s">
        <v>166</v>
      </c>
      <c r="H31" s="108" t="s">
        <v>166</v>
      </c>
      <c r="I31" s="108" t="s">
        <v>166</v>
      </c>
      <c r="J31" s="108" t="s">
        <v>166</v>
      </c>
      <c r="K31" s="108" t="s">
        <v>166</v>
      </c>
      <c r="L31" s="108" t="s">
        <v>166</v>
      </c>
      <c r="M31" s="81" t="s">
        <v>166</v>
      </c>
      <c r="N31" s="81" t="s">
        <v>166</v>
      </c>
      <c r="O31" s="108" t="s">
        <v>166</v>
      </c>
      <c r="P31" s="108" t="s">
        <v>166</v>
      </c>
      <c r="Q31" s="100"/>
    </row>
    <row r="32" spans="1:17" x14ac:dyDescent="0.35">
      <c r="A32" s="82" t="s">
        <v>167</v>
      </c>
      <c r="B32" s="88" t="s">
        <v>168</v>
      </c>
      <c r="C32" s="177">
        <f>+'Calculo IP ZDF'!B32</f>
        <v>9914.16</v>
      </c>
      <c r="D32" s="177">
        <f>+'Calculo IP ZDF'!G32</f>
        <v>10003.336799999999</v>
      </c>
      <c r="E32" s="508">
        <f>+'Calculo IP ZDF'!H32</f>
        <v>10092.5136</v>
      </c>
      <c r="F32" s="508">
        <f>+'Calculo IP ZDF'!I32</f>
        <v>10137.101999999999</v>
      </c>
      <c r="G32" s="508"/>
      <c r="H32" s="177">
        <f>+'Calculo IP ZDF'!F32</f>
        <v>3520.8474000000001</v>
      </c>
      <c r="I32" s="177">
        <f>+'Calculo IP ZDF'!S32</f>
        <v>3913.5551129999999</v>
      </c>
      <c r="J32" s="177">
        <f>+'Calculo IP ZDF'!N32</f>
        <v>4306.2650567999999</v>
      </c>
      <c r="K32" s="177">
        <f>+'Calculo IP ZDF'!M32</f>
        <v>4568.0716860000002</v>
      </c>
      <c r="L32" s="114">
        <f>+'Calculo IP ZDF'!C32</f>
        <v>3259.03854</v>
      </c>
      <c r="M32" s="161">
        <f>+M8</f>
        <v>10092.5136</v>
      </c>
      <c r="N32" s="130">
        <f>+N8</f>
        <v>10137.1</v>
      </c>
      <c r="O32" s="130">
        <f>+BIODIESEL!G9</f>
        <v>5351.866</v>
      </c>
      <c r="P32" s="130">
        <f>+BIODIESEL!I9</f>
        <v>5930.6819999999998</v>
      </c>
      <c r="Q32" s="100"/>
    </row>
    <row r="33" spans="1:22" x14ac:dyDescent="0.35">
      <c r="A33" s="82" t="s">
        <v>169</v>
      </c>
      <c r="B33" s="88" t="s">
        <v>170</v>
      </c>
      <c r="C33" s="131" t="str">
        <f>+H33</f>
        <v>------------------</v>
      </c>
      <c r="D33" s="131" t="s">
        <v>171</v>
      </c>
      <c r="E33" s="131" t="s">
        <v>171</v>
      </c>
      <c r="F33" s="131" t="s">
        <v>171</v>
      </c>
      <c r="G33" s="509"/>
      <c r="H33" s="131" t="s">
        <v>171</v>
      </c>
      <c r="I33" s="131" t="s">
        <v>171</v>
      </c>
      <c r="J33" s="131" t="s">
        <v>171</v>
      </c>
      <c r="K33" s="131" t="str">
        <f>+H33</f>
        <v>------------------</v>
      </c>
      <c r="L33" s="111" t="s">
        <v>171</v>
      </c>
      <c r="M33" s="163">
        <f>+M9</f>
        <v>636.6336</v>
      </c>
      <c r="N33" s="130">
        <f>+N9</f>
        <v>630.00199999999995</v>
      </c>
      <c r="O33" s="130">
        <f>+BIODIESEL!G10</f>
        <v>603.00299999999993</v>
      </c>
      <c r="P33" s="130">
        <f>+BIODIESEL!I10</f>
        <v>571.26600000000008</v>
      </c>
      <c r="Q33" s="100"/>
    </row>
    <row r="34" spans="1:22" x14ac:dyDescent="0.35">
      <c r="A34" s="82"/>
      <c r="B34" s="88" t="s">
        <v>129</v>
      </c>
      <c r="C34" s="131" t="str">
        <f>+H34</f>
        <v>------------------</v>
      </c>
      <c r="D34" s="131" t="s">
        <v>171</v>
      </c>
      <c r="E34" s="131" t="s">
        <v>171</v>
      </c>
      <c r="F34" s="131" t="s">
        <v>171</v>
      </c>
      <c r="G34" s="509"/>
      <c r="H34" s="131" t="s">
        <v>171</v>
      </c>
      <c r="I34" s="131" t="s">
        <v>171</v>
      </c>
      <c r="J34" s="131" t="s">
        <v>171</v>
      </c>
      <c r="K34" s="131" t="str">
        <f>+H34</f>
        <v>------------------</v>
      </c>
      <c r="L34" s="111" t="s">
        <v>171</v>
      </c>
      <c r="M34" s="163" t="s">
        <v>130</v>
      </c>
      <c r="N34" s="111" t="s">
        <v>130</v>
      </c>
      <c r="O34" s="111" t="s">
        <v>130</v>
      </c>
      <c r="P34" s="111" t="s">
        <v>130</v>
      </c>
      <c r="Q34" s="100"/>
    </row>
    <row r="35" spans="1:22" x14ac:dyDescent="0.35">
      <c r="A35" s="82"/>
      <c r="B35" s="88" t="s">
        <v>131</v>
      </c>
      <c r="C35" s="164">
        <f>'GAS CTE'!C12</f>
        <v>169</v>
      </c>
      <c r="D35" s="164">
        <f>+'GAS CTE'!D12</f>
        <v>165.62</v>
      </c>
      <c r="E35" s="164">
        <f>+'GAS CTE'!E12</f>
        <v>162.23999999999998</v>
      </c>
      <c r="F35" s="164">
        <f>+'GAS CTE'!F12</f>
        <v>160.54999999999998</v>
      </c>
      <c r="G35" s="510"/>
      <c r="H35" s="164">
        <f>+BIODIESEL!E12</f>
        <v>187.18</v>
      </c>
      <c r="I35" s="164">
        <f>+BIODIESEL!G12</f>
        <v>181.45</v>
      </c>
      <c r="J35" s="164">
        <f>+BIODIESEL!H12</f>
        <v>175.72</v>
      </c>
      <c r="K35" s="164">
        <f>+BIODIESEL!I12</f>
        <v>171.9</v>
      </c>
      <c r="L35" s="114">
        <f>+BIODIESEL!C12</f>
        <v>191</v>
      </c>
      <c r="M35" s="163">
        <f>+M11</f>
        <v>162.23999999999998</v>
      </c>
      <c r="N35" s="130">
        <f>+N11</f>
        <v>160.54999999999998</v>
      </c>
      <c r="O35" s="130">
        <f>+BIODIESEL!G12</f>
        <v>181.45</v>
      </c>
      <c r="P35" s="130">
        <f>+BIODIESEL!I12</f>
        <v>171.9</v>
      </c>
      <c r="Q35" s="100"/>
    </row>
    <row r="36" spans="1:22" x14ac:dyDescent="0.35">
      <c r="A36" s="82" t="s">
        <v>172</v>
      </c>
      <c r="B36" s="88" t="s">
        <v>250</v>
      </c>
      <c r="C36" s="131" t="str">
        <f>+C12</f>
        <v>(2)</v>
      </c>
      <c r="D36" s="131" t="str">
        <f>+C36</f>
        <v>(2)</v>
      </c>
      <c r="E36" s="131" t="str">
        <f>+D36</f>
        <v>(2)</v>
      </c>
      <c r="F36" s="131" t="str">
        <f>+E36</f>
        <v>(2)</v>
      </c>
      <c r="G36" s="509"/>
      <c r="H36" s="131" t="str">
        <f t="shared" ref="H36:J39" si="5">+C36</f>
        <v>(2)</v>
      </c>
      <c r="I36" s="131" t="str">
        <f t="shared" si="5"/>
        <v>(2)</v>
      </c>
      <c r="J36" s="131" t="str">
        <f t="shared" si="5"/>
        <v>(2)</v>
      </c>
      <c r="K36" s="131" t="str">
        <f>+H36</f>
        <v>(2)</v>
      </c>
      <c r="L36" s="114" t="str">
        <f>+C36</f>
        <v>(2)</v>
      </c>
      <c r="M36" s="130" t="str">
        <f>+C36</f>
        <v>(2)</v>
      </c>
      <c r="N36" s="130" t="s">
        <v>200</v>
      </c>
      <c r="O36" s="130" t="str">
        <f>+D36</f>
        <v>(2)</v>
      </c>
      <c r="P36" s="130" t="str">
        <f>+E36</f>
        <v>(2)</v>
      </c>
      <c r="Q36" s="100"/>
    </row>
    <row r="37" spans="1:22" x14ac:dyDescent="0.35">
      <c r="A37" s="82" t="s">
        <v>176</v>
      </c>
      <c r="B37" s="88" t="s">
        <v>177</v>
      </c>
      <c r="C37" s="131">
        <f>+RUBROS!AF50</f>
        <v>127.35415747874769</v>
      </c>
      <c r="D37" s="131">
        <f>+C37</f>
        <v>127.35415747874769</v>
      </c>
      <c r="E37" s="131">
        <f>+C37</f>
        <v>127.35415747874769</v>
      </c>
      <c r="F37" s="131">
        <f>+C37</f>
        <v>127.35415747874769</v>
      </c>
      <c r="G37" s="509"/>
      <c r="H37" s="131">
        <f t="shared" si="5"/>
        <v>127.35415747874769</v>
      </c>
      <c r="I37" s="131">
        <f t="shared" si="5"/>
        <v>127.35415747874769</v>
      </c>
      <c r="J37" s="131">
        <f t="shared" si="5"/>
        <v>127.35415747874769</v>
      </c>
      <c r="K37" s="131">
        <f>+H37</f>
        <v>127.35415747874769</v>
      </c>
      <c r="L37" s="110">
        <f>+C37</f>
        <v>127.35415747874769</v>
      </c>
      <c r="M37" s="163">
        <f>+C37</f>
        <v>127.35415747874769</v>
      </c>
      <c r="N37" s="130">
        <f>+C37</f>
        <v>127.35415747874769</v>
      </c>
      <c r="O37" s="130">
        <f>+M37</f>
        <v>127.35415747874769</v>
      </c>
      <c r="P37" s="130">
        <f>+H37</f>
        <v>127.35415747874769</v>
      </c>
      <c r="Q37" s="100"/>
    </row>
    <row r="38" spans="1:22" x14ac:dyDescent="0.35">
      <c r="A38" s="82" t="s">
        <v>174</v>
      </c>
      <c r="B38" s="88" t="s">
        <v>175</v>
      </c>
      <c r="C38" s="164">
        <f>+RUBROS!AF21</f>
        <v>26.583233136281329</v>
      </c>
      <c r="D38" s="110">
        <f>+C38</f>
        <v>26.583233136281329</v>
      </c>
      <c r="E38" s="110">
        <f>+C38</f>
        <v>26.583233136281329</v>
      </c>
      <c r="F38" s="131">
        <f>+C38</f>
        <v>26.583233136281329</v>
      </c>
      <c r="G38" s="511"/>
      <c r="H38" s="110">
        <f t="shared" si="5"/>
        <v>26.583233136281329</v>
      </c>
      <c r="I38" s="114">
        <f t="shared" si="5"/>
        <v>26.583233136281329</v>
      </c>
      <c r="J38" s="114">
        <f t="shared" si="5"/>
        <v>26.583233136281329</v>
      </c>
      <c r="K38" s="114">
        <f>+H38</f>
        <v>26.583233136281329</v>
      </c>
      <c r="L38" s="110">
        <f>+C38</f>
        <v>26.583233136281329</v>
      </c>
      <c r="M38" s="161">
        <f>+C38</f>
        <v>26.583233136281329</v>
      </c>
      <c r="N38" s="130">
        <f>+C38</f>
        <v>26.583233136281329</v>
      </c>
      <c r="O38" s="114">
        <f>+C38</f>
        <v>26.583233136281329</v>
      </c>
      <c r="P38" s="114">
        <f>+H38</f>
        <v>26.583233136281329</v>
      </c>
      <c r="Q38" s="100"/>
    </row>
    <row r="39" spans="1:22" x14ac:dyDescent="0.35">
      <c r="A39" s="82" t="s">
        <v>178</v>
      </c>
      <c r="B39" s="88" t="s">
        <v>179</v>
      </c>
      <c r="C39" s="164">
        <f>+RUBROS!AZ42</f>
        <v>13.716213893883657</v>
      </c>
      <c r="D39" s="110">
        <f>+C39</f>
        <v>13.716213893883657</v>
      </c>
      <c r="E39" s="110">
        <f>+C39</f>
        <v>13.716213893883657</v>
      </c>
      <c r="F39" s="131">
        <f>+C39</f>
        <v>13.716213893883657</v>
      </c>
      <c r="G39" s="511"/>
      <c r="H39" s="110">
        <f t="shared" si="5"/>
        <v>13.716213893883657</v>
      </c>
      <c r="I39" s="114">
        <f t="shared" si="5"/>
        <v>13.716213893883657</v>
      </c>
      <c r="J39" s="114">
        <f t="shared" si="5"/>
        <v>13.716213893883657</v>
      </c>
      <c r="K39" s="114">
        <f>+H39</f>
        <v>13.716213893883657</v>
      </c>
      <c r="L39" s="110">
        <f>+C39</f>
        <v>13.716213893883657</v>
      </c>
      <c r="M39" s="161">
        <f>+C39</f>
        <v>13.716213893883657</v>
      </c>
      <c r="N39" s="130">
        <f>+C39</f>
        <v>13.716213893883657</v>
      </c>
      <c r="O39" s="114">
        <f>+M39</f>
        <v>13.716213893883657</v>
      </c>
      <c r="P39" s="114">
        <f>+H39</f>
        <v>13.716213893883657</v>
      </c>
      <c r="Q39" s="100"/>
    </row>
    <row r="40" spans="1:22" x14ac:dyDescent="0.35">
      <c r="A40" s="89" t="s">
        <v>181</v>
      </c>
      <c r="B40" s="115" t="s">
        <v>182</v>
      </c>
      <c r="C40" s="165">
        <f>SUM(C32:C39)</f>
        <v>10250.813604508912</v>
      </c>
      <c r="D40" s="165">
        <f>SUM(D32:D39)</f>
        <v>10336.610404508912</v>
      </c>
      <c r="E40" s="165">
        <f>SUM(E32:E39)</f>
        <v>10422.407204508912</v>
      </c>
      <c r="F40" s="165">
        <f>SUM(F32:F39)</f>
        <v>10465.305604508911</v>
      </c>
      <c r="G40" s="512"/>
      <c r="H40" s="165">
        <f t="shared" ref="H40:O40" si="6">SUM(H32:H39)</f>
        <v>3875.6810045089128</v>
      </c>
      <c r="I40" s="165">
        <f t="shared" si="6"/>
        <v>4262.6587175089126</v>
      </c>
      <c r="J40" s="165">
        <f t="shared" si="6"/>
        <v>4649.6386613089135</v>
      </c>
      <c r="K40" s="165">
        <f t="shared" si="6"/>
        <v>4907.6252905089132</v>
      </c>
      <c r="L40" s="165">
        <f t="shared" si="6"/>
        <v>3617.6921445089129</v>
      </c>
      <c r="M40" s="167">
        <f t="shared" si="6"/>
        <v>11059.040804508912</v>
      </c>
      <c r="N40" s="167">
        <f t="shared" si="6"/>
        <v>11095.305604508912</v>
      </c>
      <c r="O40" s="165">
        <f t="shared" si="6"/>
        <v>6303.9726045089128</v>
      </c>
      <c r="P40" s="165">
        <f>SUM(P32:P39)</f>
        <v>6841.5016045089133</v>
      </c>
      <c r="Q40" s="100"/>
      <c r="V40" s="15"/>
    </row>
    <row r="41" spans="1:22" x14ac:dyDescent="0.35">
      <c r="A41" s="82" t="s">
        <v>183</v>
      </c>
      <c r="B41" s="88" t="s">
        <v>246</v>
      </c>
      <c r="C41" s="179" t="s">
        <v>214</v>
      </c>
      <c r="D41" s="110" t="str">
        <f>+C41</f>
        <v>***</v>
      </c>
      <c r="E41" s="179" t="s">
        <v>214</v>
      </c>
      <c r="F41" s="179" t="s">
        <v>214</v>
      </c>
      <c r="G41" s="511"/>
      <c r="H41" s="110" t="str">
        <f t="shared" ref="H41:J43" si="7">+C41</f>
        <v>***</v>
      </c>
      <c r="I41" s="110" t="str">
        <f t="shared" si="7"/>
        <v>***</v>
      </c>
      <c r="J41" s="110" t="str">
        <f t="shared" si="7"/>
        <v>***</v>
      </c>
      <c r="K41" s="110" t="s">
        <v>214</v>
      </c>
      <c r="L41" s="110" t="str">
        <f>+H41</f>
        <v>***</v>
      </c>
      <c r="M41" s="161" t="str">
        <f>+E41</f>
        <v>***</v>
      </c>
      <c r="N41" s="133" t="str">
        <f>+F41</f>
        <v>***</v>
      </c>
      <c r="O41" s="110" t="s">
        <v>214</v>
      </c>
      <c r="P41" s="110" t="s">
        <v>214</v>
      </c>
      <c r="Q41" s="100"/>
    </row>
    <row r="42" spans="1:22" x14ac:dyDescent="0.35">
      <c r="A42" s="82" t="s">
        <v>185</v>
      </c>
      <c r="B42" s="88" t="s">
        <v>186</v>
      </c>
      <c r="C42" s="179" t="s">
        <v>212</v>
      </c>
      <c r="D42" s="110" t="str">
        <f>+C42</f>
        <v>**</v>
      </c>
      <c r="E42" s="179" t="s">
        <v>212</v>
      </c>
      <c r="F42" s="179" t="s">
        <v>212</v>
      </c>
      <c r="G42" s="511"/>
      <c r="H42" s="110" t="str">
        <f t="shared" si="7"/>
        <v>**</v>
      </c>
      <c r="I42" s="110" t="str">
        <f t="shared" si="7"/>
        <v>**</v>
      </c>
      <c r="J42" s="110" t="str">
        <f t="shared" si="7"/>
        <v>**</v>
      </c>
      <c r="K42" s="110" t="s">
        <v>212</v>
      </c>
      <c r="L42" s="110" t="str">
        <f>+C42</f>
        <v>**</v>
      </c>
      <c r="M42" s="161" t="str">
        <f>+D42</f>
        <v>**</v>
      </c>
      <c r="N42" s="133" t="str">
        <f>+F42</f>
        <v>**</v>
      </c>
      <c r="O42" s="110" t="s">
        <v>212</v>
      </c>
      <c r="P42" s="110" t="s">
        <v>212</v>
      </c>
      <c r="Q42" s="100"/>
    </row>
    <row r="43" spans="1:22" x14ac:dyDescent="0.35">
      <c r="A43" s="82" t="s">
        <v>187</v>
      </c>
      <c r="B43" s="88" t="s">
        <v>134</v>
      </c>
      <c r="C43" s="131" t="str">
        <f>+C19</f>
        <v>****</v>
      </c>
      <c r="D43" s="110" t="str">
        <f>+C43</f>
        <v>****</v>
      </c>
      <c r="E43" s="131" t="str">
        <f>+E19</f>
        <v>****</v>
      </c>
      <c r="F43" s="131" t="str">
        <f>+F19</f>
        <v>****</v>
      </c>
      <c r="G43" s="511"/>
      <c r="H43" s="114" t="str">
        <f t="shared" si="7"/>
        <v>****</v>
      </c>
      <c r="I43" s="114" t="str">
        <f t="shared" si="7"/>
        <v>****</v>
      </c>
      <c r="J43" s="114" t="str">
        <f t="shared" si="7"/>
        <v>****</v>
      </c>
      <c r="K43" s="114" t="s">
        <v>216</v>
      </c>
      <c r="L43" s="114" t="str">
        <f>+C43</f>
        <v>****</v>
      </c>
      <c r="M43" s="182" t="str">
        <f>C43</f>
        <v>****</v>
      </c>
      <c r="N43" s="133" t="str">
        <f>+F43</f>
        <v>****</v>
      </c>
      <c r="O43" s="110" t="s">
        <v>216</v>
      </c>
      <c r="P43" s="110" t="s">
        <v>216</v>
      </c>
      <c r="Q43" s="100"/>
    </row>
    <row r="44" spans="1:22" x14ac:dyDescent="0.35">
      <c r="A44" s="89" t="s">
        <v>189</v>
      </c>
      <c r="B44" s="115" t="s">
        <v>190</v>
      </c>
      <c r="C44" s="169">
        <f t="shared" ref="C44:D44" si="8">+C40</f>
        <v>10250.813604508912</v>
      </c>
      <c r="D44" s="116">
        <f t="shared" si="8"/>
        <v>10336.610404508912</v>
      </c>
      <c r="E44" s="169">
        <f t="shared" ref="E44:F44" si="9">+E40</f>
        <v>10422.407204508912</v>
      </c>
      <c r="F44" s="169">
        <f t="shared" si="9"/>
        <v>10465.305604508911</v>
      </c>
      <c r="G44" s="137"/>
      <c r="H44" s="116">
        <f t="shared" ref="H44:O44" si="10">+H40</f>
        <v>3875.6810045089128</v>
      </c>
      <c r="I44" s="116">
        <f t="shared" si="10"/>
        <v>4262.6587175089126</v>
      </c>
      <c r="J44" s="116">
        <f t="shared" si="10"/>
        <v>4649.6386613089135</v>
      </c>
      <c r="K44" s="116">
        <f t="shared" si="10"/>
        <v>4907.6252905089132</v>
      </c>
      <c r="L44" s="116">
        <f t="shared" si="10"/>
        <v>3617.6921445089129</v>
      </c>
      <c r="M44" s="167">
        <f t="shared" si="10"/>
        <v>11059.040804508912</v>
      </c>
      <c r="N44" s="116">
        <f t="shared" si="10"/>
        <v>11095.305604508912</v>
      </c>
      <c r="O44" s="116">
        <f t="shared" si="10"/>
        <v>6303.9726045089128</v>
      </c>
      <c r="P44" s="116">
        <f>+P40</f>
        <v>6841.5016045089133</v>
      </c>
      <c r="Q44" s="100"/>
    </row>
    <row r="45" spans="1:22" x14ac:dyDescent="0.35">
      <c r="A45" s="82" t="s">
        <v>191</v>
      </c>
      <c r="B45" s="88" t="s">
        <v>150</v>
      </c>
      <c r="C45" s="181" t="str">
        <f>+C41</f>
        <v>***</v>
      </c>
      <c r="D45" s="110" t="str">
        <f>+H45</f>
        <v>***</v>
      </c>
      <c r="E45" s="181" t="str">
        <f>+E41</f>
        <v>***</v>
      </c>
      <c r="F45" s="181" t="str">
        <f>+F41</f>
        <v>***</v>
      </c>
      <c r="G45" s="511"/>
      <c r="H45" s="110" t="str">
        <f>+H41</f>
        <v>***</v>
      </c>
      <c r="I45" s="110" t="str">
        <f>+I41</f>
        <v>***</v>
      </c>
      <c r="J45" s="110" t="str">
        <f>+J41</f>
        <v>***</v>
      </c>
      <c r="K45" s="110" t="s">
        <v>214</v>
      </c>
      <c r="L45" s="110" t="str">
        <f>+L41</f>
        <v>***</v>
      </c>
      <c r="M45" s="161" t="str">
        <f>+E45</f>
        <v>***</v>
      </c>
      <c r="N45" s="133" t="str">
        <f>+F45</f>
        <v>***</v>
      </c>
      <c r="O45" s="110">
        <f>+Q45</f>
        <v>0</v>
      </c>
      <c r="P45" s="110">
        <f>+Q45</f>
        <v>0</v>
      </c>
      <c r="Q45" s="100"/>
    </row>
    <row r="46" spans="1:22" x14ac:dyDescent="0.35">
      <c r="A46" s="82" t="s">
        <v>192</v>
      </c>
      <c r="B46" s="83" t="s">
        <v>193</v>
      </c>
      <c r="C46" s="133" t="str">
        <f>+C22</f>
        <v>*****</v>
      </c>
      <c r="D46" s="133" t="str">
        <f>+G22</f>
        <v>*****</v>
      </c>
      <c r="E46" s="133" t="str">
        <f>+E22</f>
        <v>*****</v>
      </c>
      <c r="F46" s="133" t="str">
        <f>+F22</f>
        <v>*****</v>
      </c>
      <c r="G46" s="511"/>
      <c r="H46" s="133" t="str">
        <f t="shared" ref="H46:H47" si="11">+H22</f>
        <v>N.A</v>
      </c>
      <c r="I46" s="133" t="str">
        <f>+J22</f>
        <v>N.A</v>
      </c>
      <c r="J46" s="133" t="str">
        <f>+L22</f>
        <v>N.A</v>
      </c>
      <c r="K46" s="133" t="s">
        <v>194</v>
      </c>
      <c r="L46" s="133" t="str">
        <f>+L22</f>
        <v>N.A</v>
      </c>
      <c r="M46" s="161" t="str">
        <f>+M22</f>
        <v>*****</v>
      </c>
      <c r="N46" s="133" t="str">
        <f>+F46</f>
        <v>*****</v>
      </c>
      <c r="O46" s="133" t="str">
        <f>+O22</f>
        <v>N.A.</v>
      </c>
      <c r="P46" s="110" t="s">
        <v>236</v>
      </c>
      <c r="Q46" s="100"/>
    </row>
    <row r="47" spans="1:22" x14ac:dyDescent="0.35">
      <c r="A47" s="82" t="s">
        <v>195</v>
      </c>
      <c r="B47" s="83" t="s">
        <v>196</v>
      </c>
      <c r="C47" s="133" t="str">
        <f>+C23</f>
        <v>******</v>
      </c>
      <c r="D47" s="133" t="str">
        <f>+G23</f>
        <v>******</v>
      </c>
      <c r="E47" s="133" t="str">
        <f>+E23</f>
        <v>******</v>
      </c>
      <c r="F47" s="133" t="str">
        <f>+F23</f>
        <v>******</v>
      </c>
      <c r="G47" s="511"/>
      <c r="H47" s="133" t="str">
        <f t="shared" si="11"/>
        <v>******</v>
      </c>
      <c r="I47" s="133" t="str">
        <f>+J23</f>
        <v>******</v>
      </c>
      <c r="J47" s="133" t="str">
        <f>+L23</f>
        <v>******</v>
      </c>
      <c r="K47" s="133" t="s">
        <v>219</v>
      </c>
      <c r="L47" s="133" t="str">
        <f>+L23</f>
        <v>******</v>
      </c>
      <c r="M47" s="161" t="str">
        <f>+M23</f>
        <v>******</v>
      </c>
      <c r="N47" s="133" t="str">
        <f>+F47</f>
        <v>******</v>
      </c>
      <c r="O47" s="133" t="str">
        <f>+O23</f>
        <v>******</v>
      </c>
      <c r="P47" s="110" t="str">
        <f>+D47</f>
        <v>******</v>
      </c>
      <c r="Q47" s="100"/>
    </row>
    <row r="48" spans="1:22" ht="15" thickBot="1" x14ac:dyDescent="0.4">
      <c r="A48" s="93" t="s">
        <v>197</v>
      </c>
      <c r="B48" s="94" t="s">
        <v>198</v>
      </c>
      <c r="C48" s="171"/>
      <c r="D48" s="118"/>
      <c r="E48" s="118"/>
      <c r="F48" s="118"/>
      <c r="G48" s="137"/>
      <c r="H48" s="118"/>
      <c r="I48" s="118"/>
      <c r="J48" s="118"/>
      <c r="K48" s="118"/>
      <c r="L48" s="118"/>
      <c r="M48" s="172"/>
      <c r="N48" s="142"/>
      <c r="O48" s="118"/>
      <c r="P48" s="118"/>
      <c r="Q48" s="100"/>
    </row>
    <row r="49" spans="1:19" ht="15" hidden="1" customHeight="1" thickTop="1" x14ac:dyDescent="0.35">
      <c r="A49" s="98"/>
      <c r="B49" s="99"/>
      <c r="C49" s="99"/>
      <c r="D49" s="100"/>
      <c r="E49" s="100"/>
      <c r="F49" s="100"/>
      <c r="G49" s="100"/>
      <c r="H49" s="100"/>
      <c r="I49" s="100"/>
      <c r="J49" s="100"/>
      <c r="K49" s="100"/>
      <c r="L49" s="100"/>
      <c r="M49" s="100"/>
      <c r="N49" s="100"/>
      <c r="O49" s="100"/>
      <c r="P49" s="100"/>
    </row>
    <row r="50" spans="1:19" ht="15" hidden="1" customHeight="1" thickTop="1" x14ac:dyDescent="0.35">
      <c r="A50" s="128"/>
      <c r="B50" s="106" t="s">
        <v>422</v>
      </c>
      <c r="C50" s="784" t="s">
        <v>163</v>
      </c>
      <c r="D50" s="785"/>
      <c r="E50" s="785"/>
      <c r="F50" s="785"/>
      <c r="G50" s="785"/>
      <c r="H50" s="785"/>
      <c r="I50" s="785"/>
      <c r="J50" s="785"/>
      <c r="K50" s="785"/>
      <c r="L50" s="785"/>
      <c r="M50" s="824" t="s">
        <v>232</v>
      </c>
      <c r="N50" s="825"/>
      <c r="O50" s="825"/>
      <c r="P50" s="826"/>
    </row>
    <row r="51" spans="1:19" ht="63.25" hidden="1" customHeight="1" thickTop="1" x14ac:dyDescent="0.35">
      <c r="A51" s="107"/>
      <c r="B51" s="183" t="s">
        <v>253</v>
      </c>
      <c r="C51" s="787"/>
      <c r="D51" s="788"/>
      <c r="E51" s="788"/>
      <c r="F51" s="788"/>
      <c r="G51" s="788"/>
      <c r="H51" s="788"/>
      <c r="I51" s="788"/>
      <c r="J51" s="788"/>
      <c r="K51" s="788"/>
      <c r="L51" s="788"/>
      <c r="M51" s="822"/>
      <c r="N51" s="823"/>
      <c r="O51" s="823"/>
      <c r="P51" s="827"/>
    </row>
    <row r="52" spans="1:19" ht="38.25" hidden="1" customHeight="1" thickTop="1" x14ac:dyDescent="0.35">
      <c r="A52" s="790" t="s">
        <v>164</v>
      </c>
      <c r="B52" s="792" t="s">
        <v>165</v>
      </c>
      <c r="C52" s="780" t="s">
        <v>223</v>
      </c>
      <c r="D52" s="108" t="s">
        <v>96</v>
      </c>
      <c r="E52" s="108"/>
      <c r="F52" s="108"/>
      <c r="G52" s="108"/>
      <c r="H52" s="108" t="s">
        <v>155</v>
      </c>
      <c r="I52" s="108"/>
      <c r="J52" s="108" t="s">
        <v>395</v>
      </c>
      <c r="K52" s="532"/>
      <c r="L52" s="794" t="s">
        <v>373</v>
      </c>
      <c r="M52" s="81" t="s">
        <v>96</v>
      </c>
      <c r="N52" s="585"/>
      <c r="O52" s="334" t="str">
        <f>+J52</f>
        <v>Biodiesel B12</v>
      </c>
      <c r="P52" s="334" t="s">
        <v>124</v>
      </c>
    </row>
    <row r="53" spans="1:19" ht="21.75" hidden="1" customHeight="1" thickTop="1" x14ac:dyDescent="0.35">
      <c r="A53" s="790"/>
      <c r="B53" s="792"/>
      <c r="C53" s="781"/>
      <c r="D53" s="333">
        <v>0.08</v>
      </c>
      <c r="E53" s="333"/>
      <c r="F53" s="333"/>
      <c r="G53" s="333"/>
      <c r="H53" s="124">
        <v>0.02</v>
      </c>
      <c r="I53" s="124"/>
      <c r="J53" s="265">
        <f>+BOYACA!K54</f>
        <v>0</v>
      </c>
      <c r="K53" s="605"/>
      <c r="L53" s="795"/>
      <c r="M53" s="184">
        <v>0.04</v>
      </c>
      <c r="N53" s="587"/>
      <c r="O53" s="266">
        <f>+J53</f>
        <v>0</v>
      </c>
      <c r="P53" s="185" t="s">
        <v>245</v>
      </c>
    </row>
    <row r="54" spans="1:19" ht="15" hidden="1" customHeight="1" thickTop="1" x14ac:dyDescent="0.35">
      <c r="A54" s="791"/>
      <c r="B54" s="793"/>
      <c r="C54" s="81" t="s">
        <v>166</v>
      </c>
      <c r="D54" s="108" t="s">
        <v>166</v>
      </c>
      <c r="E54" s="108"/>
      <c r="F54" s="108"/>
      <c r="G54" s="108"/>
      <c r="H54" s="108" t="s">
        <v>166</v>
      </c>
      <c r="I54" s="108"/>
      <c r="J54" s="108" t="s">
        <v>166</v>
      </c>
      <c r="K54" s="108"/>
      <c r="L54" s="108" t="s">
        <v>166</v>
      </c>
      <c r="M54" s="81" t="s">
        <v>166</v>
      </c>
      <c r="N54" s="585"/>
      <c r="O54" s="334" t="s">
        <v>166</v>
      </c>
      <c r="P54" s="176" t="s">
        <v>166</v>
      </c>
    </row>
    <row r="55" spans="1:19" ht="15" hidden="1" customHeight="1" thickTop="1" x14ac:dyDescent="0.35">
      <c r="A55" s="82" t="s">
        <v>167</v>
      </c>
      <c r="B55" s="88" t="s">
        <v>168</v>
      </c>
      <c r="C55" s="177">
        <f>+'Calculo IP ZDF'!$B$42</f>
        <v>9914.16</v>
      </c>
      <c r="D55" s="177">
        <f>+'Calculo IP ZDF'!$H$42</f>
        <v>10092.5136</v>
      </c>
      <c r="E55" s="177"/>
      <c r="F55" s="177"/>
      <c r="G55" s="177"/>
      <c r="H55" s="177">
        <f>+'Calculo IP ZDF'!$F$42</f>
        <v>4801.5673999999999</v>
      </c>
      <c r="I55" s="177"/>
      <c r="J55" s="177">
        <f>+'Calculo IP ZDF'!$P$42</f>
        <v>5979.9160744000001</v>
      </c>
      <c r="K55" s="177"/>
      <c r="L55" s="114">
        <f>+'Calculo IP ZDF'!$C$42</f>
        <v>4565.8996299999999</v>
      </c>
      <c r="M55" s="161">
        <f>+'GAS CTE'!$E$9</f>
        <v>10092.5136</v>
      </c>
      <c r="N55" s="133"/>
      <c r="O55" s="133">
        <f>+BIODIESEL!$K$9</f>
        <v>6162.2084000000004</v>
      </c>
      <c r="P55" s="151" t="e">
        <f>+#REF!</f>
        <v>#REF!</v>
      </c>
    </row>
    <row r="56" spans="1:19" ht="15" hidden="1" customHeight="1" thickTop="1" x14ac:dyDescent="0.35">
      <c r="A56" s="82" t="s">
        <v>169</v>
      </c>
      <c r="B56" s="88" t="s">
        <v>170</v>
      </c>
      <c r="C56" s="131" t="str">
        <f>+H56</f>
        <v>------------------</v>
      </c>
      <c r="D56" s="131" t="s">
        <v>171</v>
      </c>
      <c r="E56" s="131"/>
      <c r="F56" s="131"/>
      <c r="G56" s="131"/>
      <c r="H56" s="131" t="s">
        <v>171</v>
      </c>
      <c r="I56" s="131"/>
      <c r="J56" s="131" t="s">
        <v>171</v>
      </c>
      <c r="K56" s="131"/>
      <c r="L56" s="111" t="s">
        <v>171</v>
      </c>
      <c r="M56" s="163">
        <f>+'GAS CTE'!$E$10</f>
        <v>636.6336</v>
      </c>
      <c r="N56" s="130"/>
      <c r="O56" s="130">
        <f>+BIODIESEL!$I$10</f>
        <v>571.26600000000008</v>
      </c>
      <c r="P56" s="149" t="e">
        <f>+#REF!</f>
        <v>#REF!</v>
      </c>
    </row>
    <row r="57" spans="1:19" ht="15" hidden="1" customHeight="1" thickTop="1" x14ac:dyDescent="0.35">
      <c r="A57" s="82"/>
      <c r="B57" s="88" t="s">
        <v>129</v>
      </c>
      <c r="C57" s="131" t="str">
        <f>+H57</f>
        <v>------------------</v>
      </c>
      <c r="D57" s="131" t="s">
        <v>171</v>
      </c>
      <c r="E57" s="131"/>
      <c r="F57" s="131"/>
      <c r="G57" s="131"/>
      <c r="H57" s="131" t="s">
        <v>171</v>
      </c>
      <c r="I57" s="131"/>
      <c r="J57" s="131" t="s">
        <v>171</v>
      </c>
      <c r="K57" s="131"/>
      <c r="L57" s="111" t="s">
        <v>171</v>
      </c>
      <c r="M57" s="163" t="str">
        <f>+M10</f>
        <v>(3)</v>
      </c>
      <c r="N57" s="163"/>
      <c r="O57" s="163" t="str">
        <f>+O10</f>
        <v>(3)</v>
      </c>
      <c r="P57" s="149" t="e">
        <f>'[5]CORRIENTE OXIGENADA'!D60</f>
        <v>#REF!</v>
      </c>
    </row>
    <row r="58" spans="1:19" ht="15" hidden="1" customHeight="1" thickTop="1" x14ac:dyDescent="0.35">
      <c r="A58" s="82"/>
      <c r="B58" s="88" t="s">
        <v>131</v>
      </c>
      <c r="C58" s="164">
        <f>+'GAS CTE'!$C$12</f>
        <v>169</v>
      </c>
      <c r="D58" s="164">
        <f>+'GAS CTE'!$E$12</f>
        <v>162.23999999999998</v>
      </c>
      <c r="E58" s="164"/>
      <c r="F58" s="164"/>
      <c r="G58" s="164"/>
      <c r="H58" s="164">
        <f>+BIODIESEL!$E$12</f>
        <v>187.18</v>
      </c>
      <c r="I58" s="164"/>
      <c r="J58" s="164">
        <f>+BIODIESEL!$I$12</f>
        <v>171.9</v>
      </c>
      <c r="K58" s="164"/>
      <c r="L58" s="114">
        <f>+BIODIESEL!$C$12</f>
        <v>191</v>
      </c>
      <c r="M58" s="163">
        <f>+'GAS CTE'!$E$12</f>
        <v>162.23999999999998</v>
      </c>
      <c r="N58" s="130"/>
      <c r="O58" s="130">
        <f>+J58</f>
        <v>171.9</v>
      </c>
      <c r="P58" s="149" t="e">
        <f>+#REF!</f>
        <v>#REF!</v>
      </c>
      <c r="R58" s="288" t="s">
        <v>386</v>
      </c>
    </row>
    <row r="59" spans="1:19" ht="15" hidden="1" customHeight="1" thickTop="1" x14ac:dyDescent="0.35">
      <c r="A59" s="82" t="s">
        <v>172</v>
      </c>
      <c r="B59" s="88" t="s">
        <v>250</v>
      </c>
      <c r="C59" s="179" t="s">
        <v>200</v>
      </c>
      <c r="D59" s="131" t="str">
        <f>+C59</f>
        <v>(2)</v>
      </c>
      <c r="E59" s="131"/>
      <c r="F59" s="131"/>
      <c r="G59" s="131"/>
      <c r="H59" s="131" t="str">
        <f>+C59</f>
        <v>(2)</v>
      </c>
      <c r="I59" s="131"/>
      <c r="J59" s="131" t="str">
        <f>+C59</f>
        <v>(2)</v>
      </c>
      <c r="K59" s="131"/>
      <c r="L59" s="110" t="str">
        <f>+C59</f>
        <v>(2)</v>
      </c>
      <c r="M59" s="163" t="str">
        <f>+P59</f>
        <v>(2)</v>
      </c>
      <c r="N59" s="130"/>
      <c r="O59" s="130" t="str">
        <f>+D59</f>
        <v>(2)</v>
      </c>
      <c r="P59" s="149" t="str">
        <f>+H59</f>
        <v>(2)</v>
      </c>
    </row>
    <row r="60" spans="1:19" ht="15" hidden="1" customHeight="1" thickTop="1" x14ac:dyDescent="0.35">
      <c r="A60" s="82" t="s">
        <v>174</v>
      </c>
      <c r="B60" s="88" t="s">
        <v>175</v>
      </c>
      <c r="C60" s="164">
        <f>+RUBROS!$Z$13</f>
        <v>22.249601678692599</v>
      </c>
      <c r="D60" s="110">
        <f>+C60</f>
        <v>22.249601678692599</v>
      </c>
      <c r="E60" s="110"/>
      <c r="F60" s="110"/>
      <c r="G60" s="110"/>
      <c r="H60" s="110">
        <f>+C60</f>
        <v>22.249601678692599</v>
      </c>
      <c r="I60" s="110"/>
      <c r="J60" s="110">
        <f>+C60</f>
        <v>22.249601678692599</v>
      </c>
      <c r="K60" s="110"/>
      <c r="L60" s="110">
        <f>+C60</f>
        <v>22.249601678692599</v>
      </c>
      <c r="M60" s="161" t="e">
        <f>+#REF!</f>
        <v>#REF!</v>
      </c>
      <c r="N60" s="133"/>
      <c r="O60" s="110" t="e">
        <f>+#REF!</f>
        <v>#REF!</v>
      </c>
      <c r="P60" s="85" t="e">
        <f>+#REF!</f>
        <v>#REF!</v>
      </c>
      <c r="R60" s="288" t="s">
        <v>386</v>
      </c>
      <c r="S60" s="288" t="s">
        <v>385</v>
      </c>
    </row>
    <row r="61" spans="1:19" ht="15" hidden="1" customHeight="1" thickTop="1" x14ac:dyDescent="0.35">
      <c r="A61" s="82" t="s">
        <v>178</v>
      </c>
      <c r="B61" s="88" t="s">
        <v>179</v>
      </c>
      <c r="C61" s="164">
        <f>+RUBROS!$AP$42</f>
        <v>12.938273064269636</v>
      </c>
      <c r="D61" s="110">
        <f>+C61</f>
        <v>12.938273064269636</v>
      </c>
      <c r="E61" s="110"/>
      <c r="F61" s="110"/>
      <c r="G61" s="110"/>
      <c r="H61" s="110">
        <f>+C61</f>
        <v>12.938273064269636</v>
      </c>
      <c r="I61" s="110"/>
      <c r="J61" s="110">
        <f>+C61</f>
        <v>12.938273064269636</v>
      </c>
      <c r="K61" s="110"/>
      <c r="L61" s="110">
        <f>+C61</f>
        <v>12.938273064269636</v>
      </c>
      <c r="M61" s="161">
        <f>+C61</f>
        <v>12.938273064269636</v>
      </c>
      <c r="N61" s="133"/>
      <c r="O61" s="110">
        <f>+M61</f>
        <v>12.938273064269636</v>
      </c>
      <c r="P61" s="85">
        <f>+M61</f>
        <v>12.938273064269636</v>
      </c>
      <c r="R61" s="288" t="s">
        <v>385</v>
      </c>
    </row>
    <row r="62" spans="1:19" ht="15" hidden="1" customHeight="1" thickTop="1" x14ac:dyDescent="0.35">
      <c r="A62" s="82"/>
      <c r="B62" s="88" t="s">
        <v>180</v>
      </c>
      <c r="C62" s="164"/>
      <c r="D62" s="110"/>
      <c r="E62" s="110"/>
      <c r="F62" s="110"/>
      <c r="G62" s="110"/>
      <c r="H62" s="110"/>
      <c r="I62" s="110"/>
      <c r="J62" s="110"/>
      <c r="K62" s="110"/>
      <c r="L62" s="110"/>
      <c r="M62" s="161"/>
      <c r="N62" s="133"/>
      <c r="O62" s="110"/>
      <c r="P62" s="85">
        <f>+C62</f>
        <v>0</v>
      </c>
      <c r="R62" s="291" t="s">
        <v>387</v>
      </c>
    </row>
    <row r="63" spans="1:19" ht="15" hidden="1" customHeight="1" thickTop="1" x14ac:dyDescent="0.35">
      <c r="A63" s="89" t="s">
        <v>181</v>
      </c>
      <c r="B63" s="115" t="s">
        <v>182</v>
      </c>
      <c r="C63" s="165">
        <f>SUM(C55:C62)</f>
        <v>10118.347874742962</v>
      </c>
      <c r="D63" s="165">
        <f t="shared" ref="D63:P63" si="12">SUM(D55:D62)</f>
        <v>10289.941474742962</v>
      </c>
      <c r="E63" s="165"/>
      <c r="F63" s="165"/>
      <c r="G63" s="165"/>
      <c r="H63" s="165">
        <f t="shared" si="12"/>
        <v>5023.9352747429621</v>
      </c>
      <c r="I63" s="165"/>
      <c r="J63" s="165">
        <f t="shared" si="12"/>
        <v>6187.0039491429616</v>
      </c>
      <c r="K63" s="165"/>
      <c r="L63" s="165">
        <f t="shared" si="12"/>
        <v>4792.0875047429618</v>
      </c>
      <c r="M63" s="167" t="e">
        <f t="shared" si="12"/>
        <v>#REF!</v>
      </c>
      <c r="N63" s="138"/>
      <c r="O63" s="165" t="e">
        <f t="shared" si="12"/>
        <v>#REF!</v>
      </c>
      <c r="P63" s="168" t="e">
        <f t="shared" si="12"/>
        <v>#REF!</v>
      </c>
    </row>
    <row r="64" spans="1:19" ht="15" hidden="1" customHeight="1" thickTop="1" x14ac:dyDescent="0.35">
      <c r="A64" s="82" t="s">
        <v>183</v>
      </c>
      <c r="B64" s="88" t="s">
        <v>246</v>
      </c>
      <c r="C64" s="180" t="s">
        <v>214</v>
      </c>
      <c r="D64" s="110" t="str">
        <f>+C64</f>
        <v>***</v>
      </c>
      <c r="E64" s="110"/>
      <c r="F64" s="110"/>
      <c r="G64" s="110"/>
      <c r="H64" s="110" t="str">
        <f>+C64</f>
        <v>***</v>
      </c>
      <c r="I64" s="110"/>
      <c r="J64" s="110" t="str">
        <f>+H64</f>
        <v>***</v>
      </c>
      <c r="K64" s="110"/>
      <c r="L64" s="110" t="str">
        <f>+H64</f>
        <v>***</v>
      </c>
      <c r="M64" s="161" t="str">
        <f>P64</f>
        <v>***</v>
      </c>
      <c r="N64" s="133"/>
      <c r="O64" s="110" t="str">
        <f>+P64</f>
        <v>***</v>
      </c>
      <c r="P64" s="85" t="str">
        <f>+H64</f>
        <v>***</v>
      </c>
    </row>
    <row r="65" spans="1:16" ht="15" hidden="1" customHeight="1" thickTop="1" x14ac:dyDescent="0.35">
      <c r="A65" s="82" t="s">
        <v>185</v>
      </c>
      <c r="B65" s="88" t="s">
        <v>186</v>
      </c>
      <c r="C65" s="179" t="s">
        <v>212</v>
      </c>
      <c r="D65" s="110" t="str">
        <f>+C65</f>
        <v>**</v>
      </c>
      <c r="E65" s="110"/>
      <c r="F65" s="110"/>
      <c r="G65" s="110"/>
      <c r="H65" s="110" t="str">
        <f>+C65</f>
        <v>**</v>
      </c>
      <c r="I65" s="110"/>
      <c r="J65" s="110" t="str">
        <f>+C65</f>
        <v>**</v>
      </c>
      <c r="K65" s="110"/>
      <c r="L65" s="110" t="str">
        <f>+C65</f>
        <v>**</v>
      </c>
      <c r="M65" s="161" t="e">
        <f>+#REF!</f>
        <v>#REF!</v>
      </c>
      <c r="N65" s="133"/>
      <c r="O65" s="110" t="e">
        <f>+M65</f>
        <v>#REF!</v>
      </c>
      <c r="P65" s="85" t="e">
        <f>+O65</f>
        <v>#REF!</v>
      </c>
    </row>
    <row r="66" spans="1:16" ht="15" hidden="1" customHeight="1" thickTop="1" x14ac:dyDescent="0.35">
      <c r="A66" s="82" t="s">
        <v>187</v>
      </c>
      <c r="B66" s="88" t="s">
        <v>134</v>
      </c>
      <c r="C66" s="164">
        <f>+H66</f>
        <v>0</v>
      </c>
      <c r="D66" s="110">
        <f t="shared" ref="D66" si="13">+H66</f>
        <v>0</v>
      </c>
      <c r="E66" s="110"/>
      <c r="F66" s="110"/>
      <c r="G66" s="110"/>
      <c r="H66" s="114">
        <f>+A161</f>
        <v>0</v>
      </c>
      <c r="I66" s="114"/>
      <c r="J66" s="114">
        <f>+H66</f>
        <v>0</v>
      </c>
      <c r="K66" s="114"/>
      <c r="L66" s="114">
        <f>+A161</f>
        <v>0</v>
      </c>
      <c r="M66" s="182">
        <f>C66</f>
        <v>0</v>
      </c>
      <c r="N66" s="131"/>
      <c r="O66" s="110">
        <f>+P66</f>
        <v>0</v>
      </c>
      <c r="P66" s="87">
        <f>M66</f>
        <v>0</v>
      </c>
    </row>
    <row r="67" spans="1:16" ht="15" hidden="1" customHeight="1" thickTop="1" x14ac:dyDescent="0.35">
      <c r="A67" s="89" t="s">
        <v>189</v>
      </c>
      <c r="B67" s="115" t="s">
        <v>190</v>
      </c>
      <c r="C67" s="169">
        <f t="shared" ref="C67:P68" si="14">+C63</f>
        <v>10118.347874742962</v>
      </c>
      <c r="D67" s="116">
        <f t="shared" si="14"/>
        <v>10289.941474742962</v>
      </c>
      <c r="E67" s="116"/>
      <c r="F67" s="116"/>
      <c r="G67" s="116"/>
      <c r="H67" s="116">
        <f t="shared" si="14"/>
        <v>5023.9352747429621</v>
      </c>
      <c r="I67" s="116"/>
      <c r="J67" s="116">
        <f t="shared" si="14"/>
        <v>6187.0039491429616</v>
      </c>
      <c r="K67" s="116"/>
      <c r="L67" s="116">
        <f t="shared" si="14"/>
        <v>4792.0875047429618</v>
      </c>
      <c r="M67" s="167" t="e">
        <f t="shared" si="14"/>
        <v>#REF!</v>
      </c>
      <c r="N67" s="138"/>
      <c r="O67" s="116" t="e">
        <f t="shared" si="14"/>
        <v>#REF!</v>
      </c>
      <c r="P67" s="91" t="e">
        <f t="shared" si="14"/>
        <v>#REF!</v>
      </c>
    </row>
    <row r="68" spans="1:16" ht="15" hidden="1" customHeight="1" thickTop="1" x14ac:dyDescent="0.35">
      <c r="A68" s="82" t="s">
        <v>191</v>
      </c>
      <c r="B68" s="88" t="s">
        <v>150</v>
      </c>
      <c r="C68" s="164" t="str">
        <f>+H68</f>
        <v>***</v>
      </c>
      <c r="D68" s="110" t="str">
        <f t="shared" ref="D68" si="15">+H68</f>
        <v>***</v>
      </c>
      <c r="E68" s="110"/>
      <c r="F68" s="110"/>
      <c r="G68" s="110"/>
      <c r="H68" s="110" t="str">
        <f t="shared" si="14"/>
        <v>***</v>
      </c>
      <c r="I68" s="110"/>
      <c r="J68" s="110" t="str">
        <f>+H68</f>
        <v>***</v>
      </c>
      <c r="K68" s="110"/>
      <c r="L68" s="110" t="str">
        <f>+L64</f>
        <v>***</v>
      </c>
      <c r="M68" s="161" t="str">
        <f>P68</f>
        <v>***</v>
      </c>
      <c r="N68" s="133"/>
      <c r="O68" s="110" t="str">
        <f>+P68</f>
        <v>***</v>
      </c>
      <c r="P68" s="85" t="str">
        <f>+P64</f>
        <v>***</v>
      </c>
    </row>
    <row r="69" spans="1:16" ht="15" hidden="1" customHeight="1" thickTop="1" x14ac:dyDescent="0.35">
      <c r="A69" s="82" t="s">
        <v>192</v>
      </c>
      <c r="B69" s="83" t="s">
        <v>193</v>
      </c>
      <c r="C69" s="170" t="s">
        <v>218</v>
      </c>
      <c r="D69" s="110" t="str">
        <f>+C69</f>
        <v>*****</v>
      </c>
      <c r="E69" s="110"/>
      <c r="F69" s="110"/>
      <c r="G69" s="110"/>
      <c r="H69" s="110" t="s">
        <v>194</v>
      </c>
      <c r="I69" s="110"/>
      <c r="J69" s="110" t="str">
        <f>+H69</f>
        <v>N.A</v>
      </c>
      <c r="K69" s="110"/>
      <c r="L69" s="110" t="s">
        <v>194</v>
      </c>
      <c r="M69" s="161" t="e">
        <f>+#REF!</f>
        <v>#REF!</v>
      </c>
      <c r="N69" s="133"/>
      <c r="O69" s="110" t="s">
        <v>236</v>
      </c>
      <c r="P69" s="85" t="e">
        <f>+#REF!</f>
        <v>#REF!</v>
      </c>
    </row>
    <row r="70" spans="1:16" ht="24.75" hidden="1" customHeight="1" thickTop="1" x14ac:dyDescent="0.35">
      <c r="A70" s="82" t="s">
        <v>195</v>
      </c>
      <c r="B70" s="83" t="s">
        <v>196</v>
      </c>
      <c r="C70" s="170" t="s">
        <v>219</v>
      </c>
      <c r="D70" s="110" t="str">
        <f>+C70</f>
        <v>******</v>
      </c>
      <c r="E70" s="110"/>
      <c r="F70" s="110"/>
      <c r="G70" s="110"/>
      <c r="H70" s="110" t="str">
        <f>+C70</f>
        <v>******</v>
      </c>
      <c r="I70" s="110"/>
      <c r="J70" s="110" t="str">
        <f>+C70</f>
        <v>******</v>
      </c>
      <c r="K70" s="110"/>
      <c r="L70" s="110" t="str">
        <f>+C70</f>
        <v>******</v>
      </c>
      <c r="M70" s="161" t="str">
        <f>+C70</f>
        <v>******</v>
      </c>
      <c r="N70" s="133"/>
      <c r="O70" s="110" t="str">
        <f>+C70</f>
        <v>******</v>
      </c>
      <c r="P70" s="85" t="str">
        <f>+C70</f>
        <v>******</v>
      </c>
    </row>
    <row r="71" spans="1:16" ht="15.65" hidden="1" customHeight="1" thickTop="1" thickBot="1" x14ac:dyDescent="0.4">
      <c r="A71" s="93" t="s">
        <v>197</v>
      </c>
      <c r="B71" s="94" t="s">
        <v>198</v>
      </c>
      <c r="C71" s="171"/>
      <c r="D71" s="118"/>
      <c r="E71" s="118"/>
      <c r="F71" s="118"/>
      <c r="G71" s="118"/>
      <c r="H71" s="118"/>
      <c r="I71" s="118"/>
      <c r="J71" s="118"/>
      <c r="K71" s="118"/>
      <c r="L71" s="118"/>
      <c r="M71" s="268"/>
      <c r="N71" s="586"/>
      <c r="O71" s="269"/>
      <c r="P71" s="270"/>
    </row>
    <row r="72" spans="1:16" ht="15" hidden="1" customHeight="1" thickTop="1" x14ac:dyDescent="0.35">
      <c r="A72" s="98"/>
      <c r="B72" s="99"/>
      <c r="C72" s="99"/>
      <c r="D72" s="100"/>
      <c r="E72" s="100"/>
      <c r="F72" s="100"/>
      <c r="G72" s="100"/>
      <c r="H72" s="100"/>
      <c r="I72" s="100"/>
      <c r="J72" s="100"/>
      <c r="K72" s="100"/>
      <c r="L72" s="100"/>
      <c r="M72" s="100"/>
      <c r="N72" s="100"/>
      <c r="O72" s="100"/>
      <c r="P72" s="100"/>
    </row>
    <row r="73" spans="1:16" ht="15" hidden="1" customHeight="1" thickTop="1" x14ac:dyDescent="0.35">
      <c r="A73" s="98"/>
      <c r="B73" s="99"/>
      <c r="C73" s="99"/>
      <c r="D73" s="100"/>
      <c r="E73" s="100"/>
      <c r="F73" s="100"/>
      <c r="G73" s="100"/>
      <c r="H73" s="100"/>
      <c r="I73" s="100"/>
      <c r="J73" s="100"/>
      <c r="K73" s="100"/>
      <c r="L73" s="100"/>
      <c r="M73" s="100"/>
      <c r="N73" s="100"/>
      <c r="O73" s="100"/>
      <c r="P73" s="100"/>
    </row>
    <row r="74" spans="1:16" ht="15" hidden="1" customHeight="1" thickTop="1" x14ac:dyDescent="0.35">
      <c r="A74" s="128"/>
      <c r="B74" s="106" t="s">
        <v>423</v>
      </c>
      <c r="C74" s="784" t="s">
        <v>163</v>
      </c>
      <c r="D74" s="785"/>
      <c r="E74" s="785"/>
      <c r="F74" s="785"/>
      <c r="G74" s="785"/>
      <c r="H74" s="785"/>
      <c r="I74" s="785"/>
      <c r="J74" s="785"/>
      <c r="K74" s="785"/>
      <c r="L74" s="785"/>
      <c r="M74" s="824" t="s">
        <v>232</v>
      </c>
      <c r="N74" s="825"/>
      <c r="O74" s="825"/>
      <c r="P74" s="826"/>
    </row>
    <row r="75" spans="1:16" ht="43.4" hidden="1" customHeight="1" thickTop="1" x14ac:dyDescent="0.35">
      <c r="A75" s="107"/>
      <c r="B75" s="183" t="s">
        <v>253</v>
      </c>
      <c r="C75" s="787"/>
      <c r="D75" s="788"/>
      <c r="E75" s="788"/>
      <c r="F75" s="788"/>
      <c r="G75" s="788"/>
      <c r="H75" s="788"/>
      <c r="I75" s="788"/>
      <c r="J75" s="788"/>
      <c r="K75" s="788"/>
      <c r="L75" s="788"/>
      <c r="M75" s="822"/>
      <c r="N75" s="823"/>
      <c r="O75" s="823"/>
      <c r="P75" s="827"/>
    </row>
    <row r="76" spans="1:16" ht="42" hidden="1" customHeight="1" thickTop="1" x14ac:dyDescent="0.35">
      <c r="A76" s="790" t="s">
        <v>164</v>
      </c>
      <c r="B76" s="792" t="s">
        <v>165</v>
      </c>
      <c r="C76" s="780" t="s">
        <v>223</v>
      </c>
      <c r="D76" s="108" t="s">
        <v>96</v>
      </c>
      <c r="E76" s="108"/>
      <c r="F76" s="108"/>
      <c r="G76" s="108"/>
      <c r="H76" s="108" t="s">
        <v>155</v>
      </c>
      <c r="I76" s="108"/>
      <c r="J76" s="108" t="s">
        <v>395</v>
      </c>
      <c r="K76" s="532"/>
      <c r="L76" s="794" t="s">
        <v>373</v>
      </c>
      <c r="M76" s="81" t="s">
        <v>96</v>
      </c>
      <c r="N76" s="585"/>
      <c r="O76" s="334" t="str">
        <f>+J76</f>
        <v>Biodiesel B12</v>
      </c>
      <c r="P76" s="334" t="s">
        <v>124</v>
      </c>
    </row>
    <row r="77" spans="1:16" ht="15" hidden="1" customHeight="1" thickTop="1" x14ac:dyDescent="0.35">
      <c r="A77" s="790"/>
      <c r="B77" s="792"/>
      <c r="C77" s="781"/>
      <c r="D77" s="333">
        <v>0.08</v>
      </c>
      <c r="E77" s="333"/>
      <c r="F77" s="333"/>
      <c r="G77" s="333"/>
      <c r="H77" s="124">
        <v>0.02</v>
      </c>
      <c r="I77" s="124"/>
      <c r="J77" s="265">
        <f>+BOYACA!K78</f>
        <v>0</v>
      </c>
      <c r="K77" s="605"/>
      <c r="L77" s="795"/>
      <c r="M77" s="184">
        <v>0.04</v>
      </c>
      <c r="N77" s="587"/>
      <c r="O77" s="266">
        <f>+J77</f>
        <v>0</v>
      </c>
      <c r="P77" s="185" t="s">
        <v>245</v>
      </c>
    </row>
    <row r="78" spans="1:16" ht="15" hidden="1" customHeight="1" thickTop="1" x14ac:dyDescent="0.35">
      <c r="A78" s="791"/>
      <c r="B78" s="793"/>
      <c r="C78" s="81" t="s">
        <v>166</v>
      </c>
      <c r="D78" s="108" t="s">
        <v>166</v>
      </c>
      <c r="E78" s="108"/>
      <c r="F78" s="108"/>
      <c r="G78" s="108"/>
      <c r="H78" s="108" t="s">
        <v>166</v>
      </c>
      <c r="I78" s="108"/>
      <c r="J78" s="108" t="s">
        <v>166</v>
      </c>
      <c r="K78" s="108"/>
      <c r="L78" s="108" t="s">
        <v>166</v>
      </c>
      <c r="M78" s="81" t="s">
        <v>166</v>
      </c>
      <c r="N78" s="585"/>
      <c r="O78" s="334" t="s">
        <v>166</v>
      </c>
      <c r="P78" s="176" t="s">
        <v>166</v>
      </c>
    </row>
    <row r="79" spans="1:16" ht="15" hidden="1" customHeight="1" thickTop="1" x14ac:dyDescent="0.35">
      <c r="A79" s="82" t="s">
        <v>167</v>
      </c>
      <c r="B79" s="88" t="s">
        <v>168</v>
      </c>
      <c r="C79" s="177">
        <f>+'Calculo IP ZDF'!$B$43</f>
        <v>9914.16</v>
      </c>
      <c r="D79" s="177">
        <f>+'Calculo IP ZDF'!$H$43</f>
        <v>10092.5136</v>
      </c>
      <c r="E79" s="177"/>
      <c r="F79" s="177"/>
      <c r="G79" s="177"/>
      <c r="H79" s="177">
        <f>+'Calculo IP ZDF'!$F$43</f>
        <v>4801.5673999999999</v>
      </c>
      <c r="I79" s="177"/>
      <c r="J79" s="177">
        <f>+'Calculo IP ZDF'!$P$43</f>
        <v>5979.9160744000001</v>
      </c>
      <c r="K79" s="177"/>
      <c r="L79" s="114">
        <f>+'Calculo IP ZDF'!$C$43</f>
        <v>4565.8996299999999</v>
      </c>
      <c r="M79" s="161">
        <f>+'GAS CTE'!$E$9</f>
        <v>10092.5136</v>
      </c>
      <c r="N79" s="133"/>
      <c r="O79" s="133">
        <f>+BIODIESEL!$K$9</f>
        <v>6162.2084000000004</v>
      </c>
      <c r="P79" s="151" t="e">
        <f>+#REF!</f>
        <v>#REF!</v>
      </c>
    </row>
    <row r="80" spans="1:16" ht="15" hidden="1" customHeight="1" thickTop="1" x14ac:dyDescent="0.35">
      <c r="A80" s="82" t="s">
        <v>169</v>
      </c>
      <c r="B80" s="88" t="s">
        <v>170</v>
      </c>
      <c r="C80" s="131" t="str">
        <f>+H80</f>
        <v>------------------</v>
      </c>
      <c r="D80" s="131" t="s">
        <v>171</v>
      </c>
      <c r="E80" s="131"/>
      <c r="F80" s="131"/>
      <c r="G80" s="131"/>
      <c r="H80" s="131" t="s">
        <v>171</v>
      </c>
      <c r="I80" s="131"/>
      <c r="J80" s="131" t="s">
        <v>171</v>
      </c>
      <c r="K80" s="131"/>
      <c r="L80" s="111" t="s">
        <v>171</v>
      </c>
      <c r="M80" s="163">
        <f>+'GAS CTE'!$E$10</f>
        <v>636.6336</v>
      </c>
      <c r="N80" s="130"/>
      <c r="O80" s="130">
        <f>+BIODIESEL!$I$10</f>
        <v>571.26600000000008</v>
      </c>
      <c r="P80" s="149" t="e">
        <f>+#REF!</f>
        <v>#REF!</v>
      </c>
    </row>
    <row r="81" spans="1:16" ht="15" hidden="1" customHeight="1" thickTop="1" x14ac:dyDescent="0.35">
      <c r="A81" s="82"/>
      <c r="B81" s="88" t="s">
        <v>129</v>
      </c>
      <c r="C81" s="131" t="str">
        <f>+H81</f>
        <v>------------------</v>
      </c>
      <c r="D81" s="131" t="s">
        <v>171</v>
      </c>
      <c r="E81" s="131"/>
      <c r="F81" s="131"/>
      <c r="G81" s="131"/>
      <c r="H81" s="131" t="s">
        <v>171</v>
      </c>
      <c r="I81" s="131"/>
      <c r="J81" s="131" t="s">
        <v>171</v>
      </c>
      <c r="K81" s="131"/>
      <c r="L81" s="111" t="s">
        <v>171</v>
      </c>
      <c r="M81" s="163" t="e">
        <f>+#REF!</f>
        <v>#REF!</v>
      </c>
      <c r="N81" s="163"/>
      <c r="O81" s="163" t="str">
        <f>+P34</f>
        <v>(3)</v>
      </c>
      <c r="P81" s="149" t="e">
        <f>'[5]CORRIENTE OXIGENADA'!D84</f>
        <v>#REF!</v>
      </c>
    </row>
    <row r="82" spans="1:16" ht="15" hidden="1" customHeight="1" thickTop="1" x14ac:dyDescent="0.35">
      <c r="A82" s="82"/>
      <c r="B82" s="88" t="s">
        <v>131</v>
      </c>
      <c r="C82" s="164">
        <f>+'GAS CTE'!$C$12</f>
        <v>169</v>
      </c>
      <c r="D82" s="164">
        <f>+'GAS CTE'!$E$12</f>
        <v>162.23999999999998</v>
      </c>
      <c r="E82" s="164"/>
      <c r="F82" s="164"/>
      <c r="G82" s="164"/>
      <c r="H82" s="164">
        <f>+BIODIESEL!$E$12</f>
        <v>187.18</v>
      </c>
      <c r="I82" s="164"/>
      <c r="J82" s="164">
        <f>+BIODIESEL!$I$12</f>
        <v>171.9</v>
      </c>
      <c r="K82" s="164"/>
      <c r="L82" s="114">
        <f>+BIODIESEL!$C$12</f>
        <v>191</v>
      </c>
      <c r="M82" s="163">
        <f>+'GAS CTE'!$E$12</f>
        <v>162.23999999999998</v>
      </c>
      <c r="N82" s="130"/>
      <c r="O82" s="130">
        <f>+J82</f>
        <v>171.9</v>
      </c>
      <c r="P82" s="149" t="e">
        <f>+#REF!</f>
        <v>#REF!</v>
      </c>
    </row>
    <row r="83" spans="1:16" ht="15" hidden="1" customHeight="1" thickTop="1" x14ac:dyDescent="0.35">
      <c r="A83" s="82" t="s">
        <v>172</v>
      </c>
      <c r="B83" s="88" t="s">
        <v>250</v>
      </c>
      <c r="C83" s="179" t="s">
        <v>200</v>
      </c>
      <c r="D83" s="131" t="str">
        <f>+C83</f>
        <v>(2)</v>
      </c>
      <c r="E83" s="131"/>
      <c r="F83" s="131"/>
      <c r="G83" s="131"/>
      <c r="H83" s="131" t="str">
        <f>+C83</f>
        <v>(2)</v>
      </c>
      <c r="I83" s="131"/>
      <c r="J83" s="131" t="str">
        <f>+C83</f>
        <v>(2)</v>
      </c>
      <c r="K83" s="131"/>
      <c r="L83" s="110" t="str">
        <f>+C83</f>
        <v>(2)</v>
      </c>
      <c r="M83" s="163" t="str">
        <f>+P83</f>
        <v>(2)</v>
      </c>
      <c r="N83" s="130"/>
      <c r="O83" s="130" t="str">
        <f>+D83</f>
        <v>(2)</v>
      </c>
      <c r="P83" s="149" t="str">
        <f>+H83</f>
        <v>(2)</v>
      </c>
    </row>
    <row r="84" spans="1:16" ht="15" hidden="1" customHeight="1" thickTop="1" x14ac:dyDescent="0.35">
      <c r="A84" s="82" t="s">
        <v>174</v>
      </c>
      <c r="B84" s="88" t="s">
        <v>175</v>
      </c>
      <c r="C84" s="164">
        <f>+RUBROS!$Z$13</f>
        <v>22.249601678692599</v>
      </c>
      <c r="D84" s="110">
        <f>+C84</f>
        <v>22.249601678692599</v>
      </c>
      <c r="E84" s="110"/>
      <c r="F84" s="110"/>
      <c r="G84" s="110"/>
      <c r="H84" s="110">
        <f>+C84</f>
        <v>22.249601678692599</v>
      </c>
      <c r="I84" s="110"/>
      <c r="J84" s="110">
        <f>+C84</f>
        <v>22.249601678692599</v>
      </c>
      <c r="K84" s="110"/>
      <c r="L84" s="110">
        <f>+C84</f>
        <v>22.249601678692599</v>
      </c>
      <c r="M84" s="161" t="e">
        <f>+#REF!</f>
        <v>#REF!</v>
      </c>
      <c r="N84" s="133"/>
      <c r="O84" s="110" t="e">
        <f>+#REF!</f>
        <v>#REF!</v>
      </c>
      <c r="P84" s="85" t="e">
        <f>+#REF!</f>
        <v>#REF!</v>
      </c>
    </row>
    <row r="85" spans="1:16" ht="15" hidden="1" customHeight="1" thickTop="1" x14ac:dyDescent="0.35">
      <c r="A85" s="82" t="s">
        <v>178</v>
      </c>
      <c r="B85" s="88" t="s">
        <v>179</v>
      </c>
      <c r="C85" s="164">
        <f>+RUBROS!$AP$42</f>
        <v>12.938273064269636</v>
      </c>
      <c r="D85" s="110">
        <f>+C85</f>
        <v>12.938273064269636</v>
      </c>
      <c r="E85" s="110"/>
      <c r="F85" s="110"/>
      <c r="G85" s="110"/>
      <c r="H85" s="110">
        <f>+C85</f>
        <v>12.938273064269636</v>
      </c>
      <c r="I85" s="110"/>
      <c r="J85" s="110">
        <f>+C85</f>
        <v>12.938273064269636</v>
      </c>
      <c r="K85" s="110"/>
      <c r="L85" s="110">
        <f>+C85</f>
        <v>12.938273064269636</v>
      </c>
      <c r="M85" s="161">
        <f>+C85</f>
        <v>12.938273064269636</v>
      </c>
      <c r="N85" s="133"/>
      <c r="O85" s="110">
        <f>+M85</f>
        <v>12.938273064269636</v>
      </c>
      <c r="P85" s="85">
        <f>+M85</f>
        <v>12.938273064269636</v>
      </c>
    </row>
    <row r="86" spans="1:16" ht="15" hidden="1" customHeight="1" thickTop="1" x14ac:dyDescent="0.35">
      <c r="A86" s="82"/>
      <c r="B86" s="88" t="s">
        <v>180</v>
      </c>
      <c r="C86" s="164"/>
      <c r="D86" s="110"/>
      <c r="E86" s="110"/>
      <c r="F86" s="110"/>
      <c r="G86" s="110"/>
      <c r="H86" s="110"/>
      <c r="I86" s="110"/>
      <c r="J86" s="110"/>
      <c r="K86" s="110"/>
      <c r="L86" s="110"/>
      <c r="M86" s="161"/>
      <c r="N86" s="133"/>
      <c r="O86" s="110"/>
      <c r="P86" s="85">
        <f>+C86</f>
        <v>0</v>
      </c>
    </row>
    <row r="87" spans="1:16" ht="15" hidden="1" customHeight="1" thickTop="1" x14ac:dyDescent="0.35">
      <c r="A87" s="89" t="s">
        <v>181</v>
      </c>
      <c r="B87" s="115" t="s">
        <v>182</v>
      </c>
      <c r="C87" s="165">
        <f>SUM(C79:C86)</f>
        <v>10118.347874742962</v>
      </c>
      <c r="D87" s="165">
        <f t="shared" ref="D87:P87" si="16">SUM(D79:D86)</f>
        <v>10289.941474742962</v>
      </c>
      <c r="E87" s="165"/>
      <c r="F87" s="165"/>
      <c r="G87" s="165"/>
      <c r="H87" s="165">
        <f t="shared" si="16"/>
        <v>5023.9352747429621</v>
      </c>
      <c r="I87" s="165"/>
      <c r="J87" s="165">
        <f t="shared" si="16"/>
        <v>6187.0039491429616</v>
      </c>
      <c r="K87" s="165"/>
      <c r="L87" s="165">
        <f t="shared" si="16"/>
        <v>4792.0875047429618</v>
      </c>
      <c r="M87" s="167" t="e">
        <f t="shared" si="16"/>
        <v>#REF!</v>
      </c>
      <c r="N87" s="138"/>
      <c r="O87" s="165" t="e">
        <f t="shared" si="16"/>
        <v>#REF!</v>
      </c>
      <c r="P87" s="168" t="e">
        <f t="shared" si="16"/>
        <v>#REF!</v>
      </c>
    </row>
    <row r="88" spans="1:16" ht="15" hidden="1" customHeight="1" thickTop="1" x14ac:dyDescent="0.35">
      <c r="A88" s="82" t="s">
        <v>183</v>
      </c>
      <c r="B88" s="88" t="s">
        <v>246</v>
      </c>
      <c r="C88" s="180" t="s">
        <v>214</v>
      </c>
      <c r="D88" s="110" t="str">
        <f>+C88</f>
        <v>***</v>
      </c>
      <c r="E88" s="110"/>
      <c r="F88" s="110"/>
      <c r="G88" s="110"/>
      <c r="H88" s="110" t="str">
        <f>+C88</f>
        <v>***</v>
      </c>
      <c r="I88" s="110"/>
      <c r="J88" s="110" t="str">
        <f>+H88</f>
        <v>***</v>
      </c>
      <c r="K88" s="110"/>
      <c r="L88" s="110" t="str">
        <f>+H88</f>
        <v>***</v>
      </c>
      <c r="M88" s="161" t="str">
        <f>P88</f>
        <v>***</v>
      </c>
      <c r="N88" s="133"/>
      <c r="O88" s="110" t="str">
        <f>+P88</f>
        <v>***</v>
      </c>
      <c r="P88" s="85" t="str">
        <f>+H88</f>
        <v>***</v>
      </c>
    </row>
    <row r="89" spans="1:16" ht="15" hidden="1" customHeight="1" thickTop="1" x14ac:dyDescent="0.35">
      <c r="A89" s="82" t="s">
        <v>185</v>
      </c>
      <c r="B89" s="88" t="s">
        <v>186</v>
      </c>
      <c r="C89" s="179" t="s">
        <v>212</v>
      </c>
      <c r="D89" s="110" t="str">
        <f>+C89</f>
        <v>**</v>
      </c>
      <c r="E89" s="110"/>
      <c r="F89" s="110"/>
      <c r="G89" s="110"/>
      <c r="H89" s="110" t="str">
        <f>+C89</f>
        <v>**</v>
      </c>
      <c r="I89" s="110"/>
      <c r="J89" s="110" t="str">
        <f>+C89</f>
        <v>**</v>
      </c>
      <c r="K89" s="110"/>
      <c r="L89" s="110" t="str">
        <f>+C89</f>
        <v>**</v>
      </c>
      <c r="M89" s="161" t="e">
        <f>+#REF!</f>
        <v>#REF!</v>
      </c>
      <c r="N89" s="133"/>
      <c r="O89" s="110" t="e">
        <f>+M89</f>
        <v>#REF!</v>
      </c>
      <c r="P89" s="85" t="e">
        <f>+O89</f>
        <v>#REF!</v>
      </c>
    </row>
    <row r="90" spans="1:16" ht="15" hidden="1" customHeight="1" thickTop="1" x14ac:dyDescent="0.35">
      <c r="A90" s="82" t="s">
        <v>187</v>
      </c>
      <c r="B90" s="88" t="s">
        <v>134</v>
      </c>
      <c r="C90" s="164">
        <f>+H90</f>
        <v>0</v>
      </c>
      <c r="D90" s="110">
        <f t="shared" ref="D90" si="17">+H90</f>
        <v>0</v>
      </c>
      <c r="E90" s="110"/>
      <c r="F90" s="110"/>
      <c r="G90" s="110"/>
      <c r="H90" s="114">
        <f>+A185</f>
        <v>0</v>
      </c>
      <c r="I90" s="114"/>
      <c r="J90" s="114">
        <f>+H90</f>
        <v>0</v>
      </c>
      <c r="K90" s="114"/>
      <c r="L90" s="114">
        <f>+A185</f>
        <v>0</v>
      </c>
      <c r="M90" s="182">
        <f>C90</f>
        <v>0</v>
      </c>
      <c r="N90" s="131"/>
      <c r="O90" s="110">
        <f>+P90</f>
        <v>0</v>
      </c>
      <c r="P90" s="87">
        <f>M90</f>
        <v>0</v>
      </c>
    </row>
    <row r="91" spans="1:16" ht="15" hidden="1" customHeight="1" thickTop="1" x14ac:dyDescent="0.35">
      <c r="A91" s="89" t="s">
        <v>189</v>
      </c>
      <c r="B91" s="115" t="s">
        <v>190</v>
      </c>
      <c r="C91" s="169">
        <f t="shared" ref="C91:P91" si="18">+C87</f>
        <v>10118.347874742962</v>
      </c>
      <c r="D91" s="116">
        <f t="shared" si="18"/>
        <v>10289.941474742962</v>
      </c>
      <c r="E91" s="116"/>
      <c r="F91" s="116"/>
      <c r="G91" s="116"/>
      <c r="H91" s="116">
        <f t="shared" si="18"/>
        <v>5023.9352747429621</v>
      </c>
      <c r="I91" s="116"/>
      <c r="J91" s="116">
        <f t="shared" si="18"/>
        <v>6187.0039491429616</v>
      </c>
      <c r="K91" s="116"/>
      <c r="L91" s="116">
        <f t="shared" si="18"/>
        <v>4792.0875047429618</v>
      </c>
      <c r="M91" s="167" t="e">
        <f t="shared" si="18"/>
        <v>#REF!</v>
      </c>
      <c r="N91" s="138"/>
      <c r="O91" s="116" t="e">
        <f t="shared" si="18"/>
        <v>#REF!</v>
      </c>
      <c r="P91" s="91" t="e">
        <f t="shared" si="18"/>
        <v>#REF!</v>
      </c>
    </row>
    <row r="92" spans="1:16" ht="15" hidden="1" customHeight="1" thickTop="1" x14ac:dyDescent="0.35">
      <c r="A92" s="82" t="s">
        <v>191</v>
      </c>
      <c r="B92" s="88" t="s">
        <v>150</v>
      </c>
      <c r="C92" s="164" t="str">
        <f>+H92</f>
        <v>***</v>
      </c>
      <c r="D92" s="110" t="str">
        <f t="shared" ref="D92" si="19">+H92</f>
        <v>***</v>
      </c>
      <c r="E92" s="110"/>
      <c r="F92" s="110"/>
      <c r="G92" s="110"/>
      <c r="H92" s="110" t="str">
        <f t="shared" ref="H92" si="20">+H88</f>
        <v>***</v>
      </c>
      <c r="I92" s="110"/>
      <c r="J92" s="110" t="str">
        <f>+H92</f>
        <v>***</v>
      </c>
      <c r="K92" s="110"/>
      <c r="L92" s="110" t="str">
        <f>+L88</f>
        <v>***</v>
      </c>
      <c r="M92" s="161" t="str">
        <f>P92</f>
        <v>***</v>
      </c>
      <c r="N92" s="133"/>
      <c r="O92" s="110" t="str">
        <f>+P92</f>
        <v>***</v>
      </c>
      <c r="P92" s="85" t="str">
        <f>+P88</f>
        <v>***</v>
      </c>
    </row>
    <row r="93" spans="1:16" ht="15" hidden="1" customHeight="1" thickTop="1" x14ac:dyDescent="0.35">
      <c r="A93" s="82" t="s">
        <v>192</v>
      </c>
      <c r="B93" s="83" t="s">
        <v>193</v>
      </c>
      <c r="C93" s="170" t="s">
        <v>218</v>
      </c>
      <c r="D93" s="110" t="str">
        <f>+C93</f>
        <v>*****</v>
      </c>
      <c r="E93" s="110"/>
      <c r="F93" s="110"/>
      <c r="G93" s="110"/>
      <c r="H93" s="110" t="s">
        <v>194</v>
      </c>
      <c r="I93" s="110"/>
      <c r="J93" s="110" t="str">
        <f>+H93</f>
        <v>N.A</v>
      </c>
      <c r="K93" s="110"/>
      <c r="L93" s="110" t="s">
        <v>194</v>
      </c>
      <c r="M93" s="161" t="e">
        <f>+#REF!</f>
        <v>#REF!</v>
      </c>
      <c r="N93" s="133"/>
      <c r="O93" s="110" t="s">
        <v>236</v>
      </c>
      <c r="P93" s="85" t="e">
        <f>+#REF!</f>
        <v>#REF!</v>
      </c>
    </row>
    <row r="94" spans="1:16" ht="15" hidden="1" customHeight="1" thickTop="1" x14ac:dyDescent="0.35">
      <c r="A94" s="82" t="s">
        <v>195</v>
      </c>
      <c r="B94" s="83" t="s">
        <v>196</v>
      </c>
      <c r="C94" s="170" t="s">
        <v>219</v>
      </c>
      <c r="D94" s="110" t="str">
        <f>+C94</f>
        <v>******</v>
      </c>
      <c r="E94" s="110"/>
      <c r="F94" s="110"/>
      <c r="G94" s="110"/>
      <c r="H94" s="110" t="str">
        <f>+C94</f>
        <v>******</v>
      </c>
      <c r="I94" s="110"/>
      <c r="J94" s="110" t="str">
        <f>+C94</f>
        <v>******</v>
      </c>
      <c r="K94" s="110"/>
      <c r="L94" s="110" t="str">
        <f>+C94</f>
        <v>******</v>
      </c>
      <c r="M94" s="161" t="str">
        <f>+C94</f>
        <v>******</v>
      </c>
      <c r="N94" s="133"/>
      <c r="O94" s="110" t="str">
        <f>+C94</f>
        <v>******</v>
      </c>
      <c r="P94" s="85" t="str">
        <f>+C94</f>
        <v>******</v>
      </c>
    </row>
    <row r="95" spans="1:16" ht="15.65" hidden="1" customHeight="1" thickTop="1" thickBot="1" x14ac:dyDescent="0.4">
      <c r="A95" s="93" t="s">
        <v>197</v>
      </c>
      <c r="B95" s="94" t="s">
        <v>198</v>
      </c>
      <c r="C95" s="171"/>
      <c r="D95" s="118"/>
      <c r="E95" s="118"/>
      <c r="F95" s="118"/>
      <c r="G95" s="118"/>
      <c r="H95" s="118"/>
      <c r="I95" s="118"/>
      <c r="J95" s="118"/>
      <c r="K95" s="118"/>
      <c r="L95" s="118"/>
      <c r="M95" s="268"/>
      <c r="N95" s="586"/>
      <c r="O95" s="269"/>
      <c r="P95" s="270"/>
    </row>
    <row r="96" spans="1:16" ht="15" hidden="1" customHeight="1" thickTop="1" x14ac:dyDescent="0.35">
      <c r="A96" s="98"/>
      <c r="B96" s="99"/>
      <c r="C96" s="99"/>
      <c r="D96" s="100"/>
      <c r="E96" s="100"/>
      <c r="F96" s="100"/>
      <c r="G96" s="100"/>
      <c r="H96" s="100"/>
      <c r="I96" s="100"/>
      <c r="J96" s="100"/>
      <c r="K96" s="100"/>
      <c r="L96" s="100"/>
      <c r="M96" s="100"/>
      <c r="N96" s="100"/>
      <c r="O96" s="100"/>
      <c r="P96" s="100"/>
    </row>
    <row r="97" spans="1:16" ht="15" hidden="1" customHeight="1" thickTop="1" x14ac:dyDescent="0.35">
      <c r="A97" s="98"/>
      <c r="B97" s="99"/>
      <c r="C97" s="99"/>
      <c r="D97" s="100"/>
      <c r="E97" s="100"/>
      <c r="F97" s="100"/>
      <c r="G97" s="100"/>
      <c r="H97" s="100"/>
      <c r="I97" s="100"/>
      <c r="J97" s="100"/>
      <c r="K97" s="100"/>
      <c r="L97" s="100"/>
      <c r="M97" s="100"/>
      <c r="N97" s="100"/>
      <c r="O97" s="100"/>
      <c r="P97" s="100"/>
    </row>
    <row r="98" spans="1:16" ht="15" hidden="1" customHeight="1" thickTop="1" x14ac:dyDescent="0.35">
      <c r="A98" s="98"/>
      <c r="B98" s="99"/>
      <c r="C98" s="99"/>
      <c r="D98" s="100"/>
      <c r="E98" s="100"/>
      <c r="F98" s="100"/>
      <c r="G98" s="100"/>
      <c r="H98" s="100"/>
      <c r="I98" s="100"/>
      <c r="J98" s="100"/>
      <c r="K98" s="100"/>
      <c r="L98" s="100"/>
      <c r="M98" s="100"/>
      <c r="N98" s="100"/>
      <c r="O98" s="100"/>
      <c r="P98" s="100"/>
    </row>
    <row r="99" spans="1:16" ht="15" thickTop="1" x14ac:dyDescent="0.35">
      <c r="A99" s="98"/>
      <c r="B99" s="99"/>
      <c r="C99" s="99"/>
      <c r="D99" s="100"/>
      <c r="E99" s="100"/>
      <c r="F99" s="100"/>
      <c r="G99" s="100"/>
      <c r="H99" s="100"/>
      <c r="I99" s="100"/>
      <c r="J99" s="100"/>
      <c r="K99" s="100"/>
      <c r="L99" s="100"/>
      <c r="M99" s="100"/>
      <c r="N99" s="100"/>
      <c r="O99" s="100"/>
      <c r="P99" s="100"/>
    </row>
    <row r="100" spans="1:16" x14ac:dyDescent="0.35">
      <c r="A100" s="98"/>
      <c r="B100" s="99"/>
      <c r="C100" s="99"/>
      <c r="D100" s="100"/>
      <c r="E100" s="100"/>
      <c r="F100" s="100"/>
      <c r="G100" s="100"/>
      <c r="H100" s="100"/>
      <c r="I100" s="100"/>
      <c r="J100" s="100"/>
      <c r="K100" s="100"/>
      <c r="L100" s="100"/>
      <c r="M100" s="100"/>
      <c r="N100" s="100"/>
      <c r="O100" s="100"/>
      <c r="P100" s="100"/>
    </row>
    <row r="101" spans="1:16" x14ac:dyDescent="0.35">
      <c r="A101" s="98"/>
      <c r="B101" s="119" t="s">
        <v>210</v>
      </c>
      <c r="C101" s="99"/>
      <c r="D101" s="100"/>
      <c r="E101" s="100"/>
      <c r="F101" s="100"/>
      <c r="G101" s="100"/>
      <c r="H101" s="100"/>
      <c r="I101" s="100"/>
      <c r="J101" s="100"/>
      <c r="K101" s="100"/>
      <c r="L101" s="100"/>
      <c r="M101" s="100"/>
      <c r="N101" s="100"/>
      <c r="O101" s="100"/>
      <c r="P101" s="100"/>
    </row>
    <row r="102" spans="1:16" x14ac:dyDescent="0.35">
      <c r="A102" s="98"/>
      <c r="B102" s="99"/>
      <c r="C102" s="99"/>
      <c r="D102" s="100"/>
      <c r="E102" s="100"/>
      <c r="F102" s="100"/>
      <c r="G102" s="100"/>
      <c r="H102" s="100"/>
      <c r="I102" s="100"/>
      <c r="J102" s="100"/>
      <c r="K102" s="100"/>
      <c r="L102" s="100"/>
      <c r="M102" s="100"/>
      <c r="N102" s="100"/>
      <c r="O102" s="100"/>
      <c r="P102" s="100"/>
    </row>
    <row r="103" spans="1:16" ht="39.65" customHeight="1" x14ac:dyDescent="0.35">
      <c r="A103" s="101" t="s">
        <v>173</v>
      </c>
      <c r="B103" s="783" t="str">
        <f>+BOYACA!B29</f>
        <v>De acuerdo con lo establecido en la Resoluccion 91349 de 2014 del MME para combustible de origen nacional o importado a ser distribuido en zonas de frontera, aplica la tarifa de marcación o remarcación vigente a la fecha según corresponda</v>
      </c>
      <c r="C103" s="783"/>
      <c r="D103" s="783"/>
      <c r="E103" s="783"/>
      <c r="F103" s="783"/>
      <c r="G103" s="783"/>
      <c r="H103" s="783"/>
      <c r="I103" s="783"/>
      <c r="J103" s="783"/>
      <c r="K103" s="783"/>
      <c r="L103" s="783"/>
      <c r="M103" s="783"/>
      <c r="N103" s="147"/>
      <c r="O103" s="100"/>
      <c r="P103" s="100"/>
    </row>
    <row r="104" spans="1:16" ht="24.75" customHeight="1" x14ac:dyDescent="0.35">
      <c r="A104" s="101" t="s">
        <v>200</v>
      </c>
      <c r="B104" s="778" t="s">
        <v>251</v>
      </c>
      <c r="C104" s="778"/>
      <c r="D104" s="778"/>
      <c r="E104" s="778"/>
      <c r="F104" s="778"/>
      <c r="G104" s="778"/>
      <c r="H104" s="778"/>
      <c r="I104" s="778"/>
      <c r="J104" s="778"/>
      <c r="K104" s="778"/>
      <c r="L104" s="778"/>
      <c r="M104" s="778"/>
      <c r="N104" s="413"/>
      <c r="O104" s="100"/>
      <c r="P104" s="100"/>
    </row>
    <row r="105" spans="1:16" ht="39.25" customHeight="1" x14ac:dyDescent="0.35">
      <c r="A105" s="101" t="s">
        <v>130</v>
      </c>
      <c r="B105" s="783" t="s">
        <v>307</v>
      </c>
      <c r="C105" s="783"/>
      <c r="D105" s="783"/>
      <c r="E105" s="783"/>
      <c r="F105" s="783"/>
      <c r="G105" s="783"/>
      <c r="H105" s="783"/>
      <c r="I105" s="783"/>
      <c r="J105" s="783"/>
      <c r="K105" s="783"/>
      <c r="L105" s="783"/>
      <c r="M105" s="783"/>
      <c r="N105" s="147"/>
      <c r="O105" s="100"/>
      <c r="P105" s="100"/>
    </row>
    <row r="106" spans="1:16" ht="7.5" customHeight="1" x14ac:dyDescent="0.35">
      <c r="A106" s="101"/>
      <c r="B106" s="147"/>
      <c r="C106" s="147"/>
      <c r="D106" s="147"/>
      <c r="E106" s="147"/>
      <c r="F106" s="147"/>
      <c r="G106" s="147"/>
      <c r="H106" s="147"/>
      <c r="I106" s="147"/>
      <c r="J106" s="147"/>
      <c r="K106" s="147"/>
      <c r="L106" s="147"/>
      <c r="M106" s="147"/>
      <c r="N106" s="147"/>
      <c r="O106" s="100"/>
      <c r="P106" s="100"/>
    </row>
    <row r="107" spans="1:16" ht="25.5" customHeight="1" x14ac:dyDescent="0.35">
      <c r="A107" s="173">
        <v>2</v>
      </c>
      <c r="B107" s="842" t="s">
        <v>247</v>
      </c>
      <c r="C107" s="842"/>
      <c r="D107" s="842"/>
      <c r="E107" s="842"/>
      <c r="F107" s="842"/>
      <c r="G107" s="842"/>
      <c r="H107" s="842"/>
      <c r="I107" s="842"/>
      <c r="J107" s="842"/>
      <c r="K107" s="842"/>
      <c r="L107" s="842"/>
      <c r="M107" s="842"/>
      <c r="N107" s="842"/>
      <c r="O107" s="842"/>
      <c r="P107" s="842"/>
    </row>
    <row r="108" spans="1:16" ht="39.25" customHeight="1" x14ac:dyDescent="0.35">
      <c r="A108" s="101"/>
      <c r="B108" s="783" t="s">
        <v>462</v>
      </c>
      <c r="C108" s="783"/>
      <c r="D108" s="783"/>
      <c r="E108" s="783"/>
      <c r="F108" s="783"/>
      <c r="G108" s="783"/>
      <c r="H108" s="783"/>
      <c r="I108" s="783"/>
      <c r="J108" s="783"/>
      <c r="K108" s="783"/>
      <c r="L108" s="783"/>
      <c r="M108" s="783"/>
      <c r="N108" s="783"/>
      <c r="O108" s="783"/>
      <c r="P108" s="783"/>
    </row>
    <row r="109" spans="1:16" x14ac:dyDescent="0.35">
      <c r="A109" s="120" t="s">
        <v>102</v>
      </c>
      <c r="B109" s="779" t="s">
        <v>211</v>
      </c>
      <c r="C109" s="779"/>
      <c r="D109" s="779"/>
      <c r="E109" s="779"/>
      <c r="F109" s="779"/>
      <c r="G109" s="779"/>
      <c r="H109" s="779"/>
      <c r="I109" s="779"/>
      <c r="J109" s="779"/>
      <c r="K109" s="779"/>
      <c r="L109" s="779"/>
      <c r="M109" s="779"/>
      <c r="N109" s="102"/>
      <c r="O109" s="174"/>
      <c r="P109" s="174"/>
    </row>
    <row r="110" spans="1:16" x14ac:dyDescent="0.35">
      <c r="A110" s="120" t="s">
        <v>212</v>
      </c>
      <c r="B110" s="779" t="s">
        <v>243</v>
      </c>
      <c r="C110" s="779"/>
      <c r="D110" s="779"/>
      <c r="E110" s="779"/>
      <c r="F110" s="779"/>
      <c r="G110" s="779"/>
      <c r="H110" s="779"/>
      <c r="I110" s="779"/>
      <c r="J110" s="779"/>
      <c r="K110" s="779"/>
      <c r="L110" s="779"/>
      <c r="M110" s="779"/>
      <c r="N110" s="779"/>
      <c r="O110" s="779"/>
      <c r="P110" s="779"/>
    </row>
    <row r="111" spans="1:16" x14ac:dyDescent="0.35">
      <c r="A111" s="120" t="s">
        <v>214</v>
      </c>
      <c r="B111" s="779" t="s">
        <v>252</v>
      </c>
      <c r="C111" s="779"/>
      <c r="D111" s="779"/>
      <c r="E111" s="779"/>
      <c r="F111" s="779"/>
      <c r="G111" s="779"/>
      <c r="H111" s="779"/>
      <c r="I111" s="779"/>
      <c r="J111" s="779"/>
      <c r="K111" s="779"/>
      <c r="L111" s="779"/>
      <c r="M111" s="779"/>
      <c r="N111" s="779"/>
      <c r="O111" s="779"/>
      <c r="P111" s="779"/>
    </row>
    <row r="112" spans="1:16" ht="17.899999999999999" customHeight="1" x14ac:dyDescent="0.35">
      <c r="A112" s="120" t="s">
        <v>216</v>
      </c>
      <c r="B112" s="779" t="s">
        <v>426</v>
      </c>
      <c r="C112" s="779"/>
      <c r="D112" s="779"/>
      <c r="E112" s="779"/>
      <c r="F112" s="779"/>
      <c r="G112" s="779"/>
      <c r="H112" s="779"/>
      <c r="I112" s="779"/>
      <c r="J112" s="779"/>
      <c r="K112" s="779"/>
      <c r="L112" s="779"/>
      <c r="M112" s="779"/>
      <c r="N112" s="779"/>
      <c r="O112" s="779"/>
      <c r="P112" s="779"/>
    </row>
    <row r="113" spans="1:16" x14ac:dyDescent="0.35">
      <c r="A113" s="120" t="s">
        <v>218</v>
      </c>
      <c r="B113" s="779" t="s">
        <v>220</v>
      </c>
      <c r="C113" s="779"/>
      <c r="D113" s="779"/>
      <c r="E113" s="779"/>
      <c r="F113" s="779"/>
      <c r="G113" s="779"/>
      <c r="H113" s="779"/>
      <c r="I113" s="779"/>
      <c r="J113" s="779"/>
      <c r="K113" s="779"/>
      <c r="L113" s="779"/>
      <c r="M113" s="102"/>
      <c r="N113" s="102"/>
      <c r="O113" s="175"/>
      <c r="P113" s="175"/>
    </row>
    <row r="114" spans="1:16" x14ac:dyDescent="0.35">
      <c r="A114" s="120" t="s">
        <v>219</v>
      </c>
      <c r="B114" s="779" t="s">
        <v>249</v>
      </c>
      <c r="C114" s="779"/>
      <c r="D114" s="779"/>
      <c r="E114" s="779"/>
      <c r="F114" s="779"/>
      <c r="G114" s="779"/>
      <c r="H114" s="779"/>
      <c r="I114" s="779"/>
      <c r="J114" s="779"/>
      <c r="K114" s="779"/>
      <c r="L114" s="779"/>
      <c r="M114" s="779"/>
      <c r="N114" s="779"/>
      <c r="O114" s="779"/>
      <c r="P114" s="779"/>
    </row>
    <row r="115" spans="1:16" ht="38.9" customHeight="1" x14ac:dyDescent="0.35">
      <c r="A115" s="145"/>
      <c r="B115" s="779" t="s">
        <v>429</v>
      </c>
      <c r="C115" s="779"/>
      <c r="D115" s="779"/>
      <c r="E115" s="779"/>
      <c r="F115" s="779"/>
      <c r="G115" s="779"/>
      <c r="H115" s="779"/>
      <c r="I115" s="779"/>
      <c r="J115" s="779"/>
      <c r="K115" s="779"/>
      <c r="L115" s="779"/>
      <c r="M115" s="145"/>
      <c r="N115" s="145"/>
      <c r="O115" s="145"/>
      <c r="P115" s="145"/>
    </row>
    <row r="116" spans="1:16" ht="46" customHeight="1" x14ac:dyDescent="0.35">
      <c r="A116" s="145"/>
      <c r="B116" s="102"/>
      <c r="C116" s="102"/>
      <c r="D116" s="102"/>
      <c r="E116" s="102"/>
      <c r="F116" s="102"/>
      <c r="G116" s="102"/>
      <c r="H116" s="102"/>
      <c r="I116" s="102"/>
      <c r="J116" s="102"/>
      <c r="K116" s="102"/>
      <c r="L116" s="102"/>
      <c r="M116" s="145"/>
      <c r="N116" s="145"/>
      <c r="O116" s="145"/>
      <c r="P116" s="145"/>
    </row>
    <row r="117" spans="1:16" ht="88" customHeight="1" x14ac:dyDescent="0.35">
      <c r="A117" s="801" t="s">
        <v>137</v>
      </c>
      <c r="B117" s="801"/>
      <c r="C117" s="801"/>
      <c r="D117" s="801"/>
      <c r="E117" s="801"/>
      <c r="F117" s="801"/>
      <c r="G117" s="801"/>
      <c r="H117" s="801"/>
      <c r="I117" s="801"/>
      <c r="J117" s="801"/>
      <c r="K117" s="801"/>
      <c r="L117" s="801"/>
      <c r="M117" s="801"/>
      <c r="N117" s="186"/>
    </row>
  </sheetData>
  <sheetProtection algorithmName="SHA-512" hashValue="5Rew0nd6h6RNttl0RjPolJxZCavZYiRDNvvbIXEIRzQktwU8u6VXV8UVLw+Vb+kJsCF0xqqOPMs9B5iQXUN41g==" saltValue="85escJj6KwCO6hviAN20DA==" spinCount="100000" sheet="1" objects="1" scenarios="1"/>
  <mergeCells count="35">
    <mergeCell ref="M74:P75"/>
    <mergeCell ref="A76:A78"/>
    <mergeCell ref="B76:B78"/>
    <mergeCell ref="C76:C77"/>
    <mergeCell ref="L76:L77"/>
    <mergeCell ref="C52:C53"/>
    <mergeCell ref="L52:L53"/>
    <mergeCell ref="A52:A54"/>
    <mergeCell ref="B52:B54"/>
    <mergeCell ref="C74:L75"/>
    <mergeCell ref="A117:M117"/>
    <mergeCell ref="B103:M103"/>
    <mergeCell ref="B105:M105"/>
    <mergeCell ref="B114:P114"/>
    <mergeCell ref="B110:P110"/>
    <mergeCell ref="B111:P111"/>
    <mergeCell ref="B112:P112"/>
    <mergeCell ref="B113:L113"/>
    <mergeCell ref="B115:L115"/>
    <mergeCell ref="B108:P108"/>
    <mergeCell ref="B107:P107"/>
    <mergeCell ref="B104:M104"/>
    <mergeCell ref="B109:M109"/>
    <mergeCell ref="A5:A7"/>
    <mergeCell ref="B5:B7"/>
    <mergeCell ref="C5:C6"/>
    <mergeCell ref="L5:L6"/>
    <mergeCell ref="M3:P4"/>
    <mergeCell ref="C3:L4"/>
    <mergeCell ref="M27:P28"/>
    <mergeCell ref="A29:A31"/>
    <mergeCell ref="B29:B31"/>
    <mergeCell ref="C29:C30"/>
    <mergeCell ref="C50:L51"/>
    <mergeCell ref="M50:P51"/>
  </mergeCells>
  <hyperlinks>
    <hyperlink ref="B101" location="CESAR!A66" display="Ver Nota Informativa" xr:uid="{00000000-0004-0000-0B00-000001000000}"/>
  </hyperlinks>
  <pageMargins left="0.7" right="0.7" top="0.75" bottom="0.75" header="0.3" footer="0.3"/>
  <pageSetup orientation="portrait" r:id="rId1"/>
  <ignoredErrors>
    <ignoredError sqref="C17:C19 L13 O12 O14 C12 H12:H14 L14:M14 L12:M12 M34:O34 J12:J14" numberStoredAsText="1"/>
    <ignoredError sqref="D40:D47 C20 H20 L20:O20 N18 J20" formula="1"/>
    <ignoredError sqref="H21:H23 H16:H19 L16:L18 L22 O16:O19 O21:O23 C21:C23 L23:M23 L19:M19 M16:M17 L21:M21 J21:J23 J17:J19" numberStoredAsText="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S41"/>
  <sheetViews>
    <sheetView showGridLines="0" zoomScale="90" zoomScaleNormal="90" workbookViewId="0">
      <selection activeCell="R16" sqref="R16"/>
    </sheetView>
  </sheetViews>
  <sheetFormatPr baseColWidth="10" defaultColWidth="45" defaultRowHeight="14.5" x14ac:dyDescent="0.35"/>
  <cols>
    <col min="1" max="1" width="7" customWidth="1"/>
    <col min="2" max="2" width="48" customWidth="1"/>
    <col min="3" max="3" width="14.1796875" customWidth="1"/>
    <col min="4" max="4" width="13.54296875" hidden="1" customWidth="1"/>
    <col min="5" max="5" width="13.453125" customWidth="1"/>
    <col min="6" max="6" width="13.26953125" hidden="1" customWidth="1"/>
    <col min="7" max="7" width="11.7265625" hidden="1" customWidth="1"/>
    <col min="8" max="8" width="12" customWidth="1"/>
    <col min="9" max="9" width="12.81640625" hidden="1" customWidth="1"/>
    <col min="10" max="10" width="12.26953125" customWidth="1"/>
    <col min="11" max="11" width="11.7265625" hidden="1" customWidth="1"/>
    <col min="12" max="12" width="11.453125" customWidth="1"/>
    <col min="13" max="14" width="11.453125" hidden="1" customWidth="1"/>
    <col min="15" max="15" width="12" hidden="1" customWidth="1"/>
    <col min="16" max="16" width="13.1796875" customWidth="1"/>
    <col min="17" max="17" width="13.7265625" hidden="1" customWidth="1"/>
    <col min="18" max="18" width="33.1796875" customWidth="1"/>
    <col min="19" max="19" width="17.1796875" hidden="1" customWidth="1"/>
  </cols>
  <sheetData>
    <row r="1" spans="1:19" x14ac:dyDescent="0.35">
      <c r="A1" s="145" t="s">
        <v>148</v>
      </c>
      <c r="B1" s="79" t="str">
        <f>+AMAZONAS!C1</f>
        <v>Vigencia: 04 de Noviembre de 2023; 00:00 horas</v>
      </c>
      <c r="C1" s="79"/>
      <c r="D1" s="79"/>
      <c r="E1" s="79"/>
      <c r="F1" s="145"/>
      <c r="G1" s="145"/>
      <c r="H1" s="145"/>
      <c r="I1" s="145"/>
      <c r="J1" s="145"/>
      <c r="K1" s="145"/>
      <c r="L1" s="145"/>
      <c r="M1" s="145"/>
      <c r="N1" s="145"/>
      <c r="O1" s="145"/>
      <c r="P1" s="145"/>
      <c r="Q1" s="145"/>
    </row>
    <row r="2" spans="1:19" ht="15" thickBot="1" x14ac:dyDescent="0.4">
      <c r="A2" s="79" t="s">
        <v>162</v>
      </c>
      <c r="B2" s="104"/>
      <c r="C2" s="104"/>
      <c r="D2" s="104"/>
      <c r="E2" s="707"/>
      <c r="F2" s="583"/>
      <c r="G2" s="104"/>
      <c r="H2" s="104"/>
      <c r="I2" s="104"/>
      <c r="J2" s="104"/>
      <c r="K2" s="104"/>
      <c r="L2" s="707"/>
      <c r="M2" s="588"/>
      <c r="N2" s="159"/>
      <c r="O2" s="159"/>
      <c r="P2" s="159"/>
      <c r="Q2" s="104"/>
    </row>
    <row r="3" spans="1:19" ht="22" customHeight="1" thickTop="1" x14ac:dyDescent="0.35">
      <c r="A3" s="128"/>
      <c r="B3" s="106" t="s">
        <v>254</v>
      </c>
      <c r="C3" s="784" t="s">
        <v>163</v>
      </c>
      <c r="D3" s="785"/>
      <c r="E3" s="785"/>
      <c r="F3" s="785"/>
      <c r="G3" s="785"/>
      <c r="H3" s="785"/>
      <c r="I3" s="785"/>
      <c r="J3" s="785"/>
      <c r="K3" s="786"/>
      <c r="L3" s="847" t="s">
        <v>232</v>
      </c>
      <c r="M3" s="848"/>
      <c r="N3" s="848"/>
      <c r="O3" s="848"/>
      <c r="P3" s="848"/>
      <c r="Q3" s="849"/>
    </row>
    <row r="4" spans="1:19" ht="23.15" customHeight="1" thickBot="1" x14ac:dyDescent="0.4">
      <c r="A4" s="107"/>
      <c r="B4" s="447" t="s">
        <v>471</v>
      </c>
      <c r="C4" s="843"/>
      <c r="D4" s="844"/>
      <c r="E4" s="844"/>
      <c r="F4" s="844"/>
      <c r="G4" s="844"/>
      <c r="H4" s="844"/>
      <c r="I4" s="844"/>
      <c r="J4" s="844"/>
      <c r="K4" s="845"/>
      <c r="L4" s="850"/>
      <c r="M4" s="851"/>
      <c r="N4" s="851"/>
      <c r="O4" s="851"/>
      <c r="P4" s="851"/>
      <c r="Q4" s="852"/>
    </row>
    <row r="5" spans="1:19" ht="26.5" customHeight="1" thickTop="1" x14ac:dyDescent="0.35">
      <c r="A5" s="790" t="s">
        <v>164</v>
      </c>
      <c r="B5" s="792" t="s">
        <v>165</v>
      </c>
      <c r="C5" s="846" t="s">
        <v>223</v>
      </c>
      <c r="D5" s="638" t="s">
        <v>96</v>
      </c>
      <c r="E5" s="638" t="s">
        <v>96</v>
      </c>
      <c r="F5" s="638" t="s">
        <v>96</v>
      </c>
      <c r="G5" s="638" t="s">
        <v>96</v>
      </c>
      <c r="H5" s="638" t="s">
        <v>370</v>
      </c>
      <c r="I5" s="638" t="s">
        <v>505</v>
      </c>
      <c r="J5" s="638" t="s">
        <v>374</v>
      </c>
      <c r="K5" s="638" t="s">
        <v>460</v>
      </c>
      <c r="L5" s="606" t="s">
        <v>96</v>
      </c>
      <c r="M5" s="607" t="s">
        <v>96</v>
      </c>
      <c r="N5" s="607" t="s">
        <v>96</v>
      </c>
      <c r="O5" s="607" t="s">
        <v>505</v>
      </c>
      <c r="P5" s="607" t="s">
        <v>374</v>
      </c>
      <c r="Q5" s="608" t="str">
        <f>+K5</f>
        <v>Biodiesel B11</v>
      </c>
    </row>
    <row r="6" spans="1:19" x14ac:dyDescent="0.35">
      <c r="A6" s="790"/>
      <c r="B6" s="792"/>
      <c r="C6" s="781"/>
      <c r="D6" s="333" t="s">
        <v>504</v>
      </c>
      <c r="E6" s="333" t="s">
        <v>485</v>
      </c>
      <c r="F6" s="333" t="s">
        <v>454</v>
      </c>
      <c r="G6" s="333" t="s">
        <v>459</v>
      </c>
      <c r="H6" s="124">
        <v>0.02</v>
      </c>
      <c r="I6" s="265">
        <v>0.08</v>
      </c>
      <c r="J6" s="265">
        <v>0.1</v>
      </c>
      <c r="K6" s="265">
        <v>0.11</v>
      </c>
      <c r="L6" s="609" t="str">
        <f>+E6</f>
        <v>Oxigena 4%</v>
      </c>
      <c r="M6" s="610" t="str">
        <f>+F6</f>
        <v>Oxigena 5%</v>
      </c>
      <c r="N6" s="610" t="str">
        <f>+G6</f>
        <v>Oxigena 6%</v>
      </c>
      <c r="O6" s="611">
        <v>0.08</v>
      </c>
      <c r="P6" s="611">
        <v>0.1</v>
      </c>
      <c r="Q6" s="612">
        <f>+K6</f>
        <v>0.11</v>
      </c>
    </row>
    <row r="7" spans="1:19" x14ac:dyDescent="0.35">
      <c r="A7" s="791"/>
      <c r="B7" s="793"/>
      <c r="C7" s="81" t="s">
        <v>166</v>
      </c>
      <c r="D7" s="108" t="s">
        <v>166</v>
      </c>
      <c r="E7" s="108" t="s">
        <v>166</v>
      </c>
      <c r="F7" s="108" t="s">
        <v>166</v>
      </c>
      <c r="G7" s="108" t="s">
        <v>166</v>
      </c>
      <c r="H7" s="108" t="s">
        <v>166</v>
      </c>
      <c r="I7" s="108" t="s">
        <v>166</v>
      </c>
      <c r="J7" s="108" t="s">
        <v>166</v>
      </c>
      <c r="K7" s="108" t="s">
        <v>166</v>
      </c>
      <c r="L7" s="606" t="s">
        <v>166</v>
      </c>
      <c r="M7" s="607" t="s">
        <v>166</v>
      </c>
      <c r="N7" s="607" t="s">
        <v>166</v>
      </c>
      <c r="O7" s="607" t="s">
        <v>166</v>
      </c>
      <c r="P7" s="607" t="s">
        <v>166</v>
      </c>
      <c r="Q7" s="608" t="s">
        <v>166</v>
      </c>
    </row>
    <row r="8" spans="1:19" x14ac:dyDescent="0.35">
      <c r="A8" s="82" t="s">
        <v>167</v>
      </c>
      <c r="B8" s="88" t="s">
        <v>168</v>
      </c>
      <c r="C8" s="177">
        <f>+'Calculo IP ZDF'!B33</f>
        <v>9914.16</v>
      </c>
      <c r="D8" s="177">
        <f>+'Calculo IP ZDF'!G33</f>
        <v>10003.336799999999</v>
      </c>
      <c r="E8" s="177">
        <f>+'Calculo IP ZDF'!H33</f>
        <v>10092.5136</v>
      </c>
      <c r="F8" s="177">
        <f>+'Calculo IP ZDF'!I33</f>
        <v>10137.1</v>
      </c>
      <c r="G8" s="419">
        <f>+'Calculo IP ZDF'!J33</f>
        <v>10181.689999999999</v>
      </c>
      <c r="H8" s="177">
        <f>+'Calculo IP ZDF'!F33</f>
        <v>4777.2474000000002</v>
      </c>
      <c r="I8" s="177">
        <f>+'Calculo IP ZDF'!N33</f>
        <v>5485.7429884000003</v>
      </c>
      <c r="J8" s="177">
        <f>+'Calculo IP ZDF'!M33</f>
        <v>5721.9087930000005</v>
      </c>
      <c r="K8" s="177">
        <f>+'Calculo IP ZDF'!L33</f>
        <v>5839.9916953000002</v>
      </c>
      <c r="L8" s="613">
        <f>+'GAS CTE'!E9</f>
        <v>10092.5136</v>
      </c>
      <c r="M8" s="614">
        <f>+'GAS CTE'!F9</f>
        <v>10137.1</v>
      </c>
      <c r="N8" s="615">
        <f>+'GAS CTE'!G9</f>
        <v>10181.689999999999</v>
      </c>
      <c r="O8" s="616">
        <f>+BIODIESEL!H9</f>
        <v>5699.1596</v>
      </c>
      <c r="P8" s="616">
        <f>+BIODIESEL!I9</f>
        <v>5930.6819999999998</v>
      </c>
      <c r="Q8" s="617">
        <f>+BIODIESEL!J9</f>
        <v>6046.4452000000001</v>
      </c>
    </row>
    <row r="9" spans="1:19" ht="18" customHeight="1" x14ac:dyDescent="0.35">
      <c r="A9" s="82" t="s">
        <v>169</v>
      </c>
      <c r="B9" s="88" t="s">
        <v>170</v>
      </c>
      <c r="C9" s="131" t="str">
        <f>+H9</f>
        <v>------------------</v>
      </c>
      <c r="D9" s="131" t="s">
        <v>171</v>
      </c>
      <c r="E9" s="131" t="s">
        <v>171</v>
      </c>
      <c r="F9" s="131" t="s">
        <v>171</v>
      </c>
      <c r="G9" s="420" t="s">
        <v>171</v>
      </c>
      <c r="H9" s="131" t="s">
        <v>171</v>
      </c>
      <c r="I9" s="131" t="s">
        <v>171</v>
      </c>
      <c r="J9" s="131" t="s">
        <v>171</v>
      </c>
      <c r="K9" s="131" t="s">
        <v>171</v>
      </c>
      <c r="L9" s="618">
        <f>+'GAS CTE'!E10</f>
        <v>636.6336</v>
      </c>
      <c r="M9" s="619">
        <f>+'GAS CTE'!F10</f>
        <v>630.00199999999995</v>
      </c>
      <c r="N9" s="620">
        <f>+'GAS CTE'!G10</f>
        <v>623.3703999999999</v>
      </c>
      <c r="O9" s="621">
        <f>+BIODIESEL!H10</f>
        <v>583.96080000000006</v>
      </c>
      <c r="P9" s="621">
        <f>+BIODIESEL!I10</f>
        <v>571.26600000000008</v>
      </c>
      <c r="Q9" s="622">
        <f>+BIODIESEL!J10</f>
        <v>564.91859999999997</v>
      </c>
    </row>
    <row r="10" spans="1:19" ht="16.899999999999999" customHeight="1" x14ac:dyDescent="0.35">
      <c r="A10" s="82"/>
      <c r="B10" s="88" t="s">
        <v>129</v>
      </c>
      <c r="C10" s="131" t="str">
        <f>+H10</f>
        <v>------------------</v>
      </c>
      <c r="D10" s="131" t="s">
        <v>171</v>
      </c>
      <c r="E10" s="131" t="s">
        <v>171</v>
      </c>
      <c r="F10" s="131" t="s">
        <v>171</v>
      </c>
      <c r="G10" s="420" t="s">
        <v>171</v>
      </c>
      <c r="H10" s="131" t="s">
        <v>171</v>
      </c>
      <c r="I10" s="131" t="s">
        <v>171</v>
      </c>
      <c r="J10" s="131" t="s">
        <v>171</v>
      </c>
      <c r="K10" s="131" t="s">
        <v>171</v>
      </c>
      <c r="L10" s="618" t="s">
        <v>130</v>
      </c>
      <c r="M10" s="619" t="s">
        <v>130</v>
      </c>
      <c r="N10" s="620" t="s">
        <v>130</v>
      </c>
      <c r="O10" s="621" t="s">
        <v>130</v>
      </c>
      <c r="P10" s="621" t="s">
        <v>130</v>
      </c>
      <c r="Q10" s="622" t="s">
        <v>130</v>
      </c>
    </row>
    <row r="11" spans="1:19" x14ac:dyDescent="0.35">
      <c r="A11" s="82"/>
      <c r="B11" s="88" t="s">
        <v>131</v>
      </c>
      <c r="C11" s="131" t="str">
        <f>+VAUPES!C11</f>
        <v>(4)</v>
      </c>
      <c r="D11" s="131" t="s">
        <v>201</v>
      </c>
      <c r="E11" s="131" t="s">
        <v>201</v>
      </c>
      <c r="F11" s="131" t="str">
        <f>+C11</f>
        <v>(4)</v>
      </c>
      <c r="G11" s="420" t="str">
        <f t="shared" ref="G11:G14" si="0">+F11</f>
        <v>(4)</v>
      </c>
      <c r="H11" s="131" t="str">
        <f>+C11</f>
        <v>(4)</v>
      </c>
      <c r="I11" s="131" t="s">
        <v>201</v>
      </c>
      <c r="J11" s="131" t="s">
        <v>201</v>
      </c>
      <c r="K11" s="131" t="str">
        <f>+C11</f>
        <v>(4)</v>
      </c>
      <c r="L11" s="618" t="s">
        <v>201</v>
      </c>
      <c r="M11" s="623" t="str">
        <f>+C11</f>
        <v>(4)</v>
      </c>
      <c r="N11" s="624" t="str">
        <f>+F11</f>
        <v>(4)</v>
      </c>
      <c r="O11" s="621" t="str">
        <f>+C11</f>
        <v>(4)</v>
      </c>
      <c r="P11" s="621" t="str">
        <f>+D11</f>
        <v>(4)</v>
      </c>
      <c r="Q11" s="622" t="str">
        <f>+F11</f>
        <v>(4)</v>
      </c>
    </row>
    <row r="12" spans="1:19" x14ac:dyDescent="0.35">
      <c r="A12" s="82" t="s">
        <v>172</v>
      </c>
      <c r="B12" s="88" t="s">
        <v>250</v>
      </c>
      <c r="C12" s="179" t="s">
        <v>200</v>
      </c>
      <c r="D12" s="179" t="s">
        <v>200</v>
      </c>
      <c r="E12" s="179" t="s">
        <v>200</v>
      </c>
      <c r="F12" s="179" t="str">
        <f>+C12</f>
        <v>(2)</v>
      </c>
      <c r="G12" s="420" t="str">
        <f t="shared" si="0"/>
        <v>(2)</v>
      </c>
      <c r="H12" s="131" t="str">
        <f>+C12</f>
        <v>(2)</v>
      </c>
      <c r="I12" s="131" t="s">
        <v>200</v>
      </c>
      <c r="J12" s="131" t="s">
        <v>200</v>
      </c>
      <c r="K12" s="131" t="str">
        <f>+C12</f>
        <v>(2)</v>
      </c>
      <c r="L12" s="618" t="s">
        <v>200</v>
      </c>
      <c r="M12" s="625" t="str">
        <f>+C12</f>
        <v>(2)</v>
      </c>
      <c r="N12" s="620" t="str">
        <f>+F12</f>
        <v>(2)</v>
      </c>
      <c r="O12" s="621" t="str">
        <f>+C12</f>
        <v>(2)</v>
      </c>
      <c r="P12" s="621" t="str">
        <f>+D12</f>
        <v>(2)</v>
      </c>
      <c r="Q12" s="622" t="str">
        <f>+F12</f>
        <v>(2)</v>
      </c>
    </row>
    <row r="13" spans="1:19" x14ac:dyDescent="0.35">
      <c r="A13" s="82" t="s">
        <v>174</v>
      </c>
      <c r="B13" s="88" t="s">
        <v>175</v>
      </c>
      <c r="C13" s="164">
        <f>+RUBROS!AF13</f>
        <v>26.583233136281329</v>
      </c>
      <c r="D13" s="164">
        <f>+C13</f>
        <v>26.583233136281329</v>
      </c>
      <c r="E13" s="164">
        <f>+C13</f>
        <v>26.583233136281329</v>
      </c>
      <c r="F13" s="164">
        <f>+C13</f>
        <v>26.583233136281329</v>
      </c>
      <c r="G13" s="418">
        <f t="shared" si="0"/>
        <v>26.583233136281329</v>
      </c>
      <c r="H13" s="110">
        <f>+C13</f>
        <v>26.583233136281329</v>
      </c>
      <c r="I13" s="110">
        <f>+C13</f>
        <v>26.583233136281329</v>
      </c>
      <c r="J13" s="110">
        <f>+H13</f>
        <v>26.583233136281329</v>
      </c>
      <c r="K13" s="110">
        <f>+C13</f>
        <v>26.583233136281329</v>
      </c>
      <c r="L13" s="613">
        <f>+E13</f>
        <v>26.583233136281329</v>
      </c>
      <c r="M13" s="623">
        <f>+RUBROS!AG13</f>
        <v>26.583233136281329</v>
      </c>
      <c r="N13" s="626">
        <f>+RUBROS!AD13</f>
        <v>23.500029293035123</v>
      </c>
      <c r="O13" s="616">
        <f>+C13</f>
        <v>26.583233136281329</v>
      </c>
      <c r="P13" s="616">
        <f>+H13</f>
        <v>26.583233136281329</v>
      </c>
      <c r="Q13" s="617">
        <f>+C13</f>
        <v>26.583233136281329</v>
      </c>
      <c r="S13" s="288" t="s">
        <v>385</v>
      </c>
    </row>
    <row r="14" spans="1:19" x14ac:dyDescent="0.35">
      <c r="A14" s="82" t="s">
        <v>178</v>
      </c>
      <c r="B14" s="88" t="s">
        <v>179</v>
      </c>
      <c r="C14" s="164">
        <f>+RUBROS!AZ43</f>
        <v>13.716213893883657</v>
      </c>
      <c r="D14" s="164">
        <f>+C14</f>
        <v>13.716213893883657</v>
      </c>
      <c r="E14" s="164">
        <f>+C14</f>
        <v>13.716213893883657</v>
      </c>
      <c r="F14" s="164">
        <f>+C14</f>
        <v>13.716213893883657</v>
      </c>
      <c r="G14" s="418">
        <f t="shared" si="0"/>
        <v>13.716213893883657</v>
      </c>
      <c r="H14" s="110">
        <f>+C14</f>
        <v>13.716213893883657</v>
      </c>
      <c r="I14" s="110">
        <f>+C14</f>
        <v>13.716213893883657</v>
      </c>
      <c r="J14" s="110">
        <f>+H14</f>
        <v>13.716213893883657</v>
      </c>
      <c r="K14" s="110">
        <f>+C14</f>
        <v>13.716213893883657</v>
      </c>
      <c r="L14" s="613">
        <f>+E14</f>
        <v>13.716213893883657</v>
      </c>
      <c r="M14" s="623">
        <f>+C14</f>
        <v>13.716213893883657</v>
      </c>
      <c r="N14" s="626">
        <f>+M14</f>
        <v>13.716213893883657</v>
      </c>
      <c r="O14" s="616">
        <f>+M14</f>
        <v>13.716213893883657</v>
      </c>
      <c r="P14" s="616">
        <f>+H14</f>
        <v>13.716213893883657</v>
      </c>
      <c r="Q14" s="617">
        <f>+M14</f>
        <v>13.716213893883657</v>
      </c>
      <c r="S14" s="288" t="s">
        <v>385</v>
      </c>
    </row>
    <row r="15" spans="1:19" ht="14.25" hidden="1" customHeight="1" x14ac:dyDescent="0.35">
      <c r="A15" s="82"/>
      <c r="B15" s="88" t="s">
        <v>180</v>
      </c>
      <c r="C15" s="164"/>
      <c r="D15" s="164"/>
      <c r="E15" s="164"/>
      <c r="F15" s="164"/>
      <c r="G15" s="110"/>
      <c r="H15" s="110"/>
      <c r="I15" s="110"/>
      <c r="J15" s="110"/>
      <c r="K15" s="110"/>
      <c r="L15" s="613"/>
      <c r="M15" s="623"/>
      <c r="N15" s="616"/>
      <c r="O15" s="616"/>
      <c r="P15" s="616"/>
      <c r="Q15" s="617"/>
      <c r="S15" t="s">
        <v>387</v>
      </c>
    </row>
    <row r="16" spans="1:19" x14ac:dyDescent="0.35">
      <c r="A16" s="89" t="s">
        <v>181</v>
      </c>
      <c r="B16" s="115" t="s">
        <v>182</v>
      </c>
      <c r="C16" s="165">
        <f>SUM(C8:C15)</f>
        <v>9954.4594470301654</v>
      </c>
      <c r="D16" s="165">
        <f>SUM(D8:D15)</f>
        <v>10043.636247030165</v>
      </c>
      <c r="E16" s="165">
        <f>SUM(E8:E15)</f>
        <v>10132.813047030166</v>
      </c>
      <c r="F16" s="165">
        <f t="shared" ref="F16:Q16" si="1">SUM(F8:F15)</f>
        <v>10177.399447030166</v>
      </c>
      <c r="G16" s="165">
        <f t="shared" si="1"/>
        <v>10221.989447030164</v>
      </c>
      <c r="H16" s="165">
        <f t="shared" si="1"/>
        <v>4817.5468470301657</v>
      </c>
      <c r="I16" s="165">
        <f t="shared" si="1"/>
        <v>5526.0424354301658</v>
      </c>
      <c r="J16" s="165">
        <f t="shared" ref="J16" si="2">SUM(J8:J15)</f>
        <v>5762.2082400301661</v>
      </c>
      <c r="K16" s="165">
        <f>SUM(K8:K15)</f>
        <v>5880.2911423301657</v>
      </c>
      <c r="L16" s="627">
        <f t="shared" si="1"/>
        <v>10769.446647030165</v>
      </c>
      <c r="M16" s="628">
        <f t="shared" si="1"/>
        <v>10807.401447030166</v>
      </c>
      <c r="N16" s="628">
        <f t="shared" si="1"/>
        <v>10842.276643186917</v>
      </c>
      <c r="O16" s="628">
        <f t="shared" si="1"/>
        <v>6323.4198470301653</v>
      </c>
      <c r="P16" s="628">
        <f t="shared" si="1"/>
        <v>6542.2474470301659</v>
      </c>
      <c r="Q16" s="629">
        <f t="shared" si="1"/>
        <v>6651.6632470301656</v>
      </c>
    </row>
    <row r="17" spans="1:17" x14ac:dyDescent="0.35">
      <c r="A17" s="82" t="s">
        <v>183</v>
      </c>
      <c r="B17" s="88" t="s">
        <v>246</v>
      </c>
      <c r="C17" s="179" t="s">
        <v>214</v>
      </c>
      <c r="D17" s="179" t="s">
        <v>214</v>
      </c>
      <c r="E17" s="179" t="s">
        <v>214</v>
      </c>
      <c r="F17" s="179" t="str">
        <f>+C17</f>
        <v>***</v>
      </c>
      <c r="G17" s="110" t="str">
        <f>+F17</f>
        <v>***</v>
      </c>
      <c r="H17" s="110" t="str">
        <f>+C17</f>
        <v>***</v>
      </c>
      <c r="I17" s="110" t="s">
        <v>214</v>
      </c>
      <c r="J17" s="110" t="s">
        <v>214</v>
      </c>
      <c r="K17" s="110" t="str">
        <f>+H17</f>
        <v>***</v>
      </c>
      <c r="L17" s="613" t="s">
        <v>214</v>
      </c>
      <c r="M17" s="625" t="str">
        <f>+F17</f>
        <v>***</v>
      </c>
      <c r="N17" s="616" t="str">
        <f>+M17</f>
        <v>***</v>
      </c>
      <c r="O17" s="616" t="s">
        <v>214</v>
      </c>
      <c r="P17" s="616" t="s">
        <v>214</v>
      </c>
      <c r="Q17" s="617" t="str">
        <f>+O17</f>
        <v>***</v>
      </c>
    </row>
    <row r="18" spans="1:17" x14ac:dyDescent="0.35">
      <c r="A18" s="82" t="s">
        <v>185</v>
      </c>
      <c r="B18" s="88" t="s">
        <v>186</v>
      </c>
      <c r="C18" s="179" t="s">
        <v>212</v>
      </c>
      <c r="D18" s="179" t="s">
        <v>212</v>
      </c>
      <c r="E18" s="179" t="s">
        <v>212</v>
      </c>
      <c r="F18" s="179" t="str">
        <f>+C18</f>
        <v>**</v>
      </c>
      <c r="G18" s="110" t="str">
        <f>+F18</f>
        <v>**</v>
      </c>
      <c r="H18" s="110" t="str">
        <f>+C18</f>
        <v>**</v>
      </c>
      <c r="I18" s="110" t="s">
        <v>212</v>
      </c>
      <c r="J18" s="110" t="s">
        <v>212</v>
      </c>
      <c r="K18" s="110" t="str">
        <f>+C18</f>
        <v>**</v>
      </c>
      <c r="L18" s="613" t="s">
        <v>212</v>
      </c>
      <c r="M18" s="625" t="str">
        <f>+C18</f>
        <v>**</v>
      </c>
      <c r="N18" s="616" t="str">
        <f>+F18</f>
        <v>**</v>
      </c>
      <c r="O18" s="616" t="s">
        <v>212</v>
      </c>
      <c r="P18" s="616" t="s">
        <v>212</v>
      </c>
      <c r="Q18" s="617" t="str">
        <f>+M18</f>
        <v>**</v>
      </c>
    </row>
    <row r="19" spans="1:17" x14ac:dyDescent="0.35">
      <c r="A19" s="82" t="s">
        <v>187</v>
      </c>
      <c r="B19" s="88" t="s">
        <v>134</v>
      </c>
      <c r="C19" s="131" t="str">
        <f>+H19</f>
        <v>****</v>
      </c>
      <c r="D19" s="131" t="str">
        <f>+I19</f>
        <v>****</v>
      </c>
      <c r="E19" s="131" t="str">
        <f>+I19</f>
        <v>****</v>
      </c>
      <c r="F19" s="131" t="str">
        <f t="shared" ref="F19:F21" si="3">+H19</f>
        <v>****</v>
      </c>
      <c r="G19" s="110" t="str">
        <f>+F19</f>
        <v>****</v>
      </c>
      <c r="H19" s="114" t="str">
        <f>+A37</f>
        <v>****</v>
      </c>
      <c r="I19" s="114" t="s">
        <v>216</v>
      </c>
      <c r="J19" s="114" t="s">
        <v>216</v>
      </c>
      <c r="K19" s="114" t="str">
        <f>+H19</f>
        <v>****</v>
      </c>
      <c r="L19" s="630" t="s">
        <v>216</v>
      </c>
      <c r="M19" s="619" t="str">
        <f>C19</f>
        <v>****</v>
      </c>
      <c r="N19" s="616" t="str">
        <f>F19</f>
        <v>****</v>
      </c>
      <c r="O19" s="616" t="s">
        <v>216</v>
      </c>
      <c r="P19" s="616" t="s">
        <v>216</v>
      </c>
      <c r="Q19" s="617" t="str">
        <f>+M19</f>
        <v>****</v>
      </c>
    </row>
    <row r="20" spans="1:17" x14ac:dyDescent="0.35">
      <c r="A20" s="89" t="s">
        <v>189</v>
      </c>
      <c r="B20" s="115" t="s">
        <v>190</v>
      </c>
      <c r="C20" s="169">
        <f t="shared" ref="C20:Q20" si="4">+C16</f>
        <v>9954.4594470301654</v>
      </c>
      <c r="D20" s="169">
        <f t="shared" ref="D20" si="5">+D16</f>
        <v>10043.636247030165</v>
      </c>
      <c r="E20" s="169">
        <f t="shared" si="4"/>
        <v>10132.813047030166</v>
      </c>
      <c r="F20" s="169">
        <f t="shared" si="4"/>
        <v>10177.399447030166</v>
      </c>
      <c r="G20" s="116">
        <f t="shared" si="4"/>
        <v>10221.989447030164</v>
      </c>
      <c r="H20" s="116">
        <f t="shared" si="4"/>
        <v>4817.5468470301657</v>
      </c>
      <c r="I20" s="116">
        <f t="shared" si="4"/>
        <v>5526.0424354301658</v>
      </c>
      <c r="J20" s="116">
        <f t="shared" ref="J20" si="6">+J16</f>
        <v>5762.2082400301661</v>
      </c>
      <c r="K20" s="116">
        <f>+K16</f>
        <v>5880.2911423301657</v>
      </c>
      <c r="L20" s="627">
        <f t="shared" ref="L20" si="7">+L16</f>
        <v>10769.446647030165</v>
      </c>
      <c r="M20" s="631">
        <f t="shared" si="4"/>
        <v>10807.401447030166</v>
      </c>
      <c r="N20" s="632">
        <f t="shared" ref="N20" si="8">+N16</f>
        <v>10842.276643186917</v>
      </c>
      <c r="O20" s="632">
        <f t="shared" si="4"/>
        <v>6323.4198470301653</v>
      </c>
      <c r="P20" s="632">
        <f t="shared" ref="P20" si="9">+P16</f>
        <v>6542.2474470301659</v>
      </c>
      <c r="Q20" s="633">
        <f t="shared" si="4"/>
        <v>6651.6632470301656</v>
      </c>
    </row>
    <row r="21" spans="1:17" x14ac:dyDescent="0.35">
      <c r="A21" s="82" t="s">
        <v>191</v>
      </c>
      <c r="B21" s="88" t="s">
        <v>150</v>
      </c>
      <c r="C21" s="164" t="str">
        <f>+H21</f>
        <v>***</v>
      </c>
      <c r="D21" s="164" t="str">
        <f>+I21</f>
        <v>***</v>
      </c>
      <c r="E21" s="164" t="str">
        <f>+I21</f>
        <v>***</v>
      </c>
      <c r="F21" s="164" t="str">
        <f t="shared" si="3"/>
        <v>***</v>
      </c>
      <c r="G21" s="110" t="str">
        <f>+K21</f>
        <v>***</v>
      </c>
      <c r="H21" s="110" t="str">
        <f t="shared" ref="H21" si="10">+H17</f>
        <v>***</v>
      </c>
      <c r="I21" s="110" t="s">
        <v>214</v>
      </c>
      <c r="J21" s="110" t="s">
        <v>214</v>
      </c>
      <c r="K21" s="110" t="str">
        <f>+H21</f>
        <v>***</v>
      </c>
      <c r="L21" s="613" t="s">
        <v>214</v>
      </c>
      <c r="M21" s="623" t="str">
        <f>+L21</f>
        <v>***</v>
      </c>
      <c r="N21" s="616" t="str">
        <f>+M21</f>
        <v>***</v>
      </c>
      <c r="O21" s="616" t="s">
        <v>214</v>
      </c>
      <c r="P21" s="616" t="s">
        <v>214</v>
      </c>
      <c r="Q21" s="617" t="str">
        <f>+C21</f>
        <v>***</v>
      </c>
    </row>
    <row r="22" spans="1:17" x14ac:dyDescent="0.35">
      <c r="A22" s="82" t="s">
        <v>192</v>
      </c>
      <c r="B22" s="83" t="s">
        <v>193</v>
      </c>
      <c r="C22" s="170" t="s">
        <v>218</v>
      </c>
      <c r="D22" s="170" t="s">
        <v>218</v>
      </c>
      <c r="E22" s="170" t="s">
        <v>218</v>
      </c>
      <c r="F22" s="170" t="str">
        <f>+C22</f>
        <v>*****</v>
      </c>
      <c r="G22" s="110" t="str">
        <f>+F22</f>
        <v>*****</v>
      </c>
      <c r="H22" s="110" t="s">
        <v>194</v>
      </c>
      <c r="I22" s="110" t="s">
        <v>194</v>
      </c>
      <c r="J22" s="110" t="s">
        <v>194</v>
      </c>
      <c r="K22" s="110" t="str">
        <f>+H22</f>
        <v>N.A</v>
      </c>
      <c r="L22" s="613" t="s">
        <v>218</v>
      </c>
      <c r="M22" s="634" t="str">
        <f>+F22</f>
        <v>*****</v>
      </c>
      <c r="N22" s="616" t="str">
        <f>+G22</f>
        <v>*****</v>
      </c>
      <c r="O22" s="616" t="s">
        <v>236</v>
      </c>
      <c r="P22" s="616" t="s">
        <v>236</v>
      </c>
      <c r="Q22" s="617" t="s">
        <v>236</v>
      </c>
    </row>
    <row r="23" spans="1:17" ht="17.5" customHeight="1" x14ac:dyDescent="0.35">
      <c r="A23" s="82" t="s">
        <v>195</v>
      </c>
      <c r="B23" s="83" t="s">
        <v>196</v>
      </c>
      <c r="C23" s="170" t="s">
        <v>219</v>
      </c>
      <c r="D23" s="170" t="s">
        <v>219</v>
      </c>
      <c r="E23" s="170" t="s">
        <v>219</v>
      </c>
      <c r="F23" s="170" t="str">
        <f>+C23</f>
        <v>******</v>
      </c>
      <c r="G23" s="110" t="str">
        <f>+F23</f>
        <v>******</v>
      </c>
      <c r="H23" s="110" t="str">
        <f>+C23</f>
        <v>******</v>
      </c>
      <c r="I23" s="110" t="s">
        <v>219</v>
      </c>
      <c r="J23" s="110" t="s">
        <v>219</v>
      </c>
      <c r="K23" s="110" t="str">
        <f>+C23</f>
        <v>******</v>
      </c>
      <c r="L23" s="613" t="s">
        <v>219</v>
      </c>
      <c r="M23" s="634" t="str">
        <f>+C23</f>
        <v>******</v>
      </c>
      <c r="N23" s="616" t="str">
        <f>+F23</f>
        <v>******</v>
      </c>
      <c r="O23" s="616" t="s">
        <v>219</v>
      </c>
      <c r="P23" s="616" t="s">
        <v>219</v>
      </c>
      <c r="Q23" s="617" t="str">
        <f>+C23</f>
        <v>******</v>
      </c>
    </row>
    <row r="24" spans="1:17" ht="15" thickBot="1" x14ac:dyDescent="0.4">
      <c r="A24" s="93" t="s">
        <v>197</v>
      </c>
      <c r="B24" s="94" t="s">
        <v>198</v>
      </c>
      <c r="C24" s="171"/>
      <c r="D24" s="171"/>
      <c r="E24" s="171"/>
      <c r="F24" s="118"/>
      <c r="G24" s="118"/>
      <c r="H24" s="118"/>
      <c r="I24" s="118"/>
      <c r="J24" s="118"/>
      <c r="K24" s="156"/>
      <c r="L24" s="635"/>
      <c r="M24" s="636"/>
      <c r="N24" s="636"/>
      <c r="O24" s="636"/>
      <c r="P24" s="636"/>
      <c r="Q24" s="637"/>
    </row>
    <row r="25" spans="1:17" ht="15" thickTop="1" x14ac:dyDescent="0.35">
      <c r="A25" s="98"/>
      <c r="B25" s="99"/>
      <c r="C25" s="99"/>
      <c r="D25" s="99"/>
      <c r="E25" s="99"/>
      <c r="F25" s="100"/>
      <c r="G25" s="100"/>
      <c r="H25" s="100"/>
      <c r="I25" s="100"/>
      <c r="J25" s="100"/>
      <c r="K25" s="100"/>
      <c r="L25" s="100"/>
      <c r="M25" s="100"/>
      <c r="N25" s="100"/>
      <c r="O25" s="100"/>
      <c r="P25" s="100"/>
      <c r="Q25" s="100"/>
    </row>
    <row r="26" spans="1:17" x14ac:dyDescent="0.35">
      <c r="A26" s="98"/>
      <c r="B26" s="99"/>
      <c r="C26" s="99"/>
      <c r="D26" s="99"/>
      <c r="E26" s="99"/>
      <c r="F26" s="100"/>
      <c r="G26" s="100"/>
      <c r="H26" s="100"/>
      <c r="I26" s="100"/>
      <c r="J26" s="100"/>
      <c r="K26" s="100"/>
      <c r="L26" s="100"/>
      <c r="M26" s="100"/>
      <c r="N26" s="100"/>
      <c r="O26" s="100"/>
      <c r="P26" s="100"/>
      <c r="Q26" s="100"/>
    </row>
    <row r="27" spans="1:17" ht="15" customHeight="1" x14ac:dyDescent="0.35">
      <c r="A27" s="98"/>
      <c r="B27" s="119" t="s">
        <v>210</v>
      </c>
      <c r="C27" s="99"/>
      <c r="D27" s="99"/>
      <c r="E27" s="99"/>
      <c r="F27" s="100"/>
      <c r="G27" s="100"/>
      <c r="H27" s="100"/>
      <c r="I27" s="100"/>
      <c r="J27" s="100"/>
      <c r="K27" s="100"/>
      <c r="L27" s="100"/>
      <c r="M27" s="100"/>
      <c r="N27" s="100"/>
      <c r="O27" s="100"/>
      <c r="P27" s="100"/>
      <c r="Q27" s="100"/>
    </row>
    <row r="28" spans="1:17" x14ac:dyDescent="0.35">
      <c r="A28" s="98"/>
      <c r="B28" s="99"/>
      <c r="C28" s="99"/>
      <c r="D28" s="99"/>
      <c r="E28" s="99"/>
      <c r="F28" s="100"/>
      <c r="G28" s="100"/>
      <c r="H28" s="100"/>
      <c r="I28" s="100"/>
      <c r="J28" s="100"/>
      <c r="K28" s="100"/>
      <c r="L28" s="100"/>
      <c r="M28" s="100"/>
      <c r="N28" s="100"/>
      <c r="O28" s="100"/>
      <c r="P28" s="100"/>
      <c r="Q28" s="100"/>
    </row>
    <row r="29" spans="1:17" ht="27.65" customHeight="1" x14ac:dyDescent="0.35">
      <c r="A29" s="101" t="s">
        <v>173</v>
      </c>
      <c r="B29" s="783" t="str">
        <f>+CESAR!B103</f>
        <v>De acuerdo con lo establecido en la Resoluccion 91349 de 2014 del MME para combustible de origen nacional o importado a ser distribuido en zonas de frontera, aplica la tarifa de marcación o remarcación vigente a la fecha según corresponda</v>
      </c>
      <c r="C29" s="783"/>
      <c r="D29" s="783"/>
      <c r="E29" s="783"/>
      <c r="F29" s="783"/>
      <c r="G29" s="783"/>
      <c r="H29" s="783"/>
      <c r="I29" s="783"/>
      <c r="J29" s="783"/>
      <c r="K29" s="783"/>
      <c r="L29" s="783"/>
      <c r="M29" s="783"/>
      <c r="N29" s="147"/>
      <c r="O29" s="147"/>
      <c r="P29" s="147"/>
      <c r="Q29" s="100"/>
    </row>
    <row r="30" spans="1:17" ht="42.65" customHeight="1" x14ac:dyDescent="0.35">
      <c r="A30" s="101" t="s">
        <v>200</v>
      </c>
      <c r="B30" s="778" t="s">
        <v>251</v>
      </c>
      <c r="C30" s="778"/>
      <c r="D30" s="778"/>
      <c r="E30" s="778"/>
      <c r="F30" s="778"/>
      <c r="G30" s="778"/>
      <c r="H30" s="778"/>
      <c r="I30" s="778"/>
      <c r="J30" s="778"/>
      <c r="K30" s="778"/>
      <c r="L30" s="778"/>
      <c r="M30" s="778"/>
      <c r="N30" s="778"/>
      <c r="O30" s="778"/>
      <c r="P30" s="778"/>
      <c r="Q30" s="778"/>
    </row>
    <row r="31" spans="1:17" ht="52.5" customHeight="1" x14ac:dyDescent="0.35">
      <c r="A31" s="101" t="s">
        <v>130</v>
      </c>
      <c r="B31" s="778" t="s">
        <v>307</v>
      </c>
      <c r="C31" s="778"/>
      <c r="D31" s="778"/>
      <c r="E31" s="778"/>
      <c r="F31" s="778"/>
      <c r="G31" s="778"/>
      <c r="H31" s="778"/>
      <c r="I31" s="778"/>
      <c r="J31" s="778"/>
      <c r="K31" s="778"/>
      <c r="L31" s="778"/>
      <c r="M31" s="778"/>
      <c r="N31" s="778"/>
      <c r="O31" s="778"/>
      <c r="P31" s="778"/>
      <c r="Q31" s="778"/>
    </row>
    <row r="32" spans="1:17" ht="52.5" customHeight="1" x14ac:dyDescent="0.35">
      <c r="A32" s="122" t="s">
        <v>201</v>
      </c>
      <c r="B32" s="782" t="s">
        <v>375</v>
      </c>
      <c r="C32" s="782"/>
      <c r="D32" s="782"/>
      <c r="E32" s="782"/>
      <c r="F32" s="782"/>
      <c r="G32" s="782"/>
      <c r="H32" s="782"/>
      <c r="I32" s="782"/>
      <c r="J32" s="782"/>
      <c r="K32" s="782"/>
      <c r="L32" s="782"/>
      <c r="M32" s="782"/>
      <c r="N32" s="782"/>
      <c r="O32" s="782"/>
      <c r="P32" s="782"/>
      <c r="Q32" s="782"/>
    </row>
    <row r="33" spans="1:18" ht="17.5" customHeight="1" x14ac:dyDescent="0.35">
      <c r="A33" s="101"/>
      <c r="B33" s="783"/>
      <c r="C33" s="783"/>
      <c r="D33" s="783"/>
      <c r="E33" s="783"/>
      <c r="F33" s="783"/>
      <c r="G33" s="783"/>
      <c r="H33" s="783"/>
      <c r="I33" s="783"/>
      <c r="J33" s="783"/>
      <c r="K33" s="783"/>
      <c r="L33" s="783"/>
      <c r="M33" s="783"/>
      <c r="N33" s="783"/>
      <c r="O33" s="783"/>
      <c r="P33" s="783"/>
      <c r="Q33" s="783"/>
    </row>
    <row r="34" spans="1:18" x14ac:dyDescent="0.35">
      <c r="A34" s="120" t="s">
        <v>102</v>
      </c>
      <c r="B34" s="779" t="s">
        <v>211</v>
      </c>
      <c r="C34" s="779"/>
      <c r="D34" s="779"/>
      <c r="E34" s="779"/>
      <c r="F34" s="779"/>
      <c r="G34" s="779"/>
      <c r="H34" s="779"/>
      <c r="I34" s="779"/>
      <c r="J34" s="779"/>
      <c r="K34" s="779"/>
      <c r="L34" s="779"/>
      <c r="M34" s="779"/>
      <c r="N34" s="102"/>
      <c r="O34" s="102"/>
      <c r="P34" s="102"/>
      <c r="Q34" s="174"/>
    </row>
    <row r="35" spans="1:18" ht="15" customHeight="1" x14ac:dyDescent="0.35">
      <c r="A35" s="120" t="s">
        <v>212</v>
      </c>
      <c r="B35" s="779" t="s">
        <v>243</v>
      </c>
      <c r="C35" s="779"/>
      <c r="D35" s="779"/>
      <c r="E35" s="779"/>
      <c r="F35" s="779"/>
      <c r="G35" s="779"/>
      <c r="H35" s="779"/>
      <c r="I35" s="779"/>
      <c r="J35" s="779"/>
      <c r="K35" s="779"/>
      <c r="L35" s="779"/>
      <c r="M35" s="779"/>
      <c r="N35" s="779"/>
      <c r="O35" s="779"/>
      <c r="P35" s="779"/>
      <c r="Q35" s="779"/>
    </row>
    <row r="36" spans="1:18" ht="26.5" customHeight="1" x14ac:dyDescent="0.35">
      <c r="A36" s="120" t="s">
        <v>214</v>
      </c>
      <c r="B36" s="778" t="s">
        <v>252</v>
      </c>
      <c r="C36" s="778"/>
      <c r="D36" s="778"/>
      <c r="E36" s="778"/>
      <c r="F36" s="778"/>
      <c r="G36" s="778"/>
      <c r="H36" s="778"/>
      <c r="I36" s="778"/>
      <c r="J36" s="778"/>
      <c r="K36" s="778"/>
      <c r="L36" s="778"/>
      <c r="M36" s="778"/>
      <c r="N36" s="778"/>
      <c r="O36" s="778"/>
      <c r="P36" s="778"/>
      <c r="Q36" s="778"/>
    </row>
    <row r="37" spans="1:18" x14ac:dyDescent="0.35">
      <c r="A37" s="120" t="s">
        <v>216</v>
      </c>
      <c r="B37" s="779" t="s">
        <v>426</v>
      </c>
      <c r="C37" s="779"/>
      <c r="D37" s="779"/>
      <c r="E37" s="779"/>
      <c r="F37" s="779"/>
      <c r="G37" s="779"/>
      <c r="H37" s="779"/>
      <c r="I37" s="779"/>
      <c r="J37" s="779"/>
      <c r="K37" s="779"/>
      <c r="L37" s="779"/>
      <c r="M37" s="779"/>
      <c r="N37" s="779"/>
      <c r="O37" s="779"/>
      <c r="P37" s="779"/>
      <c r="Q37" s="779"/>
    </row>
    <row r="38" spans="1:18" x14ac:dyDescent="0.35">
      <c r="A38" s="120" t="s">
        <v>218</v>
      </c>
      <c r="B38" s="778" t="s">
        <v>220</v>
      </c>
      <c r="C38" s="778"/>
      <c r="D38" s="778"/>
      <c r="E38" s="778"/>
      <c r="F38" s="778"/>
      <c r="G38" s="778"/>
      <c r="H38" s="778"/>
      <c r="I38" s="778"/>
      <c r="J38" s="778"/>
      <c r="K38" s="778"/>
      <c r="L38" s="778"/>
      <c r="M38" s="778"/>
      <c r="N38" s="778"/>
      <c r="O38" s="778"/>
      <c r="P38" s="778"/>
      <c r="Q38" s="778"/>
    </row>
    <row r="39" spans="1:18" x14ac:dyDescent="0.35">
      <c r="A39" s="120" t="s">
        <v>219</v>
      </c>
      <c r="B39" s="779" t="s">
        <v>249</v>
      </c>
      <c r="C39" s="779"/>
      <c r="D39" s="779"/>
      <c r="E39" s="779"/>
      <c r="F39" s="779"/>
      <c r="G39" s="779"/>
      <c r="H39" s="779"/>
      <c r="I39" s="779"/>
      <c r="J39" s="779"/>
      <c r="K39" s="779"/>
      <c r="L39" s="779"/>
      <c r="M39" s="779"/>
      <c r="N39" s="779"/>
      <c r="O39" s="779"/>
      <c r="P39" s="779"/>
      <c r="Q39" s="779"/>
    </row>
    <row r="40" spans="1:18" x14ac:dyDescent="0.35">
      <c r="A40" s="145"/>
      <c r="B40" s="145"/>
      <c r="C40" s="145"/>
      <c r="D40" s="145"/>
      <c r="E40" s="145"/>
      <c r="F40" s="145"/>
      <c r="G40" s="145"/>
      <c r="H40" s="145"/>
      <c r="I40" s="145"/>
      <c r="J40" s="145"/>
      <c r="K40" s="145"/>
      <c r="L40" s="145"/>
      <c r="M40" s="145"/>
      <c r="N40" s="145"/>
      <c r="O40" s="145"/>
      <c r="P40" s="145"/>
      <c r="Q40" s="145"/>
    </row>
    <row r="41" spans="1:18" ht="88.5" customHeight="1" x14ac:dyDescent="0.35">
      <c r="A41" s="801" t="s">
        <v>137</v>
      </c>
      <c r="B41" s="801"/>
      <c r="C41" s="801"/>
      <c r="D41" s="801"/>
      <c r="E41" s="801"/>
      <c r="F41" s="801"/>
      <c r="G41" s="801"/>
      <c r="H41" s="801"/>
      <c r="I41" s="801"/>
      <c r="J41" s="801"/>
      <c r="K41" s="801"/>
      <c r="L41" s="801"/>
      <c r="M41" s="801"/>
      <c r="N41" s="801"/>
      <c r="O41" s="801"/>
      <c r="P41" s="801"/>
      <c r="Q41" s="801"/>
      <c r="R41" s="801"/>
    </row>
  </sheetData>
  <sheetProtection algorithmName="SHA-512" hashValue="CDwyzan93l1L8a/bZhzW/JWZjr99/aToYS1PiERRxNHB5qUoAvyzac16zkjQfp/qgUBCkwVBB8h+vfGsnLho7g==" saltValue="C83SC2Hl2fzQ1f87uENbAg==" spinCount="100000" sheet="1" objects="1" scenarios="1"/>
  <mergeCells count="17">
    <mergeCell ref="C3:K4"/>
    <mergeCell ref="B31:Q31"/>
    <mergeCell ref="A5:A7"/>
    <mergeCell ref="B5:B7"/>
    <mergeCell ref="C5:C6"/>
    <mergeCell ref="B30:Q30"/>
    <mergeCell ref="B29:M29"/>
    <mergeCell ref="L3:Q4"/>
    <mergeCell ref="B38:Q38"/>
    <mergeCell ref="B32:Q32"/>
    <mergeCell ref="A41:R41"/>
    <mergeCell ref="B36:Q36"/>
    <mergeCell ref="B37:Q37"/>
    <mergeCell ref="B39:Q39"/>
    <mergeCell ref="B34:M34"/>
    <mergeCell ref="B35:Q35"/>
    <mergeCell ref="B33:Q33"/>
  </mergeCells>
  <hyperlinks>
    <hyperlink ref="B27" location="CHOCO!A40" display="Ver Nota Informativa" xr:uid="{00000000-0004-0000-0C00-000001000000}"/>
  </hyperlinks>
  <pageMargins left="0.7" right="0.7" top="0.75" bottom="0.75" header="0.3" footer="0.3"/>
  <pageSetup orientation="portrait" r:id="rId1"/>
  <ignoredErrors>
    <ignoredError sqref="Q22 F21:F22 M22 H22 C21:C22" numberStoredAsText="1"/>
    <ignoredError sqref="Q12:Q14 M12 Q16 F16:F19 F12:F14 M16 H16 H12:H14 C12 C16:C19 M14" numberStoredAsText="1" formula="1"/>
    <ignoredError sqref="Q18:Q21 M11 F20 F10 M18:M20 H17:H20 H10 C10 C20"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AA83"/>
  <sheetViews>
    <sheetView showGridLines="0" zoomScale="80" zoomScaleNormal="80" workbookViewId="0">
      <selection activeCell="C8" sqref="C8"/>
    </sheetView>
  </sheetViews>
  <sheetFormatPr baseColWidth="10" defaultColWidth="45" defaultRowHeight="14.5" x14ac:dyDescent="0.35"/>
  <cols>
    <col min="1" max="1" width="7" customWidth="1"/>
    <col min="2" max="2" width="47.81640625" customWidth="1"/>
    <col min="3" max="3" width="15.453125" customWidth="1"/>
    <col min="4" max="4" width="14.26953125" hidden="1" customWidth="1"/>
    <col min="5" max="5" width="14.453125" customWidth="1"/>
    <col min="6" max="6" width="14.26953125" hidden="1" customWidth="1"/>
    <col min="7" max="7" width="13.453125" hidden="1" customWidth="1"/>
    <col min="8" max="8" width="14" customWidth="1"/>
    <col min="9" max="9" width="14" hidden="1" customWidth="1"/>
    <col min="10" max="10" width="14" customWidth="1"/>
    <col min="11" max="11" width="13.26953125" hidden="1" customWidth="1"/>
    <col min="12" max="12" width="13.81640625" customWidth="1"/>
    <col min="13" max="13" width="14.81640625" customWidth="1"/>
    <col min="14" max="14" width="15.1796875" hidden="1" customWidth="1"/>
    <col min="15" max="15" width="16.453125" hidden="1" customWidth="1"/>
    <col min="16" max="16" width="21.7265625" hidden="1" customWidth="1"/>
    <col min="17" max="17" width="15.1796875" customWidth="1"/>
    <col min="18" max="18" width="16.54296875" hidden="1" customWidth="1"/>
    <col min="19" max="19" width="20.81640625" customWidth="1"/>
    <col min="20" max="20" width="23.7265625" customWidth="1"/>
  </cols>
  <sheetData>
    <row r="1" spans="1:18" x14ac:dyDescent="0.35">
      <c r="A1" s="145" t="s">
        <v>148</v>
      </c>
      <c r="B1" s="79" t="str">
        <f>+AMAZONAS!C1</f>
        <v>Vigencia: 04 de Noviembre de 2023; 00:00 horas</v>
      </c>
      <c r="C1" s="79"/>
      <c r="D1" s="79"/>
      <c r="E1" s="79"/>
      <c r="F1" s="145"/>
      <c r="G1" s="145"/>
      <c r="H1" s="145"/>
      <c r="I1" s="145"/>
      <c r="J1" s="145"/>
      <c r="K1" s="145"/>
      <c r="L1" s="145"/>
      <c r="M1" s="145"/>
      <c r="N1" s="145"/>
      <c r="O1" s="145"/>
      <c r="P1" s="145"/>
      <c r="Q1" s="145"/>
      <c r="R1" s="145"/>
    </row>
    <row r="2" spans="1:18" ht="15" thickBot="1" x14ac:dyDescent="0.4">
      <c r="A2" s="79" t="s">
        <v>162</v>
      </c>
      <c r="B2" s="104"/>
      <c r="C2" s="104"/>
      <c r="D2" s="709"/>
      <c r="E2" s="707"/>
      <c r="F2" s="104"/>
      <c r="G2" s="104"/>
      <c r="H2" s="104"/>
      <c r="I2" s="104"/>
      <c r="J2" s="104"/>
      <c r="K2" s="104"/>
      <c r="L2" s="104"/>
      <c r="M2" s="707"/>
      <c r="N2" s="159"/>
      <c r="O2" s="159"/>
      <c r="P2" s="159"/>
      <c r="Q2" s="159"/>
      <c r="R2" s="104"/>
    </row>
    <row r="3" spans="1:18" ht="15" customHeight="1" thickTop="1" x14ac:dyDescent="0.35">
      <c r="A3" s="128"/>
      <c r="B3" s="106" t="s">
        <v>261</v>
      </c>
      <c r="C3" s="784" t="s">
        <v>163</v>
      </c>
      <c r="D3" s="785"/>
      <c r="E3" s="785"/>
      <c r="F3" s="785"/>
      <c r="G3" s="785"/>
      <c r="H3" s="785"/>
      <c r="I3" s="785"/>
      <c r="J3" s="785"/>
      <c r="K3" s="785"/>
      <c r="L3" s="785"/>
      <c r="M3" s="824" t="s">
        <v>232</v>
      </c>
      <c r="N3" s="825"/>
      <c r="O3" s="825"/>
      <c r="P3" s="825"/>
      <c r="Q3" s="826"/>
      <c r="R3" s="316"/>
    </row>
    <row r="4" spans="1:18" ht="34.4" customHeight="1" x14ac:dyDescent="0.35">
      <c r="A4" s="107"/>
      <c r="B4" s="447" t="s">
        <v>471</v>
      </c>
      <c r="C4" s="787"/>
      <c r="D4" s="788"/>
      <c r="E4" s="788"/>
      <c r="F4" s="788"/>
      <c r="G4" s="788"/>
      <c r="H4" s="788"/>
      <c r="I4" s="788"/>
      <c r="J4" s="788"/>
      <c r="K4" s="788"/>
      <c r="L4" s="788"/>
      <c r="M4" s="853"/>
      <c r="N4" s="854"/>
      <c r="O4" s="854"/>
      <c r="P4" s="854"/>
      <c r="Q4" s="855"/>
      <c r="R4" s="317"/>
    </row>
    <row r="5" spans="1:18" ht="25.5" customHeight="1" x14ac:dyDescent="0.35">
      <c r="A5" s="790" t="s">
        <v>164</v>
      </c>
      <c r="B5" s="792" t="s">
        <v>165</v>
      </c>
      <c r="C5" s="780" t="s">
        <v>223</v>
      </c>
      <c r="D5" s="108" t="s">
        <v>96</v>
      </c>
      <c r="E5" s="108" t="s">
        <v>96</v>
      </c>
      <c r="F5" s="108" t="s">
        <v>96</v>
      </c>
      <c r="G5" s="108" t="s">
        <v>96</v>
      </c>
      <c r="H5" s="108" t="s">
        <v>155</v>
      </c>
      <c r="I5" s="108" t="s">
        <v>505</v>
      </c>
      <c r="J5" s="108" t="s">
        <v>374</v>
      </c>
      <c r="K5" s="108" t="str">
        <f>+'LA GUAJIRA'!L5</f>
        <v>Biodiesel B11</v>
      </c>
      <c r="L5" s="866" t="s">
        <v>373</v>
      </c>
      <c r="M5" s="606" t="s">
        <v>96</v>
      </c>
      <c r="N5" s="607" t="s">
        <v>96</v>
      </c>
      <c r="O5" s="607" t="s">
        <v>96</v>
      </c>
      <c r="P5" s="607" t="str">
        <f>+I5</f>
        <v>Biodiesel B8</v>
      </c>
      <c r="Q5" s="608" t="s">
        <v>374</v>
      </c>
      <c r="R5" s="176" t="str">
        <f>+K5</f>
        <v>Biodiesel B11</v>
      </c>
    </row>
    <row r="6" spans="1:18" ht="20.149999999999999" customHeight="1" x14ac:dyDescent="0.35">
      <c r="A6" s="790"/>
      <c r="B6" s="792"/>
      <c r="C6" s="781"/>
      <c r="D6" s="333" t="s">
        <v>504</v>
      </c>
      <c r="E6" s="333" t="s">
        <v>485</v>
      </c>
      <c r="F6" s="333" t="s">
        <v>454</v>
      </c>
      <c r="G6" s="333" t="s">
        <v>459</v>
      </c>
      <c r="H6" s="124">
        <v>0.02</v>
      </c>
      <c r="I6" s="109">
        <v>0.08</v>
      </c>
      <c r="J6" s="109">
        <v>0.1</v>
      </c>
      <c r="K6" s="109">
        <f>+'LA GUAJIRA'!L6</f>
        <v>0.11</v>
      </c>
      <c r="L6" s="867"/>
      <c r="M6" s="609" t="str">
        <f>+E6</f>
        <v>Oxigena 4%</v>
      </c>
      <c r="N6" s="610" t="str">
        <f>+F6</f>
        <v>Oxigena 5%</v>
      </c>
      <c r="O6" s="610" t="str">
        <f>+G6</f>
        <v>Oxigena 6%</v>
      </c>
      <c r="P6" s="611">
        <f>+I6</f>
        <v>0.08</v>
      </c>
      <c r="Q6" s="612">
        <v>0.1</v>
      </c>
      <c r="R6" s="653">
        <f>+K6</f>
        <v>0.11</v>
      </c>
    </row>
    <row r="7" spans="1:18" ht="16.149999999999999" customHeight="1" x14ac:dyDescent="0.35">
      <c r="A7" s="791"/>
      <c r="B7" s="793"/>
      <c r="C7" s="81" t="s">
        <v>166</v>
      </c>
      <c r="D7" s="108" t="s">
        <v>166</v>
      </c>
      <c r="E7" s="108" t="s">
        <v>166</v>
      </c>
      <c r="F7" s="108" t="s">
        <v>166</v>
      </c>
      <c r="G7" s="108" t="s">
        <v>166</v>
      </c>
      <c r="H7" s="108" t="s">
        <v>166</v>
      </c>
      <c r="I7" s="108" t="s">
        <v>166</v>
      </c>
      <c r="J7" s="108" t="s">
        <v>166</v>
      </c>
      <c r="K7" s="108" t="s">
        <v>166</v>
      </c>
      <c r="L7" s="160" t="s">
        <v>166</v>
      </c>
      <c r="M7" s="606" t="s">
        <v>166</v>
      </c>
      <c r="N7" s="607" t="s">
        <v>166</v>
      </c>
      <c r="O7" s="607" t="s">
        <v>166</v>
      </c>
      <c r="P7" s="607" t="s">
        <v>166</v>
      </c>
      <c r="Q7" s="608" t="s">
        <v>166</v>
      </c>
      <c r="R7" s="176" t="s">
        <v>166</v>
      </c>
    </row>
    <row r="8" spans="1:18" x14ac:dyDescent="0.35">
      <c r="A8" s="82" t="s">
        <v>167</v>
      </c>
      <c r="B8" s="88" t="s">
        <v>168</v>
      </c>
      <c r="C8" s="177">
        <f>+'Calculo IP ZDF'!B36</f>
        <v>9469.0142159999996</v>
      </c>
      <c r="D8" s="177">
        <f>+'Calculo IP ZDF'!G36</f>
        <v>9567.0939316799977</v>
      </c>
      <c r="E8" s="177">
        <f>+'Calculo IP ZDF'!H36</f>
        <v>9665.1736473599994</v>
      </c>
      <c r="F8" s="177">
        <f>+'Calculo IP ZDF'!I36</f>
        <v>9714.2135051999994</v>
      </c>
      <c r="G8" s="419">
        <f>+'Calculo IP ZDF'!J36</f>
        <v>9763.25</v>
      </c>
      <c r="H8" s="177">
        <f>+'Calculo IP ZDF'!F36</f>
        <v>4740.7574000000004</v>
      </c>
      <c r="I8" s="178">
        <f>+'Calculo IP ZDF'!N36</f>
        <v>5451.4915816000002</v>
      </c>
      <c r="J8" s="178">
        <f>+'Calculo IP ZDF'!M36</f>
        <v>5688.4019820000003</v>
      </c>
      <c r="K8" s="178">
        <f>+'Calculo IP ZDF'!L36</f>
        <v>5806.8571822000004</v>
      </c>
      <c r="L8" s="148">
        <f>+'Calculo IP ZDF'!C36</f>
        <v>4503.84998</v>
      </c>
      <c r="M8" s="613">
        <f>+'GAS CTE'!E9</f>
        <v>10092.5136</v>
      </c>
      <c r="N8" s="614">
        <f>+'GAS CTE'!F9</f>
        <v>10137.1</v>
      </c>
      <c r="O8" s="626">
        <f>+'GAS CTE'!G9</f>
        <v>10181.689999999999</v>
      </c>
      <c r="P8" s="616">
        <f>+BIODIESEL!H9</f>
        <v>5699.1596</v>
      </c>
      <c r="Q8" s="617">
        <f>+BIODIESEL!I9</f>
        <v>5930.6819999999998</v>
      </c>
      <c r="R8" s="133">
        <f>+BIODIESEL!J9</f>
        <v>6046.4452000000001</v>
      </c>
    </row>
    <row r="9" spans="1:18" x14ac:dyDescent="0.35">
      <c r="A9" s="82" t="s">
        <v>169</v>
      </c>
      <c r="B9" s="88" t="s">
        <v>170</v>
      </c>
      <c r="C9" s="131" t="str">
        <f>+H9</f>
        <v>------------------</v>
      </c>
      <c r="D9" s="131" t="s">
        <v>171</v>
      </c>
      <c r="E9" s="131" t="s">
        <v>171</v>
      </c>
      <c r="F9" s="131" t="s">
        <v>171</v>
      </c>
      <c r="G9" s="420" t="s">
        <v>171</v>
      </c>
      <c r="H9" s="131" t="s">
        <v>171</v>
      </c>
      <c r="I9" s="131"/>
      <c r="J9" s="131"/>
      <c r="K9" s="131" t="s">
        <v>171</v>
      </c>
      <c r="L9" s="162" t="s">
        <v>171</v>
      </c>
      <c r="M9" s="618">
        <f>+'GAS CTE'!E10</f>
        <v>636.6336</v>
      </c>
      <c r="N9" s="619">
        <f>+'GAS CTE'!F10</f>
        <v>630.00199999999995</v>
      </c>
      <c r="O9" s="626">
        <f>+'GAS CTE'!G10</f>
        <v>623.3703999999999</v>
      </c>
      <c r="P9" s="616">
        <f>+BIODIESEL!H10</f>
        <v>583.96080000000006</v>
      </c>
      <c r="Q9" s="617">
        <f>+BIODIESEL!I10</f>
        <v>571.26600000000008</v>
      </c>
      <c r="R9" s="86">
        <f>+BIODIESEL!J10</f>
        <v>564.91859999999997</v>
      </c>
    </row>
    <row r="10" spans="1:18" x14ac:dyDescent="0.35">
      <c r="A10" s="82"/>
      <c r="B10" s="88" t="s">
        <v>129</v>
      </c>
      <c r="C10" s="131" t="str">
        <f>+H10</f>
        <v>------------------</v>
      </c>
      <c r="D10" s="131" t="s">
        <v>171</v>
      </c>
      <c r="E10" s="131" t="s">
        <v>171</v>
      </c>
      <c r="F10" s="131" t="s">
        <v>171</v>
      </c>
      <c r="G10" s="420" t="s">
        <v>171</v>
      </c>
      <c r="H10" s="131" t="s">
        <v>171</v>
      </c>
      <c r="I10" s="131"/>
      <c r="J10" s="131"/>
      <c r="K10" s="131" t="s">
        <v>171</v>
      </c>
      <c r="L10" s="162" t="s">
        <v>171</v>
      </c>
      <c r="M10" s="656" t="s">
        <v>130</v>
      </c>
      <c r="N10" s="619" t="s">
        <v>130</v>
      </c>
      <c r="O10" s="657" t="s">
        <v>130</v>
      </c>
      <c r="P10" s="616" t="s">
        <v>130</v>
      </c>
      <c r="Q10" s="617" t="s">
        <v>130</v>
      </c>
      <c r="R10" s="86" t="s">
        <v>130</v>
      </c>
    </row>
    <row r="11" spans="1:18" x14ac:dyDescent="0.35">
      <c r="A11" s="82"/>
      <c r="B11" s="88" t="s">
        <v>131</v>
      </c>
      <c r="C11" s="164">
        <f>+'GAS CTE'!C12</f>
        <v>169</v>
      </c>
      <c r="D11" s="164">
        <f>+'GAS CTE'!D12</f>
        <v>165.62</v>
      </c>
      <c r="E11" s="164">
        <f>+'GAS CTE'!E12</f>
        <v>162.23999999999998</v>
      </c>
      <c r="F11" s="164">
        <f>+'GAS CTE'!F12</f>
        <v>160.54999999999998</v>
      </c>
      <c r="G11" s="421">
        <f>+'GAS CTE'!G12</f>
        <v>158.85999999999999</v>
      </c>
      <c r="H11" s="164">
        <f>+BIODIESEL!E12</f>
        <v>187.18</v>
      </c>
      <c r="I11" s="164">
        <f>+BIODIESEL!H12</f>
        <v>175.72</v>
      </c>
      <c r="J11" s="164">
        <f>+BIODIESEL!I12</f>
        <v>171.9</v>
      </c>
      <c r="K11" s="164">
        <f>+BIODIESEL!J12</f>
        <v>169.99</v>
      </c>
      <c r="L11" s="148">
        <f>+BIODIESEL!C12</f>
        <v>191</v>
      </c>
      <c r="M11" s="618">
        <f>+E11</f>
        <v>162.23999999999998</v>
      </c>
      <c r="N11" s="623">
        <f>+F11</f>
        <v>160.54999999999998</v>
      </c>
      <c r="O11" s="626">
        <f>+'GAS CTE'!G12</f>
        <v>158.85999999999999</v>
      </c>
      <c r="P11" s="616">
        <f>+I11</f>
        <v>175.72</v>
      </c>
      <c r="Q11" s="617">
        <f>+J11</f>
        <v>171.9</v>
      </c>
      <c r="R11" s="86">
        <f>+K11</f>
        <v>169.99</v>
      </c>
    </row>
    <row r="12" spans="1:18" ht="16.399999999999999" customHeight="1" x14ac:dyDescent="0.35">
      <c r="A12" s="82" t="s">
        <v>172</v>
      </c>
      <c r="B12" s="88" t="s">
        <v>250</v>
      </c>
      <c r="C12" s="179" t="s">
        <v>200</v>
      </c>
      <c r="D12" s="179" t="s">
        <v>200</v>
      </c>
      <c r="E12" s="179" t="s">
        <v>200</v>
      </c>
      <c r="F12" s="131" t="str">
        <f>+C12</f>
        <v>(2)</v>
      </c>
      <c r="G12" s="131" t="str">
        <f t="shared" ref="G12:G15" si="0">+F12</f>
        <v>(2)</v>
      </c>
      <c r="H12" s="131" t="str">
        <f>+C12</f>
        <v>(2)</v>
      </c>
      <c r="I12" s="131" t="str">
        <f>+H12</f>
        <v>(2)</v>
      </c>
      <c r="J12" s="131" t="str">
        <f>+I12</f>
        <v>(2)</v>
      </c>
      <c r="K12" s="131" t="str">
        <f>+C12</f>
        <v>(2)</v>
      </c>
      <c r="L12" s="154" t="str">
        <f>+C12</f>
        <v>(2)</v>
      </c>
      <c r="M12" s="618" t="s">
        <v>200</v>
      </c>
      <c r="N12" s="619" t="str">
        <f>+L12</f>
        <v>(2)</v>
      </c>
      <c r="O12" s="626" t="str">
        <f>+N12</f>
        <v>(2)</v>
      </c>
      <c r="P12" s="616" t="str">
        <f>+D12</f>
        <v>(2)</v>
      </c>
      <c r="Q12" s="617" t="str">
        <f>+E12</f>
        <v>(2)</v>
      </c>
      <c r="R12" s="86" t="str">
        <f>+F12</f>
        <v>(2)</v>
      </c>
    </row>
    <row r="13" spans="1:18" x14ac:dyDescent="0.35">
      <c r="A13" s="82" t="s">
        <v>174</v>
      </c>
      <c r="B13" s="88" t="s">
        <v>175</v>
      </c>
      <c r="C13" s="164">
        <f>+RUBROS!AF18</f>
        <v>18.101516548897258</v>
      </c>
      <c r="D13" s="164">
        <f>+C13</f>
        <v>18.101516548897258</v>
      </c>
      <c r="E13" s="110">
        <f>+C13</f>
        <v>18.101516548897258</v>
      </c>
      <c r="F13" s="110">
        <f>+C13</f>
        <v>18.101516548897258</v>
      </c>
      <c r="G13" s="418">
        <f t="shared" si="0"/>
        <v>18.101516548897258</v>
      </c>
      <c r="H13" s="110">
        <f>+C13</f>
        <v>18.101516548897258</v>
      </c>
      <c r="I13" s="110">
        <f>+C13</f>
        <v>18.101516548897258</v>
      </c>
      <c r="J13" s="110">
        <f>+H13</f>
        <v>18.101516548897258</v>
      </c>
      <c r="K13" s="110">
        <f>+C13</f>
        <v>18.101516548897258</v>
      </c>
      <c r="L13" s="154">
        <f>+C13</f>
        <v>18.101516548897258</v>
      </c>
      <c r="M13" s="613">
        <f>+RUBROS!$AG$18</f>
        <v>26.583233136281329</v>
      </c>
      <c r="N13" s="616">
        <f>+RUBROS!$AG$18</f>
        <v>26.583233136281329</v>
      </c>
      <c r="O13" s="626">
        <f>+RUBROS!$AD$18</f>
        <v>23.500029293035123</v>
      </c>
      <c r="P13" s="616">
        <f>+RUBROS!$AG$18</f>
        <v>26.583233136281329</v>
      </c>
      <c r="Q13" s="617">
        <f>+P13</f>
        <v>26.583233136281329</v>
      </c>
      <c r="R13" s="86">
        <f>+RUBROS!AG18</f>
        <v>26.583233136281329</v>
      </c>
    </row>
    <row r="14" spans="1:18" x14ac:dyDescent="0.35">
      <c r="A14" s="82" t="s">
        <v>176</v>
      </c>
      <c r="B14" s="194" t="s">
        <v>177</v>
      </c>
      <c r="C14" s="229">
        <f>+RUBROS!AF54</f>
        <v>127.35415747874769</v>
      </c>
      <c r="D14" s="164">
        <f>+C14</f>
        <v>127.35415747874769</v>
      </c>
      <c r="E14" s="110">
        <f>+C14</f>
        <v>127.35415747874769</v>
      </c>
      <c r="F14" s="110">
        <f>+C14</f>
        <v>127.35415747874769</v>
      </c>
      <c r="G14" s="418">
        <f t="shared" si="0"/>
        <v>127.35415747874769</v>
      </c>
      <c r="H14" s="110">
        <f>+F14</f>
        <v>127.35415747874769</v>
      </c>
      <c r="I14" s="110">
        <f>+H14</f>
        <v>127.35415747874769</v>
      </c>
      <c r="J14" s="110">
        <f>+H14</f>
        <v>127.35415747874769</v>
      </c>
      <c r="K14" s="110">
        <f>+H14</f>
        <v>127.35415747874769</v>
      </c>
      <c r="L14" s="154">
        <f>+K14</f>
        <v>127.35415747874769</v>
      </c>
      <c r="M14" s="613">
        <f>+E14</f>
        <v>127.35415747874769</v>
      </c>
      <c r="N14" s="616">
        <f>+C14</f>
        <v>127.35415747874769</v>
      </c>
      <c r="O14" s="626">
        <f>+RUBROS!AD54</f>
        <v>112.5832368093597</v>
      </c>
      <c r="P14" s="616">
        <f>+RUBROS!AF54</f>
        <v>127.35415747874769</v>
      </c>
      <c r="Q14" s="617">
        <f>+P14</f>
        <v>127.35415747874769</v>
      </c>
      <c r="R14" s="86">
        <f>+RUBROS!AG54</f>
        <v>127.35415747874769</v>
      </c>
    </row>
    <row r="15" spans="1:18" x14ac:dyDescent="0.35">
      <c r="A15" s="82" t="s">
        <v>178</v>
      </c>
      <c r="B15" s="88" t="s">
        <v>262</v>
      </c>
      <c r="C15" s="164">
        <f>+RUBROS!AZ40</f>
        <v>13.716213893883657</v>
      </c>
      <c r="D15" s="164">
        <f>+C15</f>
        <v>13.716213893883657</v>
      </c>
      <c r="E15" s="110">
        <f>+C15</f>
        <v>13.716213893883657</v>
      </c>
      <c r="F15" s="110">
        <f>+C15</f>
        <v>13.716213893883657</v>
      </c>
      <c r="G15" s="418">
        <f t="shared" si="0"/>
        <v>13.716213893883657</v>
      </c>
      <c r="H15" s="110">
        <f>+C15</f>
        <v>13.716213893883657</v>
      </c>
      <c r="I15" s="110">
        <f>+C15</f>
        <v>13.716213893883657</v>
      </c>
      <c r="J15" s="110">
        <f>+H15</f>
        <v>13.716213893883657</v>
      </c>
      <c r="K15" s="110">
        <f>+C15</f>
        <v>13.716213893883657</v>
      </c>
      <c r="L15" s="154">
        <f>+C15</f>
        <v>13.716213893883657</v>
      </c>
      <c r="M15" s="613">
        <f>+E15</f>
        <v>13.716213893883657</v>
      </c>
      <c r="N15" s="616">
        <f>+C15</f>
        <v>13.716213893883657</v>
      </c>
      <c r="O15" s="626">
        <f>+N15</f>
        <v>13.716213893883657</v>
      </c>
      <c r="P15" s="616">
        <f>+N15</f>
        <v>13.716213893883657</v>
      </c>
      <c r="Q15" s="617">
        <f>+P15</f>
        <v>13.716213893883657</v>
      </c>
      <c r="R15" s="86">
        <f>+N15</f>
        <v>13.716213893883657</v>
      </c>
    </row>
    <row r="16" spans="1:18" hidden="1" x14ac:dyDescent="0.35">
      <c r="A16" s="82"/>
      <c r="B16" s="88" t="s">
        <v>180</v>
      </c>
      <c r="C16" s="164"/>
      <c r="D16" s="164"/>
      <c r="E16" s="164"/>
      <c r="F16" s="110"/>
      <c r="G16" s="110"/>
      <c r="H16" s="110"/>
      <c r="I16" s="110"/>
      <c r="J16" s="110"/>
      <c r="K16" s="110"/>
      <c r="L16" s="154"/>
      <c r="M16" s="613"/>
      <c r="N16" s="616"/>
      <c r="O16" s="616"/>
      <c r="P16" s="616"/>
      <c r="Q16" s="617"/>
      <c r="R16" s="86"/>
    </row>
    <row r="17" spans="1:18" x14ac:dyDescent="0.35">
      <c r="A17" s="89" t="s">
        <v>181</v>
      </c>
      <c r="B17" s="115" t="s">
        <v>182</v>
      </c>
      <c r="C17" s="165">
        <f>SUM(C8:C16)</f>
        <v>9797.1861039215273</v>
      </c>
      <c r="D17" s="165">
        <f>SUM(D8:D16)</f>
        <v>9891.8858196015262</v>
      </c>
      <c r="E17" s="165">
        <f>SUM(E8:E16)</f>
        <v>9986.585535281527</v>
      </c>
      <c r="F17" s="165">
        <f t="shared" ref="F17:R17" si="1">SUM(F8:F16)</f>
        <v>10033.935393121526</v>
      </c>
      <c r="G17" s="165">
        <f t="shared" si="1"/>
        <v>10081.281887921528</v>
      </c>
      <c r="H17" s="165">
        <f t="shared" si="1"/>
        <v>5087.1092879215294</v>
      </c>
      <c r="I17" s="165">
        <f t="shared" si="1"/>
        <v>5786.3834695215292</v>
      </c>
      <c r="J17" s="165">
        <f t="shared" ref="J17" si="2">SUM(J8:J16)</f>
        <v>6019.4738699215286</v>
      </c>
      <c r="K17" s="165">
        <f t="shared" si="1"/>
        <v>6136.0190701215288</v>
      </c>
      <c r="L17" s="166">
        <f t="shared" si="1"/>
        <v>4854.0218679215286</v>
      </c>
      <c r="M17" s="627">
        <f t="shared" si="1"/>
        <v>11059.040804508912</v>
      </c>
      <c r="N17" s="628">
        <f t="shared" si="1"/>
        <v>11095.305604508912</v>
      </c>
      <c r="O17" s="632">
        <f t="shared" ref="O17" si="3">SUM(O8:O16)</f>
        <v>11113.719879996277</v>
      </c>
      <c r="P17" s="628">
        <f t="shared" si="1"/>
        <v>6626.4940045089133</v>
      </c>
      <c r="Q17" s="629">
        <f t="shared" ref="Q17" si="4">SUM(Q8:Q16)</f>
        <v>6841.5016045089133</v>
      </c>
      <c r="R17" s="654">
        <f t="shared" si="1"/>
        <v>6949.0074045089132</v>
      </c>
    </row>
    <row r="18" spans="1:18" x14ac:dyDescent="0.35">
      <c r="A18" s="82" t="s">
        <v>183</v>
      </c>
      <c r="B18" s="88" t="s">
        <v>246</v>
      </c>
      <c r="C18" s="180" t="s">
        <v>214</v>
      </c>
      <c r="D18" s="180" t="s">
        <v>214</v>
      </c>
      <c r="E18" s="179" t="s">
        <v>214</v>
      </c>
      <c r="F18" s="110" t="str">
        <f>+C18</f>
        <v>***</v>
      </c>
      <c r="G18" s="110" t="str">
        <f>+F18</f>
        <v>***</v>
      </c>
      <c r="H18" s="110" t="str">
        <f>+C18</f>
        <v>***</v>
      </c>
      <c r="I18" s="110" t="s">
        <v>214</v>
      </c>
      <c r="J18" s="110" t="str">
        <f>+H18</f>
        <v>***</v>
      </c>
      <c r="K18" s="110" t="str">
        <f>+H18</f>
        <v>***</v>
      </c>
      <c r="L18" s="154" t="str">
        <f>+H18</f>
        <v>***</v>
      </c>
      <c r="M18" s="613" t="s">
        <v>214</v>
      </c>
      <c r="N18" s="616" t="str">
        <f>+L18</f>
        <v>***</v>
      </c>
      <c r="O18" s="616" t="str">
        <f>+N18</f>
        <v>***</v>
      </c>
      <c r="P18" s="616" t="s">
        <v>214</v>
      </c>
      <c r="Q18" s="617" t="s">
        <v>214</v>
      </c>
      <c r="R18" s="86" t="str">
        <f>+N18</f>
        <v>***</v>
      </c>
    </row>
    <row r="19" spans="1:18" x14ac:dyDescent="0.35">
      <c r="A19" s="82" t="s">
        <v>185</v>
      </c>
      <c r="B19" s="88" t="s">
        <v>186</v>
      </c>
      <c r="C19" s="180" t="s">
        <v>212</v>
      </c>
      <c r="D19" s="180" t="s">
        <v>212</v>
      </c>
      <c r="E19" s="179" t="s">
        <v>212</v>
      </c>
      <c r="F19" s="110" t="str">
        <f>+C19</f>
        <v>**</v>
      </c>
      <c r="G19" s="110" t="str">
        <f>+F19</f>
        <v>**</v>
      </c>
      <c r="H19" s="110" t="str">
        <f>+C19</f>
        <v>**</v>
      </c>
      <c r="I19" s="110" t="s">
        <v>212</v>
      </c>
      <c r="J19" s="110" t="str">
        <f>+H19</f>
        <v>**</v>
      </c>
      <c r="K19" s="110" t="str">
        <f>+C19</f>
        <v>**</v>
      </c>
      <c r="L19" s="154" t="str">
        <f>+C19</f>
        <v>**</v>
      </c>
      <c r="M19" s="613" t="s">
        <v>212</v>
      </c>
      <c r="N19" s="616" t="str">
        <f>+L19</f>
        <v>**</v>
      </c>
      <c r="O19" s="616" t="str">
        <f>+N19</f>
        <v>**</v>
      </c>
      <c r="P19" s="616" t="s">
        <v>212</v>
      </c>
      <c r="Q19" s="617" t="s">
        <v>212</v>
      </c>
      <c r="R19" s="86" t="str">
        <f>+N19</f>
        <v>**</v>
      </c>
    </row>
    <row r="20" spans="1:18" x14ac:dyDescent="0.35">
      <c r="A20" s="82" t="s">
        <v>187</v>
      </c>
      <c r="B20" s="88" t="s">
        <v>134</v>
      </c>
      <c r="C20" s="164" t="str">
        <f>+H20</f>
        <v>****</v>
      </c>
      <c r="D20" s="164" t="s">
        <v>216</v>
      </c>
      <c r="E20" s="131" t="s">
        <v>216</v>
      </c>
      <c r="F20" s="110" t="str">
        <f t="shared" ref="F20:F22" si="5">+H20</f>
        <v>****</v>
      </c>
      <c r="G20" s="110" t="str">
        <f>+K20</f>
        <v>****</v>
      </c>
      <c r="H20" s="114" t="str">
        <f>+A37</f>
        <v>****</v>
      </c>
      <c r="I20" s="114" t="s">
        <v>216</v>
      </c>
      <c r="J20" s="110" t="str">
        <f>+H20</f>
        <v>****</v>
      </c>
      <c r="K20" s="114" t="str">
        <f>+H20</f>
        <v>****</v>
      </c>
      <c r="L20" s="148" t="str">
        <f>+A37</f>
        <v>****</v>
      </c>
      <c r="M20" s="630" t="s">
        <v>216</v>
      </c>
      <c r="N20" s="621" t="str">
        <f>C20</f>
        <v>****</v>
      </c>
      <c r="O20" s="619" t="str">
        <f>F20</f>
        <v>****</v>
      </c>
      <c r="P20" s="616" t="s">
        <v>216</v>
      </c>
      <c r="Q20" s="617" t="s">
        <v>216</v>
      </c>
      <c r="R20" s="86" t="str">
        <f>+N20</f>
        <v>****</v>
      </c>
    </row>
    <row r="21" spans="1:18" x14ac:dyDescent="0.35">
      <c r="A21" s="89" t="s">
        <v>189</v>
      </c>
      <c r="B21" s="115" t="s">
        <v>190</v>
      </c>
      <c r="C21" s="169">
        <f>SUM(C17:C20)</f>
        <v>9797.1861039215273</v>
      </c>
      <c r="D21" s="169">
        <f>SUM(D17:D20)</f>
        <v>9891.8858196015262</v>
      </c>
      <c r="E21" s="169">
        <f>SUM(E17:E20)</f>
        <v>9986.585535281527</v>
      </c>
      <c r="F21" s="116">
        <f t="shared" ref="F21:R21" si="6">SUM(F17:F20)</f>
        <v>10033.935393121526</v>
      </c>
      <c r="G21" s="116">
        <f t="shared" ref="G21" si="7">SUM(G17:G20)</f>
        <v>10081.281887921528</v>
      </c>
      <c r="H21" s="116">
        <f t="shared" si="6"/>
        <v>5087.1092879215294</v>
      </c>
      <c r="I21" s="116">
        <f t="shared" si="6"/>
        <v>5786.3834695215292</v>
      </c>
      <c r="J21" s="116">
        <f t="shared" si="6"/>
        <v>6019.4738699215286</v>
      </c>
      <c r="K21" s="116">
        <f t="shared" si="6"/>
        <v>6136.0190701215288</v>
      </c>
      <c r="L21" s="155">
        <f t="shared" si="6"/>
        <v>4854.0218679215286</v>
      </c>
      <c r="M21" s="627">
        <f t="shared" si="6"/>
        <v>11059.040804508912</v>
      </c>
      <c r="N21" s="632">
        <f t="shared" si="6"/>
        <v>11095.305604508912</v>
      </c>
      <c r="O21" s="632">
        <f t="shared" ref="O21" si="8">SUM(O17:O20)</f>
        <v>11113.719879996277</v>
      </c>
      <c r="P21" s="632">
        <f t="shared" si="6"/>
        <v>6626.4940045089133</v>
      </c>
      <c r="Q21" s="633">
        <f t="shared" ref="Q21" si="9">SUM(Q17:Q20)</f>
        <v>6841.5016045089133</v>
      </c>
      <c r="R21" s="655">
        <f t="shared" si="6"/>
        <v>6949.0074045089132</v>
      </c>
    </row>
    <row r="22" spans="1:18" x14ac:dyDescent="0.35">
      <c r="A22" s="82" t="s">
        <v>191</v>
      </c>
      <c r="B22" s="88" t="s">
        <v>150</v>
      </c>
      <c r="C22" s="164" t="str">
        <f>+H22</f>
        <v>***</v>
      </c>
      <c r="D22" s="164" t="str">
        <f>+I22</f>
        <v>***</v>
      </c>
      <c r="E22" s="164" t="str">
        <f>+I22</f>
        <v>***</v>
      </c>
      <c r="F22" s="110" t="str">
        <f t="shared" si="5"/>
        <v>***</v>
      </c>
      <c r="G22" s="110" t="str">
        <f>+K22</f>
        <v>***</v>
      </c>
      <c r="H22" s="110" t="str">
        <f t="shared" ref="H22" si="10">+H18</f>
        <v>***</v>
      </c>
      <c r="I22" s="110" t="s">
        <v>214</v>
      </c>
      <c r="J22" s="110" t="str">
        <f>+H22</f>
        <v>***</v>
      </c>
      <c r="K22" s="110" t="str">
        <f>+H22</f>
        <v>***</v>
      </c>
      <c r="L22" s="154" t="str">
        <f>+L18</f>
        <v>***</v>
      </c>
      <c r="M22" s="613" t="s">
        <v>214</v>
      </c>
      <c r="N22" s="616" t="str">
        <f>+L22</f>
        <v>***</v>
      </c>
      <c r="O22" s="616" t="str">
        <f>+N22</f>
        <v>***</v>
      </c>
      <c r="P22" s="616" t="s">
        <v>214</v>
      </c>
      <c r="Q22" s="617" t="s">
        <v>214</v>
      </c>
      <c r="R22" s="86" t="str">
        <f>+N22</f>
        <v>***</v>
      </c>
    </row>
    <row r="23" spans="1:18" x14ac:dyDescent="0.35">
      <c r="A23" s="82" t="s">
        <v>192</v>
      </c>
      <c r="B23" s="83" t="s">
        <v>193</v>
      </c>
      <c r="C23" s="170" t="s">
        <v>218</v>
      </c>
      <c r="D23" s="170" t="s">
        <v>218</v>
      </c>
      <c r="E23" s="170" t="s">
        <v>218</v>
      </c>
      <c r="F23" s="110" t="str">
        <f>+C23</f>
        <v>*****</v>
      </c>
      <c r="G23" s="110" t="str">
        <f>+F23</f>
        <v>*****</v>
      </c>
      <c r="H23" s="110" t="s">
        <v>194</v>
      </c>
      <c r="I23" s="110" t="s">
        <v>194</v>
      </c>
      <c r="J23" s="110" t="str">
        <f>+H23</f>
        <v>N.A</v>
      </c>
      <c r="K23" s="110" t="str">
        <f>+H23</f>
        <v>N.A</v>
      </c>
      <c r="L23" s="154" t="s">
        <v>194</v>
      </c>
      <c r="M23" s="613" t="s">
        <v>218</v>
      </c>
      <c r="N23" s="616" t="str">
        <f>+F23</f>
        <v>*****</v>
      </c>
      <c r="O23" s="616" t="str">
        <f>+G23</f>
        <v>*****</v>
      </c>
      <c r="P23" s="616" t="s">
        <v>236</v>
      </c>
      <c r="Q23" s="617" t="s">
        <v>236</v>
      </c>
      <c r="R23" s="86" t="s">
        <v>236</v>
      </c>
    </row>
    <row r="24" spans="1:18" x14ac:dyDescent="0.35">
      <c r="A24" s="82" t="s">
        <v>195</v>
      </c>
      <c r="B24" s="83" t="s">
        <v>196</v>
      </c>
      <c r="C24" s="170" t="s">
        <v>219</v>
      </c>
      <c r="D24" s="170" t="s">
        <v>219</v>
      </c>
      <c r="E24" s="170" t="s">
        <v>219</v>
      </c>
      <c r="F24" s="110" t="str">
        <f>+C24</f>
        <v>******</v>
      </c>
      <c r="G24" s="110" t="str">
        <f>+F24</f>
        <v>******</v>
      </c>
      <c r="H24" s="110" t="str">
        <f>+C24</f>
        <v>******</v>
      </c>
      <c r="I24" s="110" t="s">
        <v>219</v>
      </c>
      <c r="J24" s="110" t="str">
        <f>+H24</f>
        <v>******</v>
      </c>
      <c r="K24" s="110" t="str">
        <f>+C24</f>
        <v>******</v>
      </c>
      <c r="L24" s="154" t="str">
        <f>+C24</f>
        <v>******</v>
      </c>
      <c r="M24" s="613" t="s">
        <v>219</v>
      </c>
      <c r="N24" s="616" t="str">
        <f>+C24</f>
        <v>******</v>
      </c>
      <c r="O24" s="616" t="str">
        <f>+F24</f>
        <v>******</v>
      </c>
      <c r="P24" s="616" t="s">
        <v>219</v>
      </c>
      <c r="Q24" s="617" t="s">
        <v>219</v>
      </c>
      <c r="R24" s="86" t="str">
        <f>+C24</f>
        <v>******</v>
      </c>
    </row>
    <row r="25" spans="1:18" ht="15" thickBot="1" x14ac:dyDescent="0.4">
      <c r="A25" s="93" t="s">
        <v>197</v>
      </c>
      <c r="B25" s="94" t="s">
        <v>198</v>
      </c>
      <c r="C25" s="171"/>
      <c r="D25" s="171"/>
      <c r="E25" s="171"/>
      <c r="F25" s="118"/>
      <c r="G25" s="118"/>
      <c r="H25" s="118"/>
      <c r="I25" s="118"/>
      <c r="J25" s="118"/>
      <c r="K25" s="118"/>
      <c r="L25" s="156"/>
      <c r="M25" s="635"/>
      <c r="N25" s="636"/>
      <c r="O25" s="636"/>
      <c r="P25" s="636"/>
      <c r="Q25" s="637"/>
      <c r="R25" s="97"/>
    </row>
    <row r="26" spans="1:18" ht="15" thickTop="1" x14ac:dyDescent="0.35">
      <c r="A26" s="98"/>
      <c r="B26" s="99"/>
      <c r="C26" s="99"/>
      <c r="D26" s="99"/>
      <c r="E26" s="99"/>
      <c r="F26" s="100"/>
      <c r="G26" s="100"/>
      <c r="H26" s="100"/>
      <c r="I26" s="100"/>
      <c r="J26" s="100"/>
      <c r="K26" s="100"/>
      <c r="L26" s="100"/>
      <c r="M26" s="100"/>
      <c r="N26" s="100"/>
      <c r="O26" s="100"/>
      <c r="P26" s="100"/>
      <c r="Q26" s="100"/>
      <c r="R26" s="100"/>
    </row>
    <row r="27" spans="1:18" x14ac:dyDescent="0.35">
      <c r="A27" s="98"/>
      <c r="B27" s="119" t="s">
        <v>210</v>
      </c>
      <c r="C27" s="99"/>
      <c r="D27" s="99"/>
      <c r="E27" s="99"/>
      <c r="F27" s="100"/>
      <c r="G27" s="100"/>
      <c r="H27" s="100"/>
      <c r="I27" s="100"/>
      <c r="J27" s="100"/>
      <c r="K27" s="100"/>
      <c r="L27" s="100"/>
      <c r="M27" s="100"/>
      <c r="N27" s="100"/>
      <c r="O27" s="100"/>
      <c r="P27" s="100"/>
      <c r="Q27" s="100"/>
      <c r="R27" s="100"/>
    </row>
    <row r="28" spans="1:18" x14ac:dyDescent="0.35">
      <c r="A28" s="98"/>
      <c r="B28" s="99"/>
      <c r="C28" s="99"/>
      <c r="D28" s="99"/>
      <c r="E28" s="99"/>
      <c r="F28" s="100"/>
      <c r="G28" s="100"/>
      <c r="H28" s="100"/>
      <c r="I28" s="100"/>
      <c r="J28" s="100"/>
      <c r="K28" s="100"/>
      <c r="L28" s="100"/>
      <c r="M28" s="100"/>
      <c r="N28" s="100"/>
      <c r="O28" s="100"/>
      <c r="P28" s="100"/>
      <c r="Q28" s="100"/>
      <c r="R28" s="100"/>
    </row>
    <row r="29" spans="1:18" ht="31" customHeight="1" x14ac:dyDescent="0.35">
      <c r="A29" s="101" t="s">
        <v>173</v>
      </c>
      <c r="B29" s="783" t="str">
        <f>+'LA GUAJIRA'!B78:M78</f>
        <v>De acuerdo con lo establecido en la Resoluccion 91349 de 2014 del MME para combustible de origen nacional o importado a ser distribuido en zonas de frontera, aplica la tarifa de marcación o remarcación vigente a la fecha según corresponda</v>
      </c>
      <c r="C29" s="783"/>
      <c r="D29" s="783"/>
      <c r="E29" s="783"/>
      <c r="F29" s="783"/>
      <c r="G29" s="783"/>
      <c r="H29" s="783"/>
      <c r="I29" s="783"/>
      <c r="J29" s="783"/>
      <c r="K29" s="783"/>
      <c r="L29" s="783"/>
      <c r="M29" s="783"/>
      <c r="N29" s="783"/>
      <c r="O29" s="147"/>
      <c r="P29" s="147"/>
      <c r="Q29" s="147"/>
      <c r="R29" s="100"/>
    </row>
    <row r="30" spans="1:18" x14ac:dyDescent="0.35">
      <c r="A30" s="101" t="s">
        <v>200</v>
      </c>
      <c r="B30" s="778" t="s">
        <v>251</v>
      </c>
      <c r="C30" s="778"/>
      <c r="D30" s="778"/>
      <c r="E30" s="778"/>
      <c r="F30" s="778"/>
      <c r="G30" s="778"/>
      <c r="H30" s="778"/>
      <c r="I30" s="778"/>
      <c r="J30" s="778"/>
      <c r="K30" s="778"/>
      <c r="L30" s="778"/>
      <c r="M30" s="778"/>
      <c r="N30" s="778"/>
      <c r="O30" s="413"/>
      <c r="P30" s="413"/>
      <c r="Q30" s="413"/>
      <c r="R30" s="100"/>
    </row>
    <row r="31" spans="1:18" ht="72.75" customHeight="1" x14ac:dyDescent="0.35">
      <c r="A31" s="101" t="s">
        <v>130</v>
      </c>
      <c r="B31" s="783" t="s">
        <v>307</v>
      </c>
      <c r="C31" s="783"/>
      <c r="D31" s="783"/>
      <c r="E31" s="783"/>
      <c r="F31" s="783"/>
      <c r="G31" s="783"/>
      <c r="H31" s="783"/>
      <c r="I31" s="783"/>
      <c r="J31" s="783"/>
      <c r="K31" s="783"/>
      <c r="L31" s="783"/>
      <c r="M31" s="783"/>
      <c r="N31" s="783"/>
      <c r="O31" s="147"/>
      <c r="P31" s="147"/>
      <c r="Q31" s="147"/>
      <c r="R31" s="100"/>
    </row>
    <row r="32" spans="1:18" ht="21.25" customHeight="1" x14ac:dyDescent="0.35">
      <c r="A32" s="101"/>
      <c r="B32" s="870"/>
      <c r="C32" s="870"/>
      <c r="D32" s="870"/>
      <c r="E32" s="870"/>
      <c r="F32" s="870"/>
      <c r="G32" s="870"/>
      <c r="H32" s="870"/>
      <c r="I32" s="870"/>
      <c r="J32" s="870"/>
      <c r="K32" s="870"/>
      <c r="L32" s="870"/>
      <c r="M32" s="501"/>
      <c r="N32" s="147"/>
      <c r="O32" s="147"/>
      <c r="P32" s="147"/>
      <c r="Q32" s="147"/>
      <c r="R32" s="100"/>
    </row>
    <row r="33" spans="1:27" x14ac:dyDescent="0.35">
      <c r="A33" s="101"/>
      <c r="B33" s="119"/>
      <c r="C33" s="119"/>
      <c r="D33" s="119"/>
      <c r="E33" s="119"/>
      <c r="F33" s="145"/>
      <c r="G33" s="145"/>
      <c r="H33" s="145"/>
      <c r="I33" s="145"/>
      <c r="J33" s="145"/>
      <c r="K33" s="145"/>
      <c r="L33" s="145"/>
      <c r="M33" s="145"/>
      <c r="N33" s="145"/>
      <c r="O33" s="145"/>
      <c r="P33" s="145"/>
      <c r="Q33" s="145"/>
      <c r="R33" s="145"/>
    </row>
    <row r="34" spans="1:27" x14ac:dyDescent="0.35">
      <c r="A34" s="120" t="s">
        <v>102</v>
      </c>
      <c r="B34" s="779" t="s">
        <v>211</v>
      </c>
      <c r="C34" s="779"/>
      <c r="D34" s="779"/>
      <c r="E34" s="779"/>
      <c r="F34" s="779"/>
      <c r="G34" s="779"/>
      <c r="H34" s="779"/>
      <c r="I34" s="779"/>
      <c r="J34" s="779"/>
      <c r="K34" s="779"/>
      <c r="L34" s="779"/>
      <c r="M34" s="779"/>
      <c r="N34" s="779"/>
      <c r="O34" s="102"/>
      <c r="P34" s="102"/>
      <c r="Q34" s="102"/>
      <c r="R34" s="174"/>
    </row>
    <row r="35" spans="1:27" ht="23.5" customHeight="1" x14ac:dyDescent="0.35">
      <c r="A35" s="120" t="s">
        <v>212</v>
      </c>
      <c r="B35" s="779" t="s">
        <v>243</v>
      </c>
      <c r="C35" s="779"/>
      <c r="D35" s="779"/>
      <c r="E35" s="779"/>
      <c r="F35" s="779"/>
      <c r="G35" s="779"/>
      <c r="H35" s="779"/>
      <c r="I35" s="779"/>
      <c r="J35" s="779"/>
      <c r="K35" s="779"/>
      <c r="L35" s="779"/>
      <c r="M35" s="779"/>
      <c r="N35" s="779"/>
      <c r="O35" s="779"/>
      <c r="P35" s="779"/>
      <c r="Q35" s="779"/>
      <c r="R35" s="779"/>
    </row>
    <row r="36" spans="1:27" ht="22.75" customHeight="1" x14ac:dyDescent="0.35">
      <c r="A36" s="120" t="s">
        <v>214</v>
      </c>
      <c r="B36" s="779" t="s">
        <v>252</v>
      </c>
      <c r="C36" s="779"/>
      <c r="D36" s="779"/>
      <c r="E36" s="779"/>
      <c r="F36" s="779"/>
      <c r="G36" s="779"/>
      <c r="H36" s="779"/>
      <c r="I36" s="779"/>
      <c r="J36" s="779"/>
      <c r="K36" s="779"/>
      <c r="L36" s="779"/>
      <c r="M36" s="779"/>
      <c r="N36" s="779"/>
      <c r="O36" s="779"/>
      <c r="P36" s="779"/>
      <c r="Q36" s="779"/>
      <c r="R36" s="779"/>
    </row>
    <row r="37" spans="1:27" x14ac:dyDescent="0.35">
      <c r="A37" s="120" t="s">
        <v>216</v>
      </c>
      <c r="B37" s="779" t="s">
        <v>426</v>
      </c>
      <c r="C37" s="779"/>
      <c r="D37" s="779"/>
      <c r="E37" s="779"/>
      <c r="F37" s="779"/>
      <c r="G37" s="779"/>
      <c r="H37" s="779"/>
      <c r="I37" s="779"/>
      <c r="J37" s="779"/>
      <c r="K37" s="779"/>
      <c r="L37" s="779"/>
      <c r="M37" s="779"/>
      <c r="N37" s="779"/>
      <c r="O37" s="779"/>
      <c r="P37" s="779"/>
      <c r="Q37" s="779"/>
      <c r="R37" s="779"/>
    </row>
    <row r="38" spans="1:27" ht="23.5" customHeight="1" x14ac:dyDescent="0.35">
      <c r="A38" s="120" t="s">
        <v>218</v>
      </c>
      <c r="B38" s="779" t="s">
        <v>220</v>
      </c>
      <c r="C38" s="779"/>
      <c r="D38" s="779"/>
      <c r="E38" s="779"/>
      <c r="F38" s="779"/>
      <c r="G38" s="779"/>
      <c r="H38" s="779"/>
      <c r="I38" s="779"/>
      <c r="J38" s="779"/>
      <c r="K38" s="779"/>
      <c r="L38" s="779"/>
      <c r="M38" s="102"/>
      <c r="N38" s="102"/>
      <c r="O38" s="102"/>
      <c r="P38" s="102"/>
      <c r="Q38" s="102"/>
      <c r="R38" s="175"/>
    </row>
    <row r="39" spans="1:27" x14ac:dyDescent="0.35">
      <c r="A39" s="120" t="s">
        <v>219</v>
      </c>
      <c r="B39" s="779" t="s">
        <v>249</v>
      </c>
      <c r="C39" s="779"/>
      <c r="D39" s="779"/>
      <c r="E39" s="779"/>
      <c r="F39" s="779"/>
      <c r="G39" s="779"/>
      <c r="H39" s="779"/>
      <c r="I39" s="779"/>
      <c r="J39" s="779"/>
      <c r="K39" s="779"/>
      <c r="L39" s="779"/>
      <c r="M39" s="779"/>
      <c r="N39" s="779"/>
      <c r="O39" s="779"/>
      <c r="P39" s="779"/>
      <c r="Q39" s="779"/>
      <c r="R39" s="779"/>
    </row>
    <row r="40" spans="1:27" x14ac:dyDescent="0.35">
      <c r="A40" s="145"/>
      <c r="B40" s="145"/>
      <c r="C40" s="145"/>
      <c r="D40" s="145"/>
      <c r="E40" s="145"/>
      <c r="F40" s="145"/>
      <c r="G40" s="145"/>
      <c r="H40" s="145"/>
      <c r="I40" s="145"/>
      <c r="J40" s="145"/>
      <c r="K40" s="145"/>
      <c r="L40" s="145"/>
      <c r="M40" s="145"/>
      <c r="N40" s="145"/>
      <c r="O40" s="145"/>
      <c r="P40" s="145"/>
      <c r="Q40" s="145"/>
      <c r="R40" s="145"/>
    </row>
    <row r="41" spans="1:27" ht="97.5" customHeight="1" x14ac:dyDescent="0.35">
      <c r="A41" s="801" t="s">
        <v>137</v>
      </c>
      <c r="B41" s="801"/>
      <c r="C41" s="801"/>
      <c r="D41" s="801"/>
      <c r="E41" s="801"/>
      <c r="F41" s="801"/>
      <c r="G41" s="801"/>
      <c r="H41" s="801"/>
      <c r="I41" s="801"/>
      <c r="J41" s="801"/>
      <c r="K41" s="801"/>
      <c r="L41" s="801"/>
      <c r="M41" s="801"/>
      <c r="N41" s="801"/>
      <c r="O41" s="186"/>
      <c r="P41" s="186"/>
      <c r="Q41" s="186"/>
    </row>
    <row r="42" spans="1:27" x14ac:dyDescent="0.35">
      <c r="A42" s="186"/>
      <c r="B42" s="186"/>
      <c r="C42" s="186"/>
      <c r="D42" s="186"/>
      <c r="E42" s="186"/>
      <c r="F42" s="186"/>
      <c r="G42" s="186"/>
      <c r="H42" s="186"/>
      <c r="I42" s="186"/>
      <c r="J42" s="186"/>
      <c r="K42" s="186"/>
      <c r="L42" s="186"/>
      <c r="M42" s="186"/>
      <c r="N42" s="186"/>
      <c r="O42" s="186"/>
      <c r="P42" s="186"/>
      <c r="Q42" s="186"/>
    </row>
    <row r="43" spans="1:27" hidden="1" x14ac:dyDescent="0.35">
      <c r="B43" t="str">
        <f>+AMAZONAS!C1</f>
        <v>Vigencia: 04 de Noviembre de 2023; 00:00 horas</v>
      </c>
    </row>
    <row r="44" spans="1:27" hidden="1" x14ac:dyDescent="0.35">
      <c r="A44" s="864" t="s">
        <v>162</v>
      </c>
      <c r="B44" s="864"/>
      <c r="C44" s="865"/>
      <c r="D44" s="865"/>
      <c r="E44" s="865"/>
      <c r="F44" s="865"/>
      <c r="G44" s="865"/>
      <c r="H44" s="865"/>
      <c r="I44" s="865"/>
      <c r="J44" s="865"/>
      <c r="K44" s="865"/>
      <c r="L44" s="865"/>
      <c r="M44" s="865"/>
      <c r="N44" s="865"/>
      <c r="O44" s="865"/>
      <c r="P44" s="865"/>
      <c r="Q44" s="865"/>
      <c r="R44" s="865"/>
      <c r="S44" s="865"/>
      <c r="T44" s="865"/>
      <c r="U44" s="865"/>
      <c r="V44" s="865"/>
      <c r="W44" s="103"/>
      <c r="X44" s="103"/>
      <c r="Y44" s="103"/>
      <c r="Z44" s="127"/>
      <c r="AA44" s="127"/>
    </row>
    <row r="45" spans="1:27" ht="15" hidden="1" thickTop="1" x14ac:dyDescent="0.35">
      <c r="A45" s="187"/>
      <c r="B45" s="862" t="s">
        <v>261</v>
      </c>
      <c r="C45" s="813" t="s">
        <v>163</v>
      </c>
      <c r="D45" s="813"/>
      <c r="E45" s="813"/>
      <c r="F45" s="813"/>
      <c r="G45" s="414"/>
      <c r="H45" s="858" t="s">
        <v>232</v>
      </c>
      <c r="I45" s="858"/>
      <c r="J45" s="858"/>
      <c r="K45" s="859"/>
    </row>
    <row r="46" spans="1:27" hidden="1" x14ac:dyDescent="0.35">
      <c r="A46" s="80"/>
      <c r="B46" s="863"/>
      <c r="C46" s="857"/>
      <c r="D46" s="857"/>
      <c r="E46" s="857"/>
      <c r="F46" s="857"/>
      <c r="G46" s="416"/>
      <c r="H46" s="860"/>
      <c r="I46" s="860"/>
      <c r="J46" s="860"/>
      <c r="K46" s="861"/>
    </row>
    <row r="47" spans="1:27" ht="25.5" hidden="1" customHeight="1" x14ac:dyDescent="0.35">
      <c r="A47" s="790" t="s">
        <v>164</v>
      </c>
      <c r="B47" s="868" t="s">
        <v>165</v>
      </c>
      <c r="C47" s="188" t="s">
        <v>96</v>
      </c>
      <c r="D47" s="422"/>
      <c r="E47" s="422"/>
      <c r="F47" s="189" t="s">
        <v>263</v>
      </c>
      <c r="G47" s="422"/>
      <c r="H47" s="188" t="s">
        <v>96</v>
      </c>
      <c r="I47" s="422"/>
      <c r="J47" s="422"/>
      <c r="K47" s="189" t="s">
        <v>263</v>
      </c>
    </row>
    <row r="48" spans="1:27" ht="26" hidden="1" x14ac:dyDescent="0.35">
      <c r="A48" s="790"/>
      <c r="B48" s="868"/>
      <c r="C48" s="190" t="s">
        <v>264</v>
      </c>
      <c r="D48" s="438"/>
      <c r="E48" s="438"/>
      <c r="F48" s="191" t="s">
        <v>264</v>
      </c>
      <c r="G48" s="423"/>
      <c r="H48" s="190" t="s">
        <v>264</v>
      </c>
      <c r="I48" s="438"/>
      <c r="J48" s="438"/>
      <c r="K48" s="191" t="s">
        <v>264</v>
      </c>
    </row>
    <row r="49" spans="1:11" hidden="1" x14ac:dyDescent="0.35">
      <c r="A49" s="791"/>
      <c r="B49" s="869"/>
      <c r="C49" s="192" t="s">
        <v>166</v>
      </c>
      <c r="D49" s="424"/>
      <c r="E49" s="424"/>
      <c r="F49" s="193" t="s">
        <v>166</v>
      </c>
      <c r="G49" s="424"/>
      <c r="H49" s="192" t="s">
        <v>166</v>
      </c>
      <c r="I49" s="424"/>
      <c r="J49" s="424"/>
      <c r="K49" s="193" t="s">
        <v>166</v>
      </c>
    </row>
    <row r="50" spans="1:11" hidden="1" x14ac:dyDescent="0.35">
      <c r="A50" s="82" t="s">
        <v>167</v>
      </c>
      <c r="B50" s="194" t="s">
        <v>168</v>
      </c>
      <c r="C50" s="84" t="e">
        <f>+'Calculo IP ZDF'!#REF!</f>
        <v>#REF!</v>
      </c>
      <c r="D50" s="84"/>
      <c r="E50" s="84"/>
      <c r="F50" s="84" t="e">
        <f>+'Calculo IP ZDF'!#REF!</f>
        <v>#REF!</v>
      </c>
      <c r="G50" s="84"/>
      <c r="H50" s="117" t="e">
        <f>+'Calculo IP ZDF'!#REF!</f>
        <v>#REF!</v>
      </c>
      <c r="I50" s="130"/>
      <c r="J50" s="130"/>
      <c r="K50" s="85" t="e">
        <f>+'Calculo IP ZDF'!#REF!</f>
        <v>#REF!</v>
      </c>
    </row>
    <row r="51" spans="1:11" hidden="1" x14ac:dyDescent="0.35">
      <c r="A51" s="82" t="s">
        <v>169</v>
      </c>
      <c r="B51" s="194" t="s">
        <v>170</v>
      </c>
      <c r="C51" s="92" t="s">
        <v>171</v>
      </c>
      <c r="D51" s="439"/>
      <c r="E51" s="439"/>
      <c r="F51" s="87" t="s">
        <v>171</v>
      </c>
      <c r="G51" s="130"/>
      <c r="H51" s="117">
        <v>526.26030379999997</v>
      </c>
      <c r="I51" s="130"/>
      <c r="J51" s="130"/>
      <c r="K51" s="85">
        <v>503.70629078000002</v>
      </c>
    </row>
    <row r="52" spans="1:11" hidden="1" x14ac:dyDescent="0.35">
      <c r="A52" s="82"/>
      <c r="B52" s="194" t="s">
        <v>129</v>
      </c>
      <c r="C52" s="92" t="s">
        <v>171</v>
      </c>
      <c r="D52" s="439"/>
      <c r="E52" s="439"/>
      <c r="F52" s="87" t="s">
        <v>171</v>
      </c>
      <c r="G52" s="130"/>
      <c r="H52" s="195" t="s">
        <v>200</v>
      </c>
      <c r="I52" s="435"/>
      <c r="J52" s="435"/>
      <c r="K52" s="87" t="s">
        <v>200</v>
      </c>
    </row>
    <row r="53" spans="1:11" hidden="1" x14ac:dyDescent="0.35">
      <c r="A53" s="82"/>
      <c r="B53" s="194" t="s">
        <v>131</v>
      </c>
      <c r="C53" s="92">
        <v>148</v>
      </c>
      <c r="D53" s="439"/>
      <c r="E53" s="439"/>
      <c r="F53" s="87">
        <v>166</v>
      </c>
      <c r="G53" s="130"/>
      <c r="H53" s="140">
        <v>148</v>
      </c>
      <c r="I53" s="130"/>
      <c r="J53" s="130"/>
      <c r="K53" s="87">
        <v>166</v>
      </c>
    </row>
    <row r="54" spans="1:11" hidden="1" x14ac:dyDescent="0.35">
      <c r="A54" s="82" t="s">
        <v>174</v>
      </c>
      <c r="B54" s="194" t="s">
        <v>175</v>
      </c>
      <c r="C54" s="92" t="s">
        <v>171</v>
      </c>
      <c r="D54" s="439"/>
      <c r="E54" s="439"/>
      <c r="F54" s="87" t="s">
        <v>171</v>
      </c>
      <c r="G54" s="130"/>
      <c r="H54" s="92" t="s">
        <v>171</v>
      </c>
      <c r="I54" s="439"/>
      <c r="J54" s="439"/>
      <c r="K54" s="87" t="s">
        <v>171</v>
      </c>
    </row>
    <row r="55" spans="1:11" hidden="1" x14ac:dyDescent="0.35">
      <c r="A55" s="82" t="s">
        <v>176</v>
      </c>
      <c r="B55" s="194" t="s">
        <v>177</v>
      </c>
      <c r="C55" s="92" t="s">
        <v>171</v>
      </c>
      <c r="D55" s="439"/>
      <c r="E55" s="439"/>
      <c r="F55" s="87" t="s">
        <v>171</v>
      </c>
      <c r="G55" s="130"/>
      <c r="H55" s="92" t="s">
        <v>171</v>
      </c>
      <c r="I55" s="439"/>
      <c r="J55" s="439"/>
      <c r="K55" s="87" t="s">
        <v>171</v>
      </c>
    </row>
    <row r="56" spans="1:11" hidden="1" x14ac:dyDescent="0.35">
      <c r="A56" s="82" t="s">
        <v>178</v>
      </c>
      <c r="B56" s="194" t="s">
        <v>265</v>
      </c>
      <c r="C56" s="92">
        <v>12.2</v>
      </c>
      <c r="D56" s="439"/>
      <c r="E56" s="439"/>
      <c r="F56" s="87">
        <f>+C56</f>
        <v>12.2</v>
      </c>
      <c r="G56" s="130"/>
      <c r="H56" s="92">
        <f>+F56</f>
        <v>12.2</v>
      </c>
      <c r="I56" s="439"/>
      <c r="J56" s="439"/>
      <c r="K56" s="87">
        <f>+C56</f>
        <v>12.2</v>
      </c>
    </row>
    <row r="57" spans="1:11" hidden="1" x14ac:dyDescent="0.35">
      <c r="A57" s="82"/>
      <c r="B57" s="194" t="s">
        <v>180</v>
      </c>
      <c r="C57" s="84">
        <v>71.510000000000005</v>
      </c>
      <c r="D57" s="133"/>
      <c r="E57" s="133"/>
      <c r="F57" s="85">
        <f>+C57</f>
        <v>71.510000000000005</v>
      </c>
      <c r="G57" s="133"/>
      <c r="H57" s="84">
        <f>+C57</f>
        <v>71.510000000000005</v>
      </c>
      <c r="I57" s="133"/>
      <c r="J57" s="133"/>
      <c r="K57" s="85">
        <f>+F57</f>
        <v>71.510000000000005</v>
      </c>
    </row>
    <row r="58" spans="1:11" hidden="1" x14ac:dyDescent="0.35">
      <c r="A58" s="89" t="s">
        <v>181</v>
      </c>
      <c r="B58" s="196" t="s">
        <v>182</v>
      </c>
      <c r="C58" s="90" t="e">
        <f>SUM(C50:C57)</f>
        <v>#REF!</v>
      </c>
      <c r="D58" s="138"/>
      <c r="E58" s="138"/>
      <c r="F58" s="91" t="e">
        <f t="shared" ref="F58:K58" si="11">SUM(F50:F57)</f>
        <v>#REF!</v>
      </c>
      <c r="G58" s="138"/>
      <c r="H58" s="90" t="e">
        <f t="shared" si="11"/>
        <v>#REF!</v>
      </c>
      <c r="I58" s="138"/>
      <c r="J58" s="138"/>
      <c r="K58" s="91" t="e">
        <f t="shared" si="11"/>
        <v>#REF!</v>
      </c>
    </row>
    <row r="59" spans="1:11" hidden="1" x14ac:dyDescent="0.35">
      <c r="A59" s="82" t="s">
        <v>183</v>
      </c>
      <c r="B59" s="194" t="s">
        <v>246</v>
      </c>
      <c r="C59" s="84" t="s">
        <v>214</v>
      </c>
      <c r="D59" s="133"/>
      <c r="E59" s="133"/>
      <c r="F59" s="85" t="s">
        <v>214</v>
      </c>
      <c r="G59" s="133"/>
      <c r="H59" s="84" t="s">
        <v>214</v>
      </c>
      <c r="I59" s="133"/>
      <c r="J59" s="133"/>
      <c r="K59" s="85" t="s">
        <v>214</v>
      </c>
    </row>
    <row r="60" spans="1:11" hidden="1" x14ac:dyDescent="0.35">
      <c r="A60" s="82" t="s">
        <v>187</v>
      </c>
      <c r="B60" s="194" t="s">
        <v>134</v>
      </c>
      <c r="C60" s="84" t="s">
        <v>216</v>
      </c>
      <c r="D60" s="133"/>
      <c r="E60" s="133"/>
      <c r="F60" s="85" t="s">
        <v>216</v>
      </c>
      <c r="G60" s="133"/>
      <c r="H60" s="84" t="s">
        <v>216</v>
      </c>
      <c r="I60" s="133"/>
      <c r="J60" s="133"/>
      <c r="K60" s="85" t="s">
        <v>216</v>
      </c>
    </row>
    <row r="61" spans="1:11" hidden="1" x14ac:dyDescent="0.35">
      <c r="A61" s="89" t="s">
        <v>189</v>
      </c>
      <c r="B61" s="196" t="s">
        <v>190</v>
      </c>
      <c r="C61" s="90">
        <v>5316.4418400000004</v>
      </c>
      <c r="D61" s="138"/>
      <c r="E61" s="138"/>
      <c r="F61" s="91">
        <v>5474.7219600000008</v>
      </c>
      <c r="G61" s="138"/>
      <c r="H61" s="90">
        <v>6314.9703037999998</v>
      </c>
      <c r="I61" s="138"/>
      <c r="J61" s="138"/>
      <c r="K61" s="91">
        <v>6956.0162907800004</v>
      </c>
    </row>
    <row r="62" spans="1:11" hidden="1" x14ac:dyDescent="0.35">
      <c r="A62" s="82" t="s">
        <v>191</v>
      </c>
      <c r="B62" s="194" t="s">
        <v>150</v>
      </c>
      <c r="C62" s="84" t="s">
        <v>214</v>
      </c>
      <c r="D62" s="133"/>
      <c r="E62" s="133"/>
      <c r="F62" s="85" t="s">
        <v>214</v>
      </c>
      <c r="G62" s="133"/>
      <c r="H62" s="84" t="s">
        <v>214</v>
      </c>
      <c r="I62" s="133"/>
      <c r="J62" s="133"/>
      <c r="K62" s="85" t="s">
        <v>214</v>
      </c>
    </row>
    <row r="63" spans="1:11" hidden="1" x14ac:dyDescent="0.35">
      <c r="A63" s="82" t="s">
        <v>192</v>
      </c>
      <c r="B63" s="194" t="s">
        <v>193</v>
      </c>
      <c r="C63" s="117" t="s">
        <v>218</v>
      </c>
      <c r="D63" s="130"/>
      <c r="E63" s="130"/>
      <c r="F63" s="85" t="s">
        <v>194</v>
      </c>
      <c r="G63" s="133"/>
      <c r="H63" s="84" t="s">
        <v>218</v>
      </c>
      <c r="I63" s="133"/>
      <c r="J63" s="133"/>
      <c r="K63" s="87" t="s">
        <v>194</v>
      </c>
    </row>
    <row r="64" spans="1:11" hidden="1" x14ac:dyDescent="0.35">
      <c r="A64" s="82" t="s">
        <v>195</v>
      </c>
      <c r="B64" s="194" t="s">
        <v>266</v>
      </c>
      <c r="C64" s="117" t="s">
        <v>219</v>
      </c>
      <c r="D64" s="130"/>
      <c r="E64" s="130"/>
      <c r="F64" s="87" t="s">
        <v>219</v>
      </c>
      <c r="G64" s="130"/>
      <c r="H64" s="117" t="s">
        <v>219</v>
      </c>
      <c r="I64" s="130"/>
      <c r="J64" s="130"/>
      <c r="K64" s="87" t="s">
        <v>219</v>
      </c>
    </row>
    <row r="65" spans="1:27" ht="15" hidden="1" thickBot="1" x14ac:dyDescent="0.4">
      <c r="A65" s="93" t="s">
        <v>197</v>
      </c>
      <c r="B65" s="197" t="s">
        <v>198</v>
      </c>
      <c r="C65" s="118"/>
      <c r="D65" s="118"/>
      <c r="E65" s="118"/>
      <c r="F65" s="118"/>
      <c r="G65" s="118"/>
      <c r="H65" s="118"/>
      <c r="I65" s="156"/>
      <c r="J65" s="156"/>
      <c r="K65" s="96"/>
    </row>
    <row r="66" spans="1:27" hidden="1" x14ac:dyDescent="0.35">
      <c r="A66" s="98"/>
      <c r="B66" s="198"/>
      <c r="C66" s="198"/>
      <c r="D66" s="198"/>
      <c r="E66" s="198"/>
      <c r="F66" s="199"/>
      <c r="G66" s="199"/>
      <c r="H66" s="199"/>
      <c r="I66" s="199"/>
      <c r="J66" s="199"/>
      <c r="K66" s="199"/>
      <c r="L66" s="199"/>
      <c r="M66" s="199"/>
      <c r="N66" s="123"/>
      <c r="O66" s="123"/>
      <c r="P66" s="123"/>
      <c r="Q66" s="123"/>
      <c r="R66" s="123"/>
      <c r="S66" s="123"/>
      <c r="T66" s="123"/>
      <c r="U66" s="123"/>
      <c r="V66" s="123"/>
      <c r="W66" s="123"/>
      <c r="X66" s="123"/>
      <c r="Y66" s="123"/>
      <c r="Z66" s="174"/>
      <c r="AA66" s="174"/>
    </row>
    <row r="67" spans="1:27" hidden="1" x14ac:dyDescent="0.35">
      <c r="A67" s="98"/>
      <c r="B67" s="119" t="s">
        <v>210</v>
      </c>
      <c r="C67" s="99"/>
      <c r="D67" s="99"/>
      <c r="E67" s="99"/>
      <c r="F67" s="100"/>
      <c r="G67" s="100"/>
      <c r="H67" s="100"/>
      <c r="I67" s="100"/>
      <c r="J67" s="100"/>
      <c r="K67" s="100"/>
      <c r="L67" s="100"/>
      <c r="M67" s="100"/>
      <c r="N67" s="100"/>
      <c r="O67" s="100"/>
      <c r="P67" s="100"/>
      <c r="Q67" s="100"/>
      <c r="R67" s="100"/>
      <c r="S67" s="175"/>
      <c r="T67" s="175"/>
      <c r="U67" s="175"/>
      <c r="V67" s="175"/>
      <c r="W67" s="175"/>
      <c r="X67" s="175"/>
      <c r="Y67" s="175"/>
      <c r="Z67" s="174"/>
      <c r="AA67" s="174"/>
    </row>
    <row r="68" spans="1:27" hidden="1" x14ac:dyDescent="0.35">
      <c r="A68" s="98"/>
      <c r="B68" s="99"/>
      <c r="C68" s="99"/>
      <c r="D68" s="99"/>
      <c r="E68" s="99"/>
      <c r="F68" s="100"/>
      <c r="G68" s="100"/>
      <c r="H68" s="100"/>
      <c r="I68" s="100"/>
      <c r="J68" s="100"/>
      <c r="K68" s="100"/>
      <c r="L68" s="100"/>
      <c r="M68" s="100"/>
      <c r="N68" s="100"/>
      <c r="O68" s="100"/>
      <c r="P68" s="100"/>
      <c r="Q68" s="100"/>
      <c r="R68" s="100"/>
      <c r="S68" s="175"/>
      <c r="T68" s="175"/>
      <c r="U68" s="175"/>
      <c r="V68" s="175"/>
      <c r="W68" s="175"/>
      <c r="X68" s="175"/>
      <c r="Y68" s="175"/>
      <c r="Z68" s="174"/>
      <c r="AA68" s="174"/>
    </row>
    <row r="69" spans="1:27" hidden="1" x14ac:dyDescent="0.35">
      <c r="A69" s="101" t="s">
        <v>173</v>
      </c>
      <c r="B69" s="856" t="s">
        <v>242</v>
      </c>
      <c r="C69" s="856"/>
      <c r="D69" s="856"/>
      <c r="E69" s="856"/>
      <c r="F69" s="856"/>
      <c r="G69" s="856"/>
      <c r="H69" s="856"/>
      <c r="I69" s="856"/>
      <c r="J69" s="856"/>
      <c r="K69" s="856"/>
      <c r="L69" s="856"/>
      <c r="M69" s="856"/>
      <c r="N69" s="856"/>
      <c r="O69" s="415"/>
      <c r="P69" s="415"/>
      <c r="Q69" s="415"/>
      <c r="R69" s="100"/>
      <c r="S69" s="175"/>
      <c r="T69" s="175"/>
      <c r="U69" s="175"/>
      <c r="V69" s="175"/>
      <c r="W69" s="175"/>
      <c r="X69" s="175"/>
      <c r="Y69" s="175"/>
      <c r="Z69" s="174"/>
      <c r="AA69" s="174"/>
    </row>
    <row r="70" spans="1:27" hidden="1" x14ac:dyDescent="0.35">
      <c r="A70" s="101" t="s">
        <v>130</v>
      </c>
      <c r="B70" s="783" t="s">
        <v>224</v>
      </c>
      <c r="C70" s="783"/>
      <c r="D70" s="783"/>
      <c r="E70" s="783"/>
      <c r="F70" s="783"/>
      <c r="G70" s="783"/>
      <c r="H70" s="783"/>
      <c r="I70" s="783"/>
      <c r="J70" s="783"/>
      <c r="K70" s="783"/>
      <c r="L70" s="783"/>
      <c r="M70" s="783"/>
      <c r="N70" s="783"/>
      <c r="O70" s="147"/>
      <c r="P70" s="147"/>
      <c r="Q70" s="147"/>
      <c r="R70" s="100"/>
      <c r="S70" s="175"/>
      <c r="T70" s="175"/>
      <c r="U70" s="175"/>
      <c r="V70" s="175"/>
      <c r="W70" s="175"/>
      <c r="X70" s="175"/>
      <c r="Y70" s="175"/>
      <c r="Z70" s="174"/>
      <c r="AA70" s="174"/>
    </row>
    <row r="71" spans="1:27" hidden="1" x14ac:dyDescent="0.35">
      <c r="A71" s="101"/>
      <c r="B71" s="147"/>
      <c r="C71" s="147"/>
      <c r="D71" s="147"/>
      <c r="E71" s="147"/>
      <c r="F71" s="147"/>
      <c r="G71" s="147"/>
      <c r="H71" s="147"/>
      <c r="I71" s="147"/>
      <c r="J71" s="147"/>
      <c r="K71" s="147"/>
      <c r="L71" s="147"/>
      <c r="M71" s="147"/>
      <c r="N71" s="147"/>
      <c r="O71" s="147"/>
      <c r="P71" s="147"/>
      <c r="Q71" s="147"/>
      <c r="R71" s="100"/>
      <c r="S71" s="175"/>
      <c r="T71" s="175"/>
      <c r="U71" s="175"/>
      <c r="V71" s="175"/>
      <c r="W71" s="175"/>
      <c r="X71" s="175"/>
      <c r="Y71" s="175"/>
      <c r="Z71" s="174"/>
      <c r="AA71" s="174"/>
    </row>
    <row r="72" spans="1:27" hidden="1" x14ac:dyDescent="0.35">
      <c r="A72" s="101"/>
      <c r="B72" s="119" t="s">
        <v>148</v>
      </c>
      <c r="C72" s="119"/>
      <c r="D72" s="119"/>
      <c r="E72" s="119"/>
      <c r="F72" s="145"/>
      <c r="G72" s="145"/>
      <c r="H72" s="145"/>
      <c r="I72" s="145"/>
      <c r="J72" s="145"/>
      <c r="K72" s="145"/>
      <c r="L72" s="145"/>
      <c r="M72" s="145"/>
      <c r="N72" s="145"/>
      <c r="O72" s="145"/>
      <c r="P72" s="145"/>
      <c r="Q72" s="145"/>
      <c r="R72" s="145"/>
      <c r="S72" s="175"/>
      <c r="T72" s="175"/>
      <c r="U72" s="175"/>
      <c r="V72" s="175"/>
      <c r="W72" s="175"/>
      <c r="X72" s="175"/>
      <c r="Y72" s="175"/>
      <c r="Z72" s="174"/>
      <c r="AA72" s="174"/>
    </row>
    <row r="73" spans="1:27" hidden="1" x14ac:dyDescent="0.35">
      <c r="A73" s="120" t="s">
        <v>102</v>
      </c>
      <c r="B73" s="779" t="s">
        <v>211</v>
      </c>
      <c r="C73" s="779"/>
      <c r="D73" s="779"/>
      <c r="E73" s="779"/>
      <c r="F73" s="779"/>
      <c r="G73" s="779"/>
      <c r="H73" s="779"/>
      <c r="I73" s="779"/>
      <c r="J73" s="779"/>
      <c r="K73" s="779"/>
      <c r="L73" s="779"/>
      <c r="M73" s="779"/>
      <c r="N73" s="779"/>
      <c r="O73" s="102"/>
      <c r="P73" s="102"/>
      <c r="Q73" s="102"/>
      <c r="R73" s="174"/>
      <c r="S73" s="175"/>
      <c r="T73" s="175"/>
      <c r="U73" s="175"/>
      <c r="V73" s="175"/>
      <c r="W73" s="175"/>
      <c r="X73" s="175"/>
      <c r="Y73" s="175"/>
      <c r="Z73" s="174"/>
      <c r="AA73" s="174"/>
    </row>
    <row r="74" spans="1:27" hidden="1" x14ac:dyDescent="0.35">
      <c r="A74" s="120" t="s">
        <v>212</v>
      </c>
      <c r="B74" s="779" t="s">
        <v>243</v>
      </c>
      <c r="C74" s="779"/>
      <c r="D74" s="779"/>
      <c r="E74" s="779"/>
      <c r="F74" s="779"/>
      <c r="G74" s="779"/>
      <c r="H74" s="779"/>
      <c r="I74" s="779"/>
      <c r="J74" s="779"/>
      <c r="K74" s="779"/>
      <c r="L74" s="779"/>
      <c r="M74" s="779"/>
      <c r="N74" s="779"/>
      <c r="O74" s="779"/>
      <c r="P74" s="779"/>
      <c r="Q74" s="779"/>
      <c r="R74" s="779"/>
      <c r="S74" s="175"/>
      <c r="T74" s="175"/>
      <c r="U74" s="175"/>
      <c r="V74" s="175"/>
      <c r="W74" s="175"/>
      <c r="X74" s="175"/>
      <c r="Y74" s="175"/>
      <c r="Z74" s="174"/>
      <c r="AA74" s="174"/>
    </row>
    <row r="75" spans="1:27" hidden="1" x14ac:dyDescent="0.35">
      <c r="A75" s="120" t="s">
        <v>214</v>
      </c>
      <c r="B75" s="779" t="s">
        <v>252</v>
      </c>
      <c r="C75" s="779"/>
      <c r="D75" s="779"/>
      <c r="E75" s="779"/>
      <c r="F75" s="779"/>
      <c r="G75" s="779"/>
      <c r="H75" s="779"/>
      <c r="I75" s="779"/>
      <c r="J75" s="779"/>
      <c r="K75" s="779"/>
      <c r="L75" s="779"/>
      <c r="M75" s="779"/>
      <c r="N75" s="779"/>
      <c r="O75" s="779"/>
      <c r="P75" s="779"/>
      <c r="Q75" s="779"/>
      <c r="R75" s="779"/>
      <c r="S75" s="175"/>
      <c r="T75" s="175"/>
      <c r="U75" s="175"/>
      <c r="V75" s="175"/>
      <c r="W75" s="175"/>
      <c r="X75" s="175"/>
      <c r="Y75" s="175"/>
      <c r="Z75" s="174"/>
      <c r="AA75" s="174"/>
    </row>
    <row r="76" spans="1:27" hidden="1" x14ac:dyDescent="0.35">
      <c r="A76" s="120" t="s">
        <v>216</v>
      </c>
      <c r="B76" s="779" t="s">
        <v>248</v>
      </c>
      <c r="C76" s="779"/>
      <c r="D76" s="779"/>
      <c r="E76" s="779"/>
      <c r="F76" s="779"/>
      <c r="G76" s="779"/>
      <c r="H76" s="779"/>
      <c r="I76" s="779"/>
      <c r="J76" s="779"/>
      <c r="K76" s="779"/>
      <c r="L76" s="779"/>
      <c r="M76" s="779"/>
      <c r="N76" s="779"/>
      <c r="O76" s="779"/>
      <c r="P76" s="779"/>
      <c r="Q76" s="779"/>
      <c r="R76" s="779"/>
      <c r="S76" s="175"/>
      <c r="T76" s="175"/>
      <c r="U76" s="175"/>
      <c r="V76" s="175"/>
      <c r="W76" s="175"/>
      <c r="X76" s="175"/>
      <c r="Y76" s="175"/>
      <c r="Z76" s="174"/>
      <c r="AA76" s="174"/>
    </row>
    <row r="77" spans="1:27" hidden="1" x14ac:dyDescent="0.35">
      <c r="A77" s="120" t="s">
        <v>218</v>
      </c>
      <c r="B77" s="779" t="s">
        <v>220</v>
      </c>
      <c r="C77" s="779"/>
      <c r="D77" s="779"/>
      <c r="E77" s="779"/>
      <c r="F77" s="779"/>
      <c r="G77" s="779"/>
      <c r="H77" s="779"/>
      <c r="I77" s="779"/>
      <c r="J77" s="779"/>
      <c r="K77" s="779"/>
      <c r="L77" s="779"/>
      <c r="M77" s="102"/>
      <c r="N77" s="102"/>
      <c r="O77" s="102"/>
      <c r="P77" s="102"/>
      <c r="Q77" s="102"/>
      <c r="R77" s="175"/>
      <c r="S77" s="175"/>
      <c r="T77" s="175"/>
      <c r="U77" s="175"/>
      <c r="V77" s="175"/>
      <c r="W77" s="175"/>
      <c r="X77" s="175"/>
      <c r="Y77" s="175"/>
      <c r="Z77" s="174"/>
      <c r="AA77" s="174"/>
    </row>
    <row r="78" spans="1:27" hidden="1" x14ac:dyDescent="0.35">
      <c r="A78" s="120" t="s">
        <v>219</v>
      </c>
      <c r="B78" s="779" t="s">
        <v>249</v>
      </c>
      <c r="C78" s="779"/>
      <c r="D78" s="779"/>
      <c r="E78" s="779"/>
      <c r="F78" s="779"/>
      <c r="G78" s="779"/>
      <c r="H78" s="779"/>
      <c r="I78" s="779"/>
      <c r="J78" s="779"/>
      <c r="K78" s="779"/>
      <c r="L78" s="779"/>
      <c r="M78" s="779"/>
      <c r="N78" s="779"/>
      <c r="O78" s="779"/>
      <c r="P78" s="779"/>
      <c r="Q78" s="779"/>
      <c r="R78" s="779"/>
      <c r="S78" s="175"/>
      <c r="T78" s="175"/>
      <c r="U78" s="175"/>
      <c r="V78" s="175"/>
      <c r="W78" s="175"/>
      <c r="X78" s="175"/>
      <c r="Y78" s="175"/>
      <c r="Z78" s="174"/>
      <c r="AA78" s="174"/>
    </row>
    <row r="79" spans="1:27" hidden="1" x14ac:dyDescent="0.35">
      <c r="A79" s="145"/>
      <c r="B79" s="145"/>
      <c r="C79" s="145"/>
      <c r="D79" s="145"/>
      <c r="E79" s="145"/>
      <c r="F79" s="145"/>
      <c r="G79" s="145"/>
      <c r="H79" s="145"/>
      <c r="I79" s="145"/>
      <c r="J79" s="145"/>
      <c r="K79" s="145"/>
      <c r="L79" s="145"/>
      <c r="M79" s="145"/>
      <c r="N79" s="145"/>
      <c r="O79" s="145"/>
      <c r="P79" s="145"/>
      <c r="Q79" s="145"/>
      <c r="R79" s="145"/>
      <c r="S79" s="175"/>
      <c r="T79" s="175"/>
      <c r="U79" s="175"/>
      <c r="V79" s="175"/>
      <c r="W79" s="175"/>
      <c r="X79" s="175"/>
      <c r="Y79" s="175"/>
      <c r="Z79" s="174"/>
      <c r="AA79" s="174"/>
    </row>
    <row r="80" spans="1:27" hidden="1" x14ac:dyDescent="0.35">
      <c r="A80" s="801" t="s">
        <v>137</v>
      </c>
      <c r="B80" s="801"/>
      <c r="C80" s="801"/>
      <c r="D80" s="801"/>
      <c r="E80" s="801"/>
      <c r="F80" s="801"/>
      <c r="G80" s="801"/>
      <c r="H80" s="801"/>
      <c r="I80" s="801"/>
      <c r="J80" s="801"/>
      <c r="K80" s="801"/>
      <c r="L80" s="801"/>
      <c r="M80" s="801"/>
      <c r="N80" s="801"/>
      <c r="O80" s="186"/>
      <c r="P80" s="186"/>
      <c r="Q80" s="186"/>
      <c r="S80" s="175"/>
      <c r="T80" s="175"/>
      <c r="U80" s="175"/>
      <c r="V80" s="175"/>
      <c r="W80" s="175"/>
      <c r="X80" s="175"/>
      <c r="Y80" s="175"/>
      <c r="Z80" s="174"/>
      <c r="AA80" s="174"/>
    </row>
    <row r="81" spans="1:27" hidden="1" x14ac:dyDescent="0.35">
      <c r="A81" s="200"/>
      <c r="B81" s="119"/>
      <c r="C81" s="119"/>
      <c r="D81" s="119"/>
      <c r="E81" s="119"/>
      <c r="F81" s="175"/>
      <c r="G81" s="175"/>
      <c r="H81" s="175"/>
      <c r="I81" s="175"/>
      <c r="J81" s="175"/>
      <c r="K81" s="175"/>
      <c r="L81" s="175"/>
      <c r="M81" s="175"/>
      <c r="N81" s="175"/>
      <c r="O81" s="175"/>
      <c r="P81" s="175"/>
      <c r="Q81" s="175"/>
      <c r="R81" s="175"/>
      <c r="S81" s="175"/>
      <c r="T81" s="175"/>
      <c r="U81" s="175"/>
      <c r="V81" s="175"/>
      <c r="W81" s="175"/>
      <c r="X81" s="175"/>
      <c r="Y81" s="175"/>
      <c r="Z81" s="174"/>
      <c r="AA81" s="174"/>
    </row>
    <row r="82" spans="1:27" hidden="1" x14ac:dyDescent="0.35">
      <c r="A82" s="200"/>
      <c r="B82" s="119"/>
      <c r="C82" s="119"/>
      <c r="D82" s="119"/>
      <c r="E82" s="119"/>
      <c r="F82" s="175"/>
      <c r="G82" s="175"/>
      <c r="H82" s="175"/>
      <c r="I82" s="175"/>
      <c r="J82" s="175"/>
      <c r="K82" s="175"/>
      <c r="L82" s="175"/>
      <c r="M82" s="175"/>
      <c r="N82" s="175"/>
      <c r="O82" s="175"/>
      <c r="P82" s="175"/>
      <c r="Q82" s="175"/>
      <c r="R82" s="175"/>
      <c r="S82" s="175"/>
      <c r="T82" s="175"/>
      <c r="U82" s="175"/>
      <c r="V82" s="175"/>
      <c r="W82" s="175"/>
      <c r="X82" s="175"/>
      <c r="Y82" s="175"/>
      <c r="Z82" s="174"/>
      <c r="AA82" s="174"/>
    </row>
    <row r="83" spans="1:27" hidden="1" x14ac:dyDescent="0.35">
      <c r="A83" s="200"/>
      <c r="B83" s="119"/>
      <c r="C83" s="119"/>
      <c r="D83" s="119"/>
      <c r="E83" s="119"/>
      <c r="F83" s="175"/>
      <c r="G83" s="175"/>
      <c r="H83" s="175"/>
      <c r="I83" s="175"/>
      <c r="J83" s="175"/>
      <c r="K83" s="175"/>
      <c r="L83" s="175"/>
      <c r="M83" s="175"/>
      <c r="N83" s="175"/>
      <c r="O83" s="175"/>
      <c r="P83" s="175"/>
      <c r="Q83" s="175"/>
      <c r="R83" s="175"/>
      <c r="S83" s="175"/>
      <c r="T83" s="175"/>
      <c r="U83" s="175"/>
      <c r="V83" s="175"/>
      <c r="W83" s="175"/>
      <c r="X83" s="175"/>
      <c r="Y83" s="175"/>
      <c r="Z83" s="174"/>
      <c r="AA83" s="174"/>
    </row>
  </sheetData>
  <sheetProtection algorithmName="SHA-512" hashValue="774iNgtnuOfuT9VwiUyFxT5f6ODfID5i++AVgKCHymmInbA1saaJvyzV+/RDyhhLebAUef6JCW+0OY9+IwJbUA==" saltValue="n7VHK9S62LEodXh0NWlRLw==" spinCount="100000" sheet="1" objects="1" scenarios="1"/>
  <mergeCells count="32">
    <mergeCell ref="A5:A7"/>
    <mergeCell ref="B5:B7"/>
    <mergeCell ref="C5:C6"/>
    <mergeCell ref="L5:L6"/>
    <mergeCell ref="A47:A49"/>
    <mergeCell ref="B47:B49"/>
    <mergeCell ref="A41:N41"/>
    <mergeCell ref="B29:N29"/>
    <mergeCell ref="B30:N30"/>
    <mergeCell ref="B31:N31"/>
    <mergeCell ref="B34:N34"/>
    <mergeCell ref="B35:R35"/>
    <mergeCell ref="B32:L32"/>
    <mergeCell ref="B77:L77"/>
    <mergeCell ref="B78:R78"/>
    <mergeCell ref="A80:N80"/>
    <mergeCell ref="B70:N70"/>
    <mergeCell ref="B73:N73"/>
    <mergeCell ref="B74:R74"/>
    <mergeCell ref="B75:R75"/>
    <mergeCell ref="B76:R76"/>
    <mergeCell ref="B69:N69"/>
    <mergeCell ref="C45:F46"/>
    <mergeCell ref="H45:K46"/>
    <mergeCell ref="B45:B46"/>
    <mergeCell ref="A44:V44"/>
    <mergeCell ref="M3:Q4"/>
    <mergeCell ref="B36:R36"/>
    <mergeCell ref="B37:R37"/>
    <mergeCell ref="B38:L38"/>
    <mergeCell ref="B39:R39"/>
    <mergeCell ref="C3:L4"/>
  </mergeCells>
  <hyperlinks>
    <hyperlink ref="B27" location="NARIÑO!A41" display="Ver Nota Informativa" xr:uid="{00000000-0004-0000-0F00-000001000000}"/>
    <hyperlink ref="B72" location="Nota" display="Ver Nota Informativa" xr:uid="{00000000-0004-0000-0F00-000002000000}"/>
    <hyperlink ref="B67" location="NARIÑO!A79" display="Ver Nota Informativa" xr:uid="{00000000-0004-0000-0F00-000003000000}"/>
  </hyperlinks>
  <pageMargins left="0.7" right="0.7" top="0.75" bottom="0.75" header="0.3" footer="0.3"/>
  <pageSetup orientation="portrait" r:id="rId1"/>
  <ignoredErrors>
    <ignoredError sqref="K17:L21 R19 R17 N20:N21 K22 R21 R23:R24 F17:F21 N24 N17 H17:H21 C17:C21" formula="1"/>
    <ignoredError sqref="K12:L12 F12 H12 C12" numberStoredAsText="1"/>
    <ignoredError sqref="R15 R12 K13:L15 F14:F15 N14:N15 H13:H15" numberStoredAsText="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V42"/>
  <sheetViews>
    <sheetView showGridLines="0" zoomScale="80" zoomScaleNormal="80" workbookViewId="0">
      <selection activeCell="T12" sqref="T12"/>
    </sheetView>
  </sheetViews>
  <sheetFormatPr baseColWidth="10" defaultRowHeight="14.5" x14ac:dyDescent="0.35"/>
  <cols>
    <col min="1" max="1" width="7.1796875" customWidth="1"/>
    <col min="2" max="2" width="44.81640625" customWidth="1"/>
    <col min="3" max="3" width="12.1796875" customWidth="1"/>
    <col min="4" max="4" width="12.7265625" hidden="1" customWidth="1"/>
    <col min="5" max="5" width="11.7265625" customWidth="1"/>
    <col min="6" max="7" width="11.54296875" hidden="1" customWidth="1"/>
    <col min="8" max="8" width="12.54296875" customWidth="1"/>
    <col min="9" max="9" width="13.81640625" hidden="1" customWidth="1"/>
    <col min="10" max="10" width="12.453125" hidden="1" customWidth="1"/>
    <col min="11" max="11" width="12.453125" customWidth="1"/>
    <col min="12" max="12" width="13.26953125" hidden="1" customWidth="1"/>
    <col min="13" max="13" width="12.54296875" customWidth="1"/>
    <col min="14" max="14" width="12.54296875" hidden="1" customWidth="1"/>
    <col min="15" max="15" width="13" hidden="1" customWidth="1"/>
    <col min="16" max="16" width="15.81640625" hidden="1" customWidth="1"/>
    <col min="17" max="17" width="13.1796875" hidden="1" customWidth="1"/>
    <col min="18" max="18" width="13.7265625" customWidth="1"/>
  </cols>
  <sheetData>
    <row r="1" spans="1:18" x14ac:dyDescent="0.35">
      <c r="A1" s="79"/>
      <c r="B1" s="79" t="str">
        <f>+AMAZONAS!C1</f>
        <v>Vigencia: 04 de Noviembre de 2023; 00:00 horas</v>
      </c>
    </row>
    <row r="2" spans="1:18" ht="15" thickBot="1" x14ac:dyDescent="0.4">
      <c r="A2" s="79" t="s">
        <v>162</v>
      </c>
      <c r="B2" s="79"/>
      <c r="D2" s="710"/>
      <c r="E2" s="395"/>
      <c r="M2" s="395"/>
    </row>
    <row r="3" spans="1:18" ht="16" customHeight="1" thickTop="1" x14ac:dyDescent="0.35">
      <c r="A3" s="128"/>
      <c r="B3" s="129" t="s">
        <v>255</v>
      </c>
      <c r="C3" s="812" t="s">
        <v>163</v>
      </c>
      <c r="D3" s="813"/>
      <c r="E3" s="813"/>
      <c r="F3" s="813"/>
      <c r="G3" s="813"/>
      <c r="H3" s="813"/>
      <c r="I3" s="813"/>
      <c r="J3" s="813"/>
      <c r="K3" s="813"/>
      <c r="L3" s="813"/>
      <c r="M3" s="802" t="s">
        <v>232</v>
      </c>
      <c r="N3" s="803"/>
      <c r="O3" s="803"/>
      <c r="P3" s="803"/>
      <c r="Q3" s="803"/>
      <c r="R3" s="804"/>
    </row>
    <row r="4" spans="1:18" ht="26" x14ac:dyDescent="0.35">
      <c r="A4" s="80"/>
      <c r="B4" s="447" t="s">
        <v>471</v>
      </c>
      <c r="C4" s="808"/>
      <c r="D4" s="809"/>
      <c r="E4" s="809"/>
      <c r="F4" s="809"/>
      <c r="G4" s="809"/>
      <c r="H4" s="809"/>
      <c r="I4" s="809"/>
      <c r="J4" s="809"/>
      <c r="K4" s="809"/>
      <c r="L4" s="809"/>
      <c r="M4" s="805"/>
      <c r="N4" s="806"/>
      <c r="O4" s="806"/>
      <c r="P4" s="806"/>
      <c r="Q4" s="806"/>
      <c r="R4" s="807"/>
    </row>
    <row r="5" spans="1:18" ht="25.75" customHeight="1" x14ac:dyDescent="0.35">
      <c r="A5" s="790" t="s">
        <v>164</v>
      </c>
      <c r="B5" s="792" t="s">
        <v>165</v>
      </c>
      <c r="C5" s="780" t="s">
        <v>223</v>
      </c>
      <c r="D5" s="108" t="s">
        <v>96</v>
      </c>
      <c r="E5" s="108" t="s">
        <v>96</v>
      </c>
      <c r="F5" s="108" t="s">
        <v>96</v>
      </c>
      <c r="G5" s="108" t="s">
        <v>480</v>
      </c>
      <c r="H5" s="108" t="s">
        <v>370</v>
      </c>
      <c r="I5" s="108" t="s">
        <v>498</v>
      </c>
      <c r="J5" s="108" t="s">
        <v>505</v>
      </c>
      <c r="K5" s="108" t="s">
        <v>374</v>
      </c>
      <c r="L5" s="160" t="str">
        <f>+CHOCO!K5</f>
        <v>Biodiesel B11</v>
      </c>
      <c r="M5" s="606" t="s">
        <v>96</v>
      </c>
      <c r="N5" s="607" t="s">
        <v>96</v>
      </c>
      <c r="O5" s="607" t="s">
        <v>480</v>
      </c>
      <c r="P5" s="607" t="str">
        <f>+I5</f>
        <v xml:space="preserve">Biodiesel B5 </v>
      </c>
      <c r="Q5" s="607" t="str">
        <f>+J5</f>
        <v>Biodiesel B8</v>
      </c>
      <c r="R5" s="608" t="s">
        <v>374</v>
      </c>
    </row>
    <row r="6" spans="1:18" ht="15.65" customHeight="1" x14ac:dyDescent="0.35">
      <c r="A6" s="790"/>
      <c r="B6" s="792"/>
      <c r="C6" s="781"/>
      <c r="D6" s="333" t="s">
        <v>500</v>
      </c>
      <c r="E6" s="333" t="s">
        <v>483</v>
      </c>
      <c r="F6" s="333" t="s">
        <v>447</v>
      </c>
      <c r="G6" s="452">
        <v>0.1</v>
      </c>
      <c r="H6" s="452">
        <v>0.02</v>
      </c>
      <c r="I6" s="452">
        <v>0.05</v>
      </c>
      <c r="J6" s="452">
        <v>0.08</v>
      </c>
      <c r="K6" s="452">
        <v>0.1</v>
      </c>
      <c r="L6" s="604">
        <f>+CHOCO!K6</f>
        <v>0.11</v>
      </c>
      <c r="M6" s="639" t="s">
        <v>483</v>
      </c>
      <c r="N6" s="640">
        <v>5</v>
      </c>
      <c r="O6" s="611">
        <v>0.1</v>
      </c>
      <c r="P6" s="611">
        <f>+I6</f>
        <v>0.05</v>
      </c>
      <c r="Q6" s="611">
        <f>+J6</f>
        <v>0.08</v>
      </c>
      <c r="R6" s="612">
        <v>0.1</v>
      </c>
    </row>
    <row r="7" spans="1:18" x14ac:dyDescent="0.35">
      <c r="A7" s="791"/>
      <c r="B7" s="793"/>
      <c r="C7" s="81" t="s">
        <v>166</v>
      </c>
      <c r="D7" s="108" t="s">
        <v>166</v>
      </c>
      <c r="E7" s="108" t="s">
        <v>166</v>
      </c>
      <c r="F7" s="108" t="s">
        <v>166</v>
      </c>
      <c r="G7" s="108" t="s">
        <v>166</v>
      </c>
      <c r="H7" s="108" t="s">
        <v>166</v>
      </c>
      <c r="I7" s="108" t="s">
        <v>166</v>
      </c>
      <c r="J7" s="108" t="s">
        <v>166</v>
      </c>
      <c r="K7" s="108" t="s">
        <v>166</v>
      </c>
      <c r="L7" s="160" t="s">
        <v>166</v>
      </c>
      <c r="M7" s="606" t="s">
        <v>166</v>
      </c>
      <c r="N7" s="607" t="s">
        <v>166</v>
      </c>
      <c r="O7" s="607" t="s">
        <v>166</v>
      </c>
      <c r="P7" s="607" t="s">
        <v>166</v>
      </c>
      <c r="Q7" s="607" t="s">
        <v>166</v>
      </c>
      <c r="R7" s="608" t="s">
        <v>166</v>
      </c>
    </row>
    <row r="8" spans="1:18" ht="15.65" customHeight="1" x14ac:dyDescent="0.35">
      <c r="A8" s="82" t="s">
        <v>167</v>
      </c>
      <c r="B8" s="88" t="s">
        <v>168</v>
      </c>
      <c r="C8" s="144">
        <f>+'Calculo IP ZDF'!B34</f>
        <v>9914.16</v>
      </c>
      <c r="D8" s="144">
        <f>+'Calculo IP ZDF'!G34</f>
        <v>10003.336799999999</v>
      </c>
      <c r="E8" s="144">
        <f>+'Calculo IP ZDF'!H34</f>
        <v>10092.5136</v>
      </c>
      <c r="F8" s="144">
        <f>+'Calculo IP ZDF'!I34</f>
        <v>10137.1</v>
      </c>
      <c r="G8" s="492">
        <f>+'Calculo IP ZDF'!K34</f>
        <v>10360.044000000002</v>
      </c>
      <c r="H8" s="130">
        <f>+'Calculo IP ZDF'!F34</f>
        <v>3985.3274000000001</v>
      </c>
      <c r="I8" s="150">
        <f>+'Calculo IP ZDF'!S34</f>
        <v>4363.8207847499998</v>
      </c>
      <c r="J8" s="130">
        <f>+'Calculo IP ZDF'!N34</f>
        <v>4742.3118126000008</v>
      </c>
      <c r="K8" s="130">
        <f>+'Calculo IP ZDF'!M34</f>
        <v>4994.6391645000003</v>
      </c>
      <c r="L8" s="130">
        <f>+'Calculo IP ZDF'!M34</f>
        <v>4994.6391645000003</v>
      </c>
      <c r="M8" s="618">
        <f>+'GAS CTE'!E9</f>
        <v>10092.5136</v>
      </c>
      <c r="N8" s="621">
        <f>+'GAS CTE'!F9</f>
        <v>10137.1</v>
      </c>
      <c r="O8" s="621">
        <f>+'GAS CTE'!J9</f>
        <v>10360.044000000002</v>
      </c>
      <c r="P8" s="621">
        <f>+BIODIESEL!G9</f>
        <v>5351.866</v>
      </c>
      <c r="Q8" s="621">
        <f>+BIODIESEL!H9</f>
        <v>5699.1596</v>
      </c>
      <c r="R8" s="622">
        <f>+BIODIESEL!I9</f>
        <v>5930.6819999999998</v>
      </c>
    </row>
    <row r="9" spans="1:18" ht="15.65" customHeight="1" x14ac:dyDescent="0.35">
      <c r="A9" s="82" t="s">
        <v>169</v>
      </c>
      <c r="B9" s="88" t="s">
        <v>170</v>
      </c>
      <c r="C9" s="131" t="str">
        <f t="shared" ref="C9:C13" si="0">+G9</f>
        <v>------------------</v>
      </c>
      <c r="D9" s="131" t="s">
        <v>171</v>
      </c>
      <c r="E9" s="131" t="s">
        <v>171</v>
      </c>
      <c r="F9" s="131" t="s">
        <v>171</v>
      </c>
      <c r="G9" s="453" t="s">
        <v>171</v>
      </c>
      <c r="H9" s="407" t="s">
        <v>171</v>
      </c>
      <c r="I9" s="132" t="s">
        <v>171</v>
      </c>
      <c r="J9" s="407" t="s">
        <v>171</v>
      </c>
      <c r="K9" s="407" t="s">
        <v>171</v>
      </c>
      <c r="L9" s="154" t="s">
        <v>171</v>
      </c>
      <c r="M9" s="618">
        <f>+'GAS CTE'!E10</f>
        <v>636.6336</v>
      </c>
      <c r="N9" s="621">
        <f>+'GAS CTE'!F10</f>
        <v>630.00199999999995</v>
      </c>
      <c r="O9" s="621">
        <f>+'GAS CTE'!J10</f>
        <v>596.84399999999994</v>
      </c>
      <c r="P9" s="641">
        <f>+BIODIESEL!G10</f>
        <v>603.00299999999993</v>
      </c>
      <c r="Q9" s="641">
        <f>+BIODIESEL!H10</f>
        <v>583.96080000000006</v>
      </c>
      <c r="R9" s="642">
        <f>+BIODIESEL!I10</f>
        <v>571.26600000000008</v>
      </c>
    </row>
    <row r="10" spans="1:18" ht="15.65" customHeight="1" x14ac:dyDescent="0.35">
      <c r="A10" s="82"/>
      <c r="B10" s="88" t="s">
        <v>129</v>
      </c>
      <c r="C10" s="131" t="str">
        <f>+G10</f>
        <v>------------------</v>
      </c>
      <c r="D10" s="131" t="s">
        <v>171</v>
      </c>
      <c r="E10" s="131" t="s">
        <v>171</v>
      </c>
      <c r="F10" s="131" t="s">
        <v>171</v>
      </c>
      <c r="G10" s="453" t="s">
        <v>171</v>
      </c>
      <c r="H10" s="407" t="s">
        <v>171</v>
      </c>
      <c r="I10" s="132" t="s">
        <v>171</v>
      </c>
      <c r="J10" s="407" t="s">
        <v>171</v>
      </c>
      <c r="K10" s="407" t="s">
        <v>171</v>
      </c>
      <c r="L10" s="154" t="s">
        <v>171</v>
      </c>
      <c r="M10" s="618" t="s">
        <v>130</v>
      </c>
      <c r="N10" s="641" t="str">
        <f>+BIODIESEL!F11</f>
        <v>(3)</v>
      </c>
      <c r="O10" s="641" t="str">
        <f>+BIODIESEL!G11</f>
        <v>(3)</v>
      </c>
      <c r="P10" s="641" t="str">
        <f>+BIODIESEL!I11</f>
        <v>(3)</v>
      </c>
      <c r="Q10" s="641" t="s">
        <v>130</v>
      </c>
      <c r="R10" s="642" t="s">
        <v>130</v>
      </c>
    </row>
    <row r="11" spans="1:18" ht="15.65" customHeight="1" x14ac:dyDescent="0.35">
      <c r="A11" s="82"/>
      <c r="B11" s="88" t="s">
        <v>131</v>
      </c>
      <c r="C11" s="179" t="s">
        <v>201</v>
      </c>
      <c r="D11" s="179" t="s">
        <v>201</v>
      </c>
      <c r="E11" s="179" t="s">
        <v>201</v>
      </c>
      <c r="F11" s="179" t="str">
        <f>+C11</f>
        <v>(4)</v>
      </c>
      <c r="G11" s="453" t="s">
        <v>201</v>
      </c>
      <c r="H11" s="407" t="s">
        <v>201</v>
      </c>
      <c r="I11" s="132" t="str">
        <f>+C11</f>
        <v>(4)</v>
      </c>
      <c r="J11" s="407" t="str">
        <f>+F11</f>
        <v>(4)</v>
      </c>
      <c r="K11" s="407" t="str">
        <f>+G11</f>
        <v>(4)</v>
      </c>
      <c r="L11" s="154" t="str">
        <f>+C11</f>
        <v>(4)</v>
      </c>
      <c r="M11" s="618" t="s">
        <v>201</v>
      </c>
      <c r="N11" s="621" t="str">
        <f>+I11</f>
        <v>(4)</v>
      </c>
      <c r="O11" s="621" t="str">
        <f>+J11</f>
        <v>(4)</v>
      </c>
      <c r="P11" s="621" t="str">
        <f>+L11</f>
        <v>(4)</v>
      </c>
      <c r="Q11" s="621" t="s">
        <v>201</v>
      </c>
      <c r="R11" s="622" t="s">
        <v>201</v>
      </c>
    </row>
    <row r="12" spans="1:18" ht="15.65" customHeight="1" x14ac:dyDescent="0.35">
      <c r="A12" s="82" t="s">
        <v>172</v>
      </c>
      <c r="B12" s="88" t="s">
        <v>250</v>
      </c>
      <c r="C12" s="131" t="str">
        <f>+AMAZONAS!C12</f>
        <v>(2)</v>
      </c>
      <c r="D12" s="131" t="s">
        <v>200</v>
      </c>
      <c r="E12" s="131" t="s">
        <v>200</v>
      </c>
      <c r="F12" s="131" t="s">
        <v>200</v>
      </c>
      <c r="G12" s="454" t="s">
        <v>200</v>
      </c>
      <c r="H12" s="140" t="s">
        <v>200</v>
      </c>
      <c r="I12" s="86" t="s">
        <v>200</v>
      </c>
      <c r="J12" s="140" t="s">
        <v>200</v>
      </c>
      <c r="K12" s="140" t="s">
        <v>200</v>
      </c>
      <c r="L12" s="154" t="s">
        <v>200</v>
      </c>
      <c r="M12" s="618">
        <v>0</v>
      </c>
      <c r="N12" s="621">
        <f>+M12</f>
        <v>0</v>
      </c>
      <c r="O12" s="621">
        <f>+N12</f>
        <v>0</v>
      </c>
      <c r="P12" s="621" t="s">
        <v>200</v>
      </c>
      <c r="Q12" s="621" t="s">
        <v>200</v>
      </c>
      <c r="R12" s="622" t="s">
        <v>200</v>
      </c>
    </row>
    <row r="13" spans="1:18" ht="15.65" customHeight="1" x14ac:dyDescent="0.35">
      <c r="A13" s="82" t="s">
        <v>234</v>
      </c>
      <c r="B13" s="88" t="s">
        <v>235</v>
      </c>
      <c r="C13" s="131" t="str">
        <f t="shared" si="0"/>
        <v>N.A.</v>
      </c>
      <c r="D13" s="131" t="s">
        <v>236</v>
      </c>
      <c r="E13" s="131" t="s">
        <v>236</v>
      </c>
      <c r="F13" s="131" t="s">
        <v>236</v>
      </c>
      <c r="G13" s="454" t="s">
        <v>236</v>
      </c>
      <c r="H13" s="140" t="s">
        <v>236</v>
      </c>
      <c r="I13" s="132" t="s">
        <v>201</v>
      </c>
      <c r="J13" s="407" t="s">
        <v>201</v>
      </c>
      <c r="K13" s="407" t="s">
        <v>201</v>
      </c>
      <c r="L13" s="148" t="str">
        <f>+I13</f>
        <v>(4)</v>
      </c>
      <c r="M13" s="618" t="s">
        <v>236</v>
      </c>
      <c r="N13" s="621" t="s">
        <v>236</v>
      </c>
      <c r="O13" s="621" t="s">
        <v>236</v>
      </c>
      <c r="P13" s="621" t="str">
        <f>+L13</f>
        <v>(4)</v>
      </c>
      <c r="Q13" s="621" t="s">
        <v>201</v>
      </c>
      <c r="R13" s="622" t="s">
        <v>201</v>
      </c>
    </row>
    <row r="14" spans="1:18" ht="15.65" customHeight="1" x14ac:dyDescent="0.35">
      <c r="A14" s="82" t="s">
        <v>174</v>
      </c>
      <c r="B14" s="88" t="s">
        <v>175</v>
      </c>
      <c r="C14" s="131">
        <f>+RUBROS!AF16</f>
        <v>12.29256217662561</v>
      </c>
      <c r="D14" s="131">
        <f>+C14</f>
        <v>12.29256217662561</v>
      </c>
      <c r="E14" s="131">
        <f>+C14</f>
        <v>12.29256217662561</v>
      </c>
      <c r="F14" s="131">
        <f>+C14</f>
        <v>12.29256217662561</v>
      </c>
      <c r="G14" s="86">
        <f>+C14</f>
        <v>12.29256217662561</v>
      </c>
      <c r="H14" s="86">
        <f>+C14</f>
        <v>12.29256217662561</v>
      </c>
      <c r="I14" s="86">
        <f>+C14</f>
        <v>12.29256217662561</v>
      </c>
      <c r="J14" s="130">
        <f>+C14</f>
        <v>12.29256217662561</v>
      </c>
      <c r="K14" s="130">
        <f>+H14</f>
        <v>12.29256217662561</v>
      </c>
      <c r="L14" s="154">
        <f>+C14</f>
        <v>12.29256217662561</v>
      </c>
      <c r="M14" s="618">
        <f>+RUBROS!$AG$16</f>
        <v>26.583233136281329</v>
      </c>
      <c r="N14" s="621">
        <f>+RUBROS!$AG$16</f>
        <v>26.583233136281329</v>
      </c>
      <c r="O14" s="621">
        <f>+RUBROS!$AD$16</f>
        <v>23.500029293035123</v>
      </c>
      <c r="P14" s="621">
        <f>+RUBROS!AD16</f>
        <v>23.500029293035123</v>
      </c>
      <c r="Q14" s="621">
        <f>+RUBROS!AG16</f>
        <v>26.583233136281329</v>
      </c>
      <c r="R14" s="622">
        <f>+Q14</f>
        <v>26.583233136281329</v>
      </c>
    </row>
    <row r="15" spans="1:18" ht="15.65" customHeight="1" x14ac:dyDescent="0.35">
      <c r="A15" s="82" t="s">
        <v>176</v>
      </c>
      <c r="B15" s="88" t="s">
        <v>177</v>
      </c>
      <c r="C15" s="131">
        <f>+RUBROS!AF52</f>
        <v>127.35415747874769</v>
      </c>
      <c r="D15" s="131">
        <f>+C15</f>
        <v>127.35415747874769</v>
      </c>
      <c r="E15" s="131">
        <f>+C15</f>
        <v>127.35415747874769</v>
      </c>
      <c r="F15" s="131">
        <f>+C15</f>
        <v>127.35415747874769</v>
      </c>
      <c r="G15" s="86">
        <f>+C15</f>
        <v>127.35415747874769</v>
      </c>
      <c r="H15" s="86">
        <f>+C15</f>
        <v>127.35415747874769</v>
      </c>
      <c r="I15" s="86">
        <f>+C15</f>
        <v>127.35415747874769</v>
      </c>
      <c r="J15" s="130">
        <f>+I15</f>
        <v>127.35415747874769</v>
      </c>
      <c r="K15" s="130">
        <f>+H15</f>
        <v>127.35415747874769</v>
      </c>
      <c r="L15" s="154">
        <f>+C15</f>
        <v>127.35415747874769</v>
      </c>
      <c r="M15" s="618">
        <f>+RUBROS!$AF$52</f>
        <v>127.35415747874769</v>
      </c>
      <c r="N15" s="621">
        <f>+RUBROS!$AF$52</f>
        <v>127.35415747874769</v>
      </c>
      <c r="O15" s="621">
        <f>+RUBROS!$AC$52</f>
        <v>112.5832368093597</v>
      </c>
      <c r="P15" s="621">
        <f>+C15</f>
        <v>127.35415747874769</v>
      </c>
      <c r="Q15" s="621">
        <f>+F15</f>
        <v>127.35415747874769</v>
      </c>
      <c r="R15" s="622">
        <f>+G15</f>
        <v>127.35415747874769</v>
      </c>
    </row>
    <row r="16" spans="1:18" ht="15.65" customHeight="1" x14ac:dyDescent="0.35">
      <c r="A16" s="82" t="s">
        <v>178</v>
      </c>
      <c r="B16" s="88" t="s">
        <v>179</v>
      </c>
      <c r="C16" s="131">
        <f>+RUBROS!AZ30</f>
        <v>13.726213893883656</v>
      </c>
      <c r="D16" s="131">
        <f>+C16</f>
        <v>13.726213893883656</v>
      </c>
      <c r="E16" s="131">
        <f>+C16</f>
        <v>13.726213893883656</v>
      </c>
      <c r="F16" s="131">
        <f>+C16</f>
        <v>13.726213893883656</v>
      </c>
      <c r="G16" s="86">
        <f>+C16</f>
        <v>13.726213893883656</v>
      </c>
      <c r="H16" s="133">
        <f>+C16</f>
        <v>13.726213893883656</v>
      </c>
      <c r="I16" s="133">
        <f>+C16</f>
        <v>13.726213893883656</v>
      </c>
      <c r="J16" s="130">
        <f>+I16</f>
        <v>13.726213893883656</v>
      </c>
      <c r="K16" s="130">
        <f>+H16</f>
        <v>13.726213893883656</v>
      </c>
      <c r="L16" s="154">
        <f>+C16</f>
        <v>13.726213893883656</v>
      </c>
      <c r="M16" s="618">
        <f>+E16</f>
        <v>13.726213893883656</v>
      </c>
      <c r="N16" s="621">
        <f>+C16</f>
        <v>13.726213893883656</v>
      </c>
      <c r="O16" s="621">
        <f>+C16</f>
        <v>13.726213893883656</v>
      </c>
      <c r="P16" s="621">
        <f>+C16</f>
        <v>13.726213893883656</v>
      </c>
      <c r="Q16" s="621">
        <f>+F16</f>
        <v>13.726213893883656</v>
      </c>
      <c r="R16" s="622">
        <f>+G16</f>
        <v>13.726213893883656</v>
      </c>
    </row>
    <row r="17" spans="1:22" hidden="1" x14ac:dyDescent="0.35">
      <c r="A17" s="82"/>
      <c r="B17" s="88" t="s">
        <v>180</v>
      </c>
      <c r="C17" s="131"/>
      <c r="D17" s="402"/>
      <c r="E17" s="402"/>
      <c r="F17" s="134"/>
      <c r="G17" s="403"/>
      <c r="H17" s="531"/>
      <c r="I17" s="135"/>
      <c r="J17" s="451"/>
      <c r="K17" s="451"/>
      <c r="L17" s="154"/>
      <c r="M17" s="627"/>
      <c r="N17" s="621"/>
      <c r="O17" s="621"/>
      <c r="P17" s="616"/>
      <c r="Q17" s="616"/>
      <c r="R17" s="617"/>
    </row>
    <row r="18" spans="1:22" x14ac:dyDescent="0.35">
      <c r="A18" s="89" t="s">
        <v>181</v>
      </c>
      <c r="B18" s="115" t="s">
        <v>182</v>
      </c>
      <c r="C18" s="136">
        <f t="shared" ref="C18:P18" si="1">SUM(C8:C17)</f>
        <v>10067.532933549257</v>
      </c>
      <c r="D18" s="136">
        <f t="shared" si="1"/>
        <v>10156.709733549256</v>
      </c>
      <c r="E18" s="136">
        <f t="shared" si="1"/>
        <v>10245.886533549257</v>
      </c>
      <c r="F18" s="137">
        <f>SUM(F8:F17)</f>
        <v>10290.472933549258</v>
      </c>
      <c r="G18" s="137">
        <f>SUM(G8:G17)</f>
        <v>10513.416933549259</v>
      </c>
      <c r="H18" s="137">
        <f>SUM(H8:H17)</f>
        <v>4138.7003335492573</v>
      </c>
      <c r="I18" s="137">
        <f t="shared" si="1"/>
        <v>4517.1937182992569</v>
      </c>
      <c r="J18" s="137">
        <f t="shared" si="1"/>
        <v>4895.684746149258</v>
      </c>
      <c r="K18" s="137">
        <f t="shared" si="1"/>
        <v>5148.0120980492575</v>
      </c>
      <c r="L18" s="138">
        <f t="shared" si="1"/>
        <v>5148.0120980492575</v>
      </c>
      <c r="M18" s="627">
        <f t="shared" ref="M18:O18" si="2">SUM(M8:M17)</f>
        <v>10896.810804508912</v>
      </c>
      <c r="N18" s="632">
        <f t="shared" si="2"/>
        <v>10934.765604508913</v>
      </c>
      <c r="O18" s="632">
        <f t="shared" si="2"/>
        <v>11106.697479996279</v>
      </c>
      <c r="P18" s="632">
        <f t="shared" si="1"/>
        <v>6119.4494006656669</v>
      </c>
      <c r="Q18" s="632">
        <f t="shared" ref="Q18:R18" si="3">SUM(Q8:Q17)</f>
        <v>6450.7840045089133</v>
      </c>
      <c r="R18" s="633">
        <f t="shared" si="3"/>
        <v>6669.6116045089138</v>
      </c>
    </row>
    <row r="19" spans="1:22" x14ac:dyDescent="0.35">
      <c r="A19" s="82" t="s">
        <v>183</v>
      </c>
      <c r="B19" s="88" t="s">
        <v>184</v>
      </c>
      <c r="C19" s="131" t="s">
        <v>214</v>
      </c>
      <c r="D19" s="131" t="s">
        <v>214</v>
      </c>
      <c r="E19" s="131" t="s">
        <v>214</v>
      </c>
      <c r="F19" s="139" t="str">
        <f>+C19</f>
        <v>***</v>
      </c>
      <c r="G19" s="139" t="str">
        <f>+F19</f>
        <v>***</v>
      </c>
      <c r="H19" s="139" t="str">
        <f>+G19</f>
        <v>***</v>
      </c>
      <c r="I19" s="139" t="str">
        <f>+C19</f>
        <v>***</v>
      </c>
      <c r="J19" s="139" t="str">
        <f>+F19</f>
        <v>***</v>
      </c>
      <c r="K19" s="404" t="s">
        <v>214</v>
      </c>
      <c r="L19" s="154" t="str">
        <f>+C19</f>
        <v>***</v>
      </c>
      <c r="M19" s="613" t="s">
        <v>214</v>
      </c>
      <c r="N19" s="616" t="s">
        <v>214</v>
      </c>
      <c r="O19" s="616" t="s">
        <v>214</v>
      </c>
      <c r="P19" s="616" t="s">
        <v>214</v>
      </c>
      <c r="Q19" s="616" t="s">
        <v>214</v>
      </c>
      <c r="R19" s="617" t="s">
        <v>214</v>
      </c>
    </row>
    <row r="20" spans="1:22" x14ac:dyDescent="0.35">
      <c r="A20" s="82" t="s">
        <v>185</v>
      </c>
      <c r="B20" s="88" t="s">
        <v>186</v>
      </c>
      <c r="C20" s="131" t="str">
        <f t="shared" ref="C20:E21" si="4">+G20</f>
        <v>**</v>
      </c>
      <c r="D20" s="131" t="str">
        <f t="shared" si="4"/>
        <v>**</v>
      </c>
      <c r="E20" s="131" t="str">
        <f t="shared" si="4"/>
        <v>**</v>
      </c>
      <c r="F20" s="140" t="s">
        <v>212</v>
      </c>
      <c r="G20" s="140" t="s">
        <v>212</v>
      </c>
      <c r="H20" s="140" t="s">
        <v>212</v>
      </c>
      <c r="I20" s="140" t="s">
        <v>212</v>
      </c>
      <c r="J20" s="140" t="s">
        <v>212</v>
      </c>
      <c r="K20" s="130" t="s">
        <v>212</v>
      </c>
      <c r="L20" s="154" t="s">
        <v>212</v>
      </c>
      <c r="M20" s="613" t="str">
        <f>+O20</f>
        <v>**</v>
      </c>
      <c r="N20" s="616" t="str">
        <f>+P20</f>
        <v>**</v>
      </c>
      <c r="O20" s="616" t="str">
        <f>+Q20</f>
        <v>**</v>
      </c>
      <c r="P20" s="621" t="s">
        <v>212</v>
      </c>
      <c r="Q20" s="621" t="s">
        <v>212</v>
      </c>
      <c r="R20" s="622" t="s">
        <v>212</v>
      </c>
    </row>
    <row r="21" spans="1:22" x14ac:dyDescent="0.35">
      <c r="A21" s="82" t="s">
        <v>187</v>
      </c>
      <c r="B21" s="88" t="s">
        <v>188</v>
      </c>
      <c r="C21" s="131" t="str">
        <f t="shared" si="4"/>
        <v>****</v>
      </c>
      <c r="D21" s="131" t="str">
        <f t="shared" si="4"/>
        <v>****</v>
      </c>
      <c r="E21" s="131" t="str">
        <f t="shared" si="4"/>
        <v>****</v>
      </c>
      <c r="F21" s="86" t="s">
        <v>216</v>
      </c>
      <c r="G21" s="86" t="s">
        <v>216</v>
      </c>
      <c r="H21" s="86" t="s">
        <v>216</v>
      </c>
      <c r="I21" s="86" t="str">
        <f>+G21</f>
        <v>****</v>
      </c>
      <c r="J21" s="86" t="str">
        <f>+I21</f>
        <v>****</v>
      </c>
      <c r="K21" s="133" t="s">
        <v>216</v>
      </c>
      <c r="L21" s="154" t="str">
        <f>+I21</f>
        <v>****</v>
      </c>
      <c r="M21" s="613" t="s">
        <v>216</v>
      </c>
      <c r="N21" s="616" t="s">
        <v>216</v>
      </c>
      <c r="O21" s="616" t="s">
        <v>216</v>
      </c>
      <c r="P21" s="616" t="str">
        <f>+L21</f>
        <v>****</v>
      </c>
      <c r="Q21" s="616" t="str">
        <f>+M21</f>
        <v>****</v>
      </c>
      <c r="R21" s="617" t="str">
        <f>+N21</f>
        <v>****</v>
      </c>
    </row>
    <row r="22" spans="1:22" x14ac:dyDescent="0.35">
      <c r="A22" s="89" t="s">
        <v>189</v>
      </c>
      <c r="B22" s="115" t="s">
        <v>190</v>
      </c>
      <c r="C22" s="136">
        <f>+C18</f>
        <v>10067.532933549257</v>
      </c>
      <c r="D22" s="136">
        <f>+D18</f>
        <v>10156.709733549256</v>
      </c>
      <c r="E22" s="136">
        <f>+E18</f>
        <v>10245.886533549257</v>
      </c>
      <c r="F22" s="136">
        <f t="shared" ref="F22:G22" si="5">+F18</f>
        <v>10290.472933549258</v>
      </c>
      <c r="G22" s="136">
        <f t="shared" si="5"/>
        <v>10513.416933549259</v>
      </c>
      <c r="H22" s="136">
        <f t="shared" ref="H22" si="6">+H18</f>
        <v>4138.7003335492573</v>
      </c>
      <c r="I22" s="136">
        <f t="shared" ref="I22:P22" si="7">+I18</f>
        <v>4517.1937182992569</v>
      </c>
      <c r="J22" s="136">
        <f t="shared" ref="J22:K22" si="8">+J18</f>
        <v>4895.684746149258</v>
      </c>
      <c r="K22" s="136">
        <f t="shared" si="8"/>
        <v>5148.0120980492575</v>
      </c>
      <c r="L22" s="136">
        <f t="shared" si="7"/>
        <v>5148.0120980492575</v>
      </c>
      <c r="M22" s="643">
        <f t="shared" si="7"/>
        <v>10896.810804508912</v>
      </c>
      <c r="N22" s="644">
        <f t="shared" ref="N22:O22" si="9">+N18</f>
        <v>10934.765604508913</v>
      </c>
      <c r="O22" s="644">
        <f t="shared" si="9"/>
        <v>11106.697479996279</v>
      </c>
      <c r="P22" s="644">
        <f t="shared" si="7"/>
        <v>6119.4494006656669</v>
      </c>
      <c r="Q22" s="644">
        <f t="shared" ref="Q22:R22" si="10">+Q18</f>
        <v>6450.7840045089133</v>
      </c>
      <c r="R22" s="645">
        <f t="shared" si="10"/>
        <v>6669.6116045089138</v>
      </c>
    </row>
    <row r="23" spans="1:22" x14ac:dyDescent="0.35">
      <c r="A23" s="82" t="s">
        <v>191</v>
      </c>
      <c r="B23" s="88" t="s">
        <v>150</v>
      </c>
      <c r="C23" s="131" t="s">
        <v>214</v>
      </c>
      <c r="D23" s="131" t="s">
        <v>214</v>
      </c>
      <c r="E23" s="131" t="s">
        <v>214</v>
      </c>
      <c r="F23" s="86" t="str">
        <f>+C23</f>
        <v>***</v>
      </c>
      <c r="G23" s="86" t="str">
        <f>+F23</f>
        <v>***</v>
      </c>
      <c r="H23" s="86" t="str">
        <f>+G23</f>
        <v>***</v>
      </c>
      <c r="I23" s="86" t="str">
        <f>+G23</f>
        <v>***</v>
      </c>
      <c r="J23" s="86" t="str">
        <f>+I23</f>
        <v>***</v>
      </c>
      <c r="K23" s="133" t="s">
        <v>214</v>
      </c>
      <c r="L23" s="154" t="str">
        <f>+I23</f>
        <v>***</v>
      </c>
      <c r="M23" s="613" t="str">
        <f>+O23</f>
        <v>***</v>
      </c>
      <c r="N23" s="616" t="str">
        <f>+P23</f>
        <v>***</v>
      </c>
      <c r="O23" s="616" t="str">
        <f>+Q23</f>
        <v>***</v>
      </c>
      <c r="P23" s="616" t="s">
        <v>214</v>
      </c>
      <c r="Q23" s="616" t="s">
        <v>214</v>
      </c>
      <c r="R23" s="617" t="s">
        <v>214</v>
      </c>
    </row>
    <row r="24" spans="1:22" x14ac:dyDescent="0.35">
      <c r="A24" s="82" t="s">
        <v>192</v>
      </c>
      <c r="B24" s="83" t="s">
        <v>193</v>
      </c>
      <c r="C24" s="131" t="str">
        <f t="shared" ref="C24:E25" si="11">+G24</f>
        <v>*****</v>
      </c>
      <c r="D24" s="131" t="str">
        <f t="shared" si="11"/>
        <v>*****</v>
      </c>
      <c r="E24" s="131" t="str">
        <f t="shared" si="11"/>
        <v>N.A.</v>
      </c>
      <c r="F24" s="86" t="s">
        <v>218</v>
      </c>
      <c r="G24" s="86" t="s">
        <v>218</v>
      </c>
      <c r="H24" s="86" t="s">
        <v>218</v>
      </c>
      <c r="I24" s="86" t="s">
        <v>236</v>
      </c>
      <c r="J24" s="86" t="s">
        <v>236</v>
      </c>
      <c r="K24" s="133" t="s">
        <v>218</v>
      </c>
      <c r="L24" s="154" t="s">
        <v>194</v>
      </c>
      <c r="M24" s="613" t="str">
        <f>+F24</f>
        <v>*****</v>
      </c>
      <c r="N24" s="616" t="str">
        <f>+G24</f>
        <v>*****</v>
      </c>
      <c r="O24" s="616" t="str">
        <f>+I24</f>
        <v>N.A.</v>
      </c>
      <c r="P24" s="616" t="s">
        <v>237</v>
      </c>
      <c r="Q24" s="616" t="s">
        <v>237</v>
      </c>
      <c r="R24" s="617" t="s">
        <v>237</v>
      </c>
    </row>
    <row r="25" spans="1:22" x14ac:dyDescent="0.35">
      <c r="A25" s="82" t="s">
        <v>195</v>
      </c>
      <c r="B25" s="88" t="s">
        <v>196</v>
      </c>
      <c r="C25" s="131" t="str">
        <f t="shared" si="11"/>
        <v>******</v>
      </c>
      <c r="D25" s="131" t="str">
        <f t="shared" si="11"/>
        <v>******</v>
      </c>
      <c r="E25" s="131" t="str">
        <f t="shared" si="11"/>
        <v>******</v>
      </c>
      <c r="F25" s="140" t="s">
        <v>219</v>
      </c>
      <c r="G25" s="140" t="s">
        <v>219</v>
      </c>
      <c r="H25" s="140" t="s">
        <v>219</v>
      </c>
      <c r="I25" s="140" t="str">
        <f>+G25</f>
        <v>******</v>
      </c>
      <c r="J25" s="140" t="str">
        <f>+I25</f>
        <v>******</v>
      </c>
      <c r="K25" s="130" t="s">
        <v>219</v>
      </c>
      <c r="L25" s="148" t="str">
        <f>+I25</f>
        <v>******</v>
      </c>
      <c r="M25" s="613" t="str">
        <f>+L25</f>
        <v>******</v>
      </c>
      <c r="N25" s="616" t="str">
        <f>+M25</f>
        <v>******</v>
      </c>
      <c r="O25" s="616" t="str">
        <f>+N25</f>
        <v>******</v>
      </c>
      <c r="P25" s="621" t="str">
        <f>+M25</f>
        <v>******</v>
      </c>
      <c r="Q25" s="621" t="str">
        <f>+N25</f>
        <v>******</v>
      </c>
      <c r="R25" s="622" t="str">
        <f>+O25</f>
        <v>******</v>
      </c>
    </row>
    <row r="26" spans="1:22" ht="15" thickBot="1" x14ac:dyDescent="0.4">
      <c r="A26" s="93" t="s">
        <v>197</v>
      </c>
      <c r="B26" s="94" t="s">
        <v>198</v>
      </c>
      <c r="C26" s="141"/>
      <c r="D26" s="141"/>
      <c r="E26" s="141"/>
      <c r="F26" s="141"/>
      <c r="G26" s="97"/>
      <c r="H26" s="142"/>
      <c r="I26" s="142"/>
      <c r="J26" s="142"/>
      <c r="K26" s="142"/>
      <c r="L26" s="156"/>
      <c r="M26" s="635"/>
      <c r="N26" s="636"/>
      <c r="O26" s="636"/>
      <c r="P26" s="636"/>
      <c r="Q26" s="636"/>
      <c r="R26" s="637"/>
    </row>
    <row r="27" spans="1:22" ht="15" thickTop="1" x14ac:dyDescent="0.35"/>
    <row r="28" spans="1:22" x14ac:dyDescent="0.35">
      <c r="A28" s="101"/>
      <c r="B28" s="119" t="s">
        <v>210</v>
      </c>
      <c r="C28" s="145"/>
      <c r="D28" s="145"/>
      <c r="E28" s="145"/>
      <c r="F28" s="145"/>
      <c r="G28" s="145"/>
      <c r="H28" s="145"/>
      <c r="I28" s="145"/>
      <c r="J28" s="145"/>
      <c r="K28" s="145"/>
      <c r="L28" s="145"/>
      <c r="M28" s="127"/>
      <c r="N28" s="127"/>
      <c r="O28" s="127"/>
      <c r="P28" s="127"/>
      <c r="Q28" s="127"/>
      <c r="R28" s="127"/>
      <c r="S28" s="127"/>
      <c r="T28" s="127"/>
      <c r="U28" s="127"/>
      <c r="V28" s="127"/>
    </row>
    <row r="29" spans="1:22" x14ac:dyDescent="0.35">
      <c r="A29" s="101"/>
      <c r="B29" s="119"/>
      <c r="C29" s="145"/>
      <c r="D29" s="145"/>
      <c r="E29" s="145"/>
      <c r="F29" s="145"/>
      <c r="G29" s="145"/>
      <c r="H29" s="145"/>
      <c r="I29" s="145"/>
      <c r="J29" s="145"/>
      <c r="K29" s="145"/>
      <c r="L29" s="145"/>
      <c r="M29" s="127"/>
      <c r="N29" s="127"/>
      <c r="O29" s="127"/>
      <c r="P29" s="127"/>
      <c r="Q29" s="127"/>
      <c r="R29" s="127"/>
      <c r="S29" s="127"/>
      <c r="T29" s="127"/>
      <c r="U29" s="127"/>
      <c r="V29" s="127"/>
    </row>
    <row r="30" spans="1:22" ht="28.5" customHeight="1" x14ac:dyDescent="0.35">
      <c r="A30" s="101" t="s">
        <v>173</v>
      </c>
      <c r="B30" s="783" t="str">
        <f>+CHOCO!B29</f>
        <v>De acuerdo con lo establecido en la Resoluccion 91349 de 2014 del MME para combustible de origen nacional o importado a ser distribuido en zonas de frontera, aplica la tarifa de marcación o remarcación vigente a la fecha según corresponda</v>
      </c>
      <c r="C30" s="783"/>
      <c r="D30" s="783"/>
      <c r="E30" s="783"/>
      <c r="F30" s="783"/>
      <c r="G30" s="783"/>
      <c r="H30" s="783"/>
      <c r="I30" s="783"/>
      <c r="J30" s="783"/>
      <c r="K30" s="783"/>
      <c r="L30" s="783"/>
      <c r="M30" s="783"/>
      <c r="N30" s="783"/>
      <c r="O30" s="783"/>
      <c r="P30" s="783"/>
      <c r="Q30" s="783"/>
      <c r="R30" s="146"/>
      <c r="S30" s="146"/>
      <c r="T30" s="146"/>
      <c r="U30" s="146"/>
      <c r="V30" s="146"/>
    </row>
    <row r="31" spans="1:22" ht="27.25" customHeight="1" x14ac:dyDescent="0.35">
      <c r="A31" s="101" t="s">
        <v>200</v>
      </c>
      <c r="B31" s="778" t="s">
        <v>251</v>
      </c>
      <c r="C31" s="778"/>
      <c r="D31" s="778"/>
      <c r="E31" s="778"/>
      <c r="F31" s="778"/>
      <c r="G31" s="778"/>
      <c r="H31" s="778"/>
      <c r="I31" s="778"/>
      <c r="J31" s="778"/>
      <c r="K31" s="778"/>
      <c r="L31" s="778"/>
      <c r="M31" s="778"/>
      <c r="N31" s="778"/>
      <c r="O31" s="778"/>
      <c r="P31" s="778"/>
      <c r="Q31" s="778"/>
      <c r="R31" s="127"/>
      <c r="S31" s="127"/>
      <c r="T31" s="127"/>
      <c r="U31" s="127"/>
      <c r="V31" s="127"/>
    </row>
    <row r="32" spans="1:22" ht="53.5" customHeight="1" x14ac:dyDescent="0.35">
      <c r="A32" s="101" t="s">
        <v>130</v>
      </c>
      <c r="B32" s="783" t="s">
        <v>307</v>
      </c>
      <c r="C32" s="783"/>
      <c r="D32" s="783"/>
      <c r="E32" s="783"/>
      <c r="F32" s="783"/>
      <c r="G32" s="783"/>
      <c r="H32" s="783"/>
      <c r="I32" s="783"/>
      <c r="J32" s="783"/>
      <c r="K32" s="783"/>
      <c r="L32" s="783"/>
      <c r="M32" s="783"/>
      <c r="N32" s="783"/>
      <c r="O32" s="783"/>
      <c r="P32" s="783"/>
      <c r="Q32" s="783"/>
      <c r="R32" s="127"/>
      <c r="S32" s="127"/>
      <c r="T32" s="127"/>
      <c r="U32" s="127"/>
      <c r="V32" s="127"/>
    </row>
    <row r="33" spans="1:22" ht="53.5" customHeight="1" x14ac:dyDescent="0.35">
      <c r="A33" s="101" t="s">
        <v>201</v>
      </c>
      <c r="B33" s="782" t="s">
        <v>375</v>
      </c>
      <c r="C33" s="782"/>
      <c r="D33" s="782"/>
      <c r="E33" s="782"/>
      <c r="F33" s="782"/>
      <c r="G33" s="782"/>
      <c r="H33" s="782"/>
      <c r="I33" s="782"/>
      <c r="J33" s="782"/>
      <c r="K33" s="782"/>
      <c r="L33" s="782"/>
      <c r="M33" s="782"/>
      <c r="N33" s="782"/>
      <c r="O33" s="782"/>
      <c r="P33" s="782"/>
      <c r="Q33" s="782"/>
      <c r="R33" s="127"/>
      <c r="S33" s="127"/>
      <c r="T33" s="127"/>
      <c r="U33" s="127"/>
      <c r="V33" s="127"/>
    </row>
    <row r="34" spans="1:22" ht="26.15" customHeight="1" x14ac:dyDescent="0.35">
      <c r="A34" s="101"/>
      <c r="B34" s="783"/>
      <c r="C34" s="783"/>
      <c r="D34" s="783"/>
      <c r="E34" s="783"/>
      <c r="F34" s="783"/>
      <c r="G34" s="783"/>
      <c r="H34" s="783"/>
      <c r="I34" s="783"/>
      <c r="J34" s="783"/>
      <c r="K34" s="783"/>
      <c r="L34" s="783"/>
      <c r="M34" s="783"/>
      <c r="N34" s="783"/>
      <c r="O34" s="783"/>
      <c r="P34" s="783"/>
      <c r="Q34" s="783"/>
      <c r="R34" s="127"/>
      <c r="S34" s="127"/>
      <c r="T34" s="127"/>
      <c r="U34" s="127"/>
      <c r="V34" s="127"/>
    </row>
    <row r="35" spans="1:22" ht="15" customHeight="1" x14ac:dyDescent="0.35">
      <c r="A35" s="120" t="s">
        <v>102</v>
      </c>
      <c r="B35" s="779" t="s">
        <v>211</v>
      </c>
      <c r="C35" s="779"/>
      <c r="D35" s="779"/>
      <c r="E35" s="779"/>
      <c r="F35" s="779"/>
      <c r="G35" s="779"/>
      <c r="H35" s="779"/>
      <c r="I35" s="779"/>
      <c r="J35" s="779"/>
      <c r="K35" s="779"/>
      <c r="L35" s="779"/>
      <c r="M35" s="779"/>
      <c r="N35" s="779"/>
      <c r="O35" s="779"/>
      <c r="P35" s="779"/>
      <c r="Q35" s="779"/>
      <c r="R35" s="127"/>
      <c r="S35" s="127"/>
      <c r="T35" s="127"/>
      <c r="U35" s="127"/>
      <c r="V35" s="127"/>
    </row>
    <row r="36" spans="1:22" ht="15" customHeight="1" x14ac:dyDescent="0.35">
      <c r="A36" s="120" t="s">
        <v>212</v>
      </c>
      <c r="B36" s="783" t="s">
        <v>294</v>
      </c>
      <c r="C36" s="783"/>
      <c r="D36" s="783"/>
      <c r="E36" s="783"/>
      <c r="F36" s="783"/>
      <c r="G36" s="783"/>
      <c r="H36" s="783"/>
      <c r="I36" s="783"/>
      <c r="J36" s="783"/>
      <c r="K36" s="783"/>
      <c r="L36" s="783"/>
      <c r="M36" s="783"/>
      <c r="N36" s="783"/>
      <c r="O36" s="783"/>
      <c r="P36" s="783"/>
      <c r="Q36" s="783"/>
      <c r="R36" s="127"/>
      <c r="S36" s="127"/>
      <c r="T36" s="127"/>
      <c r="U36" s="127"/>
      <c r="V36" s="127"/>
    </row>
    <row r="37" spans="1:22" ht="15" customHeight="1" x14ac:dyDescent="0.35">
      <c r="A37" s="101" t="s">
        <v>214</v>
      </c>
      <c r="B37" s="783" t="s">
        <v>215</v>
      </c>
      <c r="C37" s="783"/>
      <c r="D37" s="783"/>
      <c r="E37" s="783"/>
      <c r="F37" s="783"/>
      <c r="G37" s="783"/>
      <c r="H37" s="783"/>
      <c r="I37" s="783"/>
      <c r="J37" s="783"/>
      <c r="K37" s="783"/>
      <c r="L37" s="783"/>
      <c r="M37" s="783"/>
      <c r="N37" s="783"/>
      <c r="O37" s="783"/>
      <c r="P37" s="783"/>
      <c r="Q37" s="101"/>
      <c r="R37" s="779"/>
      <c r="S37" s="779"/>
      <c r="T37" s="779"/>
      <c r="U37" s="779"/>
      <c r="V37" s="779"/>
    </row>
    <row r="38" spans="1:22" ht="15" customHeight="1" x14ac:dyDescent="0.35">
      <c r="A38" s="101" t="s">
        <v>216</v>
      </c>
      <c r="B38" s="779" t="s">
        <v>426</v>
      </c>
      <c r="C38" s="779"/>
      <c r="D38" s="779"/>
      <c r="E38" s="779"/>
      <c r="F38" s="779"/>
      <c r="G38" s="779"/>
      <c r="H38" s="779"/>
      <c r="I38" s="779"/>
      <c r="J38" s="779"/>
      <c r="K38" s="779"/>
      <c r="L38" s="779"/>
      <c r="M38" s="779"/>
      <c r="N38" s="779"/>
      <c r="O38" s="779"/>
      <c r="P38" s="779"/>
      <c r="Q38" s="101"/>
      <c r="R38" s="102"/>
      <c r="S38" s="102"/>
      <c r="T38" s="102"/>
      <c r="U38" s="102"/>
      <c r="V38" s="102"/>
    </row>
    <row r="39" spans="1:22" ht="24" customHeight="1" x14ac:dyDescent="0.35">
      <c r="A39" s="120" t="s">
        <v>218</v>
      </c>
      <c r="B39" s="783" t="s">
        <v>220</v>
      </c>
      <c r="C39" s="783"/>
      <c r="D39" s="783"/>
      <c r="E39" s="783"/>
      <c r="F39" s="783"/>
      <c r="G39" s="783"/>
      <c r="H39" s="783"/>
      <c r="I39" s="783"/>
      <c r="J39" s="783"/>
      <c r="K39" s="783"/>
      <c r="L39" s="783"/>
      <c r="M39" s="783"/>
      <c r="N39" s="783"/>
      <c r="O39" s="783"/>
      <c r="P39" s="783"/>
      <c r="Q39" s="783"/>
      <c r="R39" s="127"/>
      <c r="S39" s="127"/>
      <c r="T39" s="127"/>
      <c r="U39" s="127"/>
      <c r="V39" s="127"/>
    </row>
    <row r="40" spans="1:22" x14ac:dyDescent="0.35">
      <c r="A40" s="120" t="s">
        <v>219</v>
      </c>
      <c r="B40" s="783" t="s">
        <v>256</v>
      </c>
      <c r="C40" s="783"/>
      <c r="D40" s="783"/>
      <c r="E40" s="783"/>
      <c r="F40" s="783"/>
      <c r="G40" s="783"/>
      <c r="H40" s="783"/>
      <c r="I40" s="783"/>
      <c r="J40" s="783"/>
      <c r="K40" s="783"/>
      <c r="L40" s="783"/>
      <c r="M40" s="783"/>
      <c r="N40" s="783"/>
      <c r="O40" s="783"/>
      <c r="P40" s="783"/>
      <c r="Q40" s="783"/>
      <c r="R40" s="127"/>
      <c r="S40" s="127"/>
      <c r="T40" s="127"/>
      <c r="U40" s="127"/>
      <c r="V40" s="127"/>
    </row>
    <row r="41" spans="1:22" x14ac:dyDescent="0.35">
      <c r="B41" s="779" t="s">
        <v>430</v>
      </c>
      <c r="C41" s="779"/>
      <c r="D41" s="779"/>
      <c r="E41" s="779"/>
      <c r="F41" s="779"/>
      <c r="G41" s="779"/>
      <c r="H41" s="779"/>
      <c r="I41" s="779"/>
      <c r="J41" s="779"/>
      <c r="K41" s="779"/>
      <c r="L41" s="779"/>
      <c r="M41" s="779"/>
      <c r="N41" s="779"/>
      <c r="O41" s="779"/>
      <c r="P41" s="779"/>
      <c r="Q41" s="779"/>
    </row>
    <row r="42" spans="1:22" ht="88" customHeight="1" x14ac:dyDescent="0.35">
      <c r="B42" s="801" t="s">
        <v>137</v>
      </c>
      <c r="C42" s="801"/>
      <c r="D42" s="801"/>
      <c r="E42" s="801"/>
      <c r="F42" s="801"/>
      <c r="G42" s="801"/>
      <c r="H42" s="801"/>
      <c r="I42" s="801"/>
      <c r="J42" s="801"/>
      <c r="K42" s="801"/>
      <c r="L42" s="801"/>
      <c r="M42" s="801"/>
      <c r="N42" s="801"/>
      <c r="O42" s="801"/>
      <c r="P42" s="801"/>
      <c r="Q42" s="801"/>
      <c r="R42" s="801"/>
    </row>
  </sheetData>
  <sheetProtection algorithmName="SHA-512" hashValue="anzkKFA0UmKFgmldzq961qaRxnC7xvxQRNHZgQtr2phjJ9I4knUOrbMYjl8AxX0MVziVFs/fXBjHhFB1+CoJww==" saltValue="XNGK3OCBjkSIcdSHzQDXIA==" spinCount="100000" sheet="1" objects="1" scenarios="1"/>
  <mergeCells count="19">
    <mergeCell ref="B30:Q30"/>
    <mergeCell ref="C3:L4"/>
    <mergeCell ref="A5:A7"/>
    <mergeCell ref="B5:B7"/>
    <mergeCell ref="C5:C6"/>
    <mergeCell ref="M3:R4"/>
    <mergeCell ref="B42:R42"/>
    <mergeCell ref="B31:Q31"/>
    <mergeCell ref="B32:Q32"/>
    <mergeCell ref="B35:Q35"/>
    <mergeCell ref="B36:Q36"/>
    <mergeCell ref="B37:P37"/>
    <mergeCell ref="B34:Q34"/>
    <mergeCell ref="R37:V37"/>
    <mergeCell ref="B33:Q33"/>
    <mergeCell ref="B41:Q41"/>
    <mergeCell ref="B38:P38"/>
    <mergeCell ref="B39:Q39"/>
    <mergeCell ref="B40:Q40"/>
  </mergeCells>
  <hyperlinks>
    <hyperlink ref="B28" location="GUAINIA!A41" display="Ver Nota Informativa" xr:uid="{00000000-0004-0000-0D00-000000000000}"/>
  </hyperlinks>
  <pageMargins left="0.7" right="0.7" top="0.75" bottom="0.75" header="0.3" footer="0.3"/>
  <pageSetup orientation="portrait" r:id="rId1"/>
  <ignoredErrors>
    <ignoredError sqref="P11:P12 L12" numberStoredAsText="1"/>
    <ignoredError sqref="I12 I13" numberStoredAsText="1" formula="1"/>
    <ignoredError sqref="I18:I22 L22 I14:I16 C13 C18:C2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S89"/>
  <sheetViews>
    <sheetView showGridLines="0" zoomScale="80" zoomScaleNormal="80" workbookViewId="0">
      <selection activeCell="T9" sqref="T9"/>
    </sheetView>
  </sheetViews>
  <sheetFormatPr baseColWidth="10" defaultColWidth="45" defaultRowHeight="14.5" x14ac:dyDescent="0.35"/>
  <cols>
    <col min="1" max="1" width="7" customWidth="1"/>
    <col min="2" max="2" width="45.1796875" customWidth="1"/>
    <col min="3" max="3" width="15.1796875" bestFit="1" customWidth="1"/>
    <col min="4" max="4" width="11.1796875" hidden="1" customWidth="1"/>
    <col min="5" max="5" width="14" hidden="1" customWidth="1"/>
    <col min="6" max="6" width="13.81640625" customWidth="1"/>
    <col min="7" max="7" width="13.453125" hidden="1" customWidth="1"/>
    <col min="8" max="8" width="13.1796875" customWidth="1"/>
    <col min="9" max="9" width="13.26953125" hidden="1" customWidth="1"/>
    <col min="10" max="10" width="14.54296875" hidden="1" customWidth="1"/>
    <col min="11" max="11" width="14.54296875" customWidth="1"/>
    <col min="12" max="12" width="15.453125" hidden="1" customWidth="1"/>
    <col min="13" max="13" width="13.26953125" customWidth="1"/>
    <col min="14" max="14" width="17.1796875" hidden="1" customWidth="1"/>
    <col min="15" max="15" width="14.81640625" hidden="1" customWidth="1"/>
    <col min="16" max="16" width="14.26953125" hidden="1" customWidth="1"/>
    <col min="17" max="17" width="13.26953125" hidden="1" customWidth="1"/>
    <col min="18" max="18" width="14.7265625" customWidth="1"/>
    <col min="19" max="19" width="14.54296875" hidden="1" customWidth="1"/>
  </cols>
  <sheetData>
    <row r="1" spans="1:18" x14ac:dyDescent="0.35">
      <c r="A1" s="145" t="s">
        <v>148</v>
      </c>
      <c r="B1" s="79" t="str">
        <f>+AMAZONAS!C1</f>
        <v>Vigencia: 04 de Noviembre de 2023; 00:00 horas</v>
      </c>
      <c r="C1" s="79"/>
      <c r="D1" s="79"/>
      <c r="E1" s="145"/>
      <c r="F1" s="145"/>
      <c r="G1" s="145"/>
      <c r="H1" s="145"/>
      <c r="I1" s="145"/>
      <c r="J1" s="145"/>
      <c r="K1" s="145"/>
      <c r="L1" s="145"/>
      <c r="M1" s="145"/>
    </row>
    <row r="2" spans="1:18" ht="15" thickBot="1" x14ac:dyDescent="0.4">
      <c r="A2" s="79" t="s">
        <v>162</v>
      </c>
      <c r="B2" s="104"/>
      <c r="C2" s="104"/>
      <c r="D2" s="104"/>
      <c r="E2" s="709"/>
      <c r="F2" s="707"/>
      <c r="G2" s="104"/>
      <c r="H2" s="104"/>
      <c r="I2" s="104"/>
      <c r="J2" s="104"/>
      <c r="K2" s="104"/>
      <c r="L2" s="104"/>
      <c r="M2" s="707"/>
    </row>
    <row r="3" spans="1:18" ht="15" customHeight="1" thickTop="1" x14ac:dyDescent="0.35">
      <c r="A3" s="128"/>
      <c r="B3" s="106" t="s">
        <v>257</v>
      </c>
      <c r="C3" s="493" t="s">
        <v>163</v>
      </c>
      <c r="D3" s="494"/>
      <c r="E3" s="494"/>
      <c r="F3" s="494"/>
      <c r="G3" s="494"/>
      <c r="H3" s="494"/>
      <c r="I3" s="494"/>
      <c r="J3" s="494"/>
      <c r="K3" s="494"/>
      <c r="L3" s="494"/>
      <c r="M3" s="830" t="s">
        <v>482</v>
      </c>
      <c r="N3" s="831"/>
      <c r="O3" s="831"/>
      <c r="P3" s="831"/>
      <c r="Q3" s="831"/>
      <c r="R3" s="832"/>
    </row>
    <row r="4" spans="1:18" ht="38.15" customHeight="1" x14ac:dyDescent="0.35">
      <c r="A4" s="107"/>
      <c r="B4" s="447" t="s">
        <v>471</v>
      </c>
      <c r="C4" s="496"/>
      <c r="D4" s="497"/>
      <c r="E4" s="497"/>
      <c r="F4" s="497"/>
      <c r="G4" s="497"/>
      <c r="H4" s="497"/>
      <c r="I4" s="497"/>
      <c r="J4" s="497"/>
      <c r="K4" s="497"/>
      <c r="L4" s="497"/>
      <c r="M4" s="833"/>
      <c r="N4" s="834"/>
      <c r="O4" s="834"/>
      <c r="P4" s="834"/>
      <c r="Q4" s="834"/>
      <c r="R4" s="835"/>
    </row>
    <row r="5" spans="1:18" ht="22.4" customHeight="1" x14ac:dyDescent="0.35">
      <c r="A5" s="790" t="s">
        <v>164</v>
      </c>
      <c r="B5" s="792" t="s">
        <v>165</v>
      </c>
      <c r="C5" s="780" t="s">
        <v>223</v>
      </c>
      <c r="D5" s="108" t="s">
        <v>501</v>
      </c>
      <c r="E5" s="108" t="s">
        <v>501</v>
      </c>
      <c r="F5" s="108" t="s">
        <v>96</v>
      </c>
      <c r="G5" s="108" t="s">
        <v>96</v>
      </c>
      <c r="H5" s="108" t="s">
        <v>370</v>
      </c>
      <c r="I5" s="108" t="s">
        <v>444</v>
      </c>
      <c r="J5" s="108" t="s">
        <v>505</v>
      </c>
      <c r="K5" s="108" t="s">
        <v>374</v>
      </c>
      <c r="L5" s="160" t="s">
        <v>460</v>
      </c>
      <c r="M5" s="606" t="s">
        <v>96</v>
      </c>
      <c r="N5" s="607" t="s">
        <v>96</v>
      </c>
      <c r="O5" s="607" t="s">
        <v>480</v>
      </c>
      <c r="P5" s="607" t="str">
        <f t="shared" ref="P5:R6" si="0">+I5</f>
        <v>Biodiesel B5</v>
      </c>
      <c r="Q5" s="607" t="str">
        <f t="shared" si="0"/>
        <v>Biodiesel B8</v>
      </c>
      <c r="R5" s="608" t="str">
        <f t="shared" si="0"/>
        <v>Biodiesel B10</v>
      </c>
    </row>
    <row r="6" spans="1:18" ht="21.75" customHeight="1" x14ac:dyDescent="0.35">
      <c r="A6" s="790"/>
      <c r="B6" s="792"/>
      <c r="C6" s="781"/>
      <c r="D6" s="367" t="s">
        <v>500</v>
      </c>
      <c r="E6" s="367" t="s">
        <v>500</v>
      </c>
      <c r="F6" s="452">
        <v>0.04</v>
      </c>
      <c r="G6" s="452">
        <v>0.05</v>
      </c>
      <c r="H6" s="452">
        <v>0.02</v>
      </c>
      <c r="I6" s="333" t="s">
        <v>447</v>
      </c>
      <c r="J6" s="458">
        <v>0.08</v>
      </c>
      <c r="K6" s="458">
        <v>0.1</v>
      </c>
      <c r="L6" s="458">
        <f>+GUAINIA!L6</f>
        <v>0.11</v>
      </c>
      <c r="M6" s="660" t="str">
        <f>+E6</f>
        <v>Oxigenada 2%</v>
      </c>
      <c r="N6" s="640">
        <v>5</v>
      </c>
      <c r="O6" s="611">
        <v>0.1</v>
      </c>
      <c r="P6" s="611" t="str">
        <f t="shared" si="0"/>
        <v>Oxigenada 5%</v>
      </c>
      <c r="Q6" s="611">
        <f t="shared" si="0"/>
        <v>0.08</v>
      </c>
      <c r="R6" s="612">
        <f t="shared" si="0"/>
        <v>0.1</v>
      </c>
    </row>
    <row r="7" spans="1:18" x14ac:dyDescent="0.35">
      <c r="A7" s="791"/>
      <c r="B7" s="793"/>
      <c r="C7" s="81" t="s">
        <v>166</v>
      </c>
      <c r="D7" s="108" t="s">
        <v>166</v>
      </c>
      <c r="E7" s="108" t="s">
        <v>166</v>
      </c>
      <c r="F7" s="108" t="s">
        <v>166</v>
      </c>
      <c r="G7" s="108" t="s">
        <v>166</v>
      </c>
      <c r="H7" s="108" t="s">
        <v>166</v>
      </c>
      <c r="I7" s="108" t="s">
        <v>166</v>
      </c>
      <c r="J7" s="108" t="s">
        <v>166</v>
      </c>
      <c r="K7" s="108" t="s">
        <v>166</v>
      </c>
      <c r="L7" s="160" t="s">
        <v>166</v>
      </c>
      <c r="M7" s="606" t="s">
        <v>166</v>
      </c>
      <c r="N7" s="607" t="s">
        <v>166</v>
      </c>
      <c r="O7" s="607" t="s">
        <v>166</v>
      </c>
      <c r="P7" s="607" t="s">
        <v>166</v>
      </c>
      <c r="Q7" s="607" t="s">
        <v>166</v>
      </c>
      <c r="R7" s="608" t="s">
        <v>166</v>
      </c>
    </row>
    <row r="8" spans="1:18" ht="18" customHeight="1" x14ac:dyDescent="0.35">
      <c r="A8" s="82" t="s">
        <v>167</v>
      </c>
      <c r="B8" s="88" t="s">
        <v>168</v>
      </c>
      <c r="C8" s="177">
        <f>+'Calculo IP ZDF'!$B$35</f>
        <v>9813.0355679999993</v>
      </c>
      <c r="D8" s="177">
        <f>+'Calculo IP ZDF'!G35</f>
        <v>9904.2348566399978</v>
      </c>
      <c r="E8" s="177">
        <f>+'Calculo IP ZDF'!G35</f>
        <v>9904.2348566399978</v>
      </c>
      <c r="F8" s="177">
        <f>+'Calculo IP ZDF'!H35</f>
        <v>9995.4341452799999</v>
      </c>
      <c r="G8" s="177">
        <f>+'Calculo IP ZDF'!I35</f>
        <v>10041.033789599998</v>
      </c>
      <c r="H8" s="164">
        <f>+'Calculo IP ZDF'!F35</f>
        <v>3822.5473999999999</v>
      </c>
      <c r="I8" s="164">
        <f>+'Calculo IP ZDF'!S35</f>
        <v>4206.02375175</v>
      </c>
      <c r="J8" s="164">
        <f>+'Calculo IP ZDF'!N35</f>
        <v>4589.4978437999998</v>
      </c>
      <c r="K8" s="164">
        <f>+'Calculo IP ZDF'!M35</f>
        <v>4845.1472384999997</v>
      </c>
      <c r="L8" s="148">
        <f>+'Calculo IP ZDF'!L35</f>
        <v>0</v>
      </c>
      <c r="M8" s="618">
        <f>+'GAS CTE'!E9</f>
        <v>10092.5136</v>
      </c>
      <c r="N8" s="621">
        <f>+'GAS CTE'!F9</f>
        <v>10137.1</v>
      </c>
      <c r="O8" s="621">
        <f>+'GAS CTE'!J9</f>
        <v>10360.044000000002</v>
      </c>
      <c r="P8" s="621">
        <f>+BIODIESEL!G9</f>
        <v>5351.866</v>
      </c>
      <c r="Q8" s="621">
        <f>+BIODIESEL!H9</f>
        <v>5699.1596</v>
      </c>
      <c r="R8" s="622">
        <f>+BIODIESEL!I9</f>
        <v>5930.6819999999998</v>
      </c>
    </row>
    <row r="9" spans="1:18" ht="18" customHeight="1" x14ac:dyDescent="0.35">
      <c r="A9" s="82" t="s">
        <v>169</v>
      </c>
      <c r="B9" s="88" t="s">
        <v>464</v>
      </c>
      <c r="C9" s="131" t="s">
        <v>171</v>
      </c>
      <c r="D9" s="131" t="s">
        <v>171</v>
      </c>
      <c r="E9" s="131" t="s">
        <v>171</v>
      </c>
      <c r="F9" s="131" t="s">
        <v>171</v>
      </c>
      <c r="G9" s="131" t="s">
        <v>171</v>
      </c>
      <c r="H9" s="131" t="s">
        <v>171</v>
      </c>
      <c r="I9" s="131" t="s">
        <v>171</v>
      </c>
      <c r="J9" s="131" t="s">
        <v>171</v>
      </c>
      <c r="K9" s="131" t="s">
        <v>171</v>
      </c>
      <c r="L9" s="162" t="s">
        <v>171</v>
      </c>
      <c r="M9" s="618">
        <f>+'GAS CTE'!E10</f>
        <v>636.6336</v>
      </c>
      <c r="N9" s="621">
        <f>+'GAS CTE'!F10</f>
        <v>630.00199999999995</v>
      </c>
      <c r="O9" s="621">
        <f>+'GAS CTE'!J10</f>
        <v>596.84399999999994</v>
      </c>
      <c r="P9" s="621">
        <f>+BIODIESEL!G10</f>
        <v>603.00299999999993</v>
      </c>
      <c r="Q9" s="621">
        <f>+BIODIESEL!H10</f>
        <v>583.96080000000006</v>
      </c>
      <c r="R9" s="622">
        <f>+BIODIESEL!I10</f>
        <v>571.26600000000008</v>
      </c>
    </row>
    <row r="10" spans="1:18" ht="18" customHeight="1" x14ac:dyDescent="0.35">
      <c r="A10" s="82"/>
      <c r="B10" s="88" t="s">
        <v>129</v>
      </c>
      <c r="C10" s="131" t="s">
        <v>171</v>
      </c>
      <c r="D10" s="131" t="s">
        <v>171</v>
      </c>
      <c r="E10" s="131" t="s">
        <v>171</v>
      </c>
      <c r="F10" s="131" t="s">
        <v>171</v>
      </c>
      <c r="G10" s="131" t="s">
        <v>171</v>
      </c>
      <c r="H10" s="131" t="s">
        <v>171</v>
      </c>
      <c r="I10" s="131" t="s">
        <v>171</v>
      </c>
      <c r="J10" s="131" t="s">
        <v>171</v>
      </c>
      <c r="K10" s="131" t="s">
        <v>171</v>
      </c>
      <c r="L10" s="162" t="s">
        <v>171</v>
      </c>
      <c r="M10" s="618" t="s">
        <v>130</v>
      </c>
      <c r="N10" s="621" t="s">
        <v>130</v>
      </c>
      <c r="O10" s="621" t="s">
        <v>130</v>
      </c>
      <c r="P10" s="621" t="s">
        <v>130</v>
      </c>
      <c r="Q10" s="621" t="s">
        <v>130</v>
      </c>
      <c r="R10" s="622" t="s">
        <v>130</v>
      </c>
    </row>
    <row r="11" spans="1:18" ht="18" customHeight="1" x14ac:dyDescent="0.35">
      <c r="A11" s="82"/>
      <c r="B11" s="88" t="s">
        <v>463</v>
      </c>
      <c r="C11" s="164">
        <f>+'GAS CTE'!$C$12</f>
        <v>169</v>
      </c>
      <c r="D11" s="164">
        <f>+'GAS CTE'!D12</f>
        <v>165.62</v>
      </c>
      <c r="E11" s="164">
        <f>+'GAS CTE'!D12</f>
        <v>165.62</v>
      </c>
      <c r="F11" s="164">
        <f>+'GAS CTE'!E12</f>
        <v>162.23999999999998</v>
      </c>
      <c r="G11" s="164">
        <f>+'GAS CTE'!F12</f>
        <v>160.54999999999998</v>
      </c>
      <c r="H11" s="164">
        <f>+BIODIESEL!E12</f>
        <v>187.18</v>
      </c>
      <c r="I11" s="164">
        <f>+BIODIESEL!G12</f>
        <v>181.45</v>
      </c>
      <c r="J11" s="164">
        <f>+BIODIESEL!H12</f>
        <v>175.72</v>
      </c>
      <c r="K11" s="164">
        <f>+BIODIESEL!I12</f>
        <v>171.9</v>
      </c>
      <c r="L11" s="148">
        <f>+BIODIESEL!I12</f>
        <v>171.9</v>
      </c>
      <c r="M11" s="618">
        <f>+E11</f>
        <v>165.62</v>
      </c>
      <c r="N11" s="621">
        <f>+F11</f>
        <v>162.23999999999998</v>
      </c>
      <c r="O11" s="621">
        <f>+G11</f>
        <v>160.54999999999998</v>
      </c>
      <c r="P11" s="621">
        <f>+BIODIESEL!G12</f>
        <v>181.45</v>
      </c>
      <c r="Q11" s="621">
        <f>+BIODIESEL!H12</f>
        <v>175.72</v>
      </c>
      <c r="R11" s="622">
        <f>+BIODIESEL!I12</f>
        <v>171.9</v>
      </c>
    </row>
    <row r="12" spans="1:18" ht="16.899999999999999" customHeight="1" x14ac:dyDescent="0.35">
      <c r="A12" s="82" t="s">
        <v>172</v>
      </c>
      <c r="B12" s="88" t="s">
        <v>250</v>
      </c>
      <c r="C12" s="179" t="s">
        <v>200</v>
      </c>
      <c r="D12" s="179" t="s">
        <v>200</v>
      </c>
      <c r="E12" s="179" t="str">
        <f>+C12</f>
        <v>(2)</v>
      </c>
      <c r="F12" s="131" t="str">
        <f>+E12</f>
        <v>(2)</v>
      </c>
      <c r="G12" s="131" t="str">
        <f>+F12</f>
        <v>(2)</v>
      </c>
      <c r="H12" s="131" t="str">
        <f>+G12</f>
        <v>(2)</v>
      </c>
      <c r="I12" s="131" t="str">
        <f>+C12</f>
        <v>(2)</v>
      </c>
      <c r="J12" s="131" t="s">
        <v>200</v>
      </c>
      <c r="K12" s="131" t="s">
        <v>200</v>
      </c>
      <c r="L12" s="154" t="str">
        <f>+C12</f>
        <v>(2)</v>
      </c>
      <c r="M12" s="618" t="str">
        <f>+C12</f>
        <v>(2)</v>
      </c>
      <c r="N12" s="621" t="str">
        <f>+C12</f>
        <v>(2)</v>
      </c>
      <c r="O12" s="621" t="str">
        <f>+E12</f>
        <v>(2)</v>
      </c>
      <c r="P12" s="621" t="str">
        <f>+E12</f>
        <v>(2)</v>
      </c>
      <c r="Q12" s="621" t="str">
        <f>+F12</f>
        <v>(2)</v>
      </c>
      <c r="R12" s="622" t="str">
        <f>+G12</f>
        <v>(2)</v>
      </c>
    </row>
    <row r="13" spans="1:18" x14ac:dyDescent="0.35">
      <c r="A13" s="82" t="s">
        <v>176</v>
      </c>
      <c r="B13" s="88" t="s">
        <v>177</v>
      </c>
      <c r="C13" s="179">
        <f>+RUBROS!$AF$53</f>
        <v>93.704817603256743</v>
      </c>
      <c r="D13" s="179">
        <f>+C13</f>
        <v>93.704817603256743</v>
      </c>
      <c r="E13" s="179">
        <f>+C13</f>
        <v>93.704817603256743</v>
      </c>
      <c r="F13" s="131">
        <f>+C13</f>
        <v>93.704817603256743</v>
      </c>
      <c r="G13" s="131">
        <f>+C13</f>
        <v>93.704817603256743</v>
      </c>
      <c r="H13" s="131">
        <f>+C13</f>
        <v>93.704817603256743</v>
      </c>
      <c r="I13" s="131">
        <f>+C13</f>
        <v>93.704817603256743</v>
      </c>
      <c r="J13" s="131">
        <f>+I13</f>
        <v>93.704817603256743</v>
      </c>
      <c r="K13" s="131">
        <f>+H13</f>
        <v>93.704817603256743</v>
      </c>
      <c r="L13" s="154">
        <f>+C13</f>
        <v>93.704817603256743</v>
      </c>
      <c r="M13" s="618">
        <f>+C13</f>
        <v>93.704817603256743</v>
      </c>
      <c r="N13" s="621">
        <f>+RUBROS!$AD$53</f>
        <v>82.836649224944082</v>
      </c>
      <c r="O13" s="621">
        <f>+RUBROS!$AD$53</f>
        <v>82.836649224944082</v>
      </c>
      <c r="P13" s="621">
        <f>+RUBROS!$AD$53</f>
        <v>82.836649224944082</v>
      </c>
      <c r="Q13" s="621">
        <f>+RUBROS!$AG$53</f>
        <v>93.704817603256743</v>
      </c>
      <c r="R13" s="622">
        <f>+RUBROS!$AG$53</f>
        <v>93.704817603256743</v>
      </c>
    </row>
    <row r="14" spans="1:18" x14ac:dyDescent="0.35">
      <c r="A14" s="82" t="s">
        <v>174</v>
      </c>
      <c r="B14" s="88" t="s">
        <v>175</v>
      </c>
      <c r="C14" s="164">
        <f>+RUBROS!$AF$17</f>
        <v>26.583233136281329</v>
      </c>
      <c r="D14" s="164">
        <f>+C14</f>
        <v>26.583233136281329</v>
      </c>
      <c r="E14" s="164">
        <f>+C14</f>
        <v>26.583233136281329</v>
      </c>
      <c r="F14" s="110">
        <f>+C14</f>
        <v>26.583233136281329</v>
      </c>
      <c r="G14" s="131">
        <f>+C14</f>
        <v>26.583233136281329</v>
      </c>
      <c r="H14" s="131">
        <f>+C14</f>
        <v>26.583233136281329</v>
      </c>
      <c r="I14" s="110">
        <f>+C14</f>
        <v>26.583233136281329</v>
      </c>
      <c r="J14" s="114">
        <f>+I14</f>
        <v>26.583233136281329</v>
      </c>
      <c r="K14" s="131">
        <f>+H14</f>
        <v>26.583233136281329</v>
      </c>
      <c r="L14" s="154">
        <f>+C14</f>
        <v>26.583233136281329</v>
      </c>
      <c r="M14" s="618">
        <f>+C14</f>
        <v>26.583233136281329</v>
      </c>
      <c r="N14" s="621">
        <f>+RUBROS!$AD$17</f>
        <v>23.500029293035123</v>
      </c>
      <c r="O14" s="621">
        <f>+RUBROS!$AD$17</f>
        <v>23.500029293035123</v>
      </c>
      <c r="P14" s="621">
        <f>+RUBROS!$AD$17</f>
        <v>23.500029293035123</v>
      </c>
      <c r="Q14" s="621">
        <f>+RUBROS!$AG$17</f>
        <v>26.583233136281329</v>
      </c>
      <c r="R14" s="622">
        <f>+RUBROS!$AG$17</f>
        <v>26.583233136281329</v>
      </c>
    </row>
    <row r="15" spans="1:18" x14ac:dyDescent="0.35">
      <c r="A15" s="82" t="s">
        <v>178</v>
      </c>
      <c r="B15" s="88" t="s">
        <v>179</v>
      </c>
      <c r="C15" s="164">
        <f>+RUBROS!$AZ$42</f>
        <v>13.716213893883657</v>
      </c>
      <c r="D15" s="164">
        <f>+C15</f>
        <v>13.716213893883657</v>
      </c>
      <c r="E15" s="164">
        <f>+C15</f>
        <v>13.716213893883657</v>
      </c>
      <c r="F15" s="110">
        <f>+C15</f>
        <v>13.716213893883657</v>
      </c>
      <c r="G15" s="131">
        <f>+C15</f>
        <v>13.716213893883657</v>
      </c>
      <c r="H15" s="131">
        <f>+C15</f>
        <v>13.716213893883657</v>
      </c>
      <c r="I15" s="110">
        <f>+C15</f>
        <v>13.716213893883657</v>
      </c>
      <c r="J15" s="114">
        <f>+I15</f>
        <v>13.716213893883657</v>
      </c>
      <c r="K15" s="131">
        <f>+H15</f>
        <v>13.716213893883657</v>
      </c>
      <c r="L15" s="154">
        <f>+C15</f>
        <v>13.716213893883657</v>
      </c>
      <c r="M15" s="618">
        <f>+C15</f>
        <v>13.716213893883657</v>
      </c>
      <c r="N15" s="621">
        <f>+C15</f>
        <v>13.716213893883657</v>
      </c>
      <c r="O15" s="621">
        <f>+E15</f>
        <v>13.716213893883657</v>
      </c>
      <c r="P15" s="621">
        <f>+C15</f>
        <v>13.716213893883657</v>
      </c>
      <c r="Q15" s="621">
        <f>+E15</f>
        <v>13.716213893883657</v>
      </c>
      <c r="R15" s="622">
        <f>+F15</f>
        <v>13.716213893883657</v>
      </c>
    </row>
    <row r="16" spans="1:18" hidden="1" x14ac:dyDescent="0.35">
      <c r="A16" s="82"/>
      <c r="B16" s="88" t="s">
        <v>180</v>
      </c>
      <c r="C16" s="164"/>
      <c r="D16" s="164"/>
      <c r="E16" s="406"/>
      <c r="F16" s="110"/>
      <c r="G16" s="110"/>
      <c r="H16" s="110"/>
      <c r="I16" s="110"/>
      <c r="J16" s="110"/>
      <c r="K16" s="110"/>
      <c r="L16" s="154"/>
      <c r="M16" s="613"/>
      <c r="N16" s="616"/>
      <c r="O16" s="616"/>
      <c r="P16" s="616"/>
      <c r="Q16" s="616"/>
      <c r="R16" s="617"/>
    </row>
    <row r="17" spans="1:19" x14ac:dyDescent="0.35">
      <c r="A17" s="89" t="s">
        <v>181</v>
      </c>
      <c r="B17" s="115" t="s">
        <v>182</v>
      </c>
      <c r="C17" s="406">
        <f t="shared" ref="C17:O17" si="1">SUM(C8:C16)</f>
        <v>10116.039832633422</v>
      </c>
      <c r="D17" s="406">
        <f t="shared" si="1"/>
        <v>10203.859121273421</v>
      </c>
      <c r="E17" s="406">
        <f t="shared" si="1"/>
        <v>10203.859121273421</v>
      </c>
      <c r="F17" s="406">
        <f t="shared" ref="F17" si="2">SUM(F8:F16)</f>
        <v>10291.678409913422</v>
      </c>
      <c r="G17" s="406">
        <f>SUM(G8:G16)</f>
        <v>10335.58805423342</v>
      </c>
      <c r="H17" s="406">
        <f>SUM(H8:H16)</f>
        <v>4143.731664633422</v>
      </c>
      <c r="I17" s="406">
        <f t="shared" si="1"/>
        <v>4521.4780163834221</v>
      </c>
      <c r="J17" s="406">
        <f t="shared" si="1"/>
        <v>4899.2221084334224</v>
      </c>
      <c r="K17" s="406">
        <f t="shared" si="1"/>
        <v>5151.0515031334216</v>
      </c>
      <c r="L17" s="659">
        <f t="shared" si="1"/>
        <v>305.90426463342169</v>
      </c>
      <c r="M17" s="661">
        <f t="shared" si="1"/>
        <v>11028.771464633423</v>
      </c>
      <c r="N17" s="662">
        <f t="shared" si="1"/>
        <v>11049.394892411863</v>
      </c>
      <c r="O17" s="662">
        <f t="shared" si="1"/>
        <v>11237.490892411863</v>
      </c>
      <c r="P17" s="662">
        <f>SUM(P8:P16)</f>
        <v>6256.371892411863</v>
      </c>
      <c r="Q17" s="662">
        <f>SUM(Q8:Q16)</f>
        <v>6592.8446646334223</v>
      </c>
      <c r="R17" s="663">
        <f>SUM(R8:R16)</f>
        <v>6807.8522646334222</v>
      </c>
    </row>
    <row r="18" spans="1:19" x14ac:dyDescent="0.35">
      <c r="A18" s="82" t="s">
        <v>183</v>
      </c>
      <c r="B18" s="88" t="s">
        <v>246</v>
      </c>
      <c r="C18" s="180" t="s">
        <v>214</v>
      </c>
      <c r="D18" s="180" t="s">
        <v>214</v>
      </c>
      <c r="E18" s="180" t="str">
        <f>+C18</f>
        <v>***</v>
      </c>
      <c r="F18" s="110" t="str">
        <f>+C18</f>
        <v>***</v>
      </c>
      <c r="G18" s="110" t="str">
        <f t="shared" ref="G18:G20" si="3">+E18</f>
        <v>***</v>
      </c>
      <c r="H18" s="179" t="str">
        <f>+F18</f>
        <v>***</v>
      </c>
      <c r="I18" s="110" t="s">
        <v>214</v>
      </c>
      <c r="J18" s="110" t="s">
        <v>214</v>
      </c>
      <c r="K18" s="179" t="str">
        <f>+I18</f>
        <v>***</v>
      </c>
      <c r="L18" s="154" t="str">
        <f>+I18</f>
        <v>***</v>
      </c>
      <c r="M18" s="613" t="str">
        <f>+C18</f>
        <v>***</v>
      </c>
      <c r="N18" s="616" t="str">
        <f>+C18</f>
        <v>***</v>
      </c>
      <c r="O18" s="616" t="str">
        <f t="shared" ref="O18:O20" si="4">+E18</f>
        <v>***</v>
      </c>
      <c r="P18" s="616" t="str">
        <f>+C18</f>
        <v>***</v>
      </c>
      <c r="Q18" s="616" t="str">
        <f t="shared" ref="Q18:R20" si="5">+E18</f>
        <v>***</v>
      </c>
      <c r="R18" s="617" t="str">
        <f t="shared" si="5"/>
        <v>***</v>
      </c>
    </row>
    <row r="19" spans="1:19" x14ac:dyDescent="0.35">
      <c r="A19" s="82" t="s">
        <v>185</v>
      </c>
      <c r="B19" s="88" t="s">
        <v>186</v>
      </c>
      <c r="C19" s="180" t="s">
        <v>212</v>
      </c>
      <c r="D19" s="180" t="s">
        <v>212</v>
      </c>
      <c r="E19" s="180" t="str">
        <f>+C19</f>
        <v>**</v>
      </c>
      <c r="F19" s="110" t="str">
        <f>+C19</f>
        <v>**</v>
      </c>
      <c r="G19" s="110" t="str">
        <f t="shared" si="3"/>
        <v>**</v>
      </c>
      <c r="H19" s="179" t="str">
        <f>+F19</f>
        <v>**</v>
      </c>
      <c r="I19" s="110" t="s">
        <v>212</v>
      </c>
      <c r="J19" s="110" t="s">
        <v>212</v>
      </c>
      <c r="K19" s="179" t="str">
        <f>+I19</f>
        <v>**</v>
      </c>
      <c r="L19" s="154" t="str">
        <f>+C19</f>
        <v>**</v>
      </c>
      <c r="M19" s="613" t="str">
        <f>+C19</f>
        <v>**</v>
      </c>
      <c r="N19" s="616" t="str">
        <f>+C19</f>
        <v>**</v>
      </c>
      <c r="O19" s="616" t="str">
        <f t="shared" si="4"/>
        <v>**</v>
      </c>
      <c r="P19" s="616" t="str">
        <f>+C19</f>
        <v>**</v>
      </c>
      <c r="Q19" s="616" t="str">
        <f t="shared" si="5"/>
        <v>**</v>
      </c>
      <c r="R19" s="617" t="str">
        <f t="shared" si="5"/>
        <v>**</v>
      </c>
    </row>
    <row r="20" spans="1:19" x14ac:dyDescent="0.35">
      <c r="A20" s="82" t="s">
        <v>187</v>
      </c>
      <c r="B20" s="88" t="s">
        <v>134</v>
      </c>
      <c r="C20" s="180" t="s">
        <v>216</v>
      </c>
      <c r="D20" s="180" t="s">
        <v>216</v>
      </c>
      <c r="E20" s="180" t="str">
        <f>+C20</f>
        <v>****</v>
      </c>
      <c r="F20" s="110" t="str">
        <f>+C20</f>
        <v>****</v>
      </c>
      <c r="G20" s="110" t="str">
        <f t="shared" si="3"/>
        <v>****</v>
      </c>
      <c r="H20" s="179" t="str">
        <f>+F20</f>
        <v>****</v>
      </c>
      <c r="I20" s="114" t="s">
        <v>216</v>
      </c>
      <c r="J20" s="114" t="s">
        <v>216</v>
      </c>
      <c r="K20" s="179" t="str">
        <f>+I20</f>
        <v>****</v>
      </c>
      <c r="L20" s="148" t="str">
        <f>+C20</f>
        <v>****</v>
      </c>
      <c r="M20" s="613" t="str">
        <f>C20</f>
        <v>****</v>
      </c>
      <c r="N20" s="619" t="str">
        <f>+C20</f>
        <v>****</v>
      </c>
      <c r="O20" s="619" t="str">
        <f t="shared" si="4"/>
        <v>****</v>
      </c>
      <c r="P20" s="616" t="str">
        <f>+C20</f>
        <v>****</v>
      </c>
      <c r="Q20" s="616" t="str">
        <f t="shared" si="5"/>
        <v>****</v>
      </c>
      <c r="R20" s="617" t="str">
        <f t="shared" si="5"/>
        <v>****</v>
      </c>
    </row>
    <row r="21" spans="1:19" x14ac:dyDescent="0.35">
      <c r="A21" s="89" t="s">
        <v>189</v>
      </c>
      <c r="B21" s="115" t="s">
        <v>190</v>
      </c>
      <c r="C21" s="405">
        <f t="shared" ref="C21:P21" si="6">+C17</f>
        <v>10116.039832633422</v>
      </c>
      <c r="D21" s="405">
        <f t="shared" ref="D21" si="7">+D17</f>
        <v>10203.859121273421</v>
      </c>
      <c r="E21" s="405">
        <f t="shared" si="6"/>
        <v>10203.859121273421</v>
      </c>
      <c r="F21" s="406">
        <f t="shared" ref="F21" si="8">+F17</f>
        <v>10291.678409913422</v>
      </c>
      <c r="G21" s="406">
        <f>+G17</f>
        <v>10335.58805423342</v>
      </c>
      <c r="H21" s="658">
        <f t="shared" ref="H21" si="9">+H17</f>
        <v>4143.731664633422</v>
      </c>
      <c r="I21" s="406">
        <f t="shared" si="6"/>
        <v>4521.4780163834221</v>
      </c>
      <c r="J21" s="406">
        <f t="shared" si="6"/>
        <v>4899.2221084334224</v>
      </c>
      <c r="K21" s="658">
        <f t="shared" si="6"/>
        <v>5151.0515031334216</v>
      </c>
      <c r="L21" s="659">
        <f t="shared" si="6"/>
        <v>305.90426463342169</v>
      </c>
      <c r="M21" s="661">
        <f t="shared" si="6"/>
        <v>11028.771464633423</v>
      </c>
      <c r="N21" s="662">
        <f t="shared" si="6"/>
        <v>11049.394892411863</v>
      </c>
      <c r="O21" s="662">
        <f t="shared" ref="O21" si="10">+O17</f>
        <v>11237.490892411863</v>
      </c>
      <c r="P21" s="662">
        <f t="shared" si="6"/>
        <v>6256.371892411863</v>
      </c>
      <c r="Q21" s="662">
        <f t="shared" ref="Q21:R21" si="11">+Q17</f>
        <v>6592.8446646334223</v>
      </c>
      <c r="R21" s="663">
        <f t="shared" si="11"/>
        <v>6807.8522646334222</v>
      </c>
    </row>
    <row r="22" spans="1:19" x14ac:dyDescent="0.35">
      <c r="A22" s="82" t="s">
        <v>191</v>
      </c>
      <c r="B22" s="88" t="s">
        <v>150</v>
      </c>
      <c r="C22" s="164" t="str">
        <f>+C18</f>
        <v>***</v>
      </c>
      <c r="D22" s="164" t="str">
        <f>+D18</f>
        <v>***</v>
      </c>
      <c r="E22" s="164" t="str">
        <f t="shared" ref="E22:L22" si="12">+E18</f>
        <v>***</v>
      </c>
      <c r="F22" s="164" t="str">
        <f t="shared" ref="F22:H22" si="13">+F18</f>
        <v>***</v>
      </c>
      <c r="G22" s="131" t="str">
        <f t="shared" si="13"/>
        <v>***</v>
      </c>
      <c r="H22" s="131" t="str">
        <f t="shared" si="13"/>
        <v>***</v>
      </c>
      <c r="I22" s="164" t="str">
        <f t="shared" si="12"/>
        <v>***</v>
      </c>
      <c r="J22" s="164" t="s">
        <v>214</v>
      </c>
      <c r="K22" s="131" t="str">
        <f t="shared" ref="K22" si="14">+K18</f>
        <v>***</v>
      </c>
      <c r="L22" s="164" t="str">
        <f t="shared" si="12"/>
        <v>***</v>
      </c>
      <c r="M22" s="613" t="str">
        <f t="shared" ref="M22:R22" si="15">+M18</f>
        <v>***</v>
      </c>
      <c r="N22" s="616" t="str">
        <f t="shared" si="15"/>
        <v>***</v>
      </c>
      <c r="O22" s="616" t="str">
        <f t="shared" si="15"/>
        <v>***</v>
      </c>
      <c r="P22" s="616" t="str">
        <f t="shared" si="15"/>
        <v>***</v>
      </c>
      <c r="Q22" s="616" t="str">
        <f t="shared" si="15"/>
        <v>***</v>
      </c>
      <c r="R22" s="617" t="str">
        <f t="shared" si="15"/>
        <v>***</v>
      </c>
    </row>
    <row r="23" spans="1:19" x14ac:dyDescent="0.35">
      <c r="A23" s="82" t="s">
        <v>192</v>
      </c>
      <c r="B23" s="83" t="s">
        <v>193</v>
      </c>
      <c r="C23" s="170" t="s">
        <v>218</v>
      </c>
      <c r="D23" s="170" t="s">
        <v>218</v>
      </c>
      <c r="E23" s="170" t="str">
        <f>+C23</f>
        <v>*****</v>
      </c>
      <c r="F23" s="110" t="str">
        <f>+C23</f>
        <v>*****</v>
      </c>
      <c r="G23" s="110" t="str">
        <f>+E23</f>
        <v>*****</v>
      </c>
      <c r="H23" s="133" t="str">
        <f>+F23</f>
        <v>*****</v>
      </c>
      <c r="I23" s="110" t="s">
        <v>194</v>
      </c>
      <c r="J23" s="110" t="s">
        <v>194</v>
      </c>
      <c r="K23" s="133" t="str">
        <f>+I23</f>
        <v>N.A</v>
      </c>
      <c r="L23" s="154" t="s">
        <v>194</v>
      </c>
      <c r="M23" s="613" t="str">
        <f>+E23</f>
        <v>*****</v>
      </c>
      <c r="N23" s="616" t="str">
        <f>+C23</f>
        <v>*****</v>
      </c>
      <c r="O23" s="616" t="str">
        <f>+E23</f>
        <v>*****</v>
      </c>
      <c r="P23" s="616" t="s">
        <v>236</v>
      </c>
      <c r="Q23" s="616" t="s">
        <v>236</v>
      </c>
      <c r="R23" s="617" t="s">
        <v>236</v>
      </c>
      <c r="S23" s="15"/>
    </row>
    <row r="24" spans="1:19" ht="13.4" customHeight="1" x14ac:dyDescent="0.35">
      <c r="A24" s="82" t="s">
        <v>195</v>
      </c>
      <c r="B24" s="83" t="s">
        <v>196</v>
      </c>
      <c r="C24" s="170" t="s">
        <v>219</v>
      </c>
      <c r="D24" s="170" t="s">
        <v>219</v>
      </c>
      <c r="E24" s="170" t="str">
        <f>+C24</f>
        <v>******</v>
      </c>
      <c r="F24" s="110" t="str">
        <f>+C24</f>
        <v>******</v>
      </c>
      <c r="G24" s="110" t="str">
        <f>+E24</f>
        <v>******</v>
      </c>
      <c r="H24" s="133" t="str">
        <f>+F24</f>
        <v>******</v>
      </c>
      <c r="I24" s="110" t="str">
        <f>+C24</f>
        <v>******</v>
      </c>
      <c r="J24" s="110" t="s">
        <v>219</v>
      </c>
      <c r="K24" s="133" t="str">
        <f>+I24</f>
        <v>******</v>
      </c>
      <c r="L24" s="154" t="str">
        <f>+C24</f>
        <v>******</v>
      </c>
      <c r="M24" s="613" t="str">
        <f>+C24</f>
        <v>******</v>
      </c>
      <c r="N24" s="616" t="str">
        <f>+C24</f>
        <v>******</v>
      </c>
      <c r="O24" s="616" t="str">
        <f>+E24</f>
        <v>******</v>
      </c>
      <c r="P24" s="616" t="str">
        <f>+C24</f>
        <v>******</v>
      </c>
      <c r="Q24" s="616" t="str">
        <f>+E24</f>
        <v>******</v>
      </c>
      <c r="R24" s="617" t="str">
        <f>+F24</f>
        <v>******</v>
      </c>
    </row>
    <row r="25" spans="1:19" ht="15" thickBot="1" x14ac:dyDescent="0.4">
      <c r="A25" s="93" t="s">
        <v>197</v>
      </c>
      <c r="B25" s="94" t="s">
        <v>198</v>
      </c>
      <c r="C25" s="171"/>
      <c r="D25" s="171"/>
      <c r="E25" s="118"/>
      <c r="F25" s="118"/>
      <c r="G25" s="118"/>
      <c r="H25" s="118"/>
      <c r="I25" s="118"/>
      <c r="J25" s="118"/>
      <c r="K25" s="118"/>
      <c r="L25" s="156"/>
      <c r="M25" s="664"/>
      <c r="N25" s="636"/>
      <c r="O25" s="636"/>
      <c r="P25" s="636"/>
      <c r="Q25" s="636"/>
      <c r="R25" s="637"/>
    </row>
    <row r="26" spans="1:19" ht="15" thickTop="1" x14ac:dyDescent="0.35">
      <c r="A26" s="98"/>
      <c r="B26" s="99"/>
      <c r="C26" s="99"/>
      <c r="D26" s="99"/>
      <c r="E26" s="100"/>
      <c r="F26" s="100"/>
      <c r="G26" s="100"/>
      <c r="H26" s="100"/>
      <c r="I26" s="100"/>
      <c r="J26" s="100"/>
      <c r="K26" s="100"/>
      <c r="L26" s="100"/>
      <c r="M26" s="100"/>
    </row>
    <row r="27" spans="1:19" ht="15" hidden="1" thickTop="1" x14ac:dyDescent="0.35">
      <c r="A27" s="128"/>
      <c r="B27" s="106" t="s">
        <v>424</v>
      </c>
      <c r="C27" s="784" t="s">
        <v>163</v>
      </c>
      <c r="D27" s="785"/>
      <c r="E27" s="785"/>
      <c r="F27" s="785"/>
      <c r="G27" s="785"/>
      <c r="H27" s="785"/>
      <c r="I27" s="785"/>
      <c r="J27" s="448"/>
      <c r="K27" s="448"/>
      <c r="L27" s="824" t="s">
        <v>232</v>
      </c>
      <c r="M27" s="826"/>
    </row>
    <row r="28" spans="1:19" ht="52" hidden="1" x14ac:dyDescent="0.35">
      <c r="A28" s="107"/>
      <c r="B28" s="183" t="s">
        <v>258</v>
      </c>
      <c r="C28" s="787"/>
      <c r="D28" s="788"/>
      <c r="E28" s="788"/>
      <c r="F28" s="788"/>
      <c r="G28" s="788"/>
      <c r="H28" s="788"/>
      <c r="I28" s="788"/>
      <c r="J28" s="449"/>
      <c r="K28" s="449"/>
      <c r="L28" s="822"/>
      <c r="M28" s="827"/>
    </row>
    <row r="29" spans="1:19" ht="26" hidden="1" x14ac:dyDescent="0.35">
      <c r="A29" s="790" t="s">
        <v>164</v>
      </c>
      <c r="B29" s="792" t="s">
        <v>165</v>
      </c>
      <c r="C29" s="780" t="s">
        <v>223</v>
      </c>
      <c r="D29" s="532"/>
      <c r="E29" s="108" t="s">
        <v>96</v>
      </c>
      <c r="F29" s="108" t="s">
        <v>370</v>
      </c>
      <c r="G29" s="108"/>
      <c r="H29" s="108"/>
      <c r="I29" s="108">
        <f>+GUAINIA!L29</f>
        <v>0</v>
      </c>
      <c r="J29" s="455"/>
      <c r="K29" s="455"/>
      <c r="L29" s="81" t="s">
        <v>96</v>
      </c>
      <c r="M29" s="334">
        <f>+I29</f>
        <v>0</v>
      </c>
    </row>
    <row r="30" spans="1:19" hidden="1" x14ac:dyDescent="0.35">
      <c r="A30" s="790"/>
      <c r="B30" s="792"/>
      <c r="C30" s="781"/>
      <c r="D30" s="533"/>
      <c r="E30" s="333">
        <v>0.08</v>
      </c>
      <c r="F30" s="109">
        <v>0.02</v>
      </c>
      <c r="G30" s="109"/>
      <c r="H30" s="109"/>
      <c r="I30" s="109">
        <f>+GUAINIA!L30</f>
        <v>0</v>
      </c>
      <c r="J30" s="456"/>
      <c r="K30" s="456"/>
      <c r="L30" s="184">
        <v>0.04</v>
      </c>
      <c r="M30" s="109">
        <f>+I30</f>
        <v>0</v>
      </c>
    </row>
    <row r="31" spans="1:19" hidden="1" x14ac:dyDescent="0.35">
      <c r="A31" s="791"/>
      <c r="B31" s="793"/>
      <c r="C31" s="81" t="s">
        <v>166</v>
      </c>
      <c r="D31" s="455"/>
      <c r="E31" s="108" t="s">
        <v>166</v>
      </c>
      <c r="F31" s="108" t="s">
        <v>166</v>
      </c>
      <c r="G31" s="108"/>
      <c r="H31" s="108"/>
      <c r="I31" s="108" t="s">
        <v>166</v>
      </c>
      <c r="J31" s="455"/>
      <c r="K31" s="455"/>
      <c r="L31" s="81" t="s">
        <v>166</v>
      </c>
      <c r="M31" s="334" t="s">
        <v>166</v>
      </c>
    </row>
    <row r="32" spans="1:19" hidden="1" x14ac:dyDescent="0.35">
      <c r="A32" s="82" t="s">
        <v>167</v>
      </c>
      <c r="B32" s="88" t="s">
        <v>168</v>
      </c>
      <c r="C32" s="177">
        <f>+'Calculo IP ZDF'!$B$44</f>
        <v>9813.0355679999993</v>
      </c>
      <c r="D32" s="177"/>
      <c r="E32" s="177">
        <f>+'Calculo IP ZDF'!$H$44</f>
        <v>9995.4341452799999</v>
      </c>
      <c r="F32" s="164">
        <f>+'Calculo IP ZDF'!$F$44</f>
        <v>3822.5473999999999</v>
      </c>
      <c r="G32" s="164"/>
      <c r="H32" s="164"/>
      <c r="I32" s="114">
        <f>+'Calculo IP ZDF'!I59</f>
        <v>0</v>
      </c>
      <c r="J32" s="130"/>
      <c r="K32" s="130"/>
      <c r="L32" s="161">
        <f>+'GAS CTE'!$E$9</f>
        <v>10092.5136</v>
      </c>
      <c r="M32" s="151">
        <f>+BIODIESEL!I33</f>
        <v>0</v>
      </c>
    </row>
    <row r="33" spans="1:13" hidden="1" x14ac:dyDescent="0.35">
      <c r="A33" s="82" t="s">
        <v>169</v>
      </c>
      <c r="B33" s="88" t="s">
        <v>170</v>
      </c>
      <c r="C33" s="131" t="s">
        <v>171</v>
      </c>
      <c r="D33" s="131"/>
      <c r="E33" s="131" t="s">
        <v>171</v>
      </c>
      <c r="F33" s="131" t="s">
        <v>171</v>
      </c>
      <c r="G33" s="131"/>
      <c r="H33" s="131"/>
      <c r="I33" s="111" t="s">
        <v>171</v>
      </c>
      <c r="J33" s="439"/>
      <c r="K33" s="439"/>
      <c r="L33" s="163">
        <f>+'GAS CTE'!$E$10</f>
        <v>636.6336</v>
      </c>
      <c r="M33" s="149">
        <f>+BIODIESEL!I34</f>
        <v>0</v>
      </c>
    </row>
    <row r="34" spans="1:13" hidden="1" x14ac:dyDescent="0.35">
      <c r="A34" s="82"/>
      <c r="B34" s="88" t="s">
        <v>129</v>
      </c>
      <c r="C34" s="131" t="s">
        <v>171</v>
      </c>
      <c r="D34" s="131"/>
      <c r="E34" s="131" t="s">
        <v>171</v>
      </c>
      <c r="F34" s="131" t="s">
        <v>171</v>
      </c>
      <c r="G34" s="131"/>
      <c r="H34" s="131"/>
      <c r="I34" s="111" t="s">
        <v>171</v>
      </c>
      <c r="J34" s="439"/>
      <c r="K34" s="439"/>
      <c r="L34" s="163" t="str">
        <f>+M10</f>
        <v>(3)</v>
      </c>
      <c r="M34" s="149" t="e">
        <f>'[5]CORRIENTE OXIGENADA'!C36</f>
        <v>#REF!</v>
      </c>
    </row>
    <row r="35" spans="1:13" hidden="1" x14ac:dyDescent="0.35">
      <c r="A35" s="82"/>
      <c r="B35" s="88" t="s">
        <v>131</v>
      </c>
      <c r="C35" s="164">
        <f>+'GAS CTE'!$C$12</f>
        <v>169</v>
      </c>
      <c r="D35" s="164"/>
      <c r="E35" s="164">
        <f>+'GAS CTE'!$E$12</f>
        <v>162.23999999999998</v>
      </c>
      <c r="F35" s="164">
        <f>+BIODIESEL!$E$12</f>
        <v>187.18</v>
      </c>
      <c r="G35" s="164"/>
      <c r="H35" s="164"/>
      <c r="I35" s="114">
        <f>+BIODIESEL!I36</f>
        <v>0</v>
      </c>
      <c r="J35" s="130"/>
      <c r="K35" s="130"/>
      <c r="L35" s="163">
        <f t="shared" ref="L35:L39" si="16">+C35</f>
        <v>169</v>
      </c>
      <c r="M35" s="149">
        <f>+BIODIESEL!I36</f>
        <v>0</v>
      </c>
    </row>
    <row r="36" spans="1:13" hidden="1" x14ac:dyDescent="0.35">
      <c r="A36" s="82" t="s">
        <v>172</v>
      </c>
      <c r="B36" s="88" t="s">
        <v>250</v>
      </c>
      <c r="C36" s="179" t="s">
        <v>200</v>
      </c>
      <c r="D36" s="179"/>
      <c r="E36" s="131" t="str">
        <f>+C36</f>
        <v>(2)</v>
      </c>
      <c r="F36" s="131" t="str">
        <f>+C36</f>
        <v>(2)</v>
      </c>
      <c r="G36" s="131"/>
      <c r="H36" s="131"/>
      <c r="I36" s="110" t="str">
        <f>+C36</f>
        <v>(2)</v>
      </c>
      <c r="J36" s="133"/>
      <c r="K36" s="133"/>
      <c r="L36" s="163" t="str">
        <f t="shared" si="16"/>
        <v>(2)</v>
      </c>
      <c r="M36" s="149" t="str">
        <f>+E36</f>
        <v>(2)</v>
      </c>
    </row>
    <row r="37" spans="1:13" hidden="1" x14ac:dyDescent="0.35">
      <c r="A37" s="82" t="s">
        <v>176</v>
      </c>
      <c r="B37" s="88" t="s">
        <v>177</v>
      </c>
      <c r="C37" s="179">
        <f>+RUBROS!$Z$53</f>
        <v>78.428942648119744</v>
      </c>
      <c r="D37" s="179"/>
      <c r="E37" s="131">
        <f>+C37</f>
        <v>78.428942648119744</v>
      </c>
      <c r="F37" s="131">
        <f>+C37</f>
        <v>78.428942648119744</v>
      </c>
      <c r="G37" s="131"/>
      <c r="H37" s="131"/>
      <c r="I37" s="110">
        <f>+C37</f>
        <v>78.428942648119744</v>
      </c>
      <c r="J37" s="133"/>
      <c r="K37" s="133"/>
      <c r="L37" s="163">
        <f t="shared" si="16"/>
        <v>78.428942648119744</v>
      </c>
      <c r="M37" s="149">
        <f>+C37</f>
        <v>78.428942648119744</v>
      </c>
    </row>
    <row r="38" spans="1:13" hidden="1" x14ac:dyDescent="0.35">
      <c r="A38" s="82" t="s">
        <v>174</v>
      </c>
      <c r="B38" s="88" t="s">
        <v>175</v>
      </c>
      <c r="C38" s="164">
        <f>+RUBROS!$Z$17</f>
        <v>22.249601678692599</v>
      </c>
      <c r="D38" s="164"/>
      <c r="E38" s="110">
        <f>+C38</f>
        <v>22.249601678692599</v>
      </c>
      <c r="F38" s="110">
        <f>+C38</f>
        <v>22.249601678692599</v>
      </c>
      <c r="G38" s="110"/>
      <c r="H38" s="110"/>
      <c r="I38" s="110">
        <f>+C38</f>
        <v>22.249601678692599</v>
      </c>
      <c r="J38" s="133"/>
      <c r="K38" s="133"/>
      <c r="L38" s="161">
        <f t="shared" si="16"/>
        <v>22.249601678692599</v>
      </c>
      <c r="M38" s="85">
        <f>+C38</f>
        <v>22.249601678692599</v>
      </c>
    </row>
    <row r="39" spans="1:13" hidden="1" x14ac:dyDescent="0.35">
      <c r="A39" s="82" t="s">
        <v>178</v>
      </c>
      <c r="B39" s="88" t="s">
        <v>179</v>
      </c>
      <c r="C39" s="164">
        <f>+RUBROS!$AQ$42</f>
        <v>12.938273064269636</v>
      </c>
      <c r="D39" s="164"/>
      <c r="E39" s="110">
        <f>+C39</f>
        <v>12.938273064269636</v>
      </c>
      <c r="F39" s="110">
        <f>+C39</f>
        <v>12.938273064269636</v>
      </c>
      <c r="G39" s="110"/>
      <c r="H39" s="110"/>
      <c r="I39" s="110">
        <f>+C39</f>
        <v>12.938273064269636</v>
      </c>
      <c r="J39" s="133"/>
      <c r="K39" s="133"/>
      <c r="L39" s="161">
        <f t="shared" si="16"/>
        <v>12.938273064269636</v>
      </c>
      <c r="M39" s="85">
        <f>+L39</f>
        <v>12.938273064269636</v>
      </c>
    </row>
    <row r="40" spans="1:13" hidden="1" x14ac:dyDescent="0.35">
      <c r="A40" s="82"/>
      <c r="B40" s="88" t="s">
        <v>180</v>
      </c>
      <c r="C40" s="164"/>
      <c r="D40" s="164"/>
      <c r="E40" s="110"/>
      <c r="F40" s="110"/>
      <c r="G40" s="110"/>
      <c r="H40" s="110"/>
      <c r="I40" s="110"/>
      <c r="J40" s="133"/>
      <c r="K40" s="133"/>
      <c r="L40" s="161"/>
      <c r="M40" s="85"/>
    </row>
    <row r="41" spans="1:13" hidden="1" x14ac:dyDescent="0.35">
      <c r="A41" s="89" t="s">
        <v>181</v>
      </c>
      <c r="B41" s="115" t="s">
        <v>182</v>
      </c>
      <c r="C41" s="165">
        <f t="shared" ref="C41:L41" si="17">SUM(C32:C40)</f>
        <v>10095.65238539108</v>
      </c>
      <c r="D41" s="165"/>
      <c r="E41" s="165">
        <f t="shared" si="17"/>
        <v>10271.290962671081</v>
      </c>
      <c r="F41" s="165">
        <f t="shared" si="17"/>
        <v>4123.3442173910807</v>
      </c>
      <c r="G41" s="165"/>
      <c r="H41" s="165"/>
      <c r="I41" s="165">
        <f t="shared" si="17"/>
        <v>113.61681739108198</v>
      </c>
      <c r="J41" s="457"/>
      <c r="K41" s="457"/>
      <c r="L41" s="167">
        <f t="shared" si="17"/>
        <v>11011.76401739108</v>
      </c>
      <c r="M41" s="168" t="e">
        <f>SUM(M32:M40)</f>
        <v>#REF!</v>
      </c>
    </row>
    <row r="42" spans="1:13" hidden="1" x14ac:dyDescent="0.35">
      <c r="A42" s="82" t="s">
        <v>183</v>
      </c>
      <c r="B42" s="88" t="s">
        <v>246</v>
      </c>
      <c r="C42" s="179" t="s">
        <v>214</v>
      </c>
      <c r="D42" s="179"/>
      <c r="E42" s="110" t="str">
        <f>+C42</f>
        <v>***</v>
      </c>
      <c r="F42" s="110" t="str">
        <f>+E42</f>
        <v>***</v>
      </c>
      <c r="G42" s="110"/>
      <c r="H42" s="110"/>
      <c r="I42" s="110" t="str">
        <f>+F42</f>
        <v>***</v>
      </c>
      <c r="J42" s="133"/>
      <c r="K42" s="133"/>
      <c r="L42" s="161" t="str">
        <f>+I42</f>
        <v>***</v>
      </c>
      <c r="M42" s="85" t="str">
        <f>+C42</f>
        <v>***</v>
      </c>
    </row>
    <row r="43" spans="1:13" hidden="1" x14ac:dyDescent="0.35">
      <c r="A43" s="82" t="s">
        <v>185</v>
      </c>
      <c r="B43" s="88" t="s">
        <v>186</v>
      </c>
      <c r="C43" s="179" t="s">
        <v>212</v>
      </c>
      <c r="D43" s="179"/>
      <c r="E43" s="110" t="str">
        <f>+C43</f>
        <v>**</v>
      </c>
      <c r="F43" s="110" t="str">
        <f>+C43</f>
        <v>**</v>
      </c>
      <c r="G43" s="110"/>
      <c r="H43" s="110"/>
      <c r="I43" s="110" t="str">
        <f>+C43</f>
        <v>**</v>
      </c>
      <c r="J43" s="133"/>
      <c r="K43" s="133"/>
      <c r="L43" s="161" t="str">
        <f>+C43</f>
        <v>**</v>
      </c>
      <c r="M43" s="85" t="str">
        <f>+C43</f>
        <v>**</v>
      </c>
    </row>
    <row r="44" spans="1:13" hidden="1" x14ac:dyDescent="0.35">
      <c r="A44" s="82" t="s">
        <v>187</v>
      </c>
      <c r="B44" s="88" t="s">
        <v>134</v>
      </c>
      <c r="C44" s="179" t="s">
        <v>216</v>
      </c>
      <c r="D44" s="179"/>
      <c r="E44" s="110" t="str">
        <f>+C44</f>
        <v>****</v>
      </c>
      <c r="F44" s="114" t="str">
        <f>+C44</f>
        <v>****</v>
      </c>
      <c r="G44" s="114"/>
      <c r="H44" s="114"/>
      <c r="I44" s="114" t="str">
        <f>+C44</f>
        <v>****</v>
      </c>
      <c r="J44" s="130"/>
      <c r="K44" s="130"/>
      <c r="L44" s="182" t="str">
        <f>C44</f>
        <v>****</v>
      </c>
      <c r="M44" s="85" t="str">
        <f>+C44</f>
        <v>****</v>
      </c>
    </row>
    <row r="45" spans="1:13" hidden="1" x14ac:dyDescent="0.35">
      <c r="A45" s="89" t="s">
        <v>189</v>
      </c>
      <c r="B45" s="115" t="s">
        <v>190</v>
      </c>
      <c r="C45" s="169">
        <f t="shared" ref="C45:M45" si="18">+C41</f>
        <v>10095.65238539108</v>
      </c>
      <c r="D45" s="169"/>
      <c r="E45" s="116">
        <f t="shared" si="18"/>
        <v>10271.290962671081</v>
      </c>
      <c r="F45" s="116">
        <f t="shared" si="18"/>
        <v>4123.3442173910807</v>
      </c>
      <c r="G45" s="116"/>
      <c r="H45" s="116"/>
      <c r="I45" s="116">
        <f t="shared" si="18"/>
        <v>113.61681739108198</v>
      </c>
      <c r="J45" s="138"/>
      <c r="K45" s="138"/>
      <c r="L45" s="167">
        <f t="shared" si="18"/>
        <v>11011.76401739108</v>
      </c>
      <c r="M45" s="91" t="e">
        <f t="shared" si="18"/>
        <v>#REF!</v>
      </c>
    </row>
    <row r="46" spans="1:13" hidden="1" x14ac:dyDescent="0.35">
      <c r="A46" s="82" t="s">
        <v>191</v>
      </c>
      <c r="B46" s="88" t="s">
        <v>150</v>
      </c>
      <c r="C46" s="164" t="str">
        <f>+C42</f>
        <v>***</v>
      </c>
      <c r="D46" s="164"/>
      <c r="E46" s="164" t="str">
        <f t="shared" ref="E46:I46" si="19">+E42</f>
        <v>***</v>
      </c>
      <c r="F46" s="164" t="str">
        <f t="shared" si="19"/>
        <v>***</v>
      </c>
      <c r="G46" s="164"/>
      <c r="H46" s="164"/>
      <c r="I46" s="164" t="str">
        <f t="shared" si="19"/>
        <v>***</v>
      </c>
      <c r="J46" s="164"/>
      <c r="K46" s="164"/>
      <c r="L46" s="161" t="str">
        <f>+L42</f>
        <v>***</v>
      </c>
      <c r="M46" s="85" t="str">
        <f>+M42</f>
        <v>***</v>
      </c>
    </row>
    <row r="47" spans="1:13" hidden="1" x14ac:dyDescent="0.35">
      <c r="A47" s="82" t="s">
        <v>192</v>
      </c>
      <c r="B47" s="83" t="s">
        <v>193</v>
      </c>
      <c r="C47" s="170" t="s">
        <v>218</v>
      </c>
      <c r="D47" s="170"/>
      <c r="E47" s="110" t="str">
        <f>+C47</f>
        <v>*****</v>
      </c>
      <c r="F47" s="110" t="s">
        <v>194</v>
      </c>
      <c r="G47" s="110"/>
      <c r="H47" s="110"/>
      <c r="I47" s="110" t="s">
        <v>194</v>
      </c>
      <c r="J47" s="133"/>
      <c r="K47" s="133"/>
      <c r="L47" s="161" t="str">
        <f>+E47</f>
        <v>*****</v>
      </c>
      <c r="M47" s="85" t="s">
        <v>236</v>
      </c>
    </row>
    <row r="48" spans="1:13" hidden="1" x14ac:dyDescent="0.35">
      <c r="A48" s="82" t="s">
        <v>195</v>
      </c>
      <c r="B48" s="83" t="s">
        <v>196</v>
      </c>
      <c r="C48" s="170" t="s">
        <v>219</v>
      </c>
      <c r="D48" s="170"/>
      <c r="E48" s="110" t="str">
        <f>+C48</f>
        <v>******</v>
      </c>
      <c r="F48" s="110" t="str">
        <f>+C48</f>
        <v>******</v>
      </c>
      <c r="G48" s="110"/>
      <c r="H48" s="110"/>
      <c r="I48" s="110" t="str">
        <f>+C48</f>
        <v>******</v>
      </c>
      <c r="J48" s="133"/>
      <c r="K48" s="133"/>
      <c r="L48" s="161" t="str">
        <f>+C48</f>
        <v>******</v>
      </c>
      <c r="M48" s="85" t="str">
        <f>+C48</f>
        <v>******</v>
      </c>
    </row>
    <row r="49" spans="1:19" ht="15" hidden="1" thickBot="1" x14ac:dyDescent="0.4">
      <c r="A49" s="93" t="s">
        <v>197</v>
      </c>
      <c r="B49" s="94" t="s">
        <v>198</v>
      </c>
      <c r="C49" s="171"/>
      <c r="D49" s="171"/>
      <c r="E49" s="118"/>
      <c r="F49" s="118"/>
      <c r="G49" s="118"/>
      <c r="H49" s="118"/>
      <c r="I49" s="118"/>
      <c r="J49" s="142"/>
      <c r="K49" s="142"/>
      <c r="L49" s="172"/>
      <c r="M49" s="96"/>
    </row>
    <row r="50" spans="1:19" x14ac:dyDescent="0.35">
      <c r="A50" s="98"/>
      <c r="B50" s="99"/>
      <c r="C50" s="99"/>
      <c r="D50" s="99"/>
      <c r="E50" s="100"/>
      <c r="F50" s="100"/>
      <c r="G50" s="100"/>
      <c r="H50" s="100"/>
      <c r="I50" s="100"/>
      <c r="J50" s="100"/>
      <c r="K50" s="100"/>
      <c r="L50" s="100"/>
      <c r="M50" s="100"/>
    </row>
    <row r="51" spans="1:19" ht="15" thickBot="1" x14ac:dyDescent="0.4">
      <c r="A51" s="98"/>
      <c r="B51" s="99"/>
      <c r="C51" s="99"/>
      <c r="D51" s="99"/>
      <c r="E51" s="100"/>
      <c r="F51" s="100"/>
      <c r="G51" s="100"/>
      <c r="H51" s="100"/>
      <c r="I51" s="100"/>
      <c r="J51" s="100"/>
      <c r="K51" s="100"/>
      <c r="L51" s="100"/>
      <c r="M51" s="100"/>
    </row>
    <row r="52" spans="1:19" ht="22.75" customHeight="1" thickTop="1" x14ac:dyDescent="0.35">
      <c r="A52" s="128"/>
      <c r="B52" s="106" t="s">
        <v>259</v>
      </c>
      <c r="C52" s="493" t="s">
        <v>163</v>
      </c>
      <c r="D52" s="494"/>
      <c r="E52" s="494"/>
      <c r="F52" s="494"/>
      <c r="G52" s="494"/>
      <c r="H52" s="494"/>
      <c r="I52" s="494"/>
      <c r="J52" s="494"/>
      <c r="K52" s="494"/>
      <c r="L52" s="495"/>
      <c r="M52" s="873" t="s">
        <v>232</v>
      </c>
      <c r="N52" s="874"/>
      <c r="O52" s="874"/>
      <c r="P52" s="874"/>
      <c r="Q52" s="874"/>
      <c r="R52" s="874"/>
    </row>
    <row r="53" spans="1:19" ht="46.5" customHeight="1" x14ac:dyDescent="0.35">
      <c r="A53" s="107"/>
      <c r="B53" s="447" t="s">
        <v>471</v>
      </c>
      <c r="C53" s="496"/>
      <c r="D53" s="497"/>
      <c r="E53" s="497"/>
      <c r="F53" s="497"/>
      <c r="G53" s="497"/>
      <c r="H53" s="497"/>
      <c r="I53" s="497"/>
      <c r="J53" s="497"/>
      <c r="K53" s="497"/>
      <c r="L53" s="498"/>
      <c r="M53" s="875"/>
      <c r="N53" s="876"/>
      <c r="O53" s="876"/>
      <c r="P53" s="876"/>
      <c r="Q53" s="876"/>
      <c r="R53" s="876"/>
    </row>
    <row r="54" spans="1:19" ht="38.25" customHeight="1" x14ac:dyDescent="0.35">
      <c r="A54" s="790" t="s">
        <v>164</v>
      </c>
      <c r="B54" s="792" t="s">
        <v>165</v>
      </c>
      <c r="C54" s="780" t="s">
        <v>223</v>
      </c>
      <c r="D54" s="108" t="s">
        <v>96</v>
      </c>
      <c r="E54" s="108" t="s">
        <v>96</v>
      </c>
      <c r="F54" s="108" t="s">
        <v>96</v>
      </c>
      <c r="G54" s="108" t="s">
        <v>96</v>
      </c>
      <c r="H54" s="108" t="s">
        <v>370</v>
      </c>
      <c r="I54" s="108" t="str">
        <f>+I5</f>
        <v>Biodiesel B5</v>
      </c>
      <c r="J54" s="108" t="s">
        <v>505</v>
      </c>
      <c r="K54" s="108" t="s">
        <v>374</v>
      </c>
      <c r="L54" s="458" t="str">
        <f>+L5</f>
        <v>Biodiesel B11</v>
      </c>
      <c r="M54" s="606" t="s">
        <v>96</v>
      </c>
      <c r="N54" s="607" t="s">
        <v>96</v>
      </c>
      <c r="O54" s="607"/>
      <c r="P54" s="607"/>
      <c r="Q54" s="607"/>
      <c r="R54" s="608" t="str">
        <f>+K54</f>
        <v>Biodiesel B10</v>
      </c>
      <c r="S54" s="606" t="str">
        <f>+L54</f>
        <v>Biodiesel B11</v>
      </c>
    </row>
    <row r="55" spans="1:19" ht="16.899999999999999" customHeight="1" x14ac:dyDescent="0.35">
      <c r="A55" s="790"/>
      <c r="B55" s="792"/>
      <c r="C55" s="781"/>
      <c r="D55" s="333" t="s">
        <v>502</v>
      </c>
      <c r="E55" s="333" t="s">
        <v>511</v>
      </c>
      <c r="F55" s="367">
        <v>4</v>
      </c>
      <c r="G55" s="452">
        <v>0.05</v>
      </c>
      <c r="H55" s="452">
        <v>0.02</v>
      </c>
      <c r="I55" s="109" t="str">
        <f>+I6</f>
        <v>Oxigenada 5%</v>
      </c>
      <c r="J55" s="458">
        <v>0.1</v>
      </c>
      <c r="K55" s="458">
        <v>0.1</v>
      </c>
      <c r="L55" s="458">
        <v>0.11</v>
      </c>
      <c r="M55" s="660">
        <v>4</v>
      </c>
      <c r="N55" s="640">
        <v>5</v>
      </c>
      <c r="O55" s="611"/>
      <c r="P55" s="611"/>
      <c r="Q55" s="611"/>
      <c r="R55" s="612">
        <f>+K55</f>
        <v>0.1</v>
      </c>
      <c r="S55" s="612">
        <f>+L55</f>
        <v>0.11</v>
      </c>
    </row>
    <row r="56" spans="1:19" x14ac:dyDescent="0.35">
      <c r="A56" s="791"/>
      <c r="B56" s="793"/>
      <c r="C56" s="81" t="s">
        <v>166</v>
      </c>
      <c r="D56" s="108" t="s">
        <v>166</v>
      </c>
      <c r="E56" s="108" t="s">
        <v>166</v>
      </c>
      <c r="F56" s="108" t="s">
        <v>166</v>
      </c>
      <c r="G56" s="108" t="s">
        <v>166</v>
      </c>
      <c r="H56" s="108" t="s">
        <v>166</v>
      </c>
      <c r="I56" s="108" t="s">
        <v>166</v>
      </c>
      <c r="J56" s="108" t="s">
        <v>166</v>
      </c>
      <c r="K56" s="108" t="s">
        <v>166</v>
      </c>
      <c r="L56" s="108" t="s">
        <v>166</v>
      </c>
      <c r="M56" s="606" t="s">
        <v>166</v>
      </c>
      <c r="N56" s="607" t="s">
        <v>166</v>
      </c>
      <c r="O56" s="607"/>
      <c r="P56" s="607"/>
      <c r="Q56" s="607"/>
      <c r="R56" s="608" t="s">
        <v>166</v>
      </c>
      <c r="S56" s="606" t="s">
        <v>166</v>
      </c>
    </row>
    <row r="57" spans="1:19" ht="15" customHeight="1" x14ac:dyDescent="0.35">
      <c r="A57" s="82" t="s">
        <v>167</v>
      </c>
      <c r="B57" s="88" t="s">
        <v>168</v>
      </c>
      <c r="C57" s="177">
        <f>+'GAS CTE'!C6</f>
        <v>9914.16</v>
      </c>
      <c r="D57" s="177">
        <f>+'GAS CTE'!D9</f>
        <v>10003.336799999999</v>
      </c>
      <c r="E57" s="177">
        <f>+'GAS CTE'!D9</f>
        <v>10003.336799999999</v>
      </c>
      <c r="F57" s="177">
        <f>+'GAS CTE'!F9</f>
        <v>10137.1</v>
      </c>
      <c r="G57" s="177">
        <f>+'GAS CTE'!F9</f>
        <v>10137.1</v>
      </c>
      <c r="H57" s="177">
        <f>+BIODIESEL!E9</f>
        <v>5004.5774000000001</v>
      </c>
      <c r="I57" s="178">
        <f>+BIODIESEL!G9</f>
        <v>5351.866</v>
      </c>
      <c r="J57" s="589">
        <f>+BIODIESEL!H9</f>
        <v>5699.1596</v>
      </c>
      <c r="K57" s="589">
        <f>+BIODIESEL!I9</f>
        <v>5930.6819999999998</v>
      </c>
      <c r="L57" s="114">
        <f>+BIODIESEL!J9</f>
        <v>6046.4452000000001</v>
      </c>
      <c r="M57" s="618">
        <f>+E57</f>
        <v>10003.336799999999</v>
      </c>
      <c r="N57" s="621">
        <f>+F57</f>
        <v>10137.1</v>
      </c>
      <c r="O57" s="621"/>
      <c r="P57" s="621"/>
      <c r="Q57" s="621"/>
      <c r="R57" s="622">
        <f>+R8</f>
        <v>5930.6819999999998</v>
      </c>
      <c r="S57" s="618">
        <f>+P8</f>
        <v>5351.866</v>
      </c>
    </row>
    <row r="58" spans="1:19" ht="15" customHeight="1" x14ac:dyDescent="0.35">
      <c r="A58" s="82" t="s">
        <v>169</v>
      </c>
      <c r="B58" s="88" t="s">
        <v>170</v>
      </c>
      <c r="C58" s="131" t="s">
        <v>171</v>
      </c>
      <c r="D58" s="131" t="s">
        <v>171</v>
      </c>
      <c r="E58" s="131" t="s">
        <v>171</v>
      </c>
      <c r="F58" s="131" t="s">
        <v>171</v>
      </c>
      <c r="G58" s="131" t="s">
        <v>171</v>
      </c>
      <c r="H58" s="131" t="s">
        <v>171</v>
      </c>
      <c r="I58" s="131" t="s">
        <v>171</v>
      </c>
      <c r="J58" s="131" t="s">
        <v>171</v>
      </c>
      <c r="K58" s="131" t="s">
        <v>171</v>
      </c>
      <c r="L58" s="111" t="s">
        <v>171</v>
      </c>
      <c r="M58" s="618">
        <f>+'GAS CTE'!E10</f>
        <v>636.6336</v>
      </c>
      <c r="N58" s="621">
        <f>+'GAS CTE'!F10</f>
        <v>630.00199999999995</v>
      </c>
      <c r="O58" s="621"/>
      <c r="P58" s="621"/>
      <c r="Q58" s="621"/>
      <c r="R58" s="622">
        <f>+R9</f>
        <v>571.26600000000008</v>
      </c>
      <c r="S58" s="618">
        <f>+P9</f>
        <v>603.00299999999993</v>
      </c>
    </row>
    <row r="59" spans="1:19" ht="15" customHeight="1" x14ac:dyDescent="0.35">
      <c r="A59" s="82"/>
      <c r="B59" s="88" t="s">
        <v>129</v>
      </c>
      <c r="C59" s="131" t="s">
        <v>171</v>
      </c>
      <c r="D59" s="131" t="s">
        <v>171</v>
      </c>
      <c r="E59" s="131" t="s">
        <v>171</v>
      </c>
      <c r="F59" s="131" t="s">
        <v>171</v>
      </c>
      <c r="G59" s="131" t="s">
        <v>171</v>
      </c>
      <c r="H59" s="131" t="s">
        <v>171</v>
      </c>
      <c r="I59" s="131" t="s">
        <v>171</v>
      </c>
      <c r="J59" s="131" t="s">
        <v>171</v>
      </c>
      <c r="K59" s="131" t="s">
        <v>171</v>
      </c>
      <c r="L59" s="111" t="s">
        <v>171</v>
      </c>
      <c r="M59" s="618" t="str">
        <f>+M10</f>
        <v>(3)</v>
      </c>
      <c r="N59" s="621"/>
      <c r="O59" s="621"/>
      <c r="P59" s="621"/>
      <c r="Q59" s="621"/>
      <c r="R59" s="622" t="s">
        <v>130</v>
      </c>
      <c r="S59" s="618" t="str">
        <f>+M59</f>
        <v>(3)</v>
      </c>
    </row>
    <row r="60" spans="1:19" ht="15" customHeight="1" x14ac:dyDescent="0.35">
      <c r="A60" s="82"/>
      <c r="B60" s="88" t="s">
        <v>131</v>
      </c>
      <c r="C60" s="164">
        <f>'GAS CTE'!C12</f>
        <v>169</v>
      </c>
      <c r="D60" s="164">
        <f>+'GAS CTE'!D12</f>
        <v>165.62</v>
      </c>
      <c r="E60" s="164">
        <f>+'GAS CTE'!D12</f>
        <v>165.62</v>
      </c>
      <c r="F60" s="164">
        <f>+'GAS CTE'!F12</f>
        <v>160.54999999999998</v>
      </c>
      <c r="G60" s="164">
        <f>+'GAS CTE'!F12</f>
        <v>160.54999999999998</v>
      </c>
      <c r="H60" s="164">
        <f>+BIODIESEL!E12</f>
        <v>187.18</v>
      </c>
      <c r="I60" s="164">
        <f>+BIODIESEL!G12</f>
        <v>181.45</v>
      </c>
      <c r="J60" s="164">
        <f>+BIODIESEL!H12</f>
        <v>175.72</v>
      </c>
      <c r="K60" s="164">
        <f>+BIODIESEL!I12</f>
        <v>171.9</v>
      </c>
      <c r="L60" s="114">
        <f>+BIODIESEL!I12</f>
        <v>171.9</v>
      </c>
      <c r="M60" s="618">
        <f>+E60</f>
        <v>165.62</v>
      </c>
      <c r="N60" s="621">
        <f>+F60</f>
        <v>160.54999999999998</v>
      </c>
      <c r="O60" s="621"/>
      <c r="P60" s="621"/>
      <c r="Q60" s="621"/>
      <c r="R60" s="622">
        <f>+BIODIESEL!I61</f>
        <v>0</v>
      </c>
      <c r="S60" s="618">
        <f>+P11</f>
        <v>181.45</v>
      </c>
    </row>
    <row r="61" spans="1:19" ht="15" customHeight="1" x14ac:dyDescent="0.35">
      <c r="A61" s="82" t="s">
        <v>172</v>
      </c>
      <c r="B61" s="88" t="s">
        <v>250</v>
      </c>
      <c r="C61" s="131" t="str">
        <f>+C12</f>
        <v>(2)</v>
      </c>
      <c r="D61" s="131" t="s">
        <v>200</v>
      </c>
      <c r="E61" s="131" t="str">
        <f>+C61</f>
        <v>(2)</v>
      </c>
      <c r="F61" s="131" t="str">
        <f>+C61</f>
        <v>(2)</v>
      </c>
      <c r="G61" s="131" t="str">
        <f>+C61</f>
        <v>(2)</v>
      </c>
      <c r="H61" s="131" t="str">
        <f>+D61</f>
        <v>(2)</v>
      </c>
      <c r="I61" s="131" t="str">
        <f>+C61</f>
        <v>(2)</v>
      </c>
      <c r="J61" s="131" t="s">
        <v>200</v>
      </c>
      <c r="K61" s="131"/>
      <c r="L61" s="110" t="str">
        <f>+C61</f>
        <v>(2)</v>
      </c>
      <c r="M61" s="618" t="str">
        <f>+C61</f>
        <v>(2)</v>
      </c>
      <c r="N61" s="621" t="str">
        <f>+C61</f>
        <v>(2)</v>
      </c>
      <c r="O61" s="621"/>
      <c r="P61" s="621"/>
      <c r="Q61" s="621"/>
      <c r="R61" s="622" t="str">
        <f>+G61</f>
        <v>(2)</v>
      </c>
      <c r="S61" s="618" t="str">
        <f>+E61</f>
        <v>(2)</v>
      </c>
    </row>
    <row r="62" spans="1:19" ht="15" customHeight="1" x14ac:dyDescent="0.35">
      <c r="A62" s="82" t="s">
        <v>176</v>
      </c>
      <c r="B62" s="88" t="s">
        <v>177</v>
      </c>
      <c r="C62" s="131">
        <f>+C13</f>
        <v>93.704817603256743</v>
      </c>
      <c r="D62" s="131">
        <f>+C62</f>
        <v>93.704817603256743</v>
      </c>
      <c r="E62" s="131">
        <f>+C62</f>
        <v>93.704817603256743</v>
      </c>
      <c r="F62" s="131">
        <f>+C62</f>
        <v>93.704817603256743</v>
      </c>
      <c r="G62" s="131">
        <f>+C62</f>
        <v>93.704817603256743</v>
      </c>
      <c r="H62" s="131">
        <f>+C62</f>
        <v>93.704817603256743</v>
      </c>
      <c r="I62" s="131">
        <f>+C62</f>
        <v>93.704817603256743</v>
      </c>
      <c r="J62" s="131">
        <f>+C62</f>
        <v>93.704817603256743</v>
      </c>
      <c r="K62" s="131">
        <f>+H62</f>
        <v>93.704817603256743</v>
      </c>
      <c r="L62" s="110">
        <f>+C62</f>
        <v>93.704817603256743</v>
      </c>
      <c r="M62" s="618">
        <f>+C62</f>
        <v>93.704817603256743</v>
      </c>
      <c r="N62" s="621">
        <f>+C62</f>
        <v>93.704817603256743</v>
      </c>
      <c r="O62" s="621"/>
      <c r="P62" s="621"/>
      <c r="Q62" s="621"/>
      <c r="R62" s="622">
        <f>+RUBROS!$AG$53</f>
        <v>93.704817603256743</v>
      </c>
      <c r="S62" s="618">
        <f>+M62</f>
        <v>93.704817603256743</v>
      </c>
    </row>
    <row r="63" spans="1:19" ht="15" customHeight="1" x14ac:dyDescent="0.35">
      <c r="A63" s="82" t="s">
        <v>174</v>
      </c>
      <c r="B63" s="88" t="s">
        <v>175</v>
      </c>
      <c r="C63" s="164">
        <f>C14</f>
        <v>26.583233136281329</v>
      </c>
      <c r="D63" s="164">
        <f>+C63</f>
        <v>26.583233136281329</v>
      </c>
      <c r="E63" s="110">
        <f>+C63</f>
        <v>26.583233136281329</v>
      </c>
      <c r="F63" s="110">
        <f>+C63</f>
        <v>26.583233136281329</v>
      </c>
      <c r="G63" s="131">
        <f>+C63</f>
        <v>26.583233136281329</v>
      </c>
      <c r="H63" s="131">
        <f>+C63</f>
        <v>26.583233136281329</v>
      </c>
      <c r="I63" s="110">
        <f>+C63</f>
        <v>26.583233136281329</v>
      </c>
      <c r="J63" s="131">
        <f>+C63</f>
        <v>26.583233136281329</v>
      </c>
      <c r="K63" s="131">
        <f>+H63</f>
        <v>26.583233136281329</v>
      </c>
      <c r="L63" s="110">
        <f>+C63</f>
        <v>26.583233136281329</v>
      </c>
      <c r="M63" s="618">
        <f>+C63</f>
        <v>26.583233136281329</v>
      </c>
      <c r="N63" s="621">
        <f>+C63</f>
        <v>26.583233136281329</v>
      </c>
      <c r="O63" s="621"/>
      <c r="P63" s="621"/>
      <c r="Q63" s="621"/>
      <c r="R63" s="622">
        <f>+RUBROS!$AG$17</f>
        <v>26.583233136281329</v>
      </c>
      <c r="S63" s="618">
        <f>+C63</f>
        <v>26.583233136281329</v>
      </c>
    </row>
    <row r="64" spans="1:19" ht="15" customHeight="1" x14ac:dyDescent="0.35">
      <c r="A64" s="82" t="s">
        <v>178</v>
      </c>
      <c r="B64" s="88" t="s">
        <v>179</v>
      </c>
      <c r="C64" s="164">
        <f>+C15</f>
        <v>13.716213893883657</v>
      </c>
      <c r="D64" s="164">
        <f>+C64</f>
        <v>13.716213893883657</v>
      </c>
      <c r="E64" s="110">
        <f>+C64</f>
        <v>13.716213893883657</v>
      </c>
      <c r="F64" s="110">
        <f>+C64</f>
        <v>13.716213893883657</v>
      </c>
      <c r="G64" s="131">
        <f>+C64</f>
        <v>13.716213893883657</v>
      </c>
      <c r="H64" s="131">
        <f>+C64</f>
        <v>13.716213893883657</v>
      </c>
      <c r="I64" s="110">
        <f>+C64</f>
        <v>13.716213893883657</v>
      </c>
      <c r="J64" s="131">
        <f>+C64</f>
        <v>13.716213893883657</v>
      </c>
      <c r="K64" s="131">
        <f>+H64</f>
        <v>13.716213893883657</v>
      </c>
      <c r="L64" s="110">
        <f>+C64</f>
        <v>13.716213893883657</v>
      </c>
      <c r="M64" s="618">
        <f>+C64</f>
        <v>13.716213893883657</v>
      </c>
      <c r="N64" s="621">
        <f>+C64</f>
        <v>13.716213893883657</v>
      </c>
      <c r="O64" s="621"/>
      <c r="P64" s="621"/>
      <c r="Q64" s="621"/>
      <c r="R64" s="622">
        <f>+F64</f>
        <v>13.716213893883657</v>
      </c>
      <c r="S64" s="618">
        <f>+M64</f>
        <v>13.716213893883657</v>
      </c>
    </row>
    <row r="65" spans="1:19" hidden="1" x14ac:dyDescent="0.35">
      <c r="A65" s="82"/>
      <c r="B65" s="88" t="s">
        <v>180</v>
      </c>
      <c r="C65" s="164"/>
      <c r="D65" s="510"/>
      <c r="I65" s="110"/>
      <c r="J65" s="110"/>
      <c r="K65" s="110"/>
      <c r="L65" s="110"/>
      <c r="M65" s="613"/>
      <c r="N65" s="616"/>
      <c r="O65" s="616"/>
      <c r="P65" s="616"/>
      <c r="Q65" s="616"/>
      <c r="R65" s="617"/>
      <c r="S65" s="613"/>
    </row>
    <row r="66" spans="1:19" x14ac:dyDescent="0.35">
      <c r="A66" s="89" t="s">
        <v>181</v>
      </c>
      <c r="B66" s="115" t="s">
        <v>182</v>
      </c>
      <c r="C66" s="165">
        <f t="shared" ref="C66:N66" si="20">SUM(C57:C65)</f>
        <v>10217.164264633422</v>
      </c>
      <c r="D66" s="165">
        <f t="shared" si="20"/>
        <v>10302.961064633422</v>
      </c>
      <c r="E66" s="165">
        <f>SUM(E57:E65)</f>
        <v>10302.961064633422</v>
      </c>
      <c r="F66" s="165">
        <f>SUM(F57:F65)</f>
        <v>10431.654264633422</v>
      </c>
      <c r="G66" s="165">
        <f>SUM(G57:G65)</f>
        <v>10431.654264633422</v>
      </c>
      <c r="H66" s="165">
        <f>SUM(H57:H65)</f>
        <v>5325.7616646334227</v>
      </c>
      <c r="I66" s="165">
        <f t="shared" si="20"/>
        <v>5667.3202646334221</v>
      </c>
      <c r="J66" s="165">
        <f t="shared" si="20"/>
        <v>6008.8838646334225</v>
      </c>
      <c r="K66" s="165">
        <f t="shared" si="20"/>
        <v>6236.5862646334217</v>
      </c>
      <c r="L66" s="165">
        <f t="shared" si="20"/>
        <v>6352.349464633422</v>
      </c>
      <c r="M66" s="661">
        <f t="shared" si="20"/>
        <v>10939.594664633421</v>
      </c>
      <c r="N66" s="662">
        <f t="shared" si="20"/>
        <v>11061.656264633422</v>
      </c>
      <c r="O66" s="662"/>
      <c r="P66" s="662"/>
      <c r="Q66" s="662"/>
      <c r="R66" s="663">
        <f>SUM(R57:R65)</f>
        <v>6635.9522646334226</v>
      </c>
      <c r="S66" s="661">
        <f>SUM(S57:S65)</f>
        <v>6270.3232646334218</v>
      </c>
    </row>
    <row r="67" spans="1:19" x14ac:dyDescent="0.35">
      <c r="A67" s="82" t="s">
        <v>183</v>
      </c>
      <c r="B67" s="88" t="s">
        <v>246</v>
      </c>
      <c r="C67" s="541" t="s">
        <v>214</v>
      </c>
      <c r="D67" s="541" t="s">
        <v>214</v>
      </c>
      <c r="E67" s="541" t="str">
        <f>+C67</f>
        <v>***</v>
      </c>
      <c r="F67" s="541" t="str">
        <f>+C67</f>
        <v>***</v>
      </c>
      <c r="G67" s="541" t="str">
        <f t="shared" ref="G67:H69" si="21">+E67</f>
        <v>***</v>
      </c>
      <c r="H67" s="541" t="str">
        <f t="shared" si="21"/>
        <v>***</v>
      </c>
      <c r="I67" s="110" t="str">
        <f>+E67</f>
        <v>***</v>
      </c>
      <c r="J67" s="110" t="str">
        <f>+F67</f>
        <v>***</v>
      </c>
      <c r="K67" s="110" t="str">
        <f>+G67</f>
        <v>***</v>
      </c>
      <c r="L67" s="110" t="str">
        <f>+I67</f>
        <v>***</v>
      </c>
      <c r="M67" s="613" t="str">
        <f>+C67</f>
        <v>***</v>
      </c>
      <c r="N67" s="616" t="str">
        <f>+C67</f>
        <v>***</v>
      </c>
      <c r="O67" s="616"/>
      <c r="P67" s="616"/>
      <c r="Q67" s="616"/>
      <c r="R67" s="617" t="str">
        <f t="shared" ref="R67:R69" si="22">+F67</f>
        <v>***</v>
      </c>
      <c r="S67" s="613" t="str">
        <f>+M67</f>
        <v>***</v>
      </c>
    </row>
    <row r="68" spans="1:19" x14ac:dyDescent="0.35">
      <c r="A68" s="82" t="s">
        <v>185</v>
      </c>
      <c r="B68" s="88" t="s">
        <v>186</v>
      </c>
      <c r="C68" s="541" t="s">
        <v>212</v>
      </c>
      <c r="D68" s="541" t="s">
        <v>212</v>
      </c>
      <c r="E68" s="541" t="str">
        <f>+C68</f>
        <v>**</v>
      </c>
      <c r="F68" s="541" t="str">
        <f>+C68</f>
        <v>**</v>
      </c>
      <c r="G68" s="541" t="str">
        <f t="shared" si="21"/>
        <v>**</v>
      </c>
      <c r="H68" s="541" t="str">
        <f t="shared" si="21"/>
        <v>**</v>
      </c>
      <c r="I68" s="110" t="str">
        <f>+C68</f>
        <v>**</v>
      </c>
      <c r="J68" s="110" t="str">
        <f>+E68</f>
        <v>**</v>
      </c>
      <c r="K68" s="110" t="str">
        <f>+F68</f>
        <v>**</v>
      </c>
      <c r="L68" s="110" t="str">
        <f>+C68</f>
        <v>**</v>
      </c>
      <c r="M68" s="613" t="str">
        <f>+C68</f>
        <v>**</v>
      </c>
      <c r="N68" s="616" t="str">
        <f>+C68</f>
        <v>**</v>
      </c>
      <c r="O68" s="616"/>
      <c r="P68" s="616"/>
      <c r="Q68" s="616"/>
      <c r="R68" s="617" t="str">
        <f t="shared" si="22"/>
        <v>**</v>
      </c>
      <c r="S68" s="613" t="str">
        <f>+M68</f>
        <v>**</v>
      </c>
    </row>
    <row r="69" spans="1:19" x14ac:dyDescent="0.35">
      <c r="A69" s="82" t="s">
        <v>187</v>
      </c>
      <c r="B69" s="88" t="s">
        <v>134</v>
      </c>
      <c r="C69" s="542" t="str">
        <f>+C20</f>
        <v>****</v>
      </c>
      <c r="D69" s="542" t="s">
        <v>216</v>
      </c>
      <c r="E69" s="542" t="str">
        <f>+C69</f>
        <v>****</v>
      </c>
      <c r="F69" s="542" t="str">
        <f>+C69</f>
        <v>****</v>
      </c>
      <c r="G69" s="542" t="str">
        <f t="shared" si="21"/>
        <v>****</v>
      </c>
      <c r="H69" s="542" t="str">
        <f t="shared" si="21"/>
        <v>****</v>
      </c>
      <c r="I69" s="114" t="str">
        <f>+C69</f>
        <v>****</v>
      </c>
      <c r="J69" s="114" t="str">
        <f>+E69</f>
        <v>****</v>
      </c>
      <c r="K69" s="114" t="str">
        <f>+F69</f>
        <v>****</v>
      </c>
      <c r="L69" s="114" t="str">
        <f>+C69</f>
        <v>****</v>
      </c>
      <c r="M69" s="613" t="str">
        <f>C69</f>
        <v>****</v>
      </c>
      <c r="N69" s="619" t="str">
        <f>+C69</f>
        <v>****</v>
      </c>
      <c r="O69" s="619"/>
      <c r="P69" s="616"/>
      <c r="Q69" s="616"/>
      <c r="R69" s="617" t="str">
        <f t="shared" si="22"/>
        <v>****</v>
      </c>
      <c r="S69" s="613" t="str">
        <f>+C69</f>
        <v>****</v>
      </c>
    </row>
    <row r="70" spans="1:19" x14ac:dyDescent="0.35">
      <c r="A70" s="89" t="s">
        <v>189</v>
      </c>
      <c r="B70" s="115" t="s">
        <v>190</v>
      </c>
      <c r="C70" s="116">
        <f t="shared" ref="C70:H70" si="23">SUM(C66:C69)</f>
        <v>10217.164264633422</v>
      </c>
      <c r="D70" s="116">
        <f t="shared" si="23"/>
        <v>10302.961064633422</v>
      </c>
      <c r="E70" s="116">
        <f t="shared" si="23"/>
        <v>10302.961064633422</v>
      </c>
      <c r="F70" s="116">
        <f t="shared" si="23"/>
        <v>10431.654264633422</v>
      </c>
      <c r="G70" s="116">
        <f t="shared" si="23"/>
        <v>10431.654264633422</v>
      </c>
      <c r="H70" s="116">
        <f t="shared" si="23"/>
        <v>5325.7616646334227</v>
      </c>
      <c r="I70" s="116">
        <f t="shared" ref="I70:N70" si="24">SUM(I66:I69)</f>
        <v>5667.3202646334221</v>
      </c>
      <c r="J70" s="116">
        <f t="shared" si="24"/>
        <v>6008.8838646334225</v>
      </c>
      <c r="K70" s="116">
        <f t="shared" ref="K70" si="25">SUM(K66:K69)</f>
        <v>6236.5862646334217</v>
      </c>
      <c r="L70" s="116">
        <f t="shared" si="24"/>
        <v>6352.349464633422</v>
      </c>
      <c r="M70" s="661">
        <f t="shared" si="24"/>
        <v>10939.594664633421</v>
      </c>
      <c r="N70" s="662">
        <f t="shared" si="24"/>
        <v>11061.656264633422</v>
      </c>
      <c r="O70" s="662"/>
      <c r="P70" s="662"/>
      <c r="Q70" s="662"/>
      <c r="R70" s="663">
        <f t="shared" ref="R70" si="26">+R66</f>
        <v>6635.9522646334226</v>
      </c>
      <c r="S70" s="661">
        <f>SUM(S66:S69)</f>
        <v>6270.3232646334218</v>
      </c>
    </row>
    <row r="71" spans="1:19" x14ac:dyDescent="0.35">
      <c r="A71" s="82" t="s">
        <v>191</v>
      </c>
      <c r="B71" s="88" t="s">
        <v>150</v>
      </c>
      <c r="C71" s="541" t="str">
        <f>+C67</f>
        <v>***</v>
      </c>
      <c r="D71" s="541" t="s">
        <v>214</v>
      </c>
      <c r="E71" s="541" t="str">
        <f>+C71</f>
        <v>***</v>
      </c>
      <c r="F71" s="541" t="str">
        <f>+C71</f>
        <v>***</v>
      </c>
      <c r="G71" s="541" t="str">
        <f>+E71</f>
        <v>***</v>
      </c>
      <c r="H71" s="541" t="str">
        <f>+F71</f>
        <v>***</v>
      </c>
      <c r="I71" s="110" t="str">
        <f>+C71</f>
        <v>***</v>
      </c>
      <c r="J71" s="110" t="str">
        <f>+E71</f>
        <v>***</v>
      </c>
      <c r="K71" s="110" t="str">
        <f>+F71</f>
        <v>***</v>
      </c>
      <c r="L71" s="110" t="str">
        <f>+L67</f>
        <v>***</v>
      </c>
      <c r="M71" s="613" t="str">
        <f>+C71</f>
        <v>***</v>
      </c>
      <c r="N71" s="616" t="str">
        <f>+C71</f>
        <v>***</v>
      </c>
      <c r="O71" s="616"/>
      <c r="P71" s="616"/>
      <c r="Q71" s="616"/>
      <c r="R71" s="617" t="str">
        <f>+R67</f>
        <v>***</v>
      </c>
      <c r="S71" s="613" t="str">
        <f>+C71</f>
        <v>***</v>
      </c>
    </row>
    <row r="72" spans="1:19" x14ac:dyDescent="0.35">
      <c r="A72" s="82" t="s">
        <v>192</v>
      </c>
      <c r="B72" s="83" t="s">
        <v>193</v>
      </c>
      <c r="C72" s="170" t="str">
        <f>+C23</f>
        <v>*****</v>
      </c>
      <c r="D72" s="170" t="s">
        <v>218</v>
      </c>
      <c r="E72" s="170" t="str">
        <f>+E23</f>
        <v>*****</v>
      </c>
      <c r="F72" s="170" t="str">
        <f>+C72</f>
        <v>*****</v>
      </c>
      <c r="G72" s="170" t="str">
        <f>+G23</f>
        <v>*****</v>
      </c>
      <c r="H72" s="170" t="str">
        <f>+H23</f>
        <v>*****</v>
      </c>
      <c r="I72" s="133" t="str">
        <f t="shared" ref="I72:M73" si="27">+I23</f>
        <v>N.A</v>
      </c>
      <c r="J72" s="133" t="str">
        <f t="shared" ref="J72:K72" si="28">+J23</f>
        <v>N.A</v>
      </c>
      <c r="K72" s="133" t="str">
        <f t="shared" si="28"/>
        <v>N.A</v>
      </c>
      <c r="L72" s="133" t="str">
        <f t="shared" si="27"/>
        <v>N.A</v>
      </c>
      <c r="M72" s="613" t="str">
        <f t="shared" si="27"/>
        <v>*****</v>
      </c>
      <c r="N72" s="616" t="str">
        <f>+C72</f>
        <v>*****</v>
      </c>
      <c r="O72" s="616"/>
      <c r="P72" s="616"/>
      <c r="Q72" s="616"/>
      <c r="R72" s="617" t="s">
        <v>236</v>
      </c>
      <c r="S72" s="613" t="str">
        <f>+P23</f>
        <v>N.A.</v>
      </c>
    </row>
    <row r="73" spans="1:19" x14ac:dyDescent="0.35">
      <c r="A73" s="82" t="s">
        <v>195</v>
      </c>
      <c r="B73" s="83" t="s">
        <v>196</v>
      </c>
      <c r="C73" s="170" t="str">
        <f>+C24</f>
        <v>******</v>
      </c>
      <c r="D73" s="170" t="s">
        <v>219</v>
      </c>
      <c r="E73" s="170" t="str">
        <f>+E24</f>
        <v>******</v>
      </c>
      <c r="F73" s="170" t="str">
        <f>+C73</f>
        <v>******</v>
      </c>
      <c r="G73" s="170" t="str">
        <f>+G24</f>
        <v>******</v>
      </c>
      <c r="H73" s="170" t="str">
        <f>+H24</f>
        <v>******</v>
      </c>
      <c r="I73" s="133" t="str">
        <f t="shared" si="27"/>
        <v>******</v>
      </c>
      <c r="J73" s="133" t="str">
        <f t="shared" ref="J73:K73" si="29">+J24</f>
        <v>******</v>
      </c>
      <c r="K73" s="133" t="str">
        <f t="shared" si="29"/>
        <v>******</v>
      </c>
      <c r="L73" s="133" t="str">
        <f t="shared" si="27"/>
        <v>******</v>
      </c>
      <c r="M73" s="613" t="str">
        <f t="shared" si="27"/>
        <v>******</v>
      </c>
      <c r="N73" s="616" t="str">
        <f>+C73</f>
        <v>******</v>
      </c>
      <c r="O73" s="616"/>
      <c r="P73" s="616"/>
      <c r="Q73" s="616"/>
      <c r="R73" s="617" t="str">
        <f>+F73</f>
        <v>******</v>
      </c>
      <c r="S73" s="613" t="str">
        <f>+P24</f>
        <v>******</v>
      </c>
    </row>
    <row r="74" spans="1:19" ht="15" thickBot="1" x14ac:dyDescent="0.4">
      <c r="A74" s="93" t="s">
        <v>197</v>
      </c>
      <c r="B74" s="94" t="s">
        <v>198</v>
      </c>
      <c r="C74" s="171"/>
      <c r="D74" s="171"/>
      <c r="E74" s="118"/>
      <c r="F74" s="118"/>
      <c r="G74" s="118"/>
      <c r="H74" s="118"/>
      <c r="I74" s="118"/>
      <c r="J74" s="118"/>
      <c r="K74" s="118"/>
      <c r="L74" s="118"/>
      <c r="M74" s="664"/>
      <c r="N74" s="636"/>
      <c r="O74" s="636"/>
      <c r="P74" s="636"/>
      <c r="Q74" s="636"/>
      <c r="R74" s="637"/>
      <c r="S74" s="664"/>
    </row>
    <row r="75" spans="1:19" ht="15" thickTop="1" x14ac:dyDescent="0.35">
      <c r="A75" s="98"/>
      <c r="B75" s="99"/>
      <c r="C75" s="99"/>
      <c r="D75" s="99"/>
      <c r="E75" s="100"/>
      <c r="F75" s="100"/>
      <c r="G75" s="100"/>
      <c r="H75" s="100"/>
      <c r="I75" s="100"/>
      <c r="J75" s="100"/>
      <c r="K75" s="100"/>
      <c r="L75" s="100"/>
      <c r="M75" s="100"/>
    </row>
    <row r="76" spans="1:19" ht="15" customHeight="1" x14ac:dyDescent="0.35">
      <c r="A76" s="98"/>
      <c r="B76" s="119" t="s">
        <v>210</v>
      </c>
      <c r="C76" s="99"/>
      <c r="D76" s="99"/>
      <c r="E76" s="100"/>
      <c r="F76" s="100"/>
      <c r="G76" s="100"/>
      <c r="H76" s="100"/>
      <c r="I76" s="100"/>
      <c r="J76" s="100"/>
      <c r="K76" s="100"/>
      <c r="L76" s="100"/>
      <c r="M76" s="100"/>
    </row>
    <row r="77" spans="1:19" x14ac:dyDescent="0.35">
      <c r="A77" s="98"/>
      <c r="B77" s="99"/>
      <c r="C77" s="99"/>
      <c r="D77" s="99"/>
      <c r="E77" s="100"/>
      <c r="F77" s="100"/>
      <c r="G77" s="100"/>
      <c r="H77" s="100"/>
      <c r="I77" s="100"/>
      <c r="J77" s="100"/>
      <c r="K77" s="100"/>
      <c r="L77" s="100"/>
      <c r="M77" s="100"/>
    </row>
    <row r="78" spans="1:19" ht="19.75" customHeight="1" x14ac:dyDescent="0.35">
      <c r="A78" s="101" t="s">
        <v>173</v>
      </c>
      <c r="B78" s="783" t="str">
        <f>+GUAINIA!B30</f>
        <v>De acuerdo con lo establecido en la Resoluccion 91349 de 2014 del MME para combustible de origen nacional o importado a ser distribuido en zonas de frontera, aplica la tarifa de marcación o remarcación vigente a la fecha según corresponda</v>
      </c>
      <c r="C78" s="783"/>
      <c r="D78" s="783"/>
      <c r="E78" s="783"/>
      <c r="F78" s="783"/>
      <c r="G78" s="783"/>
      <c r="H78" s="783"/>
      <c r="I78" s="783"/>
      <c r="J78" s="783"/>
      <c r="K78" s="783"/>
      <c r="L78" s="783"/>
      <c r="M78" s="783"/>
    </row>
    <row r="79" spans="1:19" ht="28" customHeight="1" x14ac:dyDescent="0.35">
      <c r="A79" s="101" t="s">
        <v>200</v>
      </c>
      <c r="B79" s="778" t="s">
        <v>251</v>
      </c>
      <c r="C79" s="778"/>
      <c r="D79" s="778"/>
      <c r="E79" s="778"/>
      <c r="F79" s="778"/>
      <c r="G79" s="778"/>
      <c r="H79" s="778"/>
      <c r="I79" s="778"/>
      <c r="J79" s="778"/>
      <c r="K79" s="778"/>
      <c r="L79" s="778"/>
      <c r="M79" s="778"/>
    </row>
    <row r="80" spans="1:19" ht="25.4" customHeight="1" x14ac:dyDescent="0.35">
      <c r="A80" s="101" t="s">
        <v>130</v>
      </c>
      <c r="B80" s="778" t="s">
        <v>224</v>
      </c>
      <c r="C80" s="778"/>
      <c r="D80" s="778"/>
      <c r="E80" s="778"/>
      <c r="F80" s="778"/>
      <c r="G80" s="778"/>
      <c r="H80" s="778"/>
      <c r="I80" s="778"/>
      <c r="J80" s="778"/>
      <c r="K80" s="778"/>
      <c r="L80" s="778"/>
      <c r="M80" s="778"/>
    </row>
    <row r="81" spans="1:14" x14ac:dyDescent="0.35">
      <c r="A81" s="101"/>
      <c r="B81" s="119" t="s">
        <v>148</v>
      </c>
      <c r="C81" s="119"/>
      <c r="D81" s="119"/>
      <c r="E81" s="145"/>
      <c r="F81" s="145"/>
      <c r="G81" s="145"/>
      <c r="H81" s="145"/>
      <c r="I81" s="145"/>
      <c r="J81" s="145"/>
      <c r="K81" s="145"/>
      <c r="L81" s="145"/>
      <c r="M81" s="145"/>
    </row>
    <row r="82" spans="1:14" ht="15" customHeight="1" x14ac:dyDescent="0.35">
      <c r="A82" s="120" t="s">
        <v>102</v>
      </c>
      <c r="B82" s="778" t="s">
        <v>211</v>
      </c>
      <c r="C82" s="778"/>
      <c r="D82" s="778"/>
      <c r="E82" s="778"/>
      <c r="F82" s="778"/>
      <c r="G82" s="778"/>
      <c r="H82" s="778"/>
      <c r="I82" s="778"/>
      <c r="J82" s="778"/>
      <c r="K82" s="778"/>
      <c r="L82" s="778"/>
      <c r="M82" s="778"/>
    </row>
    <row r="83" spans="1:14" ht="20.25" customHeight="1" x14ac:dyDescent="0.35">
      <c r="A83" s="120" t="s">
        <v>212</v>
      </c>
      <c r="B83" s="779" t="s">
        <v>260</v>
      </c>
      <c r="C83" s="779"/>
      <c r="D83" s="779"/>
      <c r="E83" s="779"/>
      <c r="F83" s="779"/>
      <c r="G83" s="779"/>
      <c r="H83" s="779"/>
      <c r="I83" s="779"/>
      <c r="J83" s="779"/>
      <c r="K83" s="779"/>
      <c r="L83" s="779"/>
      <c r="M83" s="779"/>
    </row>
    <row r="84" spans="1:14" ht="25.5" customHeight="1" x14ac:dyDescent="0.35">
      <c r="A84" s="120" t="s">
        <v>214</v>
      </c>
      <c r="B84" s="779" t="s">
        <v>252</v>
      </c>
      <c r="C84" s="779"/>
      <c r="D84" s="779"/>
      <c r="E84" s="779"/>
      <c r="F84" s="779"/>
      <c r="G84" s="779"/>
      <c r="H84" s="779"/>
      <c r="I84" s="779"/>
      <c r="J84" s="779"/>
      <c r="K84" s="779"/>
      <c r="L84" s="779"/>
      <c r="M84" s="779"/>
    </row>
    <row r="85" spans="1:14" x14ac:dyDescent="0.35">
      <c r="A85" s="120" t="s">
        <v>216</v>
      </c>
      <c r="B85" s="779" t="s">
        <v>426</v>
      </c>
      <c r="C85" s="779"/>
      <c r="D85" s="779"/>
      <c r="E85" s="779"/>
      <c r="F85" s="779"/>
      <c r="G85" s="779"/>
      <c r="H85" s="779"/>
      <c r="I85" s="779"/>
      <c r="J85" s="779"/>
      <c r="K85" s="779"/>
      <c r="L85" s="779"/>
      <c r="M85" s="779"/>
    </row>
    <row r="86" spans="1:14" ht="23.5" customHeight="1" x14ac:dyDescent="0.35">
      <c r="A86" s="120" t="s">
        <v>218</v>
      </c>
      <c r="B86" s="779" t="s">
        <v>220</v>
      </c>
      <c r="C86" s="779"/>
      <c r="D86" s="779"/>
      <c r="E86" s="779"/>
      <c r="F86" s="779"/>
      <c r="G86" s="779"/>
      <c r="H86" s="779"/>
      <c r="I86" s="779"/>
      <c r="J86" s="779"/>
      <c r="K86" s="779"/>
      <c r="L86" s="779"/>
      <c r="M86" s="779"/>
    </row>
    <row r="87" spans="1:14" ht="15" customHeight="1" x14ac:dyDescent="0.35">
      <c r="A87" s="120" t="s">
        <v>219</v>
      </c>
      <c r="B87" s="779" t="s">
        <v>249</v>
      </c>
      <c r="C87" s="779"/>
      <c r="D87" s="779"/>
      <c r="E87" s="779"/>
      <c r="F87" s="779"/>
      <c r="G87" s="779"/>
      <c r="H87" s="779"/>
      <c r="I87" s="779"/>
      <c r="J87" s="779"/>
      <c r="K87" s="779"/>
      <c r="L87" s="779"/>
      <c r="M87" s="779"/>
    </row>
    <row r="88" spans="1:14" x14ac:dyDescent="0.35">
      <c r="A88" s="145"/>
      <c r="B88" s="872" t="s">
        <v>416</v>
      </c>
      <c r="C88" s="872"/>
      <c r="D88" s="872"/>
      <c r="E88" s="872"/>
      <c r="F88" s="872"/>
      <c r="G88" s="872"/>
      <c r="H88" s="872"/>
      <c r="I88" s="872"/>
      <c r="J88" s="872"/>
      <c r="K88" s="872"/>
      <c r="L88" s="872"/>
      <c r="M88" s="872"/>
      <c r="N88" s="872"/>
    </row>
    <row r="89" spans="1:14" ht="88" customHeight="1" x14ac:dyDescent="0.35">
      <c r="A89" s="871" t="s">
        <v>137</v>
      </c>
      <c r="B89" s="871"/>
      <c r="C89" s="871"/>
      <c r="D89" s="871"/>
      <c r="E89" s="871"/>
      <c r="F89" s="871"/>
      <c r="G89" s="871"/>
      <c r="H89" s="871"/>
      <c r="I89" s="871"/>
      <c r="J89" s="871"/>
      <c r="K89" s="871"/>
      <c r="L89" s="871"/>
      <c r="M89" s="871"/>
    </row>
  </sheetData>
  <sheetProtection algorithmName="SHA-512" hashValue="hnq4l5GHm+DiE65BT2x6xNPN2rXo5QVMcYFd8444BnbFG8OpmQmu9B3cS3ODR5QRbbBfnSO67uorKe1qDnbXQg==" saltValue="Zar8usyJPBkiWyc4g6aVSw==" spinCount="100000" sheet="1" objects="1" scenarios="1"/>
  <mergeCells count="24">
    <mergeCell ref="M3:R4"/>
    <mergeCell ref="M52:R53"/>
    <mergeCell ref="A29:A31"/>
    <mergeCell ref="B29:B31"/>
    <mergeCell ref="C29:C30"/>
    <mergeCell ref="A5:A7"/>
    <mergeCell ref="B5:B7"/>
    <mergeCell ref="C5:C6"/>
    <mergeCell ref="C27:I28"/>
    <mergeCell ref="L27:M28"/>
    <mergeCell ref="A54:A56"/>
    <mergeCell ref="B54:B56"/>
    <mergeCell ref="C54:C55"/>
    <mergeCell ref="A89:M89"/>
    <mergeCell ref="B84:M84"/>
    <mergeCell ref="B85:M85"/>
    <mergeCell ref="B87:M87"/>
    <mergeCell ref="B78:M78"/>
    <mergeCell ref="B79:M79"/>
    <mergeCell ref="B80:M80"/>
    <mergeCell ref="B82:M82"/>
    <mergeCell ref="B86:M86"/>
    <mergeCell ref="B83:M83"/>
    <mergeCell ref="B88:N88"/>
  </mergeCells>
  <hyperlinks>
    <hyperlink ref="B81" location="Nota" display="Ver Nota Informativa" xr:uid="{00000000-0004-0000-0E00-000000000000}"/>
    <hyperlink ref="B76" location="'LA GUAJIRA'!A66" display="Ver Nota Informativa" xr:uid="{00000000-0004-0000-0E00-000001000000}"/>
  </hyperlinks>
  <pageMargins left="0.7" right="0.7" top="0.75" bottom="0.75" header="0.3" footer="0.3"/>
  <pageSetup orientation="portrait" r:id="rId1"/>
  <ignoredErrors>
    <ignoredError sqref="L66:M66 L17:M17 L15:M15 E15 E17 L68:M72 L67 I15 I17 I66:I72 C17" formula="1"/>
    <ignoredError sqref="C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dimension ref="A1:W40"/>
  <sheetViews>
    <sheetView showGridLines="0" zoomScale="80" zoomScaleNormal="80" workbookViewId="0">
      <selection activeCell="T23" sqref="T23"/>
    </sheetView>
  </sheetViews>
  <sheetFormatPr baseColWidth="10" defaultRowHeight="14.5" x14ac:dyDescent="0.35"/>
  <cols>
    <col min="1" max="1" width="5" customWidth="1"/>
    <col min="2" max="2" width="47.453125" customWidth="1"/>
    <col min="3" max="3" width="12.1796875" customWidth="1"/>
    <col min="4" max="4" width="13.81640625" hidden="1" customWidth="1"/>
    <col min="5" max="5" width="13.7265625" hidden="1" customWidth="1"/>
    <col min="6" max="6" width="13.7265625" customWidth="1"/>
    <col min="7" max="7" width="13.453125" hidden="1" customWidth="1"/>
    <col min="8" max="8" width="13.81640625" customWidth="1"/>
    <col min="9" max="10" width="13.81640625" hidden="1" customWidth="1"/>
    <col min="11" max="11" width="13.81640625" customWidth="1"/>
    <col min="12" max="12" width="13.81640625" hidden="1" customWidth="1"/>
    <col min="13" max="13" width="15.1796875" customWidth="1"/>
    <col min="14" max="14" width="14.26953125" hidden="1" customWidth="1"/>
    <col min="15" max="15" width="14.81640625" hidden="1" customWidth="1"/>
    <col min="16" max="16" width="14.453125" hidden="1" customWidth="1"/>
    <col min="17" max="17" width="14" customWidth="1"/>
  </cols>
  <sheetData>
    <row r="1" spans="1:17" x14ac:dyDescent="0.35">
      <c r="A1" s="79"/>
      <c r="B1" s="79" t="str">
        <f>+AMAZONAS!C1</f>
        <v>Vigencia: 04 de Noviembre de 2023; 00:00 horas</v>
      </c>
      <c r="D1" s="312"/>
      <c r="E1" s="312"/>
      <c r="F1" s="312"/>
      <c r="G1" s="312"/>
    </row>
    <row r="2" spans="1:17" ht="15" thickBot="1" x14ac:dyDescent="0.4">
      <c r="A2" s="79" t="s">
        <v>162</v>
      </c>
      <c r="B2" s="79"/>
      <c r="E2" s="710"/>
      <c r="F2" s="395"/>
      <c r="M2" s="395"/>
    </row>
    <row r="3" spans="1:17" ht="16" customHeight="1" thickTop="1" x14ac:dyDescent="0.35">
      <c r="A3" s="128"/>
      <c r="B3" s="129" t="s">
        <v>267</v>
      </c>
      <c r="C3" s="812" t="s">
        <v>163</v>
      </c>
      <c r="D3" s="813"/>
      <c r="E3" s="813"/>
      <c r="F3" s="813"/>
      <c r="G3" s="813"/>
      <c r="H3" s="813"/>
      <c r="I3" s="813"/>
      <c r="J3" s="813"/>
      <c r="K3" s="414"/>
      <c r="L3" s="802" t="s">
        <v>232</v>
      </c>
      <c r="M3" s="803"/>
      <c r="N3" s="803"/>
      <c r="O3" s="803"/>
      <c r="P3" s="803"/>
      <c r="Q3" s="804"/>
    </row>
    <row r="4" spans="1:17" ht="30.65" customHeight="1" x14ac:dyDescent="0.35">
      <c r="A4" s="80"/>
      <c r="B4" s="447" t="s">
        <v>471</v>
      </c>
      <c r="C4" s="810"/>
      <c r="D4" s="811"/>
      <c r="E4" s="811"/>
      <c r="F4" s="811"/>
      <c r="G4" s="811"/>
      <c r="H4" s="811"/>
      <c r="I4" s="811"/>
      <c r="J4" s="811"/>
      <c r="K4" s="603"/>
      <c r="L4" s="805"/>
      <c r="M4" s="806"/>
      <c r="N4" s="806"/>
      <c r="O4" s="806"/>
      <c r="P4" s="806"/>
      <c r="Q4" s="807"/>
    </row>
    <row r="5" spans="1:17" ht="33.65" customHeight="1" x14ac:dyDescent="0.35">
      <c r="A5" s="790" t="s">
        <v>164</v>
      </c>
      <c r="B5" s="792" t="s">
        <v>165</v>
      </c>
      <c r="C5" s="780" t="s">
        <v>223</v>
      </c>
      <c r="D5" s="108" t="s">
        <v>96</v>
      </c>
      <c r="E5" s="108" t="s">
        <v>501</v>
      </c>
      <c r="F5" s="108" t="s">
        <v>484</v>
      </c>
      <c r="G5" s="108" t="s">
        <v>481</v>
      </c>
      <c r="H5" s="108" t="s">
        <v>370</v>
      </c>
      <c r="I5" s="108" t="s">
        <v>444</v>
      </c>
      <c r="J5" s="160" t="s">
        <v>505</v>
      </c>
      <c r="K5" s="160" t="s">
        <v>374</v>
      </c>
      <c r="L5" s="606" t="s">
        <v>96</v>
      </c>
      <c r="M5" s="607" t="s">
        <v>484</v>
      </c>
      <c r="N5" s="607" t="s">
        <v>481</v>
      </c>
      <c r="O5" s="607" t="str">
        <f>+I5</f>
        <v>Biodiesel B5</v>
      </c>
      <c r="P5" s="607" t="str">
        <f>+J5</f>
        <v>Biodiesel B8</v>
      </c>
      <c r="Q5" s="608" t="s">
        <v>374</v>
      </c>
    </row>
    <row r="6" spans="1:17" x14ac:dyDescent="0.35">
      <c r="A6" s="790"/>
      <c r="B6" s="792"/>
      <c r="C6" s="781"/>
      <c r="D6" s="367">
        <v>0.08</v>
      </c>
      <c r="E6" s="452">
        <v>0.02</v>
      </c>
      <c r="F6" s="452">
        <v>0.04</v>
      </c>
      <c r="G6" s="452">
        <v>0.05</v>
      </c>
      <c r="H6" s="124">
        <v>0.02</v>
      </c>
      <c r="I6" s="109">
        <v>0.05</v>
      </c>
      <c r="J6" s="458">
        <v>0.08</v>
      </c>
      <c r="K6" s="458">
        <v>0.1</v>
      </c>
      <c r="L6" s="660">
        <v>0.08</v>
      </c>
      <c r="M6" s="611">
        <v>0.04</v>
      </c>
      <c r="N6" s="611">
        <v>0.05</v>
      </c>
      <c r="O6" s="611">
        <f>+I6</f>
        <v>0.05</v>
      </c>
      <c r="P6" s="611">
        <f>+J6</f>
        <v>0.08</v>
      </c>
      <c r="Q6" s="612">
        <v>0.1</v>
      </c>
    </row>
    <row r="7" spans="1:17" x14ac:dyDescent="0.35">
      <c r="A7" s="791"/>
      <c r="B7" s="793"/>
      <c r="C7" s="81" t="s">
        <v>166</v>
      </c>
      <c r="D7" s="108" t="s">
        <v>166</v>
      </c>
      <c r="E7" s="108" t="s">
        <v>166</v>
      </c>
      <c r="F7" s="108" t="s">
        <v>166</v>
      </c>
      <c r="G7" s="108" t="s">
        <v>166</v>
      </c>
      <c r="H7" s="108" t="s">
        <v>166</v>
      </c>
      <c r="I7" s="108" t="s">
        <v>166</v>
      </c>
      <c r="J7" s="585"/>
      <c r="K7" s="585"/>
      <c r="L7" s="606" t="s">
        <v>166</v>
      </c>
      <c r="M7" s="607" t="s">
        <v>166</v>
      </c>
      <c r="N7" s="607" t="s">
        <v>166</v>
      </c>
      <c r="O7" s="607" t="s">
        <v>166</v>
      </c>
      <c r="P7" s="607" t="s">
        <v>166</v>
      </c>
      <c r="Q7" s="608" t="s">
        <v>166</v>
      </c>
    </row>
    <row r="8" spans="1:17" ht="16.75" customHeight="1" x14ac:dyDescent="0.35">
      <c r="A8" s="82" t="s">
        <v>167</v>
      </c>
      <c r="B8" s="88" t="s">
        <v>168</v>
      </c>
      <c r="C8" s="144">
        <f>+'Calculo IP ZDF'!B37</f>
        <v>9805.1042400000006</v>
      </c>
      <c r="D8" s="148">
        <f>+'Calculo IP ZDF'!B37</f>
        <v>9805.1042400000006</v>
      </c>
      <c r="E8" s="130">
        <f>+'Calculo IP ZDF'!G37</f>
        <v>9896.462155199999</v>
      </c>
      <c r="F8" s="130">
        <f>+'Calculo IP ZDF'!H37</f>
        <v>9987.820070400001</v>
      </c>
      <c r="G8" s="130">
        <f>+'Calculo IP ZDF'!I37</f>
        <v>10033.499028</v>
      </c>
      <c r="H8" s="150">
        <f>+'Calculo IP ZDF'!F37</f>
        <v>3427.2973999999999</v>
      </c>
      <c r="I8" s="450">
        <f>+'Calculo IP ZDF'!S37</f>
        <v>3822.8671629999994</v>
      </c>
      <c r="J8" s="646">
        <f>+'Calculo IP ZDF'!N37</f>
        <v>4218.4409367999997</v>
      </c>
      <c r="K8" s="646">
        <f>+'Calculo IP ZDF'!M37</f>
        <v>4482.1567859999996</v>
      </c>
      <c r="L8" s="618">
        <f>+'GAS CTE'!C6</f>
        <v>9914.16</v>
      </c>
      <c r="M8" s="621">
        <f>+'GAS CTE'!E9</f>
        <v>10092.5136</v>
      </c>
      <c r="N8" s="621">
        <f>+'GAS CTE'!F9</f>
        <v>10137.1</v>
      </c>
      <c r="O8" s="649">
        <f>+BIODIESEL!G9</f>
        <v>5351.866</v>
      </c>
      <c r="P8" s="621">
        <f>+BIODIESEL!H9</f>
        <v>5699.1596</v>
      </c>
      <c r="Q8" s="622">
        <f>+BIODIESEL!I9</f>
        <v>5930.6819999999998</v>
      </c>
    </row>
    <row r="9" spans="1:17" ht="16.75" customHeight="1" x14ac:dyDescent="0.35">
      <c r="A9" s="82" t="s">
        <v>169</v>
      </c>
      <c r="B9" s="88" t="s">
        <v>170</v>
      </c>
      <c r="C9" s="131" t="str">
        <f t="shared" ref="C9:C12" si="0">+D9</f>
        <v>------------------</v>
      </c>
      <c r="D9" s="132" t="s">
        <v>171</v>
      </c>
      <c r="E9" s="407" t="s">
        <v>171</v>
      </c>
      <c r="F9" s="407" t="s">
        <v>171</v>
      </c>
      <c r="G9" s="407" t="s">
        <v>171</v>
      </c>
      <c r="H9" s="132" t="s">
        <v>171</v>
      </c>
      <c r="I9" s="453" t="s">
        <v>171</v>
      </c>
      <c r="J9" s="439" t="s">
        <v>171</v>
      </c>
      <c r="K9" s="439" t="s">
        <v>171</v>
      </c>
      <c r="L9" s="618">
        <f>+'GAS CTE'!C10</f>
        <v>663.16</v>
      </c>
      <c r="M9" s="621">
        <f>+'GAS CTE'!E10</f>
        <v>636.6336</v>
      </c>
      <c r="N9" s="621">
        <f>+'GAS CTE'!F10</f>
        <v>630.00199999999995</v>
      </c>
      <c r="O9" s="665">
        <f>+BIODIESEL!G10</f>
        <v>603.00299999999993</v>
      </c>
      <c r="P9" s="641">
        <f>+BIODIESEL!H10</f>
        <v>583.96080000000006</v>
      </c>
      <c r="Q9" s="642">
        <f>+BIODIESEL!I10</f>
        <v>571.26600000000008</v>
      </c>
    </row>
    <row r="10" spans="1:17" ht="16.75" customHeight="1" x14ac:dyDescent="0.35">
      <c r="A10" s="82"/>
      <c r="B10" s="88" t="s">
        <v>129</v>
      </c>
      <c r="C10" s="131" t="str">
        <f>+D10</f>
        <v>------------------</v>
      </c>
      <c r="D10" s="132" t="s">
        <v>171</v>
      </c>
      <c r="E10" s="407" t="s">
        <v>171</v>
      </c>
      <c r="F10" s="407" t="s">
        <v>171</v>
      </c>
      <c r="G10" s="407" t="s">
        <v>171</v>
      </c>
      <c r="H10" s="132" t="s">
        <v>171</v>
      </c>
      <c r="I10" s="453" t="s">
        <v>171</v>
      </c>
      <c r="J10" s="439" t="s">
        <v>171</v>
      </c>
      <c r="K10" s="439" t="s">
        <v>171</v>
      </c>
      <c r="L10" s="618"/>
      <c r="M10" s="621" t="s">
        <v>130</v>
      </c>
      <c r="N10" s="621" t="s">
        <v>130</v>
      </c>
      <c r="O10" s="665" t="str">
        <f>+BIODIESEL!I11</f>
        <v>(3)</v>
      </c>
      <c r="P10" s="641" t="str">
        <f>+BIODIESEL!J11</f>
        <v>(3)</v>
      </c>
      <c r="Q10" s="642" t="str">
        <f>+BIODIESEL!K11</f>
        <v>(3)</v>
      </c>
    </row>
    <row r="11" spans="1:17" ht="16.75" customHeight="1" x14ac:dyDescent="0.35">
      <c r="A11" s="82"/>
      <c r="B11" s="88" t="s">
        <v>131</v>
      </c>
      <c r="C11" s="131">
        <f>+'GAS CTE'!C12</f>
        <v>169</v>
      </c>
      <c r="D11" s="132">
        <f>+'GAS CTE'!C12</f>
        <v>169</v>
      </c>
      <c r="E11" s="407">
        <f>+'GAS CTE'!D12</f>
        <v>165.62</v>
      </c>
      <c r="F11" s="407">
        <f>+'GAS CTE'!E12</f>
        <v>162.23999999999998</v>
      </c>
      <c r="G11" s="407">
        <f>+'GAS CTE'!F12</f>
        <v>160.54999999999998</v>
      </c>
      <c r="H11" s="132">
        <f>+BIODIESEL!E12</f>
        <v>187.18</v>
      </c>
      <c r="I11" s="453">
        <f>+BIODIESEL!G12</f>
        <v>181.45</v>
      </c>
      <c r="J11" s="439">
        <f>+BIODIESEL!H12</f>
        <v>175.72</v>
      </c>
      <c r="K11" s="439">
        <f>+BIODIESEL!I12</f>
        <v>171.9</v>
      </c>
      <c r="L11" s="618">
        <f>+'GAS CTE'!C12</f>
        <v>169</v>
      </c>
      <c r="M11" s="621">
        <f>+'GAS CTE'!E12</f>
        <v>162.23999999999998</v>
      </c>
      <c r="N11" s="621">
        <f>+'GAS CTE'!F12</f>
        <v>160.54999999999998</v>
      </c>
      <c r="O11" s="649">
        <f>+BIODIESEL!G12</f>
        <v>181.45</v>
      </c>
      <c r="P11" s="621">
        <f>+BIODIESEL!H12</f>
        <v>175.72</v>
      </c>
      <c r="Q11" s="622">
        <f>+BIODIESEL!I12</f>
        <v>171.9</v>
      </c>
    </row>
    <row r="12" spans="1:17" ht="16.75" customHeight="1" x14ac:dyDescent="0.35">
      <c r="A12" s="82" t="s">
        <v>172</v>
      </c>
      <c r="B12" s="88" t="s">
        <v>268</v>
      </c>
      <c r="C12" s="131" t="str">
        <f t="shared" si="0"/>
        <v>(2)</v>
      </c>
      <c r="D12" s="86" t="s">
        <v>200</v>
      </c>
      <c r="E12" s="140" t="s">
        <v>200</v>
      </c>
      <c r="F12" s="140" t="s">
        <v>200</v>
      </c>
      <c r="G12" s="140" t="s">
        <v>200</v>
      </c>
      <c r="H12" s="86" t="s">
        <v>200</v>
      </c>
      <c r="I12" s="454" t="s">
        <v>200</v>
      </c>
      <c r="J12" s="133" t="s">
        <v>200</v>
      </c>
      <c r="K12" s="133" t="s">
        <v>200</v>
      </c>
      <c r="L12" s="618" t="str">
        <f>+I12</f>
        <v>(2)</v>
      </c>
      <c r="M12" s="621" t="s">
        <v>200</v>
      </c>
      <c r="N12" s="621" t="s">
        <v>200</v>
      </c>
      <c r="O12" s="649" t="s">
        <v>200</v>
      </c>
      <c r="P12" s="621" t="s">
        <v>200</v>
      </c>
      <c r="Q12" s="622" t="s">
        <v>200</v>
      </c>
    </row>
    <row r="13" spans="1:17" ht="16.75" customHeight="1" x14ac:dyDescent="0.35">
      <c r="A13" s="82" t="s">
        <v>174</v>
      </c>
      <c r="B13" s="88" t="s">
        <v>175</v>
      </c>
      <c r="C13" s="131">
        <f>+RUBROS!$AF$21</f>
        <v>26.583233136281329</v>
      </c>
      <c r="D13" s="86">
        <f t="shared" ref="D13:D15" si="1">+C13</f>
        <v>26.583233136281329</v>
      </c>
      <c r="E13" s="86">
        <f t="shared" ref="E13:F15" si="2">+C13</f>
        <v>26.583233136281329</v>
      </c>
      <c r="F13" s="140">
        <f t="shared" si="2"/>
        <v>26.583233136281329</v>
      </c>
      <c r="G13" s="140">
        <f>+D13</f>
        <v>26.583233136281329</v>
      </c>
      <c r="H13" s="86">
        <f>+D13</f>
        <v>26.583233136281329</v>
      </c>
      <c r="I13" s="454">
        <f>+RUBROS!$AC$21</f>
        <v>23.500029293035123</v>
      </c>
      <c r="J13" s="133">
        <f>+H13</f>
        <v>26.583233136281329</v>
      </c>
      <c r="K13" s="133">
        <f>+H13</f>
        <v>26.583233136281329</v>
      </c>
      <c r="L13" s="618">
        <f>+RUBROS!$AG$21</f>
        <v>26.583233136281329</v>
      </c>
      <c r="M13" s="621">
        <f t="shared" ref="M13:N15" si="3">+F13</f>
        <v>26.583233136281329</v>
      </c>
      <c r="N13" s="621">
        <f t="shared" si="3"/>
        <v>26.583233136281329</v>
      </c>
      <c r="O13" s="649">
        <f t="shared" ref="O13:Q14" si="4">+L13</f>
        <v>26.583233136281329</v>
      </c>
      <c r="P13" s="621">
        <f t="shared" si="4"/>
        <v>26.583233136281329</v>
      </c>
      <c r="Q13" s="622">
        <f t="shared" si="4"/>
        <v>26.583233136281329</v>
      </c>
    </row>
    <row r="14" spans="1:17" ht="16.75" customHeight="1" x14ac:dyDescent="0.35">
      <c r="A14" s="82" t="s">
        <v>176</v>
      </c>
      <c r="B14" s="88" t="s">
        <v>177</v>
      </c>
      <c r="C14" s="131">
        <f>+RUBROS!AF57</f>
        <v>127.34867912829091</v>
      </c>
      <c r="D14" s="86">
        <f t="shared" si="1"/>
        <v>127.34867912829091</v>
      </c>
      <c r="E14" s="86">
        <f t="shared" si="2"/>
        <v>127.34867912829091</v>
      </c>
      <c r="F14" s="140">
        <f t="shared" si="2"/>
        <v>127.34867912829091</v>
      </c>
      <c r="G14" s="140">
        <f>+D14</f>
        <v>127.34867912829091</v>
      </c>
      <c r="H14" s="86">
        <f>+C14</f>
        <v>127.34867912829091</v>
      </c>
      <c r="I14" s="454">
        <f>+C14</f>
        <v>127.34867912829091</v>
      </c>
      <c r="J14" s="133">
        <f>+I14</f>
        <v>127.34867912829091</v>
      </c>
      <c r="K14" s="133">
        <f>+H14</f>
        <v>127.34867912829091</v>
      </c>
      <c r="L14" s="618">
        <f>+RUBROS!AG57</f>
        <v>127.34867912829091</v>
      </c>
      <c r="M14" s="621">
        <f t="shared" si="3"/>
        <v>127.34867912829091</v>
      </c>
      <c r="N14" s="621">
        <f t="shared" si="3"/>
        <v>127.34867912829091</v>
      </c>
      <c r="O14" s="649">
        <f t="shared" si="4"/>
        <v>127.34867912829091</v>
      </c>
      <c r="P14" s="621">
        <f t="shared" si="4"/>
        <v>127.34867912829091</v>
      </c>
      <c r="Q14" s="622">
        <f t="shared" si="4"/>
        <v>127.34867912829091</v>
      </c>
    </row>
    <row r="15" spans="1:17" ht="16.75" customHeight="1" x14ac:dyDescent="0.35">
      <c r="A15" s="82" t="s">
        <v>178</v>
      </c>
      <c r="B15" s="88" t="s">
        <v>179</v>
      </c>
      <c r="C15" s="131">
        <f>+RUBROS!AZ32</f>
        <v>13.726213893883656</v>
      </c>
      <c r="D15" s="86">
        <f t="shared" si="1"/>
        <v>13.726213893883656</v>
      </c>
      <c r="E15" s="86">
        <f t="shared" si="2"/>
        <v>13.726213893883656</v>
      </c>
      <c r="F15" s="140">
        <f t="shared" si="2"/>
        <v>13.726213893883656</v>
      </c>
      <c r="G15" s="130">
        <f>+D15</f>
        <v>13.726213893883656</v>
      </c>
      <c r="H15" s="133">
        <f>+C15</f>
        <v>13.726213893883656</v>
      </c>
      <c r="I15" s="450">
        <f>+C15</f>
        <v>13.726213893883656</v>
      </c>
      <c r="J15" s="133">
        <f>+I15</f>
        <v>13.726213893883656</v>
      </c>
      <c r="K15" s="133">
        <f>+H15</f>
        <v>13.726213893883656</v>
      </c>
      <c r="L15" s="618">
        <f>+C15</f>
        <v>13.726213893883656</v>
      </c>
      <c r="M15" s="621">
        <f t="shared" si="3"/>
        <v>13.726213893883656</v>
      </c>
      <c r="N15" s="621">
        <f t="shared" si="3"/>
        <v>13.726213893883656</v>
      </c>
      <c r="O15" s="649">
        <f>+C15</f>
        <v>13.726213893883656</v>
      </c>
      <c r="P15" s="621">
        <f>+D15</f>
        <v>13.726213893883656</v>
      </c>
      <c r="Q15" s="622">
        <f>+E15</f>
        <v>13.726213893883656</v>
      </c>
    </row>
    <row r="16" spans="1:17" hidden="1" x14ac:dyDescent="0.35">
      <c r="A16" s="82"/>
      <c r="B16" s="88" t="s">
        <v>180</v>
      </c>
      <c r="C16" s="131"/>
      <c r="D16" s="134"/>
      <c r="E16" s="135"/>
      <c r="F16" s="135"/>
      <c r="G16" s="135"/>
      <c r="H16" s="135"/>
      <c r="I16" s="85"/>
      <c r="J16" s="133"/>
      <c r="K16" s="133"/>
      <c r="L16" s="618"/>
      <c r="M16" s="621"/>
      <c r="N16" s="621"/>
      <c r="O16" s="616"/>
      <c r="P16" s="616"/>
      <c r="Q16" s="617"/>
    </row>
    <row r="17" spans="1:23" x14ac:dyDescent="0.35">
      <c r="A17" s="89" t="s">
        <v>181</v>
      </c>
      <c r="B17" s="115" t="s">
        <v>182</v>
      </c>
      <c r="C17" s="136">
        <f>SUM(C8:C16)</f>
        <v>10141.762366158457</v>
      </c>
      <c r="D17" s="137">
        <f t="shared" ref="D17:O17" si="5">SUM(D8:D16)</f>
        <v>10141.762366158457</v>
      </c>
      <c r="E17" s="137">
        <f t="shared" si="5"/>
        <v>10229.740281358456</v>
      </c>
      <c r="F17" s="137">
        <f t="shared" si="5"/>
        <v>10317.718196558457</v>
      </c>
      <c r="G17" s="137">
        <f t="shared" si="5"/>
        <v>10361.707154158456</v>
      </c>
      <c r="H17" s="137">
        <f t="shared" si="5"/>
        <v>3782.1355261584554</v>
      </c>
      <c r="I17" s="137">
        <f t="shared" si="5"/>
        <v>4168.8920853152094</v>
      </c>
      <c r="J17" s="137">
        <f t="shared" si="5"/>
        <v>4561.8190629584569</v>
      </c>
      <c r="K17" s="137">
        <f t="shared" ref="K17" si="6">SUM(K8:K16)</f>
        <v>4821.7149121584562</v>
      </c>
      <c r="L17" s="627">
        <f t="shared" si="5"/>
        <v>10913.978126158456</v>
      </c>
      <c r="M17" s="632">
        <f t="shared" si="5"/>
        <v>11059.045326158455</v>
      </c>
      <c r="N17" s="632">
        <f t="shared" si="5"/>
        <v>11095.310126158456</v>
      </c>
      <c r="O17" s="632">
        <f t="shared" si="5"/>
        <v>6303.9771261584565</v>
      </c>
      <c r="P17" s="632">
        <f t="shared" ref="P17:Q17" si="7">SUM(P8:P16)</f>
        <v>6626.498526158457</v>
      </c>
      <c r="Q17" s="633">
        <f t="shared" si="7"/>
        <v>6841.5061261584569</v>
      </c>
    </row>
    <row r="18" spans="1:23" x14ac:dyDescent="0.35">
      <c r="A18" s="82" t="s">
        <v>183</v>
      </c>
      <c r="B18" s="88" t="s">
        <v>184</v>
      </c>
      <c r="C18" s="131" t="s">
        <v>214</v>
      </c>
      <c r="D18" s="139" t="str">
        <f>+C18</f>
        <v>***</v>
      </c>
      <c r="E18" s="139" t="str">
        <f>+D18</f>
        <v>***</v>
      </c>
      <c r="F18" s="139" t="str">
        <f>+D18</f>
        <v>***</v>
      </c>
      <c r="G18" s="139" t="str">
        <f>+D18</f>
        <v>***</v>
      </c>
      <c r="H18" s="139" t="str">
        <f>+C18</f>
        <v>***</v>
      </c>
      <c r="I18" s="139" t="str">
        <f>+C18</f>
        <v>***</v>
      </c>
      <c r="J18" s="404" t="str">
        <f>+D18</f>
        <v>***</v>
      </c>
      <c r="K18" s="404" t="str">
        <f>+E18</f>
        <v>***</v>
      </c>
      <c r="L18" s="613" t="str">
        <f>+O18</f>
        <v>***</v>
      </c>
      <c r="M18" s="616" t="str">
        <f>+P18</f>
        <v>***</v>
      </c>
      <c r="N18" s="616" t="str">
        <f>+L18</f>
        <v>***</v>
      </c>
      <c r="O18" s="616" t="s">
        <v>214</v>
      </c>
      <c r="P18" s="616" t="s">
        <v>214</v>
      </c>
      <c r="Q18" s="617" t="s">
        <v>214</v>
      </c>
    </row>
    <row r="19" spans="1:23" x14ac:dyDescent="0.35">
      <c r="A19" s="82" t="s">
        <v>185</v>
      </c>
      <c r="B19" s="88" t="s">
        <v>186</v>
      </c>
      <c r="C19" s="131" t="str">
        <f>+D19</f>
        <v>**</v>
      </c>
      <c r="D19" s="140" t="s">
        <v>212</v>
      </c>
      <c r="E19" s="140" t="s">
        <v>212</v>
      </c>
      <c r="F19" s="140" t="s">
        <v>212</v>
      </c>
      <c r="G19" s="140" t="s">
        <v>212</v>
      </c>
      <c r="H19" s="140" t="s">
        <v>212</v>
      </c>
      <c r="I19" s="140" t="s">
        <v>212</v>
      </c>
      <c r="J19" s="130" t="s">
        <v>212</v>
      </c>
      <c r="K19" s="130" t="s">
        <v>212</v>
      </c>
      <c r="L19" s="618" t="str">
        <f>+O19</f>
        <v>**</v>
      </c>
      <c r="M19" s="616" t="str">
        <f>+P19</f>
        <v>**</v>
      </c>
      <c r="N19" s="621" t="s">
        <v>212</v>
      </c>
      <c r="O19" s="621" t="s">
        <v>212</v>
      </c>
      <c r="P19" s="621" t="s">
        <v>212</v>
      </c>
      <c r="Q19" s="622" t="s">
        <v>212</v>
      </c>
    </row>
    <row r="20" spans="1:23" x14ac:dyDescent="0.35">
      <c r="A20" s="82" t="s">
        <v>187</v>
      </c>
      <c r="B20" s="88" t="s">
        <v>188</v>
      </c>
      <c r="C20" s="131" t="str">
        <f>+D20</f>
        <v>****</v>
      </c>
      <c r="D20" s="86" t="s">
        <v>216</v>
      </c>
      <c r="E20" s="86" t="s">
        <v>216</v>
      </c>
      <c r="F20" s="86" t="s">
        <v>216</v>
      </c>
      <c r="G20" s="86" t="s">
        <v>216</v>
      </c>
      <c r="H20" s="86" t="str">
        <f>+D20</f>
        <v>****</v>
      </c>
      <c r="I20" s="86" t="str">
        <f>+H20</f>
        <v>****</v>
      </c>
      <c r="J20" s="133" t="str">
        <f>+I20</f>
        <v>****</v>
      </c>
      <c r="K20" s="133" t="str">
        <f>+J20</f>
        <v>****</v>
      </c>
      <c r="L20" s="613" t="str">
        <f>+I20</f>
        <v>****</v>
      </c>
      <c r="M20" s="616" t="str">
        <f>+L20</f>
        <v>****</v>
      </c>
      <c r="N20" s="616" t="s">
        <v>216</v>
      </c>
      <c r="O20" s="616" t="str">
        <f>+I20</f>
        <v>****</v>
      </c>
      <c r="P20" s="616" t="str">
        <f>+J20</f>
        <v>****</v>
      </c>
      <c r="Q20" s="617" t="str">
        <f>+L20</f>
        <v>****</v>
      </c>
    </row>
    <row r="21" spans="1:23" x14ac:dyDescent="0.35">
      <c r="A21" s="89" t="s">
        <v>189</v>
      </c>
      <c r="B21" s="115" t="s">
        <v>190</v>
      </c>
      <c r="C21" s="136">
        <f t="shared" ref="C21:O21" si="8">+C17</f>
        <v>10141.762366158457</v>
      </c>
      <c r="D21" s="136">
        <f t="shared" si="8"/>
        <v>10141.762366158457</v>
      </c>
      <c r="E21" s="136">
        <f t="shared" ref="E21" si="9">+E17</f>
        <v>10229.740281358456</v>
      </c>
      <c r="F21" s="136">
        <f t="shared" ref="F21" si="10">+F17</f>
        <v>10317.718196558457</v>
      </c>
      <c r="G21" s="136">
        <f t="shared" si="8"/>
        <v>10361.707154158456</v>
      </c>
      <c r="H21" s="136">
        <f t="shared" si="8"/>
        <v>3782.1355261584554</v>
      </c>
      <c r="I21" s="136">
        <f t="shared" si="8"/>
        <v>4168.8920853152094</v>
      </c>
      <c r="J21" s="136">
        <f t="shared" ref="J21:K21" si="11">+J17</f>
        <v>4561.8190629584569</v>
      </c>
      <c r="K21" s="136">
        <f t="shared" si="11"/>
        <v>4821.7149121584562</v>
      </c>
      <c r="L21" s="643">
        <f t="shared" si="8"/>
        <v>10913.978126158456</v>
      </c>
      <c r="M21" s="644">
        <f t="shared" ref="M21" si="12">+M17</f>
        <v>11059.045326158455</v>
      </c>
      <c r="N21" s="644">
        <f t="shared" ref="N21" si="13">+N17</f>
        <v>11095.310126158456</v>
      </c>
      <c r="O21" s="644">
        <f t="shared" si="8"/>
        <v>6303.9771261584565</v>
      </c>
      <c r="P21" s="644">
        <f t="shared" ref="P21:Q21" si="14">+P17</f>
        <v>6626.498526158457</v>
      </c>
      <c r="Q21" s="645">
        <f t="shared" si="14"/>
        <v>6841.5061261584569</v>
      </c>
    </row>
    <row r="22" spans="1:23" ht="26" x14ac:dyDescent="0.35">
      <c r="A22" s="82" t="s">
        <v>191</v>
      </c>
      <c r="B22" s="88" t="s">
        <v>150</v>
      </c>
      <c r="C22" s="131" t="s">
        <v>214</v>
      </c>
      <c r="D22" s="86" t="str">
        <f>+C22</f>
        <v>***</v>
      </c>
      <c r="E22" s="86" t="str">
        <f>+D22</f>
        <v>***</v>
      </c>
      <c r="F22" s="86" t="str">
        <f>+D22</f>
        <v>***</v>
      </c>
      <c r="G22" s="86" t="str">
        <f>+D22</f>
        <v>***</v>
      </c>
      <c r="H22" s="86" t="str">
        <f>+D22</f>
        <v>***</v>
      </c>
      <c r="I22" s="86" t="str">
        <f>+H22</f>
        <v>***</v>
      </c>
      <c r="J22" s="133" t="str">
        <f>+I22</f>
        <v>***</v>
      </c>
      <c r="K22" s="133" t="str">
        <f>+J22</f>
        <v>***</v>
      </c>
      <c r="L22" s="613" t="str">
        <f>+O22</f>
        <v>***</v>
      </c>
      <c r="M22" s="616" t="str">
        <f>+P22</f>
        <v>***</v>
      </c>
      <c r="N22" s="616" t="str">
        <f>+L22</f>
        <v>***</v>
      </c>
      <c r="O22" s="616" t="s">
        <v>214</v>
      </c>
      <c r="P22" s="616" t="s">
        <v>214</v>
      </c>
      <c r="Q22" s="617" t="s">
        <v>214</v>
      </c>
    </row>
    <row r="23" spans="1:23" x14ac:dyDescent="0.35">
      <c r="A23" s="82" t="s">
        <v>192</v>
      </c>
      <c r="B23" s="83" t="s">
        <v>193</v>
      </c>
      <c r="C23" s="131" t="str">
        <f>+D23</f>
        <v>*****</v>
      </c>
      <c r="D23" s="86" t="s">
        <v>218</v>
      </c>
      <c r="E23" s="86" t="s">
        <v>218</v>
      </c>
      <c r="F23" s="86" t="s">
        <v>218</v>
      </c>
      <c r="G23" s="86" t="s">
        <v>218</v>
      </c>
      <c r="H23" s="86" t="s">
        <v>236</v>
      </c>
      <c r="I23" s="86" t="s">
        <v>194</v>
      </c>
      <c r="J23" s="133" t="s">
        <v>194</v>
      </c>
      <c r="K23" s="133" t="s">
        <v>194</v>
      </c>
      <c r="L23" s="613" t="str">
        <f>+D23</f>
        <v>*****</v>
      </c>
      <c r="M23" s="616" t="str">
        <f>+F23</f>
        <v>*****</v>
      </c>
      <c r="N23" s="616" t="s">
        <v>218</v>
      </c>
      <c r="O23" s="616" t="s">
        <v>237</v>
      </c>
      <c r="P23" s="616" t="s">
        <v>237</v>
      </c>
      <c r="Q23" s="617" t="s">
        <v>237</v>
      </c>
      <c r="R23" s="15"/>
    </row>
    <row r="24" spans="1:23" x14ac:dyDescent="0.35">
      <c r="A24" s="82" t="s">
        <v>195</v>
      </c>
      <c r="B24" s="88" t="s">
        <v>196</v>
      </c>
      <c r="C24" s="131" t="str">
        <f>+D24</f>
        <v>******</v>
      </c>
      <c r="D24" s="140" t="s">
        <v>219</v>
      </c>
      <c r="E24" s="140" t="s">
        <v>219</v>
      </c>
      <c r="F24" s="140" t="s">
        <v>219</v>
      </c>
      <c r="G24" s="140" t="s">
        <v>219</v>
      </c>
      <c r="H24" s="140" t="str">
        <f>+D24</f>
        <v>******</v>
      </c>
      <c r="I24" s="140" t="str">
        <f>+H24</f>
        <v>******</v>
      </c>
      <c r="J24" s="130" t="str">
        <f>+I24</f>
        <v>******</v>
      </c>
      <c r="K24" s="130" t="str">
        <f>+J24</f>
        <v>******</v>
      </c>
      <c r="L24" s="618" t="str">
        <f>+I24</f>
        <v>******</v>
      </c>
      <c r="M24" s="616" t="str">
        <f>+L24</f>
        <v>******</v>
      </c>
      <c r="N24" s="621" t="s">
        <v>219</v>
      </c>
      <c r="O24" s="621" t="str">
        <f>+L24</f>
        <v>******</v>
      </c>
      <c r="P24" s="621" t="str">
        <f>+M24</f>
        <v>******</v>
      </c>
      <c r="Q24" s="622" t="str">
        <f>+N24</f>
        <v>******</v>
      </c>
    </row>
    <row r="25" spans="1:23" ht="15" thickBot="1" x14ac:dyDescent="0.4">
      <c r="A25" s="93" t="s">
        <v>197</v>
      </c>
      <c r="B25" s="94" t="s">
        <v>198</v>
      </c>
      <c r="C25" s="141"/>
      <c r="D25" s="97"/>
      <c r="E25" s="142"/>
      <c r="F25" s="142"/>
      <c r="G25" s="142"/>
      <c r="H25" s="142"/>
      <c r="I25" s="96"/>
      <c r="J25" s="156"/>
      <c r="K25" s="156"/>
      <c r="L25" s="635"/>
      <c r="M25" s="636"/>
      <c r="N25" s="636"/>
      <c r="O25" s="636"/>
      <c r="P25" s="636"/>
      <c r="Q25" s="637"/>
    </row>
    <row r="26" spans="1:23" ht="15" thickTop="1" x14ac:dyDescent="0.35"/>
    <row r="27" spans="1:23" x14ac:dyDescent="0.35">
      <c r="A27" s="101"/>
      <c r="B27" s="119" t="s">
        <v>210</v>
      </c>
      <c r="C27" s="145"/>
      <c r="D27" s="145"/>
      <c r="E27" s="145"/>
      <c r="F27" s="145"/>
      <c r="G27" s="145"/>
      <c r="H27" s="145"/>
      <c r="I27" s="145"/>
      <c r="J27" s="145"/>
      <c r="K27" s="145"/>
      <c r="L27" s="127"/>
      <c r="M27" s="127"/>
      <c r="N27" s="127"/>
      <c r="O27" s="127"/>
      <c r="P27" s="127"/>
      <c r="Q27" s="127"/>
      <c r="R27" s="127"/>
      <c r="S27" s="127"/>
      <c r="T27" s="127"/>
      <c r="U27" s="127"/>
      <c r="V27" s="127"/>
      <c r="W27" s="127"/>
    </row>
    <row r="28" spans="1:23" x14ac:dyDescent="0.35">
      <c r="A28" s="101"/>
      <c r="B28" s="119"/>
      <c r="C28" s="145"/>
      <c r="D28" s="145"/>
      <c r="E28" s="145"/>
      <c r="F28" s="145"/>
      <c r="G28" s="145"/>
      <c r="H28" s="145"/>
      <c r="I28" s="145"/>
      <c r="J28" s="145"/>
      <c r="K28" s="145"/>
      <c r="L28" s="127"/>
      <c r="M28" s="127"/>
      <c r="N28" s="127"/>
      <c r="O28" s="127"/>
      <c r="P28" s="127"/>
      <c r="Q28" s="127"/>
      <c r="R28" s="127"/>
      <c r="S28" s="127"/>
      <c r="T28" s="127"/>
      <c r="U28" s="127"/>
      <c r="V28" s="127"/>
      <c r="W28" s="127"/>
    </row>
    <row r="29" spans="1:23" ht="28.4" customHeight="1" x14ac:dyDescent="0.35">
      <c r="A29" s="101" t="s">
        <v>173</v>
      </c>
      <c r="B29" s="783" t="str">
        <f>+NARIÑO!B29</f>
        <v>De acuerdo con lo establecido en la Resoluccion 91349 de 2014 del MME para combustible de origen nacional o importado a ser distribuido en zonas de frontera, aplica la tarifa de marcación o remarcación vigente a la fecha según corresponda</v>
      </c>
      <c r="C29" s="783"/>
      <c r="D29" s="783"/>
      <c r="E29" s="783"/>
      <c r="F29" s="783"/>
      <c r="G29" s="783"/>
      <c r="H29" s="783"/>
      <c r="I29" s="783"/>
      <c r="J29" s="783"/>
      <c r="K29" s="783"/>
      <c r="L29" s="783"/>
      <c r="M29" s="783"/>
      <c r="N29" s="783"/>
      <c r="O29" s="783"/>
      <c r="P29" s="783"/>
      <c r="Q29" s="783"/>
      <c r="R29" s="146"/>
      <c r="S29" s="146"/>
      <c r="T29" s="146"/>
      <c r="U29" s="146"/>
      <c r="V29" s="146"/>
      <c r="W29" s="146"/>
    </row>
    <row r="30" spans="1:23" ht="26.5" customHeight="1" x14ac:dyDescent="0.35">
      <c r="A30" s="101" t="s">
        <v>200</v>
      </c>
      <c r="B30" s="778" t="s">
        <v>251</v>
      </c>
      <c r="C30" s="778"/>
      <c r="D30" s="778"/>
      <c r="E30" s="778"/>
      <c r="F30" s="778"/>
      <c r="G30" s="778"/>
      <c r="H30" s="778"/>
      <c r="I30" s="778"/>
      <c r="J30" s="778"/>
      <c r="K30" s="778"/>
      <c r="L30" s="778"/>
      <c r="M30" s="778"/>
      <c r="N30" s="778"/>
      <c r="O30" s="778"/>
      <c r="P30" s="778"/>
      <c r="Q30" s="778"/>
      <c r="R30" s="127"/>
      <c r="S30" s="127"/>
      <c r="T30" s="127"/>
      <c r="U30" s="127"/>
      <c r="V30" s="127"/>
      <c r="W30" s="127"/>
    </row>
    <row r="31" spans="1:23" ht="60" customHeight="1" x14ac:dyDescent="0.35">
      <c r="A31" s="101" t="s">
        <v>130</v>
      </c>
      <c r="B31" s="783" t="s">
        <v>307</v>
      </c>
      <c r="C31" s="783"/>
      <c r="D31" s="783"/>
      <c r="E31" s="783"/>
      <c r="F31" s="783"/>
      <c r="G31" s="783"/>
      <c r="H31" s="783"/>
      <c r="I31" s="783"/>
      <c r="J31" s="783"/>
      <c r="K31" s="783"/>
      <c r="L31" s="783"/>
      <c r="M31" s="783"/>
      <c r="N31" s="783"/>
      <c r="O31" s="783"/>
      <c r="P31" s="783"/>
      <c r="Q31" s="783"/>
      <c r="R31" s="127"/>
      <c r="S31" s="127"/>
      <c r="T31" s="127"/>
      <c r="U31" s="127"/>
      <c r="V31" s="127"/>
      <c r="W31" s="127"/>
    </row>
    <row r="32" spans="1:23" ht="51" customHeight="1" x14ac:dyDescent="0.35">
      <c r="A32" s="101"/>
      <c r="B32" s="783" t="s">
        <v>462</v>
      </c>
      <c r="C32" s="783"/>
      <c r="D32" s="783"/>
      <c r="E32" s="783"/>
      <c r="F32" s="783"/>
      <c r="G32" s="783"/>
      <c r="H32" s="783"/>
      <c r="I32" s="783"/>
      <c r="J32" s="783"/>
      <c r="K32" s="783"/>
      <c r="L32" s="783"/>
      <c r="M32" s="783"/>
      <c r="N32" s="783"/>
      <c r="O32" s="783"/>
      <c r="P32" s="783"/>
      <c r="Q32" s="783"/>
      <c r="R32" s="127"/>
      <c r="S32" s="127"/>
      <c r="T32" s="127"/>
      <c r="U32" s="127"/>
      <c r="V32" s="127"/>
      <c r="W32" s="127"/>
    </row>
    <row r="33" spans="1:23" ht="15" customHeight="1" x14ac:dyDescent="0.35">
      <c r="A33" s="120" t="s">
        <v>102</v>
      </c>
      <c r="B33" s="779" t="s">
        <v>211</v>
      </c>
      <c r="C33" s="779"/>
      <c r="D33" s="779"/>
      <c r="E33" s="779"/>
      <c r="F33" s="779"/>
      <c r="G33" s="779"/>
      <c r="H33" s="779"/>
      <c r="I33" s="779"/>
      <c r="J33" s="779"/>
      <c r="K33" s="779"/>
      <c r="L33" s="779"/>
      <c r="M33" s="779"/>
      <c r="N33" s="779"/>
      <c r="O33" s="779"/>
      <c r="P33" s="779"/>
      <c r="Q33" s="779"/>
      <c r="R33" s="127"/>
      <c r="S33" s="127"/>
      <c r="T33" s="127"/>
      <c r="U33" s="127"/>
      <c r="V33" s="127"/>
      <c r="W33" s="127"/>
    </row>
    <row r="34" spans="1:23" ht="15" customHeight="1" x14ac:dyDescent="0.35">
      <c r="A34" s="120" t="s">
        <v>212</v>
      </c>
      <c r="B34" s="783" t="s">
        <v>240</v>
      </c>
      <c r="C34" s="783"/>
      <c r="D34" s="783"/>
      <c r="E34" s="783"/>
      <c r="F34" s="783"/>
      <c r="G34" s="783"/>
      <c r="H34" s="783"/>
      <c r="I34" s="783"/>
      <c r="J34" s="783"/>
      <c r="K34" s="783"/>
      <c r="L34" s="783"/>
      <c r="M34" s="783"/>
      <c r="N34" s="783"/>
      <c r="O34" s="783"/>
      <c r="P34" s="783"/>
      <c r="Q34" s="783"/>
      <c r="R34" s="127"/>
      <c r="S34" s="127"/>
      <c r="T34" s="127"/>
      <c r="U34" s="127"/>
      <c r="V34" s="127"/>
      <c r="W34" s="127"/>
    </row>
    <row r="35" spans="1:23" ht="15" customHeight="1" x14ac:dyDescent="0.35">
      <c r="A35" s="101" t="s">
        <v>214</v>
      </c>
      <c r="B35" s="783" t="s">
        <v>215</v>
      </c>
      <c r="C35" s="783"/>
      <c r="D35" s="783"/>
      <c r="E35" s="783"/>
      <c r="F35" s="783"/>
      <c r="G35" s="783"/>
      <c r="H35" s="783"/>
      <c r="I35" s="783"/>
      <c r="J35" s="783"/>
      <c r="K35" s="783"/>
      <c r="L35" s="783"/>
      <c r="M35" s="783"/>
      <c r="N35" s="783"/>
      <c r="O35" s="783"/>
      <c r="P35" s="101"/>
      <c r="Q35" s="779"/>
      <c r="R35" s="779"/>
      <c r="S35" s="779"/>
      <c r="T35" s="779"/>
      <c r="U35" s="779"/>
      <c r="V35" s="779"/>
      <c r="W35" s="779"/>
    </row>
    <row r="36" spans="1:23" ht="36.75" customHeight="1" x14ac:dyDescent="0.35">
      <c r="A36" s="101" t="s">
        <v>216</v>
      </c>
      <c r="B36" s="779" t="s">
        <v>426</v>
      </c>
      <c r="C36" s="779"/>
      <c r="D36" s="779"/>
      <c r="E36" s="779"/>
      <c r="F36" s="779"/>
      <c r="G36" s="779"/>
      <c r="H36" s="779"/>
      <c r="I36" s="779"/>
      <c r="J36" s="779"/>
      <c r="K36" s="779"/>
      <c r="L36" s="779"/>
      <c r="M36" s="779"/>
      <c r="N36" s="779"/>
      <c r="O36" s="779"/>
      <c r="P36" s="101"/>
      <c r="Q36" s="102"/>
      <c r="R36" s="102"/>
      <c r="S36" s="102"/>
      <c r="T36" s="102"/>
      <c r="U36" s="102"/>
      <c r="V36" s="102"/>
      <c r="W36" s="102"/>
    </row>
    <row r="37" spans="1:23" ht="23.5" customHeight="1" x14ac:dyDescent="0.35">
      <c r="A37" s="120" t="s">
        <v>218</v>
      </c>
      <c r="B37" s="783" t="s">
        <v>220</v>
      </c>
      <c r="C37" s="783"/>
      <c r="D37" s="783"/>
      <c r="E37" s="783"/>
      <c r="F37" s="783"/>
      <c r="G37" s="783"/>
      <c r="H37" s="783"/>
      <c r="I37" s="783"/>
      <c r="J37" s="783"/>
      <c r="K37" s="783"/>
      <c r="L37" s="783"/>
      <c r="M37" s="783"/>
      <c r="N37" s="783"/>
      <c r="O37" s="783"/>
      <c r="P37" s="783"/>
      <c r="Q37" s="783"/>
      <c r="R37" s="127"/>
      <c r="S37" s="127"/>
      <c r="T37" s="127"/>
      <c r="U37" s="127"/>
      <c r="V37" s="127"/>
      <c r="W37" s="127"/>
    </row>
    <row r="38" spans="1:23" ht="26" x14ac:dyDescent="0.35">
      <c r="A38" s="120" t="s">
        <v>219</v>
      </c>
      <c r="B38" s="783" t="s">
        <v>269</v>
      </c>
      <c r="C38" s="783"/>
      <c r="D38" s="783"/>
      <c r="E38" s="783"/>
      <c r="F38" s="783"/>
      <c r="G38" s="783"/>
      <c r="H38" s="783"/>
      <c r="I38" s="783"/>
      <c r="J38" s="783"/>
      <c r="K38" s="783"/>
      <c r="L38" s="783"/>
      <c r="M38" s="783"/>
      <c r="N38" s="783"/>
      <c r="O38" s="783"/>
      <c r="P38" s="783"/>
      <c r="Q38" s="783"/>
      <c r="R38" s="127"/>
      <c r="S38" s="127"/>
      <c r="T38" s="127"/>
      <c r="U38" s="127"/>
      <c r="V38" s="127"/>
      <c r="W38" s="127"/>
    </row>
    <row r="39" spans="1:23" x14ac:dyDescent="0.35">
      <c r="B39" s="872" t="s">
        <v>416</v>
      </c>
      <c r="C39" s="872"/>
      <c r="D39" s="872"/>
      <c r="E39" s="872"/>
      <c r="F39" s="872"/>
      <c r="G39" s="872"/>
      <c r="H39" s="872"/>
      <c r="I39" s="872"/>
      <c r="J39" s="872"/>
      <c r="K39" s="872"/>
      <c r="L39" s="872"/>
      <c r="M39" s="872"/>
      <c r="N39" s="872"/>
      <c r="O39" s="872"/>
      <c r="P39" s="872"/>
    </row>
    <row r="40" spans="1:23" ht="88" customHeight="1" x14ac:dyDescent="0.35">
      <c r="B40" s="801" t="s">
        <v>137</v>
      </c>
      <c r="C40" s="801"/>
      <c r="D40" s="801"/>
      <c r="E40" s="801"/>
      <c r="F40" s="801"/>
      <c r="G40" s="801"/>
      <c r="H40" s="801"/>
      <c r="I40" s="801"/>
      <c r="J40" s="801"/>
      <c r="K40" s="801"/>
      <c r="L40" s="801"/>
      <c r="M40" s="801"/>
      <c r="N40" s="801"/>
      <c r="O40" s="801"/>
      <c r="P40" s="801"/>
      <c r="Q40" s="801"/>
      <c r="R40" s="801"/>
    </row>
  </sheetData>
  <sheetProtection algorithmName="SHA-512" hashValue="UeGsV8VOxFS4zDd05hH+2xyteJtm4DJMaLpsapYlGMrBAMHYwIqyMoU0R9LC87lwIoFN23anVFtdBmHxrYOxQg==" saltValue="xLWQmhKd3vo2Ln9UpfubIA==" spinCount="100000" sheet="1" objects="1" scenarios="1"/>
  <mergeCells count="18">
    <mergeCell ref="B36:O36"/>
    <mergeCell ref="B37:Q37"/>
    <mergeCell ref="B38:Q38"/>
    <mergeCell ref="B40:R40"/>
    <mergeCell ref="B30:Q30"/>
    <mergeCell ref="B31:Q31"/>
    <mergeCell ref="B33:Q33"/>
    <mergeCell ref="B34:Q34"/>
    <mergeCell ref="B35:O35"/>
    <mergeCell ref="Q35:W35"/>
    <mergeCell ref="B39:P39"/>
    <mergeCell ref="B32:Q32"/>
    <mergeCell ref="B29:Q29"/>
    <mergeCell ref="A5:A7"/>
    <mergeCell ref="B5:B7"/>
    <mergeCell ref="C5:C6"/>
    <mergeCell ref="C3:J4"/>
    <mergeCell ref="L3:Q4"/>
  </mergeCells>
  <hyperlinks>
    <hyperlink ref="B27" location="'NORTE SANTANDER'!A40" display="Ver Nota Informativa" xr:uid="{00000000-0004-0000-1200-000000000000}"/>
  </hyperlinks>
  <pageMargins left="0.7" right="0.7" top="0.75" bottom="0.75" header="0.3" footer="0.3"/>
  <pageSetup orientation="portrait" r:id="rId1"/>
  <ignoredErrors>
    <ignoredError sqref="C11 O17 H21:I21 H13 H11 O13:O15 D13:D15 D21 D17 L15 L17 H17:I17 H14:I15" formula="1"/>
    <ignoredError sqref="O12 C12:D12 L12 H12:I12" numberStoredAsText="1" formula="1"/>
    <ignoredError sqref="M10:N1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41"/>
  <sheetViews>
    <sheetView showGridLines="0" zoomScale="80" zoomScaleNormal="80" workbookViewId="0">
      <selection activeCell="S12" sqref="S12"/>
    </sheetView>
  </sheetViews>
  <sheetFormatPr baseColWidth="10" defaultRowHeight="14.5" x14ac:dyDescent="0.35"/>
  <cols>
    <col min="1" max="1" width="6.54296875" customWidth="1"/>
    <col min="2" max="2" width="45.81640625" customWidth="1"/>
    <col min="3" max="3" width="15.1796875" customWidth="1"/>
    <col min="4" max="4" width="13.26953125" hidden="1" customWidth="1"/>
    <col min="5" max="5" width="13.26953125" customWidth="1"/>
    <col min="6" max="6" width="13.453125" hidden="1" customWidth="1"/>
    <col min="7" max="7" width="13.7265625" hidden="1" customWidth="1"/>
    <col min="8" max="8" width="14.1796875" customWidth="1"/>
    <col min="9" max="9" width="13.81640625" hidden="1" customWidth="1"/>
    <col min="10" max="10" width="12.7265625" hidden="1" customWidth="1"/>
    <col min="11" max="11" width="12.1796875" customWidth="1"/>
    <col min="12" max="12" width="14.7265625" customWidth="1"/>
    <col min="13" max="13" width="14.81640625" hidden="1" customWidth="1"/>
    <col min="14" max="14" width="15.7265625" hidden="1" customWidth="1"/>
    <col min="15" max="15" width="12.453125" customWidth="1"/>
    <col min="16" max="16" width="11.26953125" hidden="1" customWidth="1"/>
    <col min="17" max="17" width="15" hidden="1" customWidth="1"/>
    <col min="18" max="18" width="14.26953125" customWidth="1"/>
    <col min="19" max="19" width="14.81640625" customWidth="1"/>
  </cols>
  <sheetData>
    <row r="1" spans="1:18" x14ac:dyDescent="0.35">
      <c r="A1" s="79"/>
      <c r="B1" s="79" t="str">
        <f>+AMAZONAS!C1</f>
        <v>Vigencia: 04 de Noviembre de 2023; 00:00 horas</v>
      </c>
    </row>
    <row r="2" spans="1:18" ht="15" thickBot="1" x14ac:dyDescent="0.4">
      <c r="A2" s="79" t="s">
        <v>162</v>
      </c>
      <c r="B2" s="79"/>
      <c r="D2" s="710"/>
      <c r="E2" s="395"/>
      <c r="F2" s="708"/>
      <c r="L2" s="395"/>
      <c r="M2" s="708"/>
    </row>
    <row r="3" spans="1:18" ht="16" customHeight="1" thickTop="1" x14ac:dyDescent="0.35">
      <c r="A3" s="128"/>
      <c r="B3" s="129" t="s">
        <v>296</v>
      </c>
      <c r="C3" s="812" t="s">
        <v>163</v>
      </c>
      <c r="D3" s="813"/>
      <c r="E3" s="813"/>
      <c r="F3" s="813"/>
      <c r="G3" s="813"/>
      <c r="H3" s="813"/>
      <c r="I3" s="813"/>
      <c r="J3" s="813"/>
      <c r="K3" s="878"/>
      <c r="L3" s="882" t="s">
        <v>232</v>
      </c>
      <c r="M3" s="858"/>
      <c r="N3" s="858"/>
      <c r="O3" s="858"/>
      <c r="P3" s="858"/>
      <c r="Q3" s="858"/>
      <c r="R3" s="859"/>
    </row>
    <row r="4" spans="1:18" ht="24.65" customHeight="1" x14ac:dyDescent="0.35">
      <c r="A4" s="80"/>
      <c r="B4" s="447" t="s">
        <v>471</v>
      </c>
      <c r="C4" s="879"/>
      <c r="D4" s="880"/>
      <c r="E4" s="880"/>
      <c r="F4" s="880"/>
      <c r="G4" s="880"/>
      <c r="H4" s="880"/>
      <c r="I4" s="880"/>
      <c r="J4" s="880"/>
      <c r="K4" s="881"/>
      <c r="L4" s="875"/>
      <c r="M4" s="876"/>
      <c r="N4" s="876"/>
      <c r="O4" s="876"/>
      <c r="P4" s="876"/>
      <c r="Q4" s="876"/>
      <c r="R4" s="883"/>
    </row>
    <row r="5" spans="1:18" ht="38.25" customHeight="1" x14ac:dyDescent="0.35">
      <c r="A5" s="790" t="s">
        <v>164</v>
      </c>
      <c r="B5" s="792" t="s">
        <v>165</v>
      </c>
      <c r="C5" s="877" t="s">
        <v>223</v>
      </c>
      <c r="D5" s="607" t="s">
        <v>96</v>
      </c>
      <c r="E5" s="607" t="s">
        <v>96</v>
      </c>
      <c r="F5" s="607" t="s">
        <v>96</v>
      </c>
      <c r="G5" s="607" t="s">
        <v>96</v>
      </c>
      <c r="H5" s="607" t="s">
        <v>370</v>
      </c>
      <c r="I5" s="607" t="str">
        <f>+'NORTE SANTANDER'!I5</f>
        <v>Biodiesel B5</v>
      </c>
      <c r="J5" s="607" t="s">
        <v>505</v>
      </c>
      <c r="K5" s="608" t="s">
        <v>374</v>
      </c>
      <c r="L5" s="606" t="s">
        <v>96</v>
      </c>
      <c r="M5" s="607" t="s">
        <v>96</v>
      </c>
      <c r="N5" s="607" t="s">
        <v>96</v>
      </c>
      <c r="O5" s="607" t="str">
        <f>+H5</f>
        <v>Biodiesel B2</v>
      </c>
      <c r="P5" s="607" t="str">
        <f>+I5</f>
        <v>Biodiesel B5</v>
      </c>
      <c r="Q5" s="607" t="str">
        <f>+J5</f>
        <v>Biodiesel B8</v>
      </c>
      <c r="R5" s="608" t="str">
        <f>+K5</f>
        <v>Biodiesel B10</v>
      </c>
    </row>
    <row r="6" spans="1:18" x14ac:dyDescent="0.35">
      <c r="A6" s="790"/>
      <c r="B6" s="792"/>
      <c r="C6" s="877"/>
      <c r="D6" s="666" t="s">
        <v>504</v>
      </c>
      <c r="E6" s="666" t="s">
        <v>485</v>
      </c>
      <c r="F6" s="666" t="s">
        <v>454</v>
      </c>
      <c r="G6" s="666" t="s">
        <v>459</v>
      </c>
      <c r="H6" s="667">
        <v>0.02</v>
      </c>
      <c r="I6" s="611">
        <f>+'NORTE SANTANDER'!I6</f>
        <v>0.05</v>
      </c>
      <c r="J6" s="611">
        <v>0.08</v>
      </c>
      <c r="K6" s="612">
        <v>0.1</v>
      </c>
      <c r="L6" s="609" t="str">
        <f t="shared" ref="L6:Q6" si="0">+E6</f>
        <v>Oxigena 4%</v>
      </c>
      <c r="M6" s="610" t="str">
        <f t="shared" si="0"/>
        <v>Oxigena 5%</v>
      </c>
      <c r="N6" s="610" t="str">
        <f t="shared" si="0"/>
        <v>Oxigena 6%</v>
      </c>
      <c r="O6" s="611">
        <f t="shared" si="0"/>
        <v>0.02</v>
      </c>
      <c r="P6" s="611">
        <f t="shared" si="0"/>
        <v>0.05</v>
      </c>
      <c r="Q6" s="611">
        <f t="shared" si="0"/>
        <v>0.08</v>
      </c>
      <c r="R6" s="612">
        <v>0.1</v>
      </c>
    </row>
    <row r="7" spans="1:18" x14ac:dyDescent="0.35">
      <c r="A7" s="791"/>
      <c r="B7" s="793"/>
      <c r="C7" s="606" t="s">
        <v>166</v>
      </c>
      <c r="D7" s="607" t="s">
        <v>166</v>
      </c>
      <c r="E7" s="607" t="s">
        <v>166</v>
      </c>
      <c r="F7" s="607" t="s">
        <v>166</v>
      </c>
      <c r="G7" s="607" t="s">
        <v>166</v>
      </c>
      <c r="H7" s="607" t="s">
        <v>166</v>
      </c>
      <c r="I7" s="607" t="s">
        <v>166</v>
      </c>
      <c r="J7" s="607" t="s">
        <v>166</v>
      </c>
      <c r="K7" s="608" t="s">
        <v>166</v>
      </c>
      <c r="L7" s="606" t="s">
        <v>166</v>
      </c>
      <c r="M7" s="607" t="s">
        <v>166</v>
      </c>
      <c r="N7" s="607" t="s">
        <v>166</v>
      </c>
      <c r="O7" s="607" t="s">
        <v>166</v>
      </c>
      <c r="P7" s="607" t="s">
        <v>166</v>
      </c>
      <c r="Q7" s="607" t="s">
        <v>166</v>
      </c>
      <c r="R7" s="608" t="s">
        <v>166</v>
      </c>
    </row>
    <row r="8" spans="1:18" ht="14.5" customHeight="1" x14ac:dyDescent="0.35">
      <c r="A8" s="82" t="s">
        <v>167</v>
      </c>
      <c r="B8" s="88" t="s">
        <v>168</v>
      </c>
      <c r="C8" s="668">
        <f>+'Calculo IP ZDF'!B38</f>
        <v>9914.16</v>
      </c>
      <c r="D8" s="669">
        <f>+'Calculo IP ZDF'!G38</f>
        <v>10003.336799999999</v>
      </c>
      <c r="E8" s="621">
        <f>+'Calculo IP ZDF'!H38</f>
        <v>10092.5136</v>
      </c>
      <c r="F8" s="621">
        <f>+'Calculo IP ZDF'!I38</f>
        <v>10137.1</v>
      </c>
      <c r="G8" s="626">
        <f>+'Calculo IP ZDF'!J38</f>
        <v>10181.689999999999</v>
      </c>
      <c r="H8" s="621">
        <f>+'Calculo IP ZDF'!F38</f>
        <v>4777.2474000000002</v>
      </c>
      <c r="I8" s="621">
        <f>+'Calculo IP ZDF'!L38</f>
        <v>5839.9916953000002</v>
      </c>
      <c r="J8" s="621">
        <f>+'Calculo IP ZDF'!N38</f>
        <v>5485.7429884000003</v>
      </c>
      <c r="K8" s="622">
        <f>+'Calculo IP ZDF'!M38</f>
        <v>5721.9087930000005</v>
      </c>
      <c r="L8" s="618">
        <f>+'GAS CTE'!E9</f>
        <v>10092.5136</v>
      </c>
      <c r="M8" s="621">
        <f>+'GAS CTE'!F9</f>
        <v>10137.1</v>
      </c>
      <c r="N8" s="626">
        <f>+'GAS CTE'!G9</f>
        <v>10181.689999999999</v>
      </c>
      <c r="O8" s="616">
        <f>+BIODIESEL!E9</f>
        <v>5004.5774000000001</v>
      </c>
      <c r="P8" s="616">
        <f>+BIODIESEL!G9</f>
        <v>5351.866</v>
      </c>
      <c r="Q8" s="616">
        <f>+BIODIESEL!H9</f>
        <v>5699.1596</v>
      </c>
      <c r="R8" s="617">
        <f>+BIODIESEL!I9</f>
        <v>5930.6819999999998</v>
      </c>
    </row>
    <row r="9" spans="1:18" ht="14.5" customHeight="1" x14ac:dyDescent="0.35">
      <c r="A9" s="82" t="s">
        <v>169</v>
      </c>
      <c r="B9" s="88" t="s">
        <v>170</v>
      </c>
      <c r="C9" s="630" t="str">
        <f t="shared" ref="C9:C13" si="1">+F9</f>
        <v>------------------</v>
      </c>
      <c r="D9" s="619" t="s">
        <v>171</v>
      </c>
      <c r="E9" s="619" t="s">
        <v>171</v>
      </c>
      <c r="F9" s="650" t="s">
        <v>171</v>
      </c>
      <c r="G9" s="670" t="s">
        <v>171</v>
      </c>
      <c r="H9" s="650" t="s">
        <v>171</v>
      </c>
      <c r="I9" s="616" t="s">
        <v>171</v>
      </c>
      <c r="J9" s="616" t="s">
        <v>171</v>
      </c>
      <c r="K9" s="617" t="s">
        <v>171</v>
      </c>
      <c r="L9" s="618">
        <f>+'GAS CTE'!E10</f>
        <v>636.6336</v>
      </c>
      <c r="M9" s="621">
        <f>+'GAS CTE'!F10</f>
        <v>630.00199999999995</v>
      </c>
      <c r="N9" s="626">
        <f>+'GAS CTE'!G10</f>
        <v>623.3703999999999</v>
      </c>
      <c r="O9" s="650">
        <f>+BIODIESEL!E10</f>
        <v>622.04520000000002</v>
      </c>
      <c r="P9" s="650">
        <f>+BIODIESEL!G10</f>
        <v>603.00299999999993</v>
      </c>
      <c r="Q9" s="650">
        <f>+BIODIESEL!H10</f>
        <v>583.96080000000006</v>
      </c>
      <c r="R9" s="680">
        <f>+BIODIESEL!I10</f>
        <v>571.26600000000008</v>
      </c>
    </row>
    <row r="10" spans="1:18" ht="14.5" customHeight="1" x14ac:dyDescent="0.35">
      <c r="A10" s="82"/>
      <c r="B10" s="88" t="s">
        <v>129</v>
      </c>
      <c r="C10" s="630" t="str">
        <f>+F10</f>
        <v>------------------</v>
      </c>
      <c r="D10" s="619" t="s">
        <v>171</v>
      </c>
      <c r="E10" s="619" t="s">
        <v>171</v>
      </c>
      <c r="F10" s="650" t="s">
        <v>171</v>
      </c>
      <c r="G10" s="670" t="s">
        <v>171</v>
      </c>
      <c r="H10" s="650" t="s">
        <v>171</v>
      </c>
      <c r="I10" s="616" t="s">
        <v>171</v>
      </c>
      <c r="J10" s="616" t="s">
        <v>171</v>
      </c>
      <c r="K10" s="617" t="s">
        <v>171</v>
      </c>
      <c r="L10" s="613" t="s">
        <v>130</v>
      </c>
      <c r="M10" s="621" t="s">
        <v>130</v>
      </c>
      <c r="N10" s="626" t="s">
        <v>130</v>
      </c>
      <c r="O10" s="650">
        <f>+BIODIESEL!H11</f>
        <v>0</v>
      </c>
      <c r="P10" s="650" t="str">
        <f>+BIODIESEL!I11</f>
        <v>(3)</v>
      </c>
      <c r="Q10" s="650" t="s">
        <v>130</v>
      </c>
      <c r="R10" s="680" t="str">
        <f>+BIODIESEL!J11</f>
        <v>(3)</v>
      </c>
    </row>
    <row r="11" spans="1:18" ht="14.5" customHeight="1" x14ac:dyDescent="0.35">
      <c r="A11" s="82"/>
      <c r="B11" s="88" t="s">
        <v>131</v>
      </c>
      <c r="C11" s="630" t="str">
        <f>+GUAINIA!C11</f>
        <v>(4)</v>
      </c>
      <c r="D11" s="619" t="s">
        <v>201</v>
      </c>
      <c r="E11" s="619" t="s">
        <v>201</v>
      </c>
      <c r="F11" s="650" t="str">
        <f>+C11</f>
        <v>(4)</v>
      </c>
      <c r="G11" s="670" t="str">
        <f>+F11</f>
        <v>(4)</v>
      </c>
      <c r="H11" s="650" t="str">
        <f>+C11</f>
        <v>(4)</v>
      </c>
      <c r="I11" s="616" t="str">
        <f>+C11</f>
        <v>(4)</v>
      </c>
      <c r="J11" s="616" t="s">
        <v>201</v>
      </c>
      <c r="K11" s="617" t="s">
        <v>201</v>
      </c>
      <c r="L11" s="613" t="s">
        <v>201</v>
      </c>
      <c r="M11" s="621" t="str">
        <f>+F11</f>
        <v>(4)</v>
      </c>
      <c r="N11" s="626" t="str">
        <f>+G11</f>
        <v>(4)</v>
      </c>
      <c r="O11" s="621" t="str">
        <f>+H11</f>
        <v>(4)</v>
      </c>
      <c r="P11" s="621" t="str">
        <f>+I11</f>
        <v>(4)</v>
      </c>
      <c r="Q11" s="621" t="s">
        <v>201</v>
      </c>
      <c r="R11" s="622" t="str">
        <f>+J11</f>
        <v>(4)</v>
      </c>
    </row>
    <row r="12" spans="1:18" ht="14.5" customHeight="1" x14ac:dyDescent="0.35">
      <c r="A12" s="82" t="s">
        <v>172</v>
      </c>
      <c r="B12" s="88" t="s">
        <v>250</v>
      </c>
      <c r="C12" s="630" t="str">
        <f t="shared" si="1"/>
        <v>(2)</v>
      </c>
      <c r="D12" s="619" t="s">
        <v>200</v>
      </c>
      <c r="E12" s="619" t="s">
        <v>200</v>
      </c>
      <c r="F12" s="616" t="s">
        <v>200</v>
      </c>
      <c r="G12" s="626" t="s">
        <v>200</v>
      </c>
      <c r="H12" s="616" t="s">
        <v>200</v>
      </c>
      <c r="I12" s="616" t="s">
        <v>200</v>
      </c>
      <c r="J12" s="616" t="s">
        <v>200</v>
      </c>
      <c r="K12" s="617" t="s">
        <v>200</v>
      </c>
      <c r="L12" s="613" t="s">
        <v>200</v>
      </c>
      <c r="M12" s="621" t="str">
        <f>+I12</f>
        <v>(2)</v>
      </c>
      <c r="N12" s="626" t="str">
        <f>+M12</f>
        <v>(2)</v>
      </c>
      <c r="O12" s="616" t="s">
        <v>200</v>
      </c>
      <c r="P12" s="616" t="s">
        <v>200</v>
      </c>
      <c r="Q12" s="616" t="s">
        <v>200</v>
      </c>
      <c r="R12" s="617" t="s">
        <v>200</v>
      </c>
    </row>
    <row r="13" spans="1:18" ht="14.5" customHeight="1" x14ac:dyDescent="0.35">
      <c r="A13" s="82" t="s">
        <v>234</v>
      </c>
      <c r="B13" s="88" t="s">
        <v>389</v>
      </c>
      <c r="C13" s="630" t="str">
        <f t="shared" si="1"/>
        <v>N.A.</v>
      </c>
      <c r="D13" s="619" t="s">
        <v>236</v>
      </c>
      <c r="E13" s="619" t="s">
        <v>236</v>
      </c>
      <c r="F13" s="616" t="s">
        <v>236</v>
      </c>
      <c r="G13" s="626" t="s">
        <v>236</v>
      </c>
      <c r="H13" s="650" t="s">
        <v>201</v>
      </c>
      <c r="I13" s="621" t="str">
        <f>+H13</f>
        <v>(4)</v>
      </c>
      <c r="J13" s="621" t="s">
        <v>201</v>
      </c>
      <c r="K13" s="622" t="s">
        <v>201</v>
      </c>
      <c r="L13" s="618" t="s">
        <v>236</v>
      </c>
      <c r="M13" s="621" t="s">
        <v>236</v>
      </c>
      <c r="N13" s="626" t="s">
        <v>236</v>
      </c>
      <c r="O13" s="621" t="str">
        <f>+H13</f>
        <v>(4)</v>
      </c>
      <c r="P13" s="621" t="str">
        <f>+I13</f>
        <v>(4)</v>
      </c>
      <c r="Q13" s="621" t="s">
        <v>201</v>
      </c>
      <c r="R13" s="622" t="str">
        <f>+J13</f>
        <v>(4)</v>
      </c>
    </row>
    <row r="14" spans="1:18" ht="14.5" customHeight="1" x14ac:dyDescent="0.35">
      <c r="A14" s="82" t="s">
        <v>174</v>
      </c>
      <c r="B14" s="88" t="s">
        <v>175</v>
      </c>
      <c r="C14" s="630">
        <f>+RUBROS!AF19</f>
        <v>26.583233136281329</v>
      </c>
      <c r="D14" s="619">
        <f>+C14</f>
        <v>26.583233136281329</v>
      </c>
      <c r="E14" s="619">
        <f>+C14</f>
        <v>26.583233136281329</v>
      </c>
      <c r="F14" s="616">
        <f>+C14</f>
        <v>26.583233136281329</v>
      </c>
      <c r="G14" s="626">
        <f>+F14</f>
        <v>26.583233136281329</v>
      </c>
      <c r="H14" s="616">
        <f>+C14</f>
        <v>26.583233136281329</v>
      </c>
      <c r="I14" s="616">
        <f>+C14</f>
        <v>26.583233136281329</v>
      </c>
      <c r="J14" s="616">
        <f>+C14</f>
        <v>26.583233136281329</v>
      </c>
      <c r="K14" s="617">
        <f>+H14</f>
        <v>26.583233136281329</v>
      </c>
      <c r="L14" s="613">
        <f>+RUBROS!AG19</f>
        <v>26.583233136281329</v>
      </c>
      <c r="M14" s="621">
        <f>+C14</f>
        <v>26.583233136281329</v>
      </c>
      <c r="N14" s="626">
        <f>+F14</f>
        <v>26.583233136281329</v>
      </c>
      <c r="O14" s="616">
        <f>+L14</f>
        <v>26.583233136281329</v>
      </c>
      <c r="P14" s="616">
        <f>+M14</f>
        <v>26.583233136281329</v>
      </c>
      <c r="Q14" s="616">
        <f>+RUBROS!AF19</f>
        <v>26.583233136281329</v>
      </c>
      <c r="R14" s="617">
        <f>+N14</f>
        <v>26.583233136281329</v>
      </c>
    </row>
    <row r="15" spans="1:18" ht="14.5" customHeight="1" x14ac:dyDescent="0.35">
      <c r="A15" s="82" t="s">
        <v>178</v>
      </c>
      <c r="B15" s="88" t="s">
        <v>179</v>
      </c>
      <c r="C15" s="630">
        <f>+RUBROS!AZ41</f>
        <v>13.716213893883657</v>
      </c>
      <c r="D15" s="619">
        <f>+C15</f>
        <v>13.716213893883657</v>
      </c>
      <c r="E15" s="619">
        <f>+C15</f>
        <v>13.716213893883657</v>
      </c>
      <c r="F15" s="616">
        <f>+C15</f>
        <v>13.716213893883657</v>
      </c>
      <c r="G15" s="616">
        <f>+F15</f>
        <v>13.716213893883657</v>
      </c>
      <c r="H15" s="616">
        <f>+C15</f>
        <v>13.716213893883657</v>
      </c>
      <c r="I15" s="616">
        <f>+C15</f>
        <v>13.716213893883657</v>
      </c>
      <c r="J15" s="616">
        <f>+C15</f>
        <v>13.716213893883657</v>
      </c>
      <c r="K15" s="617">
        <f>+H15</f>
        <v>13.716213893883657</v>
      </c>
      <c r="L15" s="613">
        <f>+C15</f>
        <v>13.716213893883657</v>
      </c>
      <c r="M15" s="621">
        <f>+C15</f>
        <v>13.716213893883657</v>
      </c>
      <c r="N15" s="621">
        <f>+F15</f>
        <v>13.716213893883657</v>
      </c>
      <c r="O15" s="616">
        <f>+N15</f>
        <v>13.716213893883657</v>
      </c>
      <c r="P15" s="616">
        <f>+C15</f>
        <v>13.716213893883657</v>
      </c>
      <c r="Q15" s="616">
        <f>+C15</f>
        <v>13.716213893883657</v>
      </c>
      <c r="R15" s="617">
        <f>+D15</f>
        <v>13.716213893883657</v>
      </c>
    </row>
    <row r="16" spans="1:18" hidden="1" x14ac:dyDescent="0.35">
      <c r="A16" s="82"/>
      <c r="B16" s="88" t="s">
        <v>180</v>
      </c>
      <c r="C16" s="630"/>
      <c r="D16" s="619"/>
      <c r="E16" s="619"/>
      <c r="F16" s="616"/>
      <c r="G16" s="616"/>
      <c r="H16" s="616"/>
      <c r="I16" s="616"/>
      <c r="J16" s="616"/>
      <c r="K16" s="617"/>
      <c r="L16" s="613"/>
      <c r="M16" s="621"/>
      <c r="N16" s="621"/>
      <c r="O16" s="616"/>
      <c r="P16" s="616"/>
      <c r="Q16" s="616"/>
      <c r="R16" s="617"/>
    </row>
    <row r="17" spans="1:25" x14ac:dyDescent="0.35">
      <c r="A17" s="89" t="s">
        <v>181</v>
      </c>
      <c r="B17" s="115" t="s">
        <v>182</v>
      </c>
      <c r="C17" s="643">
        <f>SUM(C8:C16)</f>
        <v>9954.4594470301654</v>
      </c>
      <c r="D17" s="644">
        <f>SUM(D8:D16)</f>
        <v>10043.636247030165</v>
      </c>
      <c r="E17" s="644">
        <f>SUM(E8:E16)</f>
        <v>10132.813047030166</v>
      </c>
      <c r="F17" s="632">
        <f t="shared" ref="F17:P17" si="2">SUM(F8:F16)</f>
        <v>10177.399447030166</v>
      </c>
      <c r="G17" s="632">
        <f t="shared" si="2"/>
        <v>10221.989447030164</v>
      </c>
      <c r="H17" s="632">
        <f t="shared" si="2"/>
        <v>4817.5468470301657</v>
      </c>
      <c r="I17" s="632">
        <f t="shared" si="2"/>
        <v>5880.2911423301657</v>
      </c>
      <c r="J17" s="632">
        <f>SUM(J8:J16)</f>
        <v>5526.0424354301658</v>
      </c>
      <c r="K17" s="633">
        <f>SUM(K8:K16)</f>
        <v>5762.2082400301661</v>
      </c>
      <c r="L17" s="627">
        <f t="shared" si="2"/>
        <v>10769.446647030165</v>
      </c>
      <c r="M17" s="632">
        <f t="shared" si="2"/>
        <v>10807.401447030166</v>
      </c>
      <c r="N17" s="632">
        <f t="shared" ref="N17:O17" si="3">SUM(N8:N16)</f>
        <v>10845.359847030164</v>
      </c>
      <c r="O17" s="632">
        <f t="shared" si="3"/>
        <v>5666.9220470301661</v>
      </c>
      <c r="P17" s="632">
        <f t="shared" si="2"/>
        <v>5995.1684470301652</v>
      </c>
      <c r="Q17" s="632">
        <f>SUM(Q8:Q16)</f>
        <v>6323.4198470301653</v>
      </c>
      <c r="R17" s="633">
        <f t="shared" ref="R17" si="4">SUM(R8:R16)</f>
        <v>6542.2474470301659</v>
      </c>
    </row>
    <row r="18" spans="1:25" x14ac:dyDescent="0.35">
      <c r="A18" s="82" t="s">
        <v>183</v>
      </c>
      <c r="B18" s="88" t="s">
        <v>184</v>
      </c>
      <c r="C18" s="671" t="s">
        <v>214</v>
      </c>
      <c r="D18" s="634" t="s">
        <v>214</v>
      </c>
      <c r="E18" s="634" t="s">
        <v>214</v>
      </c>
      <c r="F18" s="634" t="str">
        <f>+C18</f>
        <v>***</v>
      </c>
      <c r="G18" s="634" t="str">
        <f>+F18</f>
        <v>***</v>
      </c>
      <c r="H18" s="634" t="str">
        <f>+C18</f>
        <v>***</v>
      </c>
      <c r="I18" s="616" t="str">
        <f>+C18</f>
        <v>***</v>
      </c>
      <c r="J18" s="634" t="s">
        <v>214</v>
      </c>
      <c r="K18" s="672" t="s">
        <v>214</v>
      </c>
      <c r="L18" s="613" t="s">
        <v>214</v>
      </c>
      <c r="M18" s="616" t="str">
        <f>+P18</f>
        <v>***</v>
      </c>
      <c r="N18" s="616" t="str">
        <f>+R18</f>
        <v>***</v>
      </c>
      <c r="O18" s="616" t="s">
        <v>214</v>
      </c>
      <c r="P18" s="616" t="s">
        <v>214</v>
      </c>
      <c r="Q18" s="616" t="s">
        <v>214</v>
      </c>
      <c r="R18" s="617" t="s">
        <v>214</v>
      </c>
    </row>
    <row r="19" spans="1:25" x14ac:dyDescent="0.35">
      <c r="A19" s="82" t="s">
        <v>185</v>
      </c>
      <c r="B19" s="88" t="s">
        <v>186</v>
      </c>
      <c r="C19" s="671" t="str">
        <f>+F19</f>
        <v>**</v>
      </c>
      <c r="D19" s="673" t="s">
        <v>212</v>
      </c>
      <c r="E19" s="673" t="s">
        <v>212</v>
      </c>
      <c r="F19" s="673" t="s">
        <v>212</v>
      </c>
      <c r="G19" s="673" t="s">
        <v>212</v>
      </c>
      <c r="H19" s="673" t="s">
        <v>212</v>
      </c>
      <c r="I19" s="616" t="s">
        <v>212</v>
      </c>
      <c r="J19" s="634" t="s">
        <v>212</v>
      </c>
      <c r="K19" s="672" t="s">
        <v>212</v>
      </c>
      <c r="L19" s="613" t="s">
        <v>212</v>
      </c>
      <c r="M19" s="616" t="str">
        <f>+P19</f>
        <v>**</v>
      </c>
      <c r="N19" s="616" t="str">
        <f>+R19</f>
        <v>**</v>
      </c>
      <c r="O19" s="621" t="s">
        <v>212</v>
      </c>
      <c r="P19" s="621" t="s">
        <v>212</v>
      </c>
      <c r="Q19" s="621" t="s">
        <v>212</v>
      </c>
      <c r="R19" s="622" t="s">
        <v>212</v>
      </c>
    </row>
    <row r="20" spans="1:25" x14ac:dyDescent="0.35">
      <c r="A20" s="82" t="s">
        <v>187</v>
      </c>
      <c r="B20" s="88" t="s">
        <v>188</v>
      </c>
      <c r="C20" s="671" t="str">
        <f>+F20</f>
        <v>****</v>
      </c>
      <c r="D20" s="634" t="s">
        <v>216</v>
      </c>
      <c r="E20" s="634" t="s">
        <v>216</v>
      </c>
      <c r="F20" s="634" t="s">
        <v>216</v>
      </c>
      <c r="G20" s="634" t="s">
        <v>216</v>
      </c>
      <c r="H20" s="634" t="str">
        <f>+F20</f>
        <v>****</v>
      </c>
      <c r="I20" s="616" t="str">
        <f>+H20</f>
        <v>****</v>
      </c>
      <c r="J20" s="634" t="s">
        <v>216</v>
      </c>
      <c r="K20" s="672" t="s">
        <v>216</v>
      </c>
      <c r="L20" s="613" t="s">
        <v>216</v>
      </c>
      <c r="M20" s="616" t="str">
        <f>+I20</f>
        <v>****</v>
      </c>
      <c r="N20" s="616" t="str">
        <f>+M20</f>
        <v>****</v>
      </c>
      <c r="O20" s="616" t="str">
        <f>+H20</f>
        <v>****</v>
      </c>
      <c r="P20" s="616" t="str">
        <f>+I20</f>
        <v>****</v>
      </c>
      <c r="Q20" s="616" t="str">
        <f>+J20</f>
        <v>****</v>
      </c>
      <c r="R20" s="617" t="str">
        <f>+J20</f>
        <v>****</v>
      </c>
    </row>
    <row r="21" spans="1:25" x14ac:dyDescent="0.35">
      <c r="A21" s="89" t="s">
        <v>189</v>
      </c>
      <c r="B21" s="115" t="s">
        <v>190</v>
      </c>
      <c r="C21" s="674">
        <f t="shared" ref="C21:P21" si="5">+C17</f>
        <v>9954.4594470301654</v>
      </c>
      <c r="D21" s="675">
        <f t="shared" ref="D21" si="6">+D17</f>
        <v>10043.636247030165</v>
      </c>
      <c r="E21" s="675">
        <f t="shared" si="5"/>
        <v>10132.813047030166</v>
      </c>
      <c r="F21" s="675">
        <f t="shared" si="5"/>
        <v>10177.399447030166</v>
      </c>
      <c r="G21" s="675">
        <f t="shared" ref="G21" si="7">+G17</f>
        <v>10221.989447030164</v>
      </c>
      <c r="H21" s="675">
        <f t="shared" si="5"/>
        <v>4817.5468470301657</v>
      </c>
      <c r="I21" s="644">
        <f t="shared" si="5"/>
        <v>5880.2911423301657</v>
      </c>
      <c r="J21" s="675">
        <f>+J17</f>
        <v>5526.0424354301658</v>
      </c>
      <c r="K21" s="676">
        <f>+K17</f>
        <v>5762.2082400301661</v>
      </c>
      <c r="L21" s="643">
        <f t="shared" si="5"/>
        <v>10769.446647030165</v>
      </c>
      <c r="M21" s="644">
        <f t="shared" si="5"/>
        <v>10807.401447030166</v>
      </c>
      <c r="N21" s="644">
        <f t="shared" ref="N21:O21" si="8">+N17</f>
        <v>10845.359847030164</v>
      </c>
      <c r="O21" s="644">
        <f t="shared" si="8"/>
        <v>5666.9220470301661</v>
      </c>
      <c r="P21" s="644">
        <f t="shared" si="5"/>
        <v>5995.1684470301652</v>
      </c>
      <c r="Q21" s="644">
        <f>+Q17</f>
        <v>6323.4198470301653</v>
      </c>
      <c r="R21" s="645">
        <f t="shared" ref="R21" si="9">+R17</f>
        <v>6542.2474470301659</v>
      </c>
    </row>
    <row r="22" spans="1:25" x14ac:dyDescent="0.35">
      <c r="A22" s="82" t="s">
        <v>191</v>
      </c>
      <c r="B22" s="88" t="s">
        <v>150</v>
      </c>
      <c r="C22" s="671" t="s">
        <v>214</v>
      </c>
      <c r="D22" s="623" t="s">
        <v>214</v>
      </c>
      <c r="E22" s="623" t="s">
        <v>214</v>
      </c>
      <c r="F22" s="634" t="str">
        <f>+C22</f>
        <v>***</v>
      </c>
      <c r="G22" s="634" t="str">
        <f>+F22</f>
        <v>***</v>
      </c>
      <c r="H22" s="634" t="str">
        <f>+F22</f>
        <v>***</v>
      </c>
      <c r="I22" s="616" t="str">
        <f>+H22</f>
        <v>***</v>
      </c>
      <c r="J22" s="634" t="s">
        <v>214</v>
      </c>
      <c r="K22" s="672" t="s">
        <v>214</v>
      </c>
      <c r="L22" s="613" t="s">
        <v>214</v>
      </c>
      <c r="M22" s="616" t="str">
        <f>+P22</f>
        <v>***</v>
      </c>
      <c r="N22" s="616" t="str">
        <f>+R22</f>
        <v>***</v>
      </c>
      <c r="O22" s="616" t="s">
        <v>214</v>
      </c>
      <c r="P22" s="616" t="s">
        <v>214</v>
      </c>
      <c r="Q22" s="616" t="s">
        <v>214</v>
      </c>
      <c r="R22" s="617" t="s">
        <v>214</v>
      </c>
    </row>
    <row r="23" spans="1:25" x14ac:dyDescent="0.35">
      <c r="A23" s="82" t="s">
        <v>192</v>
      </c>
      <c r="B23" s="83" t="s">
        <v>193</v>
      </c>
      <c r="C23" s="671" t="str">
        <f>+F23</f>
        <v>*****</v>
      </c>
      <c r="D23" s="623" t="s">
        <v>218</v>
      </c>
      <c r="E23" s="623" t="s">
        <v>218</v>
      </c>
      <c r="F23" s="634" t="s">
        <v>218</v>
      </c>
      <c r="G23" s="634" t="s">
        <v>218</v>
      </c>
      <c r="H23" s="634" t="s">
        <v>236</v>
      </c>
      <c r="I23" s="616" t="s">
        <v>194</v>
      </c>
      <c r="J23" s="634" t="s">
        <v>194</v>
      </c>
      <c r="K23" s="672" t="s">
        <v>194</v>
      </c>
      <c r="L23" s="613" t="s">
        <v>218</v>
      </c>
      <c r="M23" s="616" t="str">
        <f>+F23</f>
        <v>*****</v>
      </c>
      <c r="N23" s="616" t="str">
        <f>+G23</f>
        <v>*****</v>
      </c>
      <c r="O23" s="616" t="s">
        <v>237</v>
      </c>
      <c r="P23" s="616" t="s">
        <v>237</v>
      </c>
      <c r="Q23" s="616" t="s">
        <v>237</v>
      </c>
      <c r="R23" s="617" t="s">
        <v>237</v>
      </c>
    </row>
    <row r="24" spans="1:25" x14ac:dyDescent="0.35">
      <c r="A24" s="82" t="s">
        <v>195</v>
      </c>
      <c r="B24" s="88" t="s">
        <v>196</v>
      </c>
      <c r="C24" s="671" t="str">
        <f>+F24</f>
        <v>******</v>
      </c>
      <c r="D24" s="623" t="s">
        <v>219</v>
      </c>
      <c r="E24" s="623" t="s">
        <v>219</v>
      </c>
      <c r="F24" s="673" t="s">
        <v>219</v>
      </c>
      <c r="G24" s="673" t="s">
        <v>219</v>
      </c>
      <c r="H24" s="673" t="str">
        <f>+F24</f>
        <v>******</v>
      </c>
      <c r="I24" s="621" t="str">
        <f>+H24</f>
        <v>******</v>
      </c>
      <c r="J24" s="673" t="s">
        <v>219</v>
      </c>
      <c r="K24" s="677" t="s">
        <v>219</v>
      </c>
      <c r="L24" s="618" t="s">
        <v>219</v>
      </c>
      <c r="M24" s="616" t="str">
        <f>+I24</f>
        <v>******</v>
      </c>
      <c r="N24" s="616" t="str">
        <f>+M24</f>
        <v>******</v>
      </c>
      <c r="O24" s="621" t="str">
        <f>+L24</f>
        <v>******</v>
      </c>
      <c r="P24" s="621" t="str">
        <f>+M24</f>
        <v>******</v>
      </c>
      <c r="Q24" s="621" t="str">
        <f>+I24</f>
        <v>******</v>
      </c>
      <c r="R24" s="622" t="str">
        <f>+N24</f>
        <v>******</v>
      </c>
    </row>
    <row r="25" spans="1:25" ht="15" thickBot="1" x14ac:dyDescent="0.4">
      <c r="A25" s="93" t="s">
        <v>197</v>
      </c>
      <c r="B25" s="94" t="s">
        <v>198</v>
      </c>
      <c r="C25" s="678"/>
      <c r="D25" s="679"/>
      <c r="E25" s="679"/>
      <c r="F25" s="636"/>
      <c r="G25" s="636"/>
      <c r="H25" s="636"/>
      <c r="I25" s="636"/>
      <c r="J25" s="636"/>
      <c r="K25" s="637"/>
      <c r="L25" s="635"/>
      <c r="M25" s="636"/>
      <c r="N25" s="636"/>
      <c r="O25" s="636"/>
      <c r="P25" s="636"/>
      <c r="Q25" s="636"/>
      <c r="R25" s="637"/>
    </row>
    <row r="26" spans="1:25" ht="15" thickTop="1" x14ac:dyDescent="0.35"/>
    <row r="27" spans="1:25" x14ac:dyDescent="0.35">
      <c r="A27" s="101"/>
      <c r="B27" s="119" t="s">
        <v>210</v>
      </c>
      <c r="C27" s="145"/>
      <c r="D27" s="145"/>
      <c r="E27" s="145"/>
      <c r="F27" s="145"/>
      <c r="G27" s="145"/>
      <c r="H27" s="145"/>
      <c r="I27" s="145"/>
      <c r="J27" s="145"/>
      <c r="K27" s="145"/>
      <c r="L27" s="145"/>
      <c r="M27" s="127"/>
      <c r="N27" s="127"/>
      <c r="O27" s="127"/>
      <c r="P27" s="127"/>
      <c r="Q27" s="127"/>
      <c r="R27" s="127"/>
      <c r="S27" s="127"/>
      <c r="T27" s="127"/>
      <c r="U27" s="127"/>
      <c r="V27" s="127"/>
      <c r="W27" s="127"/>
      <c r="X27" s="127"/>
      <c r="Y27" s="127"/>
    </row>
    <row r="28" spans="1:25" x14ac:dyDescent="0.35">
      <c r="A28" s="101"/>
      <c r="B28" s="119"/>
      <c r="C28" s="145"/>
      <c r="D28" s="145"/>
      <c r="E28" s="145"/>
      <c r="F28" s="145"/>
      <c r="G28" s="145"/>
      <c r="H28" s="145"/>
      <c r="I28" s="145"/>
      <c r="J28" s="145"/>
      <c r="K28" s="145"/>
      <c r="L28" s="145"/>
      <c r="M28" s="127"/>
      <c r="N28" s="127"/>
      <c r="O28" s="127"/>
      <c r="P28" s="127"/>
      <c r="Q28" s="127"/>
      <c r="R28" s="127"/>
      <c r="S28" s="127"/>
      <c r="T28" s="127"/>
      <c r="U28" s="127"/>
      <c r="V28" s="127"/>
      <c r="W28" s="127"/>
      <c r="X28" s="127"/>
      <c r="Y28" s="127"/>
    </row>
    <row r="29" spans="1:25" ht="31" customHeight="1" x14ac:dyDescent="0.35">
      <c r="A29" s="101" t="s">
        <v>173</v>
      </c>
      <c r="B29" s="779" t="str">
        <f>+'NORTE SANTANDER'!B29:Q29</f>
        <v>De acuerdo con lo establecido en la Resoluccion 91349 de 2014 del MME para combustible de origen nacional o importado a ser distribuido en zonas de frontera, aplica la tarifa de marcación o remarcación vigente a la fecha según corresponda</v>
      </c>
      <c r="C29" s="779"/>
      <c r="D29" s="779"/>
      <c r="E29" s="779"/>
      <c r="F29" s="779"/>
      <c r="G29" s="779"/>
      <c r="H29" s="779"/>
      <c r="I29" s="779"/>
      <c r="J29" s="779"/>
      <c r="K29" s="779"/>
      <c r="L29" s="779"/>
      <c r="M29" s="779"/>
      <c r="N29" s="779"/>
      <c r="O29" s="779"/>
      <c r="P29" s="779"/>
      <c r="Q29" s="779"/>
      <c r="R29" s="779"/>
      <c r="S29" s="175"/>
      <c r="T29" s="146"/>
      <c r="U29" s="146"/>
      <c r="V29" s="146"/>
      <c r="W29" s="146"/>
      <c r="X29" s="146"/>
      <c r="Y29" s="146"/>
    </row>
    <row r="30" spans="1:25" ht="27.25" customHeight="1" x14ac:dyDescent="0.35">
      <c r="A30" s="101" t="s">
        <v>200</v>
      </c>
      <c r="B30" s="886" t="s">
        <v>251</v>
      </c>
      <c r="C30" s="886"/>
      <c r="D30" s="886"/>
      <c r="E30" s="886"/>
      <c r="F30" s="886"/>
      <c r="G30" s="886"/>
      <c r="H30" s="886"/>
      <c r="I30" s="886"/>
      <c r="J30" s="886"/>
      <c r="K30" s="886"/>
      <c r="L30" s="886"/>
      <c r="M30" s="886"/>
      <c r="N30" s="886"/>
      <c r="O30" s="886"/>
      <c r="P30" s="886"/>
      <c r="Q30" s="886"/>
      <c r="R30" s="886"/>
      <c r="S30" s="886"/>
      <c r="T30" s="127"/>
      <c r="U30" s="127"/>
      <c r="V30" s="127"/>
      <c r="W30" s="127"/>
      <c r="X30" s="127"/>
      <c r="Y30" s="127"/>
    </row>
    <row r="31" spans="1:25" ht="65.25" customHeight="1" x14ac:dyDescent="0.35">
      <c r="A31" s="101" t="s">
        <v>130</v>
      </c>
      <c r="B31" s="779" t="s">
        <v>307</v>
      </c>
      <c r="C31" s="779"/>
      <c r="D31" s="779"/>
      <c r="E31" s="779"/>
      <c r="F31" s="779"/>
      <c r="G31" s="779"/>
      <c r="H31" s="779"/>
      <c r="I31" s="779"/>
      <c r="J31" s="779"/>
      <c r="K31" s="779"/>
      <c r="L31" s="779"/>
      <c r="M31" s="779"/>
      <c r="N31" s="779"/>
      <c r="O31" s="779"/>
      <c r="P31" s="779"/>
      <c r="Q31" s="779"/>
      <c r="R31" s="779"/>
      <c r="S31" s="175"/>
      <c r="T31" s="127"/>
      <c r="U31" s="127"/>
      <c r="V31" s="127"/>
      <c r="W31" s="127"/>
      <c r="X31" s="127"/>
      <c r="Y31" s="127"/>
    </row>
    <row r="32" spans="1:25" ht="65.25" customHeight="1" x14ac:dyDescent="0.35">
      <c r="A32" s="101" t="s">
        <v>201</v>
      </c>
      <c r="B32" s="885" t="s">
        <v>375</v>
      </c>
      <c r="C32" s="885"/>
      <c r="D32" s="885"/>
      <c r="E32" s="885"/>
      <c r="F32" s="885"/>
      <c r="G32" s="885"/>
      <c r="H32" s="885"/>
      <c r="I32" s="885"/>
      <c r="J32" s="885"/>
      <c r="K32" s="885"/>
      <c r="L32" s="885"/>
      <c r="M32" s="885"/>
      <c r="N32" s="885"/>
      <c r="O32" s="885"/>
      <c r="P32" s="885"/>
      <c r="Q32" s="885"/>
      <c r="R32" s="885"/>
      <c r="S32" s="434"/>
      <c r="T32" s="127"/>
      <c r="U32" s="127"/>
      <c r="V32" s="127"/>
      <c r="W32" s="127"/>
      <c r="X32" s="127"/>
      <c r="Y32" s="127"/>
    </row>
    <row r="33" spans="1:25" ht="17.5" customHeight="1" x14ac:dyDescent="0.35">
      <c r="A33" s="101"/>
      <c r="B33" s="681"/>
      <c r="C33" s="681"/>
      <c r="D33" s="681"/>
      <c r="E33" s="681"/>
      <c r="F33" s="681"/>
      <c r="G33" s="681"/>
      <c r="H33" s="681"/>
      <c r="I33" s="681"/>
      <c r="J33" s="681"/>
      <c r="K33" s="681"/>
      <c r="L33" s="681"/>
      <c r="M33" s="681"/>
      <c r="N33" s="681"/>
      <c r="O33" s="681"/>
      <c r="P33" s="681"/>
      <c r="Q33" s="681"/>
      <c r="R33" s="681"/>
      <c r="S33" s="127"/>
      <c r="T33" s="127"/>
      <c r="U33" s="127"/>
      <c r="V33" s="127"/>
      <c r="W33" s="127"/>
      <c r="X33" s="127"/>
      <c r="Y33" s="127"/>
    </row>
    <row r="34" spans="1:25" ht="15" customHeight="1" x14ac:dyDescent="0.35">
      <c r="A34" s="120" t="s">
        <v>102</v>
      </c>
      <c r="B34" s="123" t="s">
        <v>211</v>
      </c>
      <c r="C34" s="123"/>
      <c r="D34" s="123"/>
      <c r="E34" s="123"/>
      <c r="F34" s="123"/>
      <c r="G34" s="123"/>
      <c r="H34" s="123"/>
      <c r="I34" s="123"/>
      <c r="J34" s="123"/>
      <c r="K34" s="123"/>
      <c r="L34" s="123"/>
      <c r="M34" s="123"/>
      <c r="N34" s="123"/>
      <c r="O34" s="123"/>
      <c r="P34" s="123"/>
      <c r="Q34" s="123"/>
      <c r="R34" s="123"/>
      <c r="S34" s="175"/>
      <c r="T34" s="127"/>
      <c r="U34" s="127"/>
      <c r="V34" s="127"/>
      <c r="W34" s="127"/>
      <c r="X34" s="127"/>
      <c r="Y34" s="127"/>
    </row>
    <row r="35" spans="1:25" ht="15" customHeight="1" x14ac:dyDescent="0.35">
      <c r="A35" s="120" t="s">
        <v>212</v>
      </c>
      <c r="B35" s="123" t="s">
        <v>297</v>
      </c>
      <c r="C35" s="123"/>
      <c r="D35" s="123"/>
      <c r="E35" s="123"/>
      <c r="F35" s="123"/>
      <c r="G35" s="123"/>
      <c r="H35" s="123"/>
      <c r="I35" s="123"/>
      <c r="J35" s="123"/>
      <c r="K35" s="123"/>
      <c r="L35" s="123"/>
      <c r="M35" s="123"/>
      <c r="N35" s="123"/>
      <c r="O35" s="123"/>
      <c r="P35" s="123"/>
      <c r="Q35" s="123"/>
      <c r="R35" s="123"/>
      <c r="S35" s="175"/>
      <c r="T35" s="127"/>
      <c r="U35" s="127"/>
      <c r="V35" s="127"/>
      <c r="W35" s="127"/>
      <c r="X35" s="127"/>
      <c r="Y35" s="127"/>
    </row>
    <row r="36" spans="1:25" ht="15" customHeight="1" x14ac:dyDescent="0.35">
      <c r="A36" s="101" t="s">
        <v>214</v>
      </c>
      <c r="B36" s="123" t="s">
        <v>215</v>
      </c>
      <c r="C36" s="123"/>
      <c r="D36" s="123"/>
      <c r="E36" s="123"/>
      <c r="F36" s="123"/>
      <c r="G36" s="123"/>
      <c r="H36" s="123"/>
      <c r="I36" s="123"/>
      <c r="J36" s="123"/>
      <c r="K36" s="123"/>
      <c r="L36" s="123"/>
      <c r="M36" s="123"/>
      <c r="N36" s="123"/>
      <c r="O36" s="123"/>
      <c r="P36" s="123"/>
      <c r="Q36" s="123"/>
      <c r="R36" s="200"/>
      <c r="S36" s="779"/>
      <c r="T36" s="779"/>
      <c r="U36" s="779"/>
      <c r="V36" s="779"/>
      <c r="W36" s="779"/>
      <c r="X36" s="779"/>
      <c r="Y36" s="779"/>
    </row>
    <row r="37" spans="1:25" ht="15" customHeight="1" x14ac:dyDescent="0.35">
      <c r="A37" s="101" t="s">
        <v>216</v>
      </c>
      <c r="B37" s="123" t="s">
        <v>426</v>
      </c>
      <c r="C37" s="123"/>
      <c r="D37" s="123"/>
      <c r="E37" s="123"/>
      <c r="F37" s="123"/>
      <c r="G37" s="123"/>
      <c r="H37" s="123"/>
      <c r="I37" s="123"/>
      <c r="J37" s="123"/>
      <c r="K37" s="123"/>
      <c r="L37" s="123"/>
      <c r="M37" s="123"/>
      <c r="N37" s="123"/>
      <c r="O37" s="123"/>
      <c r="P37" s="123"/>
      <c r="Q37" s="123"/>
      <c r="R37" s="200"/>
      <c r="S37" s="102"/>
      <c r="T37" s="102"/>
      <c r="U37" s="102"/>
      <c r="V37" s="102"/>
      <c r="W37" s="102"/>
      <c r="X37" s="102"/>
      <c r="Y37" s="102"/>
    </row>
    <row r="38" spans="1:25" ht="24" customHeight="1" x14ac:dyDescent="0.35">
      <c r="A38" s="120" t="s">
        <v>218</v>
      </c>
      <c r="B38" s="123" t="s">
        <v>220</v>
      </c>
      <c r="C38" s="123"/>
      <c r="D38" s="123"/>
      <c r="E38" s="123"/>
      <c r="F38" s="123"/>
      <c r="G38" s="123"/>
      <c r="H38" s="123"/>
      <c r="I38" s="123"/>
      <c r="J38" s="123"/>
      <c r="K38" s="123"/>
      <c r="L38" s="123"/>
      <c r="M38" s="123"/>
      <c r="N38" s="123"/>
      <c r="O38" s="123"/>
      <c r="P38" s="123"/>
      <c r="Q38" s="123"/>
      <c r="R38" s="123"/>
      <c r="S38" s="175"/>
      <c r="T38" s="127"/>
      <c r="U38" s="127"/>
      <c r="V38" s="127"/>
      <c r="W38" s="127"/>
      <c r="X38" s="127"/>
      <c r="Y38" s="127"/>
    </row>
    <row r="39" spans="1:25" ht="14.5" customHeight="1" x14ac:dyDescent="0.35">
      <c r="A39" s="120" t="s">
        <v>219</v>
      </c>
      <c r="B39" s="123" t="s">
        <v>256</v>
      </c>
      <c r="C39" s="123"/>
      <c r="D39" s="123"/>
      <c r="E39" s="123"/>
      <c r="F39" s="123"/>
      <c r="G39" s="123"/>
      <c r="H39" s="123"/>
      <c r="I39" s="123"/>
      <c r="J39" s="123"/>
      <c r="K39" s="123"/>
      <c r="L39" s="123"/>
      <c r="M39" s="123"/>
      <c r="N39" s="123"/>
      <c r="O39" s="123"/>
      <c r="P39" s="123"/>
      <c r="Q39" s="123"/>
      <c r="R39" s="123"/>
      <c r="S39" s="175"/>
      <c r="T39" s="127"/>
      <c r="U39" s="127"/>
      <c r="V39" s="127"/>
      <c r="W39" s="127"/>
      <c r="X39" s="127"/>
      <c r="Y39" s="127"/>
    </row>
    <row r="41" spans="1:25" ht="88" customHeight="1" x14ac:dyDescent="0.35">
      <c r="A41" s="884" t="s">
        <v>137</v>
      </c>
      <c r="B41" s="884"/>
      <c r="C41" s="884"/>
      <c r="D41" s="884"/>
      <c r="E41" s="884"/>
      <c r="F41" s="884"/>
      <c r="G41" s="884"/>
      <c r="H41" s="884"/>
      <c r="I41" s="884"/>
      <c r="J41" s="884"/>
      <c r="K41" s="884"/>
      <c r="L41" s="884"/>
      <c r="M41" s="884"/>
      <c r="N41" s="884"/>
      <c r="O41" s="884"/>
      <c r="P41" s="884"/>
      <c r="Q41" s="884"/>
      <c r="R41" s="884"/>
      <c r="S41" s="159"/>
    </row>
  </sheetData>
  <sheetProtection algorithmName="SHA-512" hashValue="NsSF7/jOzT6iRYRztHFWN2QF2+aoh6KbUfJTA6DLHOc1oGkqrcr1w8fcecrxTqs6m4vgn5ofpol1xEN6EXEseg==" saltValue="JVDdbEx36OlSBTEUMVLnkw==" spinCount="100000" sheet="1" objects="1" scenarios="1"/>
  <mergeCells count="11">
    <mergeCell ref="A41:R41"/>
    <mergeCell ref="B31:R31"/>
    <mergeCell ref="B32:R32"/>
    <mergeCell ref="S36:Y36"/>
    <mergeCell ref="B30:S30"/>
    <mergeCell ref="B29:R29"/>
    <mergeCell ref="A5:A7"/>
    <mergeCell ref="B5:B7"/>
    <mergeCell ref="C5:C6"/>
    <mergeCell ref="C3:K4"/>
    <mergeCell ref="L3:R4"/>
  </mergeCells>
  <hyperlinks>
    <hyperlink ref="B27" location="PUTUMAYO!A40" display="Ver Nota Informativa" xr:uid="{00000000-0004-0000-13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dimension ref="A1:W39"/>
  <sheetViews>
    <sheetView showGridLines="0" zoomScale="85" zoomScaleNormal="85" workbookViewId="0">
      <selection activeCell="T14" sqref="T14"/>
    </sheetView>
  </sheetViews>
  <sheetFormatPr baseColWidth="10" defaultRowHeight="14.5" x14ac:dyDescent="0.35"/>
  <cols>
    <col min="1" max="1" width="6" customWidth="1"/>
    <col min="2" max="2" width="47.1796875" customWidth="1"/>
    <col min="3" max="3" width="15.1796875" customWidth="1"/>
    <col min="4" max="4" width="13.81640625" hidden="1" customWidth="1"/>
    <col min="5" max="5" width="12.26953125" customWidth="1"/>
    <col min="6" max="6" width="12.453125" hidden="1" customWidth="1"/>
    <col min="7" max="7" width="10.453125" hidden="1" customWidth="1"/>
    <col min="8" max="8" width="12.54296875" customWidth="1"/>
    <col min="9" max="9" width="12.1796875" hidden="1" customWidth="1"/>
    <col min="10" max="10" width="11.54296875" hidden="1" customWidth="1"/>
    <col min="11" max="11" width="11.54296875" customWidth="1"/>
    <col min="12" max="12" width="12.7265625" customWidth="1"/>
    <col min="13" max="13" width="12" hidden="1" customWidth="1"/>
    <col min="14" max="14" width="12.54296875" hidden="1" customWidth="1"/>
    <col min="15" max="15" width="12.7265625" hidden="1" customWidth="1"/>
    <col min="16" max="16" width="12.1796875" hidden="1" customWidth="1"/>
    <col min="17" max="17" width="13" customWidth="1"/>
  </cols>
  <sheetData>
    <row r="1" spans="1:17" x14ac:dyDescent="0.35">
      <c r="A1" s="79"/>
      <c r="B1" s="79" t="str">
        <f>+AMAZONAS!C1</f>
        <v>Vigencia: 04 de Noviembre de 2023; 00:00 horas</v>
      </c>
    </row>
    <row r="2" spans="1:17" ht="15" thickBot="1" x14ac:dyDescent="0.4">
      <c r="A2" s="79" t="s">
        <v>162</v>
      </c>
      <c r="B2" s="79"/>
      <c r="D2" s="710"/>
      <c r="E2" s="395"/>
      <c r="F2" s="708"/>
      <c r="G2" s="312"/>
      <c r="H2" s="312"/>
      <c r="L2" s="395"/>
      <c r="M2" s="708"/>
      <c r="P2" s="332"/>
    </row>
    <row r="3" spans="1:17" ht="16" customHeight="1" thickTop="1" x14ac:dyDescent="0.35">
      <c r="A3" s="128"/>
      <c r="B3" s="129" t="s">
        <v>270</v>
      </c>
      <c r="C3" s="812" t="s">
        <v>163</v>
      </c>
      <c r="D3" s="813"/>
      <c r="E3" s="813"/>
      <c r="F3" s="813"/>
      <c r="G3" s="813"/>
      <c r="H3" s="813"/>
      <c r="I3" s="813"/>
      <c r="J3" s="813"/>
      <c r="K3" s="878"/>
      <c r="L3" s="802" t="s">
        <v>232</v>
      </c>
      <c r="M3" s="803"/>
      <c r="N3" s="803"/>
      <c r="O3" s="803"/>
      <c r="P3" s="803"/>
      <c r="Q3" s="804"/>
    </row>
    <row r="4" spans="1:17" ht="27.25" customHeight="1" x14ac:dyDescent="0.35">
      <c r="A4" s="80"/>
      <c r="B4" s="447" t="s">
        <v>471</v>
      </c>
      <c r="C4" s="879"/>
      <c r="D4" s="880"/>
      <c r="E4" s="880"/>
      <c r="F4" s="880"/>
      <c r="G4" s="880"/>
      <c r="H4" s="880"/>
      <c r="I4" s="880"/>
      <c r="J4" s="880"/>
      <c r="K4" s="881"/>
      <c r="L4" s="805"/>
      <c r="M4" s="806"/>
      <c r="N4" s="806"/>
      <c r="O4" s="806"/>
      <c r="P4" s="806"/>
      <c r="Q4" s="807"/>
    </row>
    <row r="5" spans="1:17" ht="25.9" customHeight="1" x14ac:dyDescent="0.35">
      <c r="A5" s="790" t="s">
        <v>164</v>
      </c>
      <c r="B5" s="792" t="s">
        <v>165</v>
      </c>
      <c r="C5" s="877" t="s">
        <v>223</v>
      </c>
      <c r="D5" s="607" t="s">
        <v>96</v>
      </c>
      <c r="E5" s="607" t="s">
        <v>96</v>
      </c>
      <c r="F5" s="607" t="s">
        <v>96</v>
      </c>
      <c r="G5" s="607" t="s">
        <v>480</v>
      </c>
      <c r="H5" s="607" t="s">
        <v>370</v>
      </c>
      <c r="I5" s="607" t="s">
        <v>444</v>
      </c>
      <c r="J5" s="607" t="s">
        <v>505</v>
      </c>
      <c r="K5" s="608" t="s">
        <v>374</v>
      </c>
      <c r="L5" s="606" t="s">
        <v>96</v>
      </c>
      <c r="M5" s="607" t="s">
        <v>96</v>
      </c>
      <c r="N5" s="607" t="s">
        <v>480</v>
      </c>
      <c r="O5" s="607" t="str">
        <f t="shared" ref="O5:Q6" si="0">+I5</f>
        <v>Biodiesel B5</v>
      </c>
      <c r="P5" s="607" t="str">
        <f t="shared" si="0"/>
        <v>Biodiesel B8</v>
      </c>
      <c r="Q5" s="608" t="str">
        <f t="shared" si="0"/>
        <v>Biodiesel B10</v>
      </c>
    </row>
    <row r="6" spans="1:17" ht="22.9" customHeight="1" x14ac:dyDescent="0.35">
      <c r="A6" s="790"/>
      <c r="B6" s="792"/>
      <c r="C6" s="877"/>
      <c r="D6" s="666" t="s">
        <v>500</v>
      </c>
      <c r="E6" s="666" t="s">
        <v>483</v>
      </c>
      <c r="F6" s="666" t="s">
        <v>447</v>
      </c>
      <c r="G6" s="611">
        <v>0.1</v>
      </c>
      <c r="H6" s="647">
        <v>0.02</v>
      </c>
      <c r="I6" s="667">
        <v>0.05</v>
      </c>
      <c r="J6" s="647">
        <v>0.08</v>
      </c>
      <c r="K6" s="648">
        <v>0.1</v>
      </c>
      <c r="L6" s="639" t="s">
        <v>483</v>
      </c>
      <c r="M6" s="666" t="s">
        <v>447</v>
      </c>
      <c r="N6" s="611">
        <v>0.1</v>
      </c>
      <c r="O6" s="611">
        <f t="shared" si="0"/>
        <v>0.05</v>
      </c>
      <c r="P6" s="611">
        <f t="shared" si="0"/>
        <v>0.08</v>
      </c>
      <c r="Q6" s="612">
        <f t="shared" si="0"/>
        <v>0.1</v>
      </c>
    </row>
    <row r="7" spans="1:17" x14ac:dyDescent="0.35">
      <c r="A7" s="791"/>
      <c r="B7" s="793"/>
      <c r="C7" s="606" t="s">
        <v>166</v>
      </c>
      <c r="D7" s="607" t="s">
        <v>166</v>
      </c>
      <c r="E7" s="607" t="s">
        <v>166</v>
      </c>
      <c r="F7" s="607" t="s">
        <v>166</v>
      </c>
      <c r="G7" s="607" t="s">
        <v>166</v>
      </c>
      <c r="H7" s="607" t="s">
        <v>166</v>
      </c>
      <c r="I7" s="607" t="s">
        <v>166</v>
      </c>
      <c r="J7" s="607" t="s">
        <v>166</v>
      </c>
      <c r="K7" s="608" t="s">
        <v>166</v>
      </c>
      <c r="L7" s="606" t="s">
        <v>166</v>
      </c>
      <c r="M7" s="607" t="s">
        <v>166</v>
      </c>
      <c r="N7" s="607" t="s">
        <v>166</v>
      </c>
      <c r="O7" s="607" t="s">
        <v>166</v>
      </c>
      <c r="P7" s="607" t="s">
        <v>166</v>
      </c>
      <c r="Q7" s="608" t="s">
        <v>166</v>
      </c>
    </row>
    <row r="8" spans="1:17" x14ac:dyDescent="0.35">
      <c r="A8" s="82" t="s">
        <v>167</v>
      </c>
      <c r="B8" s="88" t="s">
        <v>168</v>
      </c>
      <c r="C8" s="668">
        <f>+'Calculo IP ZDF'!B39</f>
        <v>9914.16</v>
      </c>
      <c r="D8" s="669">
        <f>+'Calculo IP ZDF'!G39</f>
        <v>10003.336799999999</v>
      </c>
      <c r="E8" s="669">
        <f>+'Calculo IP ZDF'!H39</f>
        <v>10092.5136</v>
      </c>
      <c r="F8" s="669">
        <f>+'Calculo IP ZDF'!I39</f>
        <v>10137.1</v>
      </c>
      <c r="G8" s="682">
        <f>+'Calculo IP ZDF'!K39</f>
        <v>10360.044000000002</v>
      </c>
      <c r="H8" s="669">
        <f>+'Calculo IP ZDF'!F39</f>
        <v>3844.5374000000002</v>
      </c>
      <c r="I8" s="621">
        <f>+'Calculo IP ZDF'!S39</f>
        <v>4227.3354200000003</v>
      </c>
      <c r="J8" s="621">
        <f>+'Calculo IP ZDF'!N39</f>
        <v>4610.136512</v>
      </c>
      <c r="K8" s="622">
        <f>+'Calculo IP ZDF'!M39</f>
        <v>4865.3372399999998</v>
      </c>
      <c r="L8" s="618">
        <f>+'GAS CTE'!E9</f>
        <v>10092.5136</v>
      </c>
      <c r="M8" s="621">
        <f>+'GAS CTE'!F9</f>
        <v>10137.1</v>
      </c>
      <c r="N8" s="649">
        <f>+'GAS CTE'!J9</f>
        <v>10360.044000000002</v>
      </c>
      <c r="O8" s="616">
        <f>+BIODIESEL!G9</f>
        <v>5351.866</v>
      </c>
      <c r="P8" s="621">
        <f>+BIODIESEL!H9</f>
        <v>5699.1596</v>
      </c>
      <c r="Q8" s="622">
        <f>+BIODIESEL!I9</f>
        <v>5930.6819999999998</v>
      </c>
    </row>
    <row r="9" spans="1:17" ht="26" x14ac:dyDescent="0.35">
      <c r="A9" s="82" t="s">
        <v>169</v>
      </c>
      <c r="B9" s="88" t="s">
        <v>170</v>
      </c>
      <c r="C9" s="630" t="str">
        <f t="shared" ref="C9" si="1">+G9</f>
        <v>------------------</v>
      </c>
      <c r="D9" s="650" t="s">
        <v>171</v>
      </c>
      <c r="E9" s="650" t="s">
        <v>171</v>
      </c>
      <c r="F9" s="650" t="s">
        <v>171</v>
      </c>
      <c r="G9" s="665" t="s">
        <v>171</v>
      </c>
      <c r="H9" s="650" t="s">
        <v>171</v>
      </c>
      <c r="I9" s="650" t="s">
        <v>171</v>
      </c>
      <c r="J9" s="641" t="s">
        <v>171</v>
      </c>
      <c r="K9" s="642" t="s">
        <v>171</v>
      </c>
      <c r="L9" s="618">
        <f>+'GAS CTE'!E10</f>
        <v>636.6336</v>
      </c>
      <c r="M9" s="621">
        <f>+'GAS CTE'!F10</f>
        <v>630.00199999999995</v>
      </c>
      <c r="N9" s="649">
        <f>+'GAS CTE'!J10</f>
        <v>596.84399999999994</v>
      </c>
      <c r="O9" s="650">
        <f>+BIODIESEL!G10</f>
        <v>603.00299999999993</v>
      </c>
      <c r="P9" s="641">
        <f>+BIODIESEL!H10</f>
        <v>583.96080000000006</v>
      </c>
      <c r="Q9" s="642">
        <f>+BIODIESEL!I10</f>
        <v>571.26600000000008</v>
      </c>
    </row>
    <row r="10" spans="1:17" ht="26" x14ac:dyDescent="0.35">
      <c r="A10" s="82"/>
      <c r="B10" s="88" t="s">
        <v>129</v>
      </c>
      <c r="C10" s="630" t="str">
        <f>+G10</f>
        <v>------------------</v>
      </c>
      <c r="D10" s="650" t="s">
        <v>171</v>
      </c>
      <c r="E10" s="650" t="s">
        <v>171</v>
      </c>
      <c r="F10" s="650" t="s">
        <v>171</v>
      </c>
      <c r="G10" s="665" t="s">
        <v>171</v>
      </c>
      <c r="H10" s="650" t="s">
        <v>171</v>
      </c>
      <c r="I10" s="650" t="s">
        <v>171</v>
      </c>
      <c r="J10" s="641" t="s">
        <v>171</v>
      </c>
      <c r="K10" s="642" t="s">
        <v>171</v>
      </c>
      <c r="L10" s="618" t="s">
        <v>130</v>
      </c>
      <c r="M10" s="621" t="s">
        <v>130</v>
      </c>
      <c r="N10" s="649" t="s">
        <v>130</v>
      </c>
      <c r="O10" s="650" t="str">
        <f>+BIODIESEL!I11</f>
        <v>(3)</v>
      </c>
      <c r="P10" s="641" t="str">
        <f>+BIODIESEL!J11</f>
        <v>(3)</v>
      </c>
      <c r="Q10" s="642" t="str">
        <f>+BIODIESEL!K11</f>
        <v>(3)</v>
      </c>
    </row>
    <row r="11" spans="1:17" x14ac:dyDescent="0.35">
      <c r="A11" s="82"/>
      <c r="B11" s="88" t="s">
        <v>131</v>
      </c>
      <c r="C11" s="630" t="str">
        <f>+PUTUMAYO!C11</f>
        <v>(4)</v>
      </c>
      <c r="D11" s="619" t="s">
        <v>201</v>
      </c>
      <c r="E11" s="619" t="s">
        <v>201</v>
      </c>
      <c r="F11" s="619" t="str">
        <f>+C11</f>
        <v>(4)</v>
      </c>
      <c r="G11" s="683" t="s">
        <v>201</v>
      </c>
      <c r="H11" s="650" t="s">
        <v>201</v>
      </c>
      <c r="I11" s="650" t="str">
        <f>+C11</f>
        <v>(4)</v>
      </c>
      <c r="J11" s="641" t="str">
        <f>+F11</f>
        <v>(4)</v>
      </c>
      <c r="K11" s="642" t="str">
        <f>+G11</f>
        <v>(4)</v>
      </c>
      <c r="L11" s="618" t="str">
        <f>+C11</f>
        <v>(4)</v>
      </c>
      <c r="M11" s="621" t="s">
        <v>201</v>
      </c>
      <c r="N11" s="649" t="s">
        <v>201</v>
      </c>
      <c r="O11" s="621" t="str">
        <f>+C11</f>
        <v>(4)</v>
      </c>
      <c r="P11" s="621" t="str">
        <f>+F11</f>
        <v>(4)</v>
      </c>
      <c r="Q11" s="622" t="str">
        <f>+G11</f>
        <v>(4)</v>
      </c>
    </row>
    <row r="12" spans="1:17" x14ac:dyDescent="0.35">
      <c r="A12" s="82" t="s">
        <v>172</v>
      </c>
      <c r="B12" s="88" t="s">
        <v>268</v>
      </c>
      <c r="C12" s="630" t="s">
        <v>200</v>
      </c>
      <c r="D12" s="619" t="s">
        <v>200</v>
      </c>
      <c r="E12" s="619" t="s">
        <v>200</v>
      </c>
      <c r="F12" s="619" t="s">
        <v>200</v>
      </c>
      <c r="G12" s="683" t="s">
        <v>200</v>
      </c>
      <c r="H12" s="616" t="s">
        <v>200</v>
      </c>
      <c r="I12" s="616" t="s">
        <v>200</v>
      </c>
      <c r="J12" s="621" t="s">
        <v>200</v>
      </c>
      <c r="K12" s="622" t="s">
        <v>200</v>
      </c>
      <c r="L12" s="618" t="str">
        <f>+G12</f>
        <v>(2)</v>
      </c>
      <c r="M12" s="621" t="str">
        <f>+F12</f>
        <v>(2)</v>
      </c>
      <c r="N12" s="649" t="str">
        <f>+G12</f>
        <v>(2)</v>
      </c>
      <c r="O12" s="616" t="s">
        <v>200</v>
      </c>
      <c r="P12" s="621" t="s">
        <v>200</v>
      </c>
      <c r="Q12" s="622" t="s">
        <v>200</v>
      </c>
    </row>
    <row r="13" spans="1:17" x14ac:dyDescent="0.35">
      <c r="A13" s="82" t="s">
        <v>174</v>
      </c>
      <c r="B13" s="88" t="s">
        <v>175</v>
      </c>
      <c r="C13" s="630">
        <f>+RUBROS!AF19</f>
        <v>26.583233136281329</v>
      </c>
      <c r="D13" s="619">
        <f>+C13</f>
        <v>26.583233136281329</v>
      </c>
      <c r="E13" s="619">
        <f>+C13</f>
        <v>26.583233136281329</v>
      </c>
      <c r="F13" s="619">
        <f>+C13</f>
        <v>26.583233136281329</v>
      </c>
      <c r="G13" s="619">
        <f>+C13</f>
        <v>26.583233136281329</v>
      </c>
      <c r="H13" s="616">
        <f>+C13</f>
        <v>26.583233136281329</v>
      </c>
      <c r="I13" s="616">
        <f>+C13</f>
        <v>26.583233136281329</v>
      </c>
      <c r="J13" s="621">
        <f>+C13</f>
        <v>26.583233136281329</v>
      </c>
      <c r="K13" s="622">
        <f>+H13</f>
        <v>26.583233136281329</v>
      </c>
      <c r="L13" s="618">
        <f>+RUBROS!AG19</f>
        <v>26.583233136281329</v>
      </c>
      <c r="M13" s="621">
        <f>+C13</f>
        <v>26.583233136281329</v>
      </c>
      <c r="N13" s="621">
        <f>+G13</f>
        <v>26.583233136281329</v>
      </c>
      <c r="O13" s="616">
        <f>+L13</f>
        <v>26.583233136281329</v>
      </c>
      <c r="P13" s="621">
        <f>+M13</f>
        <v>26.583233136281329</v>
      </c>
      <c r="Q13" s="622">
        <f>+L13</f>
        <v>26.583233136281329</v>
      </c>
    </row>
    <row r="14" spans="1:17" x14ac:dyDescent="0.35">
      <c r="A14" s="82" t="s">
        <v>178</v>
      </c>
      <c r="B14" s="88" t="s">
        <v>179</v>
      </c>
      <c r="C14" s="630">
        <f>+RUBROS!AZ41</f>
        <v>13.716213893883657</v>
      </c>
      <c r="D14" s="619">
        <f>+C14</f>
        <v>13.716213893883657</v>
      </c>
      <c r="E14" s="619">
        <f>+C14</f>
        <v>13.716213893883657</v>
      </c>
      <c r="F14" s="619">
        <f>+C14</f>
        <v>13.716213893883657</v>
      </c>
      <c r="G14" s="619">
        <f>+C14</f>
        <v>13.716213893883657</v>
      </c>
      <c r="H14" s="616">
        <f>+C14</f>
        <v>13.716213893883657</v>
      </c>
      <c r="I14" s="616">
        <f>+C14</f>
        <v>13.716213893883657</v>
      </c>
      <c r="J14" s="621">
        <f>+C14</f>
        <v>13.716213893883657</v>
      </c>
      <c r="K14" s="622">
        <f>+H14</f>
        <v>13.716213893883657</v>
      </c>
      <c r="L14" s="618">
        <f>+C14</f>
        <v>13.716213893883657</v>
      </c>
      <c r="M14" s="621">
        <f>+C14</f>
        <v>13.716213893883657</v>
      </c>
      <c r="N14" s="621">
        <f>+G14</f>
        <v>13.716213893883657</v>
      </c>
      <c r="O14" s="616">
        <f>+C14</f>
        <v>13.716213893883657</v>
      </c>
      <c r="P14" s="621">
        <f>+F14</f>
        <v>13.716213893883657</v>
      </c>
      <c r="Q14" s="622">
        <f>+L14</f>
        <v>13.716213893883657</v>
      </c>
    </row>
    <row r="15" spans="1:17" hidden="1" x14ac:dyDescent="0.35">
      <c r="A15" s="82"/>
      <c r="B15" s="88" t="s">
        <v>180</v>
      </c>
      <c r="C15" s="630"/>
      <c r="D15" s="619"/>
      <c r="E15" s="619"/>
      <c r="F15" s="619"/>
      <c r="G15" s="619"/>
      <c r="H15" s="619"/>
      <c r="I15" s="616"/>
      <c r="J15" s="649"/>
      <c r="K15" s="652"/>
      <c r="L15" s="661"/>
      <c r="M15" s="621"/>
      <c r="N15" s="621"/>
      <c r="O15" s="616"/>
      <c r="P15" s="616"/>
      <c r="Q15" s="617"/>
    </row>
    <row r="16" spans="1:17" x14ac:dyDescent="0.35">
      <c r="A16" s="89" t="s">
        <v>181</v>
      </c>
      <c r="B16" s="115" t="s">
        <v>182</v>
      </c>
      <c r="C16" s="643">
        <f>SUM(C8:C15)</f>
        <v>9954.4594470301654</v>
      </c>
      <c r="D16" s="644">
        <f>SUM(D8:D15)</f>
        <v>10043.636247030165</v>
      </c>
      <c r="E16" s="644">
        <f>SUM(E8:E15)</f>
        <v>10132.813047030166</v>
      </c>
      <c r="F16" s="632">
        <f t="shared" ref="F16:O16" si="2">SUM(F8:F15)</f>
        <v>10177.399447030166</v>
      </c>
      <c r="G16" s="632">
        <f t="shared" si="2"/>
        <v>10400.343447030167</v>
      </c>
      <c r="H16" s="632">
        <f t="shared" si="2"/>
        <v>3884.8368470301652</v>
      </c>
      <c r="I16" s="632">
        <f t="shared" si="2"/>
        <v>4267.6348670301659</v>
      </c>
      <c r="J16" s="632">
        <f t="shared" si="2"/>
        <v>4650.4359590301656</v>
      </c>
      <c r="K16" s="633">
        <f t="shared" ref="K16" si="3">SUM(K8:K15)</f>
        <v>4905.6366870301654</v>
      </c>
      <c r="L16" s="684">
        <f t="shared" si="2"/>
        <v>10769.446647030165</v>
      </c>
      <c r="M16" s="632">
        <f t="shared" si="2"/>
        <v>10807.401447030166</v>
      </c>
      <c r="N16" s="632">
        <f t="shared" si="2"/>
        <v>10997.187447030166</v>
      </c>
      <c r="O16" s="632">
        <f t="shared" si="2"/>
        <v>5995.1684470301652</v>
      </c>
      <c r="P16" s="632">
        <f t="shared" ref="P16:Q16" si="4">SUM(P8:P15)</f>
        <v>6323.4198470301653</v>
      </c>
      <c r="Q16" s="633">
        <f t="shared" si="4"/>
        <v>6542.2474470301659</v>
      </c>
    </row>
    <row r="17" spans="1:23" x14ac:dyDescent="0.35">
      <c r="A17" s="82" t="s">
        <v>183</v>
      </c>
      <c r="B17" s="88" t="s">
        <v>184</v>
      </c>
      <c r="C17" s="630" t="s">
        <v>214</v>
      </c>
      <c r="D17" s="619" t="s">
        <v>214</v>
      </c>
      <c r="E17" s="619" t="s">
        <v>214</v>
      </c>
      <c r="F17" s="619" t="str">
        <f>+C17</f>
        <v>***</v>
      </c>
      <c r="G17" s="619" t="str">
        <f>+C17</f>
        <v>***</v>
      </c>
      <c r="H17" s="619" t="str">
        <f>+E17</f>
        <v>***</v>
      </c>
      <c r="I17" s="616" t="str">
        <f>+C17</f>
        <v>***</v>
      </c>
      <c r="J17" s="616" t="str">
        <f>+F17</f>
        <v>***</v>
      </c>
      <c r="K17" s="617" t="str">
        <f>+G17</f>
        <v>***</v>
      </c>
      <c r="L17" s="613" t="str">
        <f>+O17</f>
        <v>***</v>
      </c>
      <c r="M17" s="616" t="str">
        <f>+C17</f>
        <v>***</v>
      </c>
      <c r="N17" s="616" t="str">
        <f t="shared" ref="N17:N19" si="5">+F17</f>
        <v>***</v>
      </c>
      <c r="O17" s="616" t="s">
        <v>214</v>
      </c>
      <c r="P17" s="616" t="s">
        <v>214</v>
      </c>
      <c r="Q17" s="617" t="s">
        <v>214</v>
      </c>
    </row>
    <row r="18" spans="1:23" x14ac:dyDescent="0.35">
      <c r="A18" s="82" t="s">
        <v>185</v>
      </c>
      <c r="B18" s="88" t="s">
        <v>186</v>
      </c>
      <c r="C18" s="630" t="str">
        <f t="shared" ref="C18:E19" si="6">+G18</f>
        <v>**</v>
      </c>
      <c r="D18" s="619" t="str">
        <f t="shared" si="6"/>
        <v>**</v>
      </c>
      <c r="E18" s="619" t="str">
        <f t="shared" si="6"/>
        <v>**</v>
      </c>
      <c r="F18" s="619" t="str">
        <f>+C18</f>
        <v>**</v>
      </c>
      <c r="G18" s="619" t="s">
        <v>212</v>
      </c>
      <c r="H18" s="619" t="s">
        <v>212</v>
      </c>
      <c r="I18" s="621" t="s">
        <v>212</v>
      </c>
      <c r="J18" s="621" t="s">
        <v>212</v>
      </c>
      <c r="K18" s="622" t="s">
        <v>212</v>
      </c>
      <c r="L18" s="613" t="str">
        <f>+O18</f>
        <v>**</v>
      </c>
      <c r="M18" s="616" t="str">
        <f>+C18</f>
        <v>**</v>
      </c>
      <c r="N18" s="616" t="str">
        <f t="shared" si="5"/>
        <v>**</v>
      </c>
      <c r="O18" s="621" t="s">
        <v>212</v>
      </c>
      <c r="P18" s="621" t="s">
        <v>212</v>
      </c>
      <c r="Q18" s="622" t="s">
        <v>212</v>
      </c>
      <c r="S18" s="15"/>
    </row>
    <row r="19" spans="1:23" x14ac:dyDescent="0.35">
      <c r="A19" s="82" t="s">
        <v>187</v>
      </c>
      <c r="B19" s="88" t="s">
        <v>188</v>
      </c>
      <c r="C19" s="630" t="str">
        <f t="shared" si="6"/>
        <v>****</v>
      </c>
      <c r="D19" s="619" t="str">
        <f t="shared" si="6"/>
        <v>****</v>
      </c>
      <c r="E19" s="619" t="str">
        <f t="shared" si="6"/>
        <v>****</v>
      </c>
      <c r="F19" s="619" t="str">
        <f>+C19</f>
        <v>****</v>
      </c>
      <c r="G19" s="619" t="s">
        <v>216</v>
      </c>
      <c r="H19" s="619" t="s">
        <v>216</v>
      </c>
      <c r="I19" s="616" t="str">
        <f>+G19</f>
        <v>****</v>
      </c>
      <c r="J19" s="616" t="str">
        <f>+I19</f>
        <v>****</v>
      </c>
      <c r="K19" s="617" t="str">
        <f>+J19</f>
        <v>****</v>
      </c>
      <c r="L19" s="613" t="str">
        <f>+C19</f>
        <v>****</v>
      </c>
      <c r="M19" s="616" t="str">
        <f>+C19</f>
        <v>****</v>
      </c>
      <c r="N19" s="616" t="str">
        <f t="shared" si="5"/>
        <v>****</v>
      </c>
      <c r="O19" s="616" t="s">
        <v>216</v>
      </c>
      <c r="P19" s="616" t="s">
        <v>216</v>
      </c>
      <c r="Q19" s="617" t="s">
        <v>216</v>
      </c>
    </row>
    <row r="20" spans="1:23" x14ac:dyDescent="0.35">
      <c r="A20" s="89" t="s">
        <v>189</v>
      </c>
      <c r="B20" s="115" t="s">
        <v>190</v>
      </c>
      <c r="C20" s="643">
        <f t="shared" ref="C20:O20" si="7">+C16</f>
        <v>9954.4594470301654</v>
      </c>
      <c r="D20" s="644">
        <f t="shared" ref="D20:E20" si="8">+D16</f>
        <v>10043.636247030165</v>
      </c>
      <c r="E20" s="644">
        <f t="shared" si="8"/>
        <v>10132.813047030166</v>
      </c>
      <c r="F20" s="644">
        <f t="shared" si="7"/>
        <v>10177.399447030166</v>
      </c>
      <c r="G20" s="644">
        <f t="shared" si="7"/>
        <v>10400.343447030167</v>
      </c>
      <c r="H20" s="644">
        <f t="shared" ref="H20" si="9">+H16</f>
        <v>3884.8368470301652</v>
      </c>
      <c r="I20" s="644">
        <f t="shared" si="7"/>
        <v>4267.6348670301659</v>
      </c>
      <c r="J20" s="644">
        <f t="shared" si="7"/>
        <v>4650.4359590301656</v>
      </c>
      <c r="K20" s="645">
        <f t="shared" ref="K20" si="10">+K16</f>
        <v>4905.6366870301654</v>
      </c>
      <c r="L20" s="643">
        <f t="shared" si="7"/>
        <v>10769.446647030165</v>
      </c>
      <c r="M20" s="644">
        <f t="shared" si="7"/>
        <v>10807.401447030166</v>
      </c>
      <c r="N20" s="644">
        <f t="shared" ref="N20" si="11">+N16</f>
        <v>10997.187447030166</v>
      </c>
      <c r="O20" s="644">
        <f t="shared" si="7"/>
        <v>5995.1684470301652</v>
      </c>
      <c r="P20" s="644">
        <f t="shared" ref="P20:Q20" si="12">+P16</f>
        <v>6323.4198470301653</v>
      </c>
      <c r="Q20" s="645">
        <f t="shared" si="12"/>
        <v>6542.2474470301659</v>
      </c>
      <c r="T20" s="15"/>
    </row>
    <row r="21" spans="1:23" x14ac:dyDescent="0.35">
      <c r="A21" s="82" t="s">
        <v>191</v>
      </c>
      <c r="B21" s="88" t="s">
        <v>150</v>
      </c>
      <c r="C21" s="630" t="s">
        <v>214</v>
      </c>
      <c r="D21" s="619" t="s">
        <v>214</v>
      </c>
      <c r="E21" s="619" t="s">
        <v>214</v>
      </c>
      <c r="F21" s="619" t="str">
        <f>+C21</f>
        <v>***</v>
      </c>
      <c r="G21" s="619" t="str">
        <f>+C21</f>
        <v>***</v>
      </c>
      <c r="H21" s="619" t="str">
        <f>+E21</f>
        <v>***</v>
      </c>
      <c r="I21" s="616" t="str">
        <f>+G21</f>
        <v>***</v>
      </c>
      <c r="J21" s="616" t="str">
        <f>+I21</f>
        <v>***</v>
      </c>
      <c r="K21" s="617" t="str">
        <f>+J21</f>
        <v>***</v>
      </c>
      <c r="L21" s="613" t="str">
        <f>+C21</f>
        <v>***</v>
      </c>
      <c r="M21" s="616" t="str">
        <f>+C21</f>
        <v>***</v>
      </c>
      <c r="N21" s="616" t="str">
        <f t="shared" ref="N21:N23" si="13">+F21</f>
        <v>***</v>
      </c>
      <c r="O21" s="616" t="s">
        <v>214</v>
      </c>
      <c r="P21" s="616" t="s">
        <v>214</v>
      </c>
      <c r="Q21" s="617" t="s">
        <v>214</v>
      </c>
    </row>
    <row r="22" spans="1:23" x14ac:dyDescent="0.35">
      <c r="A22" s="82" t="s">
        <v>192</v>
      </c>
      <c r="B22" s="83" t="s">
        <v>193</v>
      </c>
      <c r="C22" s="630" t="str">
        <f t="shared" ref="C22:E23" si="14">+G22</f>
        <v>*****</v>
      </c>
      <c r="D22" s="619" t="str">
        <f t="shared" si="14"/>
        <v>*****</v>
      </c>
      <c r="E22" s="619" t="str">
        <f t="shared" si="14"/>
        <v>N.A.</v>
      </c>
      <c r="F22" s="619" t="str">
        <f>+C22</f>
        <v>*****</v>
      </c>
      <c r="G22" s="619" t="s">
        <v>218</v>
      </c>
      <c r="H22" s="619" t="s">
        <v>218</v>
      </c>
      <c r="I22" s="616" t="s">
        <v>236</v>
      </c>
      <c r="J22" s="616" t="s">
        <v>236</v>
      </c>
      <c r="K22" s="617" t="s">
        <v>236</v>
      </c>
      <c r="L22" s="613" t="str">
        <f>+C22</f>
        <v>*****</v>
      </c>
      <c r="M22" s="616" t="str">
        <f>+C22</f>
        <v>*****</v>
      </c>
      <c r="N22" s="616" t="str">
        <f t="shared" si="13"/>
        <v>*****</v>
      </c>
      <c r="O22" s="616" t="s">
        <v>237</v>
      </c>
      <c r="P22" s="616" t="s">
        <v>237</v>
      </c>
      <c r="Q22" s="617" t="s">
        <v>237</v>
      </c>
    </row>
    <row r="23" spans="1:23" x14ac:dyDescent="0.35">
      <c r="A23" s="82" t="s">
        <v>195</v>
      </c>
      <c r="B23" s="88" t="s">
        <v>272</v>
      </c>
      <c r="C23" s="630" t="str">
        <f t="shared" si="14"/>
        <v>******</v>
      </c>
      <c r="D23" s="619" t="str">
        <f t="shared" si="14"/>
        <v>******</v>
      </c>
      <c r="E23" s="619" t="str">
        <f t="shared" si="14"/>
        <v>******</v>
      </c>
      <c r="F23" s="619" t="str">
        <f>+C23</f>
        <v>******</v>
      </c>
      <c r="G23" s="619" t="s">
        <v>219</v>
      </c>
      <c r="H23" s="619" t="s">
        <v>219</v>
      </c>
      <c r="I23" s="621" t="str">
        <f>+G23</f>
        <v>******</v>
      </c>
      <c r="J23" s="621" t="str">
        <f>+I23</f>
        <v>******</v>
      </c>
      <c r="K23" s="622" t="str">
        <f>+J23</f>
        <v>******</v>
      </c>
      <c r="L23" s="613" t="str">
        <f>+J23</f>
        <v>******</v>
      </c>
      <c r="M23" s="616" t="str">
        <f>+C23</f>
        <v>******</v>
      </c>
      <c r="N23" s="616" t="str">
        <f t="shared" si="13"/>
        <v>******</v>
      </c>
      <c r="O23" s="621" t="str">
        <f>+L23</f>
        <v>******</v>
      </c>
      <c r="P23" s="621" t="str">
        <f>+M23</f>
        <v>******</v>
      </c>
      <c r="Q23" s="622" t="str">
        <f>+N23</f>
        <v>******</v>
      </c>
    </row>
    <row r="24" spans="1:23" ht="15" thickBot="1" x14ac:dyDescent="0.4">
      <c r="A24" s="93" t="s">
        <v>197</v>
      </c>
      <c r="B24" s="94" t="s">
        <v>198</v>
      </c>
      <c r="C24" s="678"/>
      <c r="D24" s="679"/>
      <c r="E24" s="679"/>
      <c r="F24" s="679"/>
      <c r="G24" s="679"/>
      <c r="H24" s="679"/>
      <c r="I24" s="636"/>
      <c r="J24" s="636"/>
      <c r="K24" s="637"/>
      <c r="L24" s="635"/>
      <c r="M24" s="636"/>
      <c r="N24" s="636"/>
      <c r="O24" s="636"/>
      <c r="P24" s="636"/>
      <c r="Q24" s="637"/>
    </row>
    <row r="25" spans="1:23" ht="15" thickTop="1" x14ac:dyDescent="0.35"/>
    <row r="26" spans="1:23" x14ac:dyDescent="0.35">
      <c r="A26" s="101"/>
      <c r="B26" s="119" t="s">
        <v>210</v>
      </c>
      <c r="C26" s="145"/>
      <c r="D26" s="145"/>
      <c r="E26" s="145"/>
      <c r="F26" s="145"/>
      <c r="G26" s="145"/>
      <c r="H26" s="145"/>
      <c r="I26" s="145"/>
      <c r="J26" s="145"/>
      <c r="K26" s="145"/>
      <c r="L26" s="127"/>
      <c r="M26" s="127"/>
      <c r="N26" s="127"/>
      <c r="O26" s="127"/>
      <c r="P26" s="127"/>
      <c r="Q26" s="127"/>
      <c r="R26" s="127"/>
      <c r="S26" s="127"/>
      <c r="U26" s="127"/>
      <c r="V26" s="127"/>
      <c r="W26" s="127"/>
    </row>
    <row r="27" spans="1:23" x14ac:dyDescent="0.35">
      <c r="A27" s="101"/>
      <c r="B27" s="119"/>
      <c r="C27" s="145"/>
      <c r="D27" s="145"/>
      <c r="E27" s="145"/>
      <c r="F27" s="145"/>
      <c r="G27" s="145"/>
      <c r="H27" s="145"/>
      <c r="I27" s="145"/>
      <c r="J27" s="145"/>
      <c r="K27" s="145"/>
      <c r="L27" s="127"/>
      <c r="M27" s="127"/>
      <c r="N27" s="127"/>
      <c r="O27" s="127"/>
      <c r="P27" s="127"/>
      <c r="Q27" s="127"/>
      <c r="R27" s="127"/>
      <c r="S27" s="127"/>
      <c r="T27" s="127"/>
      <c r="U27" s="127"/>
      <c r="V27" s="127"/>
      <c r="W27" s="127"/>
    </row>
    <row r="28" spans="1:23" ht="55.5" customHeight="1" x14ac:dyDescent="0.35">
      <c r="A28" s="101" t="s">
        <v>173</v>
      </c>
      <c r="B28" s="783" t="str">
        <f>+AMAZONAS!B29</f>
        <v>De acuerdo con lo establecido en la Resoluccion 91349 de 2014 del MME para combustible de origen nacional o importado a ser distribuido en zonas de frontera, aplica la tarifa de marcación o remarcación vigente a la fecha según corresponda</v>
      </c>
      <c r="C28" s="783"/>
      <c r="D28" s="783"/>
      <c r="E28" s="783"/>
      <c r="F28" s="783"/>
      <c r="G28" s="783"/>
      <c r="H28" s="783"/>
      <c r="I28" s="783"/>
      <c r="J28" s="783"/>
      <c r="K28" s="783"/>
      <c r="L28" s="783"/>
      <c r="M28" s="783"/>
      <c r="N28" s="783"/>
      <c r="O28" s="783"/>
      <c r="P28" s="783"/>
      <c r="Q28" s="783"/>
      <c r="R28" s="146"/>
      <c r="S28" s="146"/>
      <c r="T28" s="146"/>
      <c r="U28" s="146"/>
      <c r="V28" s="146"/>
      <c r="W28" s="146"/>
    </row>
    <row r="29" spans="1:23" ht="26.5" customHeight="1" x14ac:dyDescent="0.35">
      <c r="A29" s="101" t="s">
        <v>200</v>
      </c>
      <c r="B29" s="778" t="s">
        <v>251</v>
      </c>
      <c r="C29" s="778"/>
      <c r="D29" s="778"/>
      <c r="E29" s="778"/>
      <c r="F29" s="778"/>
      <c r="G29" s="778"/>
      <c r="H29" s="778"/>
      <c r="I29" s="778"/>
      <c r="J29" s="778"/>
      <c r="K29" s="778"/>
      <c r="L29" s="778"/>
      <c r="M29" s="778"/>
      <c r="N29" s="778"/>
      <c r="O29" s="778"/>
      <c r="P29" s="778"/>
      <c r="Q29" s="778"/>
      <c r="R29" s="127"/>
      <c r="S29" s="127"/>
      <c r="T29" s="127"/>
      <c r="U29" s="127"/>
      <c r="V29" s="127"/>
      <c r="W29" s="127"/>
    </row>
    <row r="30" spans="1:23" ht="54.75" customHeight="1" x14ac:dyDescent="0.35">
      <c r="A30" s="101" t="s">
        <v>130</v>
      </c>
      <c r="B30" s="783" t="s">
        <v>307</v>
      </c>
      <c r="C30" s="783"/>
      <c r="D30" s="783"/>
      <c r="E30" s="783"/>
      <c r="F30" s="783"/>
      <c r="G30" s="783"/>
      <c r="H30" s="783"/>
      <c r="I30" s="783"/>
      <c r="J30" s="783"/>
      <c r="K30" s="783"/>
      <c r="L30" s="783"/>
      <c r="M30" s="783"/>
      <c r="N30" s="783"/>
      <c r="O30" s="783"/>
      <c r="P30" s="783"/>
      <c r="Q30" s="783"/>
      <c r="R30" s="127"/>
      <c r="S30" s="127"/>
      <c r="T30" s="127"/>
      <c r="U30" s="127"/>
      <c r="V30" s="127"/>
      <c r="W30" s="127"/>
    </row>
    <row r="31" spans="1:23" ht="54.75" customHeight="1" x14ac:dyDescent="0.35">
      <c r="A31" s="101" t="s">
        <v>201</v>
      </c>
      <c r="B31" s="782" t="s">
        <v>375</v>
      </c>
      <c r="C31" s="782"/>
      <c r="D31" s="782"/>
      <c r="E31" s="782"/>
      <c r="F31" s="782"/>
      <c r="G31" s="782"/>
      <c r="H31" s="782"/>
      <c r="I31" s="782"/>
      <c r="J31" s="782"/>
      <c r="K31" s="782"/>
      <c r="L31" s="782"/>
      <c r="M31" s="782"/>
      <c r="N31" s="782"/>
      <c r="O31" s="782"/>
      <c r="P31" s="782"/>
      <c r="Q31" s="782"/>
      <c r="R31" s="127"/>
      <c r="S31" s="127"/>
      <c r="T31" s="127"/>
      <c r="U31" s="127"/>
      <c r="V31" s="127"/>
      <c r="W31" s="127"/>
    </row>
    <row r="32" spans="1:23" ht="15" customHeight="1" x14ac:dyDescent="0.35">
      <c r="A32" s="120" t="s">
        <v>102</v>
      </c>
      <c r="B32" s="779" t="s">
        <v>211</v>
      </c>
      <c r="C32" s="779"/>
      <c r="D32" s="779"/>
      <c r="E32" s="779"/>
      <c r="F32" s="779"/>
      <c r="G32" s="779"/>
      <c r="H32" s="779"/>
      <c r="I32" s="779"/>
      <c r="J32" s="779"/>
      <c r="K32" s="779"/>
      <c r="L32" s="779"/>
      <c r="M32" s="779"/>
      <c r="N32" s="779"/>
      <c r="O32" s="779"/>
      <c r="P32" s="779"/>
      <c r="Q32" s="779"/>
      <c r="R32" s="127"/>
      <c r="S32" s="127"/>
      <c r="T32" s="127"/>
      <c r="U32" s="127"/>
      <c r="V32" s="127"/>
      <c r="W32" s="127"/>
    </row>
    <row r="33" spans="1:23" ht="15" customHeight="1" x14ac:dyDescent="0.35">
      <c r="A33" s="120" t="s">
        <v>212</v>
      </c>
      <c r="B33" s="783" t="s">
        <v>271</v>
      </c>
      <c r="C33" s="783"/>
      <c r="D33" s="783"/>
      <c r="E33" s="783"/>
      <c r="F33" s="783"/>
      <c r="G33" s="783"/>
      <c r="H33" s="783"/>
      <c r="I33" s="783"/>
      <c r="J33" s="783"/>
      <c r="K33" s="783"/>
      <c r="L33" s="783"/>
      <c r="M33" s="783"/>
      <c r="N33" s="783"/>
      <c r="O33" s="783"/>
      <c r="P33" s="783"/>
      <c r="Q33" s="783"/>
      <c r="R33" s="127"/>
      <c r="S33" s="127"/>
      <c r="T33" s="127"/>
      <c r="U33" s="127"/>
      <c r="V33" s="127"/>
      <c r="W33" s="127"/>
    </row>
    <row r="34" spans="1:23" ht="15" customHeight="1" x14ac:dyDescent="0.35">
      <c r="A34" s="101" t="s">
        <v>214</v>
      </c>
      <c r="B34" s="783" t="s">
        <v>215</v>
      </c>
      <c r="C34" s="783"/>
      <c r="D34" s="783"/>
      <c r="E34" s="783"/>
      <c r="F34" s="783"/>
      <c r="G34" s="783"/>
      <c r="H34" s="783"/>
      <c r="I34" s="783"/>
      <c r="J34" s="783"/>
      <c r="K34" s="783"/>
      <c r="L34" s="783"/>
      <c r="M34" s="783"/>
      <c r="N34" s="783"/>
      <c r="O34" s="783"/>
      <c r="P34" s="101"/>
      <c r="Q34" s="779"/>
      <c r="R34" s="779"/>
      <c r="S34" s="779"/>
      <c r="T34" s="779"/>
      <c r="U34" s="779"/>
      <c r="V34" s="779"/>
      <c r="W34" s="779"/>
    </row>
    <row r="35" spans="1:23" ht="15" customHeight="1" x14ac:dyDescent="0.35">
      <c r="A35" s="101" t="s">
        <v>216</v>
      </c>
      <c r="B35" s="779" t="s">
        <v>426</v>
      </c>
      <c r="C35" s="779"/>
      <c r="D35" s="779"/>
      <c r="E35" s="779"/>
      <c r="F35" s="779"/>
      <c r="G35" s="779"/>
      <c r="H35" s="779"/>
      <c r="I35" s="779"/>
      <c r="J35" s="779"/>
      <c r="K35" s="779"/>
      <c r="L35" s="779"/>
      <c r="M35" s="779"/>
      <c r="N35" s="779"/>
      <c r="O35" s="779"/>
      <c r="P35" s="101"/>
      <c r="Q35" s="102"/>
      <c r="R35" s="102"/>
      <c r="S35" s="102"/>
      <c r="T35" s="102"/>
      <c r="U35" s="102"/>
      <c r="V35" s="102"/>
      <c r="W35" s="102"/>
    </row>
    <row r="36" spans="1:23" ht="26.5" customHeight="1" x14ac:dyDescent="0.35">
      <c r="A36" s="120" t="s">
        <v>218</v>
      </c>
      <c r="B36" s="783" t="s">
        <v>220</v>
      </c>
      <c r="C36" s="783"/>
      <c r="D36" s="783"/>
      <c r="E36" s="783"/>
      <c r="F36" s="783"/>
      <c r="G36" s="783"/>
      <c r="H36" s="783"/>
      <c r="I36" s="783"/>
      <c r="J36" s="783"/>
      <c r="K36" s="783"/>
      <c r="L36" s="783"/>
      <c r="M36" s="783"/>
      <c r="N36" s="783"/>
      <c r="O36" s="783"/>
      <c r="P36" s="783"/>
      <c r="Q36" s="783"/>
      <c r="R36" s="127"/>
      <c r="S36" s="127"/>
      <c r="T36" s="127"/>
      <c r="U36" s="127"/>
      <c r="V36" s="127"/>
      <c r="W36" s="127"/>
    </row>
    <row r="37" spans="1:23" ht="26" x14ac:dyDescent="0.35">
      <c r="A37" s="120" t="s">
        <v>219</v>
      </c>
      <c r="B37" s="783" t="s">
        <v>273</v>
      </c>
      <c r="C37" s="783"/>
      <c r="D37" s="783"/>
      <c r="E37" s="783"/>
      <c r="F37" s="783"/>
      <c r="G37" s="783"/>
      <c r="H37" s="783"/>
      <c r="I37" s="783"/>
      <c r="J37" s="783"/>
      <c r="K37" s="783"/>
      <c r="L37" s="783"/>
      <c r="M37" s="783"/>
      <c r="N37" s="783"/>
      <c r="O37" s="783"/>
      <c r="P37" s="783"/>
      <c r="Q37" s="783"/>
      <c r="R37" s="127"/>
      <c r="S37" s="127"/>
      <c r="T37" s="127"/>
      <c r="U37" s="127"/>
      <c r="V37" s="127"/>
      <c r="W37" s="127"/>
    </row>
    <row r="38" spans="1:23" x14ac:dyDescent="0.35">
      <c r="B38" s="872" t="s">
        <v>416</v>
      </c>
      <c r="C38" s="872"/>
      <c r="D38" s="872"/>
      <c r="E38" s="872"/>
      <c r="F38" s="872"/>
      <c r="G38" s="872"/>
      <c r="H38" s="872"/>
      <c r="I38" s="872"/>
      <c r="J38" s="872"/>
      <c r="K38" s="872"/>
      <c r="L38" s="872"/>
      <c r="M38" s="872"/>
      <c r="N38" s="872"/>
      <c r="O38" s="872"/>
      <c r="P38" s="872"/>
    </row>
    <row r="39" spans="1:23" ht="88" customHeight="1" x14ac:dyDescent="0.35">
      <c r="B39" s="801" t="s">
        <v>137</v>
      </c>
      <c r="C39" s="801"/>
      <c r="D39" s="801"/>
      <c r="E39" s="801"/>
      <c r="F39" s="801"/>
      <c r="G39" s="801"/>
      <c r="H39" s="801"/>
      <c r="I39" s="801"/>
      <c r="J39" s="801"/>
      <c r="K39" s="801"/>
      <c r="L39" s="801"/>
      <c r="M39" s="801"/>
      <c r="N39" s="801"/>
      <c r="O39" s="801"/>
      <c r="P39" s="801"/>
      <c r="Q39" s="801"/>
      <c r="R39" s="801"/>
    </row>
  </sheetData>
  <sheetProtection algorithmName="SHA-512" hashValue="NjR/pBq2TK1z1XiEq9CD2fj6S6norSpJEJ66ThvsGvIiuNqxWid+/LdV4x9Wc5Rad1y0J0icOMDkM8iXTBUeyw==" saltValue="nJMyOKLtwp75a8qcVn8yZg==" spinCount="100000" sheet="1" objects="1" scenarios="1"/>
  <mergeCells count="18">
    <mergeCell ref="B35:O35"/>
    <mergeCell ref="B36:Q36"/>
    <mergeCell ref="B37:Q37"/>
    <mergeCell ref="B39:R39"/>
    <mergeCell ref="B29:Q29"/>
    <mergeCell ref="B30:Q30"/>
    <mergeCell ref="B32:Q32"/>
    <mergeCell ref="B33:Q33"/>
    <mergeCell ref="B34:O34"/>
    <mergeCell ref="Q34:W34"/>
    <mergeCell ref="B31:Q31"/>
    <mergeCell ref="B38:P38"/>
    <mergeCell ref="B28:Q28"/>
    <mergeCell ref="A5:A7"/>
    <mergeCell ref="B5:B7"/>
    <mergeCell ref="C5:C6"/>
    <mergeCell ref="L3:Q4"/>
    <mergeCell ref="C3:K4"/>
  </mergeCells>
  <hyperlinks>
    <hyperlink ref="B26" location="VAUPES!A40" display="Ver Nota Informativa" xr:uid="{00000000-0004-0000-1400-000000000000}"/>
  </hyperlinks>
  <pageMargins left="0.7" right="0.7" top="0.75" bottom="0.75" header="0.3" footer="0.3"/>
  <pageSetup orientation="portrait" r:id="rId1"/>
  <ignoredErrors>
    <ignoredError sqref="I20 I16" formula="1"/>
    <ignoredError sqref="I12 O12"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65"/>
  <sheetViews>
    <sheetView showGridLines="0" zoomScale="80" zoomScaleNormal="80" workbookViewId="0">
      <selection activeCell="T13" sqref="T13"/>
    </sheetView>
  </sheetViews>
  <sheetFormatPr baseColWidth="10" defaultRowHeight="14.5" x14ac:dyDescent="0.35"/>
  <cols>
    <col min="1" max="1" width="7.54296875" customWidth="1"/>
    <col min="2" max="2" width="47.1796875" customWidth="1"/>
    <col min="3" max="3" width="13.26953125" customWidth="1"/>
    <col min="4" max="4" width="14.453125" hidden="1" customWidth="1"/>
    <col min="5" max="5" width="14.54296875" customWidth="1"/>
    <col min="6" max="6" width="14.26953125" hidden="1" customWidth="1"/>
    <col min="7" max="7" width="10.54296875" hidden="1" customWidth="1"/>
    <col min="8" max="8" width="13.81640625" customWidth="1"/>
    <col min="9" max="9" width="13.1796875" hidden="1" customWidth="1"/>
    <col min="10" max="10" width="14" hidden="1" customWidth="1"/>
    <col min="11" max="11" width="14" customWidth="1"/>
    <col min="12" max="12" width="14" hidden="1" customWidth="1"/>
    <col min="13" max="13" width="13.26953125" customWidth="1"/>
    <col min="14" max="14" width="12.7265625" hidden="1" customWidth="1"/>
    <col min="15" max="15" width="15.26953125" hidden="1" customWidth="1"/>
    <col min="16" max="16" width="14.7265625" hidden="1" customWidth="1"/>
    <col min="17" max="17" width="14" hidden="1" customWidth="1"/>
    <col min="18" max="18" width="15.1796875" customWidth="1"/>
  </cols>
  <sheetData>
    <row r="1" spans="1:18" x14ac:dyDescent="0.35">
      <c r="A1" s="79"/>
      <c r="B1" s="79" t="str">
        <f>+AMAZONAS!C1</f>
        <v>Vigencia: 04 de Noviembre de 2023; 00:00 horas</v>
      </c>
    </row>
    <row r="2" spans="1:18" ht="15" thickBot="1" x14ac:dyDescent="0.4">
      <c r="A2" s="79" t="s">
        <v>162</v>
      </c>
      <c r="B2" s="79"/>
      <c r="D2" s="710"/>
      <c r="E2" s="395"/>
      <c r="M2" s="395"/>
    </row>
    <row r="3" spans="1:18" ht="16" customHeight="1" thickTop="1" x14ac:dyDescent="0.35">
      <c r="A3" s="128"/>
      <c r="B3" s="129" t="s">
        <v>469</v>
      </c>
      <c r="C3" s="812" t="s">
        <v>163</v>
      </c>
      <c r="D3" s="813"/>
      <c r="E3" s="813"/>
      <c r="F3" s="813"/>
      <c r="G3" s="813"/>
      <c r="H3" s="813"/>
      <c r="I3" s="813"/>
      <c r="J3" s="813"/>
      <c r="K3" s="878"/>
      <c r="L3" s="802" t="s">
        <v>232</v>
      </c>
      <c r="M3" s="803"/>
      <c r="N3" s="803"/>
      <c r="O3" s="803"/>
      <c r="P3" s="803"/>
      <c r="Q3" s="803"/>
      <c r="R3" s="804"/>
    </row>
    <row r="4" spans="1:18" ht="24.65" customHeight="1" x14ac:dyDescent="0.35">
      <c r="A4" s="80"/>
      <c r="B4" s="447" t="s">
        <v>471</v>
      </c>
      <c r="C4" s="879"/>
      <c r="D4" s="880"/>
      <c r="E4" s="880"/>
      <c r="F4" s="880"/>
      <c r="G4" s="880"/>
      <c r="H4" s="880"/>
      <c r="I4" s="880"/>
      <c r="J4" s="880"/>
      <c r="K4" s="881"/>
      <c r="L4" s="805"/>
      <c r="M4" s="806"/>
      <c r="N4" s="806"/>
      <c r="O4" s="806"/>
      <c r="P4" s="806"/>
      <c r="Q4" s="806"/>
      <c r="R4" s="807"/>
    </row>
    <row r="5" spans="1:18" ht="22.75" customHeight="1" x14ac:dyDescent="0.35">
      <c r="A5" s="790" t="s">
        <v>164</v>
      </c>
      <c r="B5" s="792" t="s">
        <v>165</v>
      </c>
      <c r="C5" s="877" t="s">
        <v>223</v>
      </c>
      <c r="D5" s="607" t="s">
        <v>96</v>
      </c>
      <c r="E5" s="607" t="s">
        <v>96</v>
      </c>
      <c r="F5" s="607" t="s">
        <v>96</v>
      </c>
      <c r="G5" s="607" t="s">
        <v>480</v>
      </c>
      <c r="H5" s="607" t="s">
        <v>370</v>
      </c>
      <c r="I5" s="607" t="s">
        <v>444</v>
      </c>
      <c r="J5" s="607" t="s">
        <v>505</v>
      </c>
      <c r="K5" s="608" t="s">
        <v>374</v>
      </c>
      <c r="L5" s="606" t="s">
        <v>96</v>
      </c>
      <c r="M5" s="607" t="s">
        <v>96</v>
      </c>
      <c r="N5" s="607" t="s">
        <v>96</v>
      </c>
      <c r="O5" s="607" t="s">
        <v>480</v>
      </c>
      <c r="P5" s="607" t="str">
        <f>+I5</f>
        <v>Biodiesel B5</v>
      </c>
      <c r="Q5" s="607" t="s">
        <v>505</v>
      </c>
      <c r="R5" s="608" t="s">
        <v>374</v>
      </c>
    </row>
    <row r="6" spans="1:18" ht="20.5" customHeight="1" x14ac:dyDescent="0.35">
      <c r="A6" s="790"/>
      <c r="B6" s="792"/>
      <c r="C6" s="877"/>
      <c r="D6" s="666" t="s">
        <v>500</v>
      </c>
      <c r="E6" s="666" t="s">
        <v>483</v>
      </c>
      <c r="F6" s="666" t="s">
        <v>447</v>
      </c>
      <c r="G6" s="611">
        <v>0.1</v>
      </c>
      <c r="H6" s="647">
        <v>0.02</v>
      </c>
      <c r="I6" s="667">
        <v>0.05</v>
      </c>
      <c r="J6" s="647">
        <v>0.08</v>
      </c>
      <c r="K6" s="648">
        <v>0.1</v>
      </c>
      <c r="L6" s="660">
        <f>+G6</f>
        <v>0.1</v>
      </c>
      <c r="M6" s="666" t="s">
        <v>483</v>
      </c>
      <c r="N6" s="666" t="s">
        <v>447</v>
      </c>
      <c r="O6" s="611">
        <v>0.1</v>
      </c>
      <c r="P6" s="611">
        <f>+I6</f>
        <v>0.05</v>
      </c>
      <c r="Q6" s="647">
        <v>0.08</v>
      </c>
      <c r="R6" s="648">
        <v>0.1</v>
      </c>
    </row>
    <row r="7" spans="1:18" ht="19.149999999999999" customHeight="1" x14ac:dyDescent="0.35">
      <c r="A7" s="791"/>
      <c r="B7" s="793"/>
      <c r="C7" s="606" t="s">
        <v>166</v>
      </c>
      <c r="D7" s="607" t="s">
        <v>166</v>
      </c>
      <c r="E7" s="607" t="s">
        <v>166</v>
      </c>
      <c r="F7" s="607" t="s">
        <v>166</v>
      </c>
      <c r="G7" s="607" t="s">
        <v>166</v>
      </c>
      <c r="H7" s="607" t="s">
        <v>166</v>
      </c>
      <c r="I7" s="607" t="s">
        <v>166</v>
      </c>
      <c r="J7" s="607" t="s">
        <v>166</v>
      </c>
      <c r="K7" s="608" t="s">
        <v>166</v>
      </c>
      <c r="L7" s="606" t="s">
        <v>166</v>
      </c>
      <c r="M7" s="607" t="s">
        <v>166</v>
      </c>
      <c r="N7" s="607" t="s">
        <v>166</v>
      </c>
      <c r="O7" s="607" t="s">
        <v>166</v>
      </c>
      <c r="P7" s="607" t="s">
        <v>166</v>
      </c>
      <c r="Q7" s="607" t="s">
        <v>166</v>
      </c>
      <c r="R7" s="608" t="s">
        <v>166</v>
      </c>
    </row>
    <row r="8" spans="1:18" ht="23.5" customHeight="1" x14ac:dyDescent="0.35">
      <c r="A8" s="82" t="s">
        <v>167</v>
      </c>
      <c r="B8" s="88" t="s">
        <v>168</v>
      </c>
      <c r="C8" s="668">
        <f>+'Calculo IP ZDF'!B40</f>
        <v>9914.16</v>
      </c>
      <c r="D8" s="669">
        <f>+'Calculo IP ZDF'!G40</f>
        <v>10003.336799999999</v>
      </c>
      <c r="E8" s="669">
        <f>+'Calculo IP ZDF'!H40</f>
        <v>10092.5136</v>
      </c>
      <c r="F8" s="669">
        <f>+'Calculo IP ZDF'!I40</f>
        <v>10137.101999999999</v>
      </c>
      <c r="G8" s="682">
        <f>+'Calculo IP ZDF'!K40</f>
        <v>10360.044000000002</v>
      </c>
      <c r="H8" s="669">
        <f>+'Calculo IP ZDF'!F40</f>
        <v>3664.4471515</v>
      </c>
      <c r="I8" s="621">
        <f>+'Calculo IP ZDF'!S40</f>
        <v>4052.7611162499998</v>
      </c>
      <c r="J8" s="621">
        <f>+'Calculo IP ZDF'!N40</f>
        <v>4441.075081</v>
      </c>
      <c r="K8" s="622">
        <f>+'Calculo IP ZDF'!M40</f>
        <v>4699.9510575000004</v>
      </c>
      <c r="L8" s="684">
        <f>+'GAS CTE'!C6</f>
        <v>9914.16</v>
      </c>
      <c r="M8" s="621">
        <f>+'GAS CTE'!E9</f>
        <v>10092.5136</v>
      </c>
      <c r="N8" s="621">
        <f>+'GAS CTE'!F9</f>
        <v>10137.1</v>
      </c>
      <c r="O8" s="621">
        <f>+'GAS CTE'!J9</f>
        <v>10360.044000000002</v>
      </c>
      <c r="P8" s="621">
        <f>+BIODIESEL!G9</f>
        <v>5351.866</v>
      </c>
      <c r="Q8" s="621">
        <f>+BIODIESEL!H9</f>
        <v>5699.1596</v>
      </c>
      <c r="R8" s="622">
        <f>+BIODIESEL!I9</f>
        <v>5930.6819999999998</v>
      </c>
    </row>
    <row r="9" spans="1:18" ht="15.65" customHeight="1" x14ac:dyDescent="0.35">
      <c r="A9" s="82" t="s">
        <v>169</v>
      </c>
      <c r="B9" s="88" t="s">
        <v>170</v>
      </c>
      <c r="C9" s="630" t="str">
        <f t="shared" ref="C9" si="0">+G9</f>
        <v>------------------</v>
      </c>
      <c r="D9" s="641" t="s">
        <v>171</v>
      </c>
      <c r="E9" s="641" t="s">
        <v>171</v>
      </c>
      <c r="F9" s="641" t="s">
        <v>171</v>
      </c>
      <c r="G9" s="665" t="s">
        <v>171</v>
      </c>
      <c r="H9" s="650" t="s">
        <v>171</v>
      </c>
      <c r="I9" s="650" t="s">
        <v>171</v>
      </c>
      <c r="J9" s="621" t="s">
        <v>171</v>
      </c>
      <c r="K9" s="622" t="s">
        <v>171</v>
      </c>
      <c r="L9" s="684">
        <f>+'GAS CTE'!C10</f>
        <v>663.16</v>
      </c>
      <c r="M9" s="621">
        <f>+'GAS CTE'!E10</f>
        <v>636.6336</v>
      </c>
      <c r="N9" s="621">
        <f>+'GAS CTE'!F10</f>
        <v>630.00199999999995</v>
      </c>
      <c r="O9" s="621">
        <f>+'GAS CTE'!J10</f>
        <v>596.84399999999994</v>
      </c>
      <c r="P9" s="641">
        <f>+BIODIESEL!G10</f>
        <v>603.00299999999993</v>
      </c>
      <c r="Q9" s="641">
        <f>+BIODIESEL!H10</f>
        <v>583.96080000000006</v>
      </c>
      <c r="R9" s="642">
        <f>+BIODIESEL!I10</f>
        <v>571.26600000000008</v>
      </c>
    </row>
    <row r="10" spans="1:18" ht="18" customHeight="1" x14ac:dyDescent="0.35">
      <c r="A10" s="82"/>
      <c r="B10" s="88" t="s">
        <v>129</v>
      </c>
      <c r="C10" s="630" t="str">
        <f>+G10</f>
        <v>------------------</v>
      </c>
      <c r="D10" s="641" t="s">
        <v>171</v>
      </c>
      <c r="E10" s="641" t="s">
        <v>171</v>
      </c>
      <c r="F10" s="641" t="s">
        <v>171</v>
      </c>
      <c r="G10" s="665" t="s">
        <v>171</v>
      </c>
      <c r="H10" s="650" t="s">
        <v>171</v>
      </c>
      <c r="I10" s="650" t="s">
        <v>171</v>
      </c>
      <c r="J10" s="621" t="s">
        <v>171</v>
      </c>
      <c r="K10" s="622" t="s">
        <v>171</v>
      </c>
      <c r="L10" s="692" t="s">
        <v>130</v>
      </c>
      <c r="M10" s="673" t="s">
        <v>130</v>
      </c>
      <c r="N10" s="673" t="s">
        <v>130</v>
      </c>
      <c r="O10" s="673" t="s">
        <v>130</v>
      </c>
      <c r="P10" s="693" t="str">
        <f>+BIODIESEL!I11</f>
        <v>(3)</v>
      </c>
      <c r="Q10" s="693" t="str">
        <f>+BIODIESEL!J11</f>
        <v>(3)</v>
      </c>
      <c r="R10" s="694" t="str">
        <f>+BIODIESEL!K11</f>
        <v>(3)</v>
      </c>
    </row>
    <row r="11" spans="1:18" x14ac:dyDescent="0.35">
      <c r="A11" s="82"/>
      <c r="B11" s="88" t="s">
        <v>131</v>
      </c>
      <c r="C11" s="630" t="s">
        <v>201</v>
      </c>
      <c r="D11" s="619" t="s">
        <v>201</v>
      </c>
      <c r="E11" s="619" t="s">
        <v>201</v>
      </c>
      <c r="F11" s="619" t="s">
        <v>201</v>
      </c>
      <c r="G11" s="683" t="str">
        <f>+C11</f>
        <v>(4)</v>
      </c>
      <c r="H11" s="650" t="s">
        <v>201</v>
      </c>
      <c r="I11" s="650" t="str">
        <f>+C11</f>
        <v>(4)</v>
      </c>
      <c r="J11" s="621" t="str">
        <f>+C11</f>
        <v>(4)</v>
      </c>
      <c r="K11" s="622" t="str">
        <f>+D11</f>
        <v>(4)</v>
      </c>
      <c r="L11" s="684" t="str">
        <f>+C11</f>
        <v>(4)</v>
      </c>
      <c r="M11" s="673" t="s">
        <v>201</v>
      </c>
      <c r="N11" s="673" t="str">
        <f>+C11</f>
        <v>(4)</v>
      </c>
      <c r="O11" s="673" t="str">
        <f>+F11</f>
        <v>(4)</v>
      </c>
      <c r="P11" s="673" t="str">
        <f>+C11</f>
        <v>(4)</v>
      </c>
      <c r="Q11" s="673" t="str">
        <f>+F11</f>
        <v>(4)</v>
      </c>
      <c r="R11" s="677" t="str">
        <f>+G11</f>
        <v>(4)</v>
      </c>
    </row>
    <row r="12" spans="1:18" x14ac:dyDescent="0.35">
      <c r="A12" s="82" t="s">
        <v>172</v>
      </c>
      <c r="B12" s="88" t="s">
        <v>268</v>
      </c>
      <c r="C12" s="630" t="s">
        <v>200</v>
      </c>
      <c r="D12" s="619" t="s">
        <v>200</v>
      </c>
      <c r="E12" s="619" t="s">
        <v>200</v>
      </c>
      <c r="F12" s="619" t="s">
        <v>200</v>
      </c>
      <c r="G12" s="683" t="s">
        <v>200</v>
      </c>
      <c r="H12" s="616" t="s">
        <v>200</v>
      </c>
      <c r="I12" s="616" t="s">
        <v>200</v>
      </c>
      <c r="J12" s="621" t="s">
        <v>200</v>
      </c>
      <c r="K12" s="622" t="s">
        <v>200</v>
      </c>
      <c r="L12" s="684" t="str">
        <f>+J12</f>
        <v>(2)</v>
      </c>
      <c r="M12" s="673" t="s">
        <v>200</v>
      </c>
      <c r="N12" s="673" t="str">
        <f>+C12</f>
        <v>(2)</v>
      </c>
      <c r="O12" s="673" t="str">
        <f>+F12</f>
        <v>(2)</v>
      </c>
      <c r="P12" s="673" t="s">
        <v>200</v>
      </c>
      <c r="Q12" s="673" t="s">
        <v>200</v>
      </c>
      <c r="R12" s="677" t="s">
        <v>200</v>
      </c>
    </row>
    <row r="13" spans="1:18" x14ac:dyDescent="0.35">
      <c r="A13" s="82" t="s">
        <v>174</v>
      </c>
      <c r="B13" s="88" t="s">
        <v>175</v>
      </c>
      <c r="C13" s="630">
        <f>+RUBROS!AF20</f>
        <v>12.29256217662561</v>
      </c>
      <c r="D13" s="619">
        <f>+C13</f>
        <v>12.29256217662561</v>
      </c>
      <c r="E13" s="619">
        <f>+C13</f>
        <v>12.29256217662561</v>
      </c>
      <c r="F13" s="619">
        <f>+C13</f>
        <v>12.29256217662561</v>
      </c>
      <c r="G13" s="683">
        <f>+C13</f>
        <v>12.29256217662561</v>
      </c>
      <c r="H13" s="619">
        <f>+C13</f>
        <v>12.29256217662561</v>
      </c>
      <c r="I13" s="616">
        <f>+G13</f>
        <v>12.29256217662561</v>
      </c>
      <c r="J13" s="621">
        <f>+I13</f>
        <v>12.29256217662561</v>
      </c>
      <c r="K13" s="622">
        <f>+J13</f>
        <v>12.29256217662561</v>
      </c>
      <c r="L13" s="684">
        <f>+RUBROS!AG20</f>
        <v>26.583233136281329</v>
      </c>
      <c r="M13" s="621">
        <f>+RUBROS!$AG$20</f>
        <v>26.583233136281329</v>
      </c>
      <c r="N13" s="621">
        <f>+RUBROS!$AG$20</f>
        <v>26.583233136281329</v>
      </c>
      <c r="O13" s="621">
        <f>+RUBROS!$AD$20</f>
        <v>23.500029293035123</v>
      </c>
      <c r="P13" s="621">
        <f>+RUBROS!$AD$20</f>
        <v>23.500029293035123</v>
      </c>
      <c r="Q13" s="621">
        <f>+RUBROS!$AG$20</f>
        <v>26.583233136281329</v>
      </c>
      <c r="R13" s="622">
        <f>+RUBROS!$AG$20</f>
        <v>26.583233136281329</v>
      </c>
    </row>
    <row r="14" spans="1:18" x14ac:dyDescent="0.35">
      <c r="A14" s="82" t="s">
        <v>178</v>
      </c>
      <c r="B14" s="88" t="s">
        <v>179</v>
      </c>
      <c r="C14" s="630">
        <f>+RUBROS!AZ31</f>
        <v>13.726213893883656</v>
      </c>
      <c r="D14" s="619">
        <f>+C14</f>
        <v>13.726213893883656</v>
      </c>
      <c r="E14" s="619">
        <f>+C14</f>
        <v>13.726213893883656</v>
      </c>
      <c r="F14" s="619">
        <f>+C14</f>
        <v>13.726213893883656</v>
      </c>
      <c r="G14" s="619">
        <f>+C14</f>
        <v>13.726213893883656</v>
      </c>
      <c r="H14" s="619">
        <f>+C14</f>
        <v>13.726213893883656</v>
      </c>
      <c r="I14" s="616">
        <f>+C14</f>
        <v>13.726213893883656</v>
      </c>
      <c r="J14" s="621">
        <f>+C14</f>
        <v>13.726213893883656</v>
      </c>
      <c r="K14" s="622">
        <f>+D14</f>
        <v>13.726213893883656</v>
      </c>
      <c r="L14" s="684">
        <f>+C14</f>
        <v>13.726213893883656</v>
      </c>
      <c r="M14" s="621">
        <f>+RUBROS!$AZ$31</f>
        <v>13.726213893883656</v>
      </c>
      <c r="N14" s="621">
        <f>+RUBROS!$AZ$31</f>
        <v>13.726213893883656</v>
      </c>
      <c r="O14" s="621">
        <f>+RUBROS!$AU$31</f>
        <v>13.326421256197724</v>
      </c>
      <c r="P14" s="621">
        <f>+RUBROS!$AU$31</f>
        <v>13.326421256197724</v>
      </c>
      <c r="Q14" s="621">
        <f>+RUBROS!$AZ$31</f>
        <v>13.726213893883656</v>
      </c>
      <c r="R14" s="622">
        <f>+RUBROS!$AZ$31</f>
        <v>13.726213893883656</v>
      </c>
    </row>
    <row r="15" spans="1:18" hidden="1" x14ac:dyDescent="0.35">
      <c r="A15" s="82"/>
      <c r="B15" s="88" t="s">
        <v>180</v>
      </c>
      <c r="C15" s="630"/>
      <c r="D15" s="619"/>
      <c r="E15" s="619"/>
      <c r="F15" s="619"/>
      <c r="G15" s="619"/>
      <c r="H15" s="619"/>
      <c r="I15" s="616"/>
      <c r="J15" s="616"/>
      <c r="K15" s="617"/>
      <c r="L15" s="684"/>
      <c r="M15" s="695"/>
      <c r="N15" s="621"/>
      <c r="O15" s="621"/>
      <c r="P15" s="616"/>
      <c r="Q15" s="616"/>
      <c r="R15" s="617"/>
    </row>
    <row r="16" spans="1:18" x14ac:dyDescent="0.35">
      <c r="A16" s="89" t="s">
        <v>181</v>
      </c>
      <c r="B16" s="115" t="s">
        <v>182</v>
      </c>
      <c r="C16" s="685">
        <f>SUM(C8:C15)</f>
        <v>9940.1787760705101</v>
      </c>
      <c r="D16" s="686">
        <f>SUM(D8:D15)</f>
        <v>10029.355576070509</v>
      </c>
      <c r="E16" s="686">
        <f>SUM(E8:E15)</f>
        <v>10118.532376070511</v>
      </c>
      <c r="F16" s="686">
        <f>SUM(F8:F15)</f>
        <v>10163.120776070509</v>
      </c>
      <c r="G16" s="686">
        <f t="shared" ref="G16:P16" si="1">SUM(G8:G15)</f>
        <v>10386.062776070512</v>
      </c>
      <c r="H16" s="686">
        <f t="shared" si="1"/>
        <v>3690.4659275705094</v>
      </c>
      <c r="I16" s="662">
        <f t="shared" si="1"/>
        <v>4078.7798923205091</v>
      </c>
      <c r="J16" s="662">
        <f t="shared" si="1"/>
        <v>4467.0938570705093</v>
      </c>
      <c r="K16" s="663">
        <f t="shared" ref="K16" si="2">SUM(K8:K15)</f>
        <v>4725.9698335705098</v>
      </c>
      <c r="L16" s="661">
        <f t="shared" si="1"/>
        <v>10617.629447030165</v>
      </c>
      <c r="M16" s="662">
        <f t="shared" si="1"/>
        <v>10769.456647030165</v>
      </c>
      <c r="N16" s="662">
        <f t="shared" si="1"/>
        <v>10807.411447030167</v>
      </c>
      <c r="O16" s="662">
        <f t="shared" ref="O16" si="3">SUM(O8:O15)</f>
        <v>10993.714450549232</v>
      </c>
      <c r="P16" s="662">
        <f t="shared" si="1"/>
        <v>5991.6954505492331</v>
      </c>
      <c r="Q16" s="662">
        <f t="shared" ref="Q16:R16" si="4">SUM(Q8:Q15)</f>
        <v>6323.4298470301655</v>
      </c>
      <c r="R16" s="663">
        <f t="shared" si="4"/>
        <v>6542.2574470301661</v>
      </c>
    </row>
    <row r="17" spans="1:19" x14ac:dyDescent="0.35">
      <c r="A17" s="82" t="s">
        <v>183</v>
      </c>
      <c r="B17" s="88" t="s">
        <v>184</v>
      </c>
      <c r="C17" s="630" t="s">
        <v>214</v>
      </c>
      <c r="D17" s="619" t="s">
        <v>214</v>
      </c>
      <c r="E17" s="619" t="s">
        <v>214</v>
      </c>
      <c r="F17" s="619" t="s">
        <v>214</v>
      </c>
      <c r="G17" s="619" t="str">
        <f>+C17</f>
        <v>***</v>
      </c>
      <c r="H17" s="619" t="str">
        <f>+E17</f>
        <v>***</v>
      </c>
      <c r="I17" s="616" t="str">
        <f>+C17</f>
        <v>***</v>
      </c>
      <c r="J17" s="616" t="str">
        <f>+C17</f>
        <v>***</v>
      </c>
      <c r="K17" s="617" t="str">
        <f>+D17</f>
        <v>***</v>
      </c>
      <c r="L17" s="684" t="str">
        <f>+P17</f>
        <v>***</v>
      </c>
      <c r="M17" s="616" t="s">
        <v>214</v>
      </c>
      <c r="N17" s="616" t="s">
        <v>214</v>
      </c>
      <c r="O17" s="616" t="s">
        <v>214</v>
      </c>
      <c r="P17" s="616" t="s">
        <v>214</v>
      </c>
      <c r="Q17" s="616" t="s">
        <v>214</v>
      </c>
      <c r="R17" s="617" t="s">
        <v>214</v>
      </c>
    </row>
    <row r="18" spans="1:19" x14ac:dyDescent="0.35">
      <c r="A18" s="82" t="s">
        <v>185</v>
      </c>
      <c r="B18" s="88" t="s">
        <v>186</v>
      </c>
      <c r="C18" s="630" t="str">
        <f t="shared" ref="C18:E19" si="5">+G18</f>
        <v>**</v>
      </c>
      <c r="D18" s="619" t="str">
        <f t="shared" si="5"/>
        <v>**</v>
      </c>
      <c r="E18" s="619" t="str">
        <f t="shared" si="5"/>
        <v>**</v>
      </c>
      <c r="F18" s="619" t="s">
        <v>212</v>
      </c>
      <c r="G18" s="619" t="s">
        <v>212</v>
      </c>
      <c r="H18" s="619" t="s">
        <v>212</v>
      </c>
      <c r="I18" s="621" t="s">
        <v>212</v>
      </c>
      <c r="J18" s="616" t="s">
        <v>212</v>
      </c>
      <c r="K18" s="617" t="s">
        <v>212</v>
      </c>
      <c r="L18" s="684" t="str">
        <f>+P18</f>
        <v>**</v>
      </c>
      <c r="M18" s="616" t="s">
        <v>212</v>
      </c>
      <c r="N18" s="616" t="s">
        <v>212</v>
      </c>
      <c r="O18" s="616" t="s">
        <v>212</v>
      </c>
      <c r="P18" s="621" t="s">
        <v>212</v>
      </c>
      <c r="Q18" s="621" t="s">
        <v>212</v>
      </c>
      <c r="R18" s="622" t="s">
        <v>212</v>
      </c>
    </row>
    <row r="19" spans="1:19" x14ac:dyDescent="0.35">
      <c r="A19" s="82" t="s">
        <v>187</v>
      </c>
      <c r="B19" s="88" t="s">
        <v>188</v>
      </c>
      <c r="C19" s="630" t="str">
        <f t="shared" si="5"/>
        <v>****</v>
      </c>
      <c r="D19" s="619" t="str">
        <f t="shared" si="5"/>
        <v>****</v>
      </c>
      <c r="E19" s="619" t="str">
        <f t="shared" si="5"/>
        <v>****</v>
      </c>
      <c r="F19" s="619" t="s">
        <v>216</v>
      </c>
      <c r="G19" s="619" t="s">
        <v>216</v>
      </c>
      <c r="H19" s="619" t="s">
        <v>216</v>
      </c>
      <c r="I19" s="616" t="str">
        <f>+G19</f>
        <v>****</v>
      </c>
      <c r="J19" s="616" t="str">
        <f>+I19</f>
        <v>****</v>
      </c>
      <c r="K19" s="617" t="str">
        <f>+J19</f>
        <v>****</v>
      </c>
      <c r="L19" s="684" t="str">
        <f>+J19</f>
        <v>****</v>
      </c>
      <c r="M19" s="616" t="s">
        <v>216</v>
      </c>
      <c r="N19" s="616" t="s">
        <v>216</v>
      </c>
      <c r="O19" s="616" t="s">
        <v>216</v>
      </c>
      <c r="P19" s="616" t="str">
        <f>+J19</f>
        <v>****</v>
      </c>
      <c r="Q19" s="616" t="str">
        <f>+L19</f>
        <v>****</v>
      </c>
      <c r="R19" s="617" t="str">
        <f>+M19</f>
        <v>****</v>
      </c>
    </row>
    <row r="20" spans="1:19" x14ac:dyDescent="0.35">
      <c r="A20" s="89" t="s">
        <v>189</v>
      </c>
      <c r="B20" s="115" t="s">
        <v>190</v>
      </c>
      <c r="C20" s="685">
        <f t="shared" ref="C20:P20" si="6">+C16</f>
        <v>9940.1787760705101</v>
      </c>
      <c r="D20" s="686">
        <f t="shared" ref="D20:E20" si="7">+D16</f>
        <v>10029.355576070509</v>
      </c>
      <c r="E20" s="686">
        <f t="shared" si="7"/>
        <v>10118.532376070511</v>
      </c>
      <c r="F20" s="686">
        <f t="shared" si="6"/>
        <v>10163.120776070509</v>
      </c>
      <c r="G20" s="686">
        <f t="shared" si="6"/>
        <v>10386.062776070512</v>
      </c>
      <c r="H20" s="686">
        <f t="shared" ref="H20" si="8">+H16</f>
        <v>3690.4659275705094</v>
      </c>
      <c r="I20" s="686">
        <f t="shared" si="6"/>
        <v>4078.7798923205091</v>
      </c>
      <c r="J20" s="686">
        <f t="shared" si="6"/>
        <v>4467.0938570705093</v>
      </c>
      <c r="K20" s="687">
        <f t="shared" ref="K20" si="9">+K16</f>
        <v>4725.9698335705098</v>
      </c>
      <c r="L20" s="685">
        <f t="shared" si="6"/>
        <v>10617.629447030165</v>
      </c>
      <c r="M20" s="686">
        <f t="shared" ref="M20" si="10">+M16</f>
        <v>10769.456647030165</v>
      </c>
      <c r="N20" s="686">
        <f t="shared" si="6"/>
        <v>10807.411447030167</v>
      </c>
      <c r="O20" s="686">
        <f t="shared" ref="O20" si="11">+O16</f>
        <v>10993.714450549232</v>
      </c>
      <c r="P20" s="686">
        <f t="shared" si="6"/>
        <v>5991.6954505492331</v>
      </c>
      <c r="Q20" s="686">
        <f t="shared" ref="Q20:R20" si="12">+Q16</f>
        <v>6323.4298470301655</v>
      </c>
      <c r="R20" s="687">
        <f t="shared" si="12"/>
        <v>6542.2574470301661</v>
      </c>
      <c r="S20" s="15"/>
    </row>
    <row r="21" spans="1:19" x14ac:dyDescent="0.35">
      <c r="A21" s="82" t="s">
        <v>191</v>
      </c>
      <c r="B21" s="88" t="s">
        <v>150</v>
      </c>
      <c r="C21" s="630" t="s">
        <v>214</v>
      </c>
      <c r="D21" s="619" t="s">
        <v>214</v>
      </c>
      <c r="E21" s="619" t="s">
        <v>214</v>
      </c>
      <c r="F21" s="619" t="s">
        <v>214</v>
      </c>
      <c r="G21" s="619" t="str">
        <f>+C21</f>
        <v>***</v>
      </c>
      <c r="H21" s="619" t="str">
        <f>+E21</f>
        <v>***</v>
      </c>
      <c r="I21" s="616" t="str">
        <f>+G21</f>
        <v>***</v>
      </c>
      <c r="J21" s="616" t="str">
        <f>+I21</f>
        <v>***</v>
      </c>
      <c r="K21" s="617" t="str">
        <f>+J21</f>
        <v>***</v>
      </c>
      <c r="L21" s="684" t="str">
        <f>+G21</f>
        <v>***</v>
      </c>
      <c r="M21" s="616" t="str">
        <f t="shared" ref="M21:O23" si="13">+E21</f>
        <v>***</v>
      </c>
      <c r="N21" s="616" t="str">
        <f t="shared" si="13"/>
        <v>***</v>
      </c>
      <c r="O21" s="616" t="str">
        <f t="shared" si="13"/>
        <v>***</v>
      </c>
      <c r="P21" s="616" t="s">
        <v>214</v>
      </c>
      <c r="Q21" s="616" t="s">
        <v>214</v>
      </c>
      <c r="R21" s="617" t="s">
        <v>214</v>
      </c>
    </row>
    <row r="22" spans="1:19" x14ac:dyDescent="0.35">
      <c r="A22" s="82" t="s">
        <v>192</v>
      </c>
      <c r="B22" s="83" t="s">
        <v>193</v>
      </c>
      <c r="C22" s="630" t="str">
        <f t="shared" ref="C22:E23" si="14">+G22</f>
        <v>*****</v>
      </c>
      <c r="D22" s="619" t="str">
        <f t="shared" si="14"/>
        <v>*****</v>
      </c>
      <c r="E22" s="619" t="str">
        <f t="shared" si="14"/>
        <v>N.A.</v>
      </c>
      <c r="F22" s="619" t="s">
        <v>218</v>
      </c>
      <c r="G22" s="619" t="s">
        <v>218</v>
      </c>
      <c r="H22" s="619" t="s">
        <v>218</v>
      </c>
      <c r="I22" s="616" t="s">
        <v>236</v>
      </c>
      <c r="J22" s="616" t="s">
        <v>194</v>
      </c>
      <c r="K22" s="617" t="s">
        <v>194</v>
      </c>
      <c r="L22" s="684" t="str">
        <f>+G22</f>
        <v>*****</v>
      </c>
      <c r="M22" s="616" t="str">
        <f t="shared" si="13"/>
        <v>N.A.</v>
      </c>
      <c r="N22" s="616" t="str">
        <f t="shared" si="13"/>
        <v>*****</v>
      </c>
      <c r="O22" s="616" t="str">
        <f t="shared" si="13"/>
        <v>*****</v>
      </c>
      <c r="P22" s="616" t="s">
        <v>237</v>
      </c>
      <c r="Q22" s="616" t="s">
        <v>237</v>
      </c>
      <c r="R22" s="617" t="s">
        <v>237</v>
      </c>
    </row>
    <row r="23" spans="1:19" x14ac:dyDescent="0.35">
      <c r="A23" s="82" t="s">
        <v>195</v>
      </c>
      <c r="B23" s="88" t="s">
        <v>272</v>
      </c>
      <c r="C23" s="630" t="str">
        <f t="shared" si="14"/>
        <v>******</v>
      </c>
      <c r="D23" s="619" t="str">
        <f t="shared" si="14"/>
        <v>******</v>
      </c>
      <c r="E23" s="619" t="str">
        <f t="shared" si="14"/>
        <v>******</v>
      </c>
      <c r="F23" s="619" t="s">
        <v>219</v>
      </c>
      <c r="G23" s="619" t="s">
        <v>219</v>
      </c>
      <c r="H23" s="619" t="s">
        <v>219</v>
      </c>
      <c r="I23" s="621" t="str">
        <f>+G23</f>
        <v>******</v>
      </c>
      <c r="J23" s="621" t="str">
        <f>+I23</f>
        <v>******</v>
      </c>
      <c r="K23" s="622" t="str">
        <f>+J23</f>
        <v>******</v>
      </c>
      <c r="L23" s="684" t="str">
        <f>+J23</f>
        <v>******</v>
      </c>
      <c r="M23" s="616" t="str">
        <f t="shared" si="13"/>
        <v>******</v>
      </c>
      <c r="N23" s="616" t="str">
        <f t="shared" si="13"/>
        <v>******</v>
      </c>
      <c r="O23" s="616" t="str">
        <f t="shared" si="13"/>
        <v>******</v>
      </c>
      <c r="P23" s="621" t="str">
        <f>+L23</f>
        <v>******</v>
      </c>
      <c r="Q23" s="621" t="str">
        <f>+N23</f>
        <v>******</v>
      </c>
      <c r="R23" s="622" t="str">
        <f>+O23</f>
        <v>******</v>
      </c>
    </row>
    <row r="24" spans="1:19" ht="15" thickBot="1" x14ac:dyDescent="0.4">
      <c r="A24" s="93" t="s">
        <v>197</v>
      </c>
      <c r="B24" s="94" t="s">
        <v>198</v>
      </c>
      <c r="C24" s="678"/>
      <c r="D24" s="679"/>
      <c r="E24" s="679"/>
      <c r="F24" s="679"/>
      <c r="G24" s="688"/>
      <c r="H24" s="688"/>
      <c r="I24" s="636"/>
      <c r="J24" s="636"/>
      <c r="K24" s="637"/>
      <c r="L24" s="635"/>
      <c r="M24" s="636"/>
      <c r="N24" s="636"/>
      <c r="O24" s="636"/>
      <c r="P24" s="636"/>
      <c r="Q24" s="636"/>
      <c r="R24" s="637"/>
    </row>
    <row r="25" spans="1:19" ht="15" thickTop="1" x14ac:dyDescent="0.35"/>
    <row r="26" spans="1:19" ht="15" thickBot="1" x14ac:dyDescent="0.4">
      <c r="F26" s="288"/>
      <c r="N26" s="288"/>
    </row>
    <row r="27" spans="1:19" ht="18.649999999999999" customHeight="1" thickTop="1" x14ac:dyDescent="0.35">
      <c r="A27" s="128"/>
      <c r="B27" s="129" t="s">
        <v>452</v>
      </c>
      <c r="C27" s="812" t="s">
        <v>163</v>
      </c>
      <c r="D27" s="813"/>
      <c r="E27" s="813"/>
      <c r="F27" s="813"/>
      <c r="G27" s="813"/>
      <c r="H27" s="813"/>
      <c r="I27" s="813"/>
      <c r="J27" s="813"/>
      <c r="K27" s="878"/>
      <c r="L27" s="802" t="s">
        <v>232</v>
      </c>
      <c r="M27" s="803"/>
      <c r="N27" s="803"/>
      <c r="O27" s="803"/>
      <c r="P27" s="803"/>
      <c r="Q27" s="803"/>
      <c r="R27" s="804"/>
    </row>
    <row r="28" spans="1:19" ht="26" x14ac:dyDescent="0.35">
      <c r="A28" s="80"/>
      <c r="B28" s="447" t="s">
        <v>471</v>
      </c>
      <c r="C28" s="879"/>
      <c r="D28" s="880"/>
      <c r="E28" s="880"/>
      <c r="F28" s="880"/>
      <c r="G28" s="880"/>
      <c r="H28" s="880"/>
      <c r="I28" s="880"/>
      <c r="J28" s="880"/>
      <c r="K28" s="881"/>
      <c r="L28" s="805"/>
      <c r="M28" s="806"/>
      <c r="N28" s="806"/>
      <c r="O28" s="806"/>
      <c r="P28" s="806"/>
      <c r="Q28" s="806"/>
      <c r="R28" s="807"/>
    </row>
    <row r="29" spans="1:19" ht="29.5" customHeight="1" x14ac:dyDescent="0.35">
      <c r="A29" s="790" t="s">
        <v>164</v>
      </c>
      <c r="B29" s="792" t="s">
        <v>165</v>
      </c>
      <c r="C29" s="877" t="s">
        <v>223</v>
      </c>
      <c r="D29" s="607" t="s">
        <v>96</v>
      </c>
      <c r="E29" s="607" t="s">
        <v>96</v>
      </c>
      <c r="F29" s="607" t="s">
        <v>96</v>
      </c>
      <c r="G29" s="607" t="s">
        <v>480</v>
      </c>
      <c r="H29" s="607" t="s">
        <v>370</v>
      </c>
      <c r="I29" s="607" t="s">
        <v>448</v>
      </c>
      <c r="J29" s="607" t="s">
        <v>505</v>
      </c>
      <c r="K29" s="608" t="s">
        <v>374</v>
      </c>
      <c r="L29" s="606" t="s">
        <v>96</v>
      </c>
      <c r="M29" s="607" t="s">
        <v>96</v>
      </c>
      <c r="N29" s="607" t="s">
        <v>96</v>
      </c>
      <c r="O29" s="607" t="s">
        <v>480</v>
      </c>
      <c r="P29" s="607" t="str">
        <f>+I29</f>
        <v xml:space="preserve">Biodiesel B5 con destino a mezcla </v>
      </c>
      <c r="Q29" s="607" t="s">
        <v>505</v>
      </c>
      <c r="R29" s="608" t="s">
        <v>374</v>
      </c>
    </row>
    <row r="30" spans="1:19" ht="18" customHeight="1" x14ac:dyDescent="0.35">
      <c r="A30" s="790"/>
      <c r="B30" s="792"/>
      <c r="C30" s="877"/>
      <c r="D30" s="666" t="s">
        <v>500</v>
      </c>
      <c r="E30" s="666" t="s">
        <v>483</v>
      </c>
      <c r="F30" s="666" t="s">
        <v>447</v>
      </c>
      <c r="G30" s="611">
        <v>0.1</v>
      </c>
      <c r="H30" s="647">
        <v>0.02</v>
      </c>
      <c r="I30" s="667">
        <v>0.05</v>
      </c>
      <c r="J30" s="647">
        <v>0.08</v>
      </c>
      <c r="K30" s="648">
        <v>0.1</v>
      </c>
      <c r="L30" s="660">
        <f>+G30</f>
        <v>0.1</v>
      </c>
      <c r="M30" s="666" t="s">
        <v>483</v>
      </c>
      <c r="N30" s="666" t="s">
        <v>447</v>
      </c>
      <c r="O30" s="611">
        <v>0.1</v>
      </c>
      <c r="P30" s="611">
        <f>+I30</f>
        <v>0.05</v>
      </c>
      <c r="Q30" s="647">
        <v>0.08</v>
      </c>
      <c r="R30" s="648">
        <v>0.1</v>
      </c>
    </row>
    <row r="31" spans="1:19" ht="22.15" customHeight="1" x14ac:dyDescent="0.35">
      <c r="A31" s="791"/>
      <c r="B31" s="793"/>
      <c r="C31" s="606" t="s">
        <v>166</v>
      </c>
      <c r="D31" s="607" t="s">
        <v>166</v>
      </c>
      <c r="E31" s="607" t="s">
        <v>166</v>
      </c>
      <c r="F31" s="607" t="s">
        <v>166</v>
      </c>
      <c r="G31" s="607" t="s">
        <v>166</v>
      </c>
      <c r="H31" s="607" t="s">
        <v>166</v>
      </c>
      <c r="I31" s="607" t="s">
        <v>166</v>
      </c>
      <c r="J31" s="607" t="s">
        <v>166</v>
      </c>
      <c r="K31" s="608" t="s">
        <v>166</v>
      </c>
      <c r="L31" s="606" t="s">
        <v>166</v>
      </c>
      <c r="M31" s="607" t="s">
        <v>166</v>
      </c>
      <c r="N31" s="607" t="s">
        <v>166</v>
      </c>
      <c r="O31" s="607" t="s">
        <v>166</v>
      </c>
      <c r="P31" s="607" t="s">
        <v>166</v>
      </c>
      <c r="Q31" s="607" t="s">
        <v>166</v>
      </c>
      <c r="R31" s="608" t="s">
        <v>166</v>
      </c>
    </row>
    <row r="32" spans="1:19" ht="18" customHeight="1" x14ac:dyDescent="0.35">
      <c r="A32" s="82" t="s">
        <v>167</v>
      </c>
      <c r="B32" s="88" t="s">
        <v>168</v>
      </c>
      <c r="C32" s="668">
        <f>+'Calculo IP ZDF'!B41</f>
        <v>9914.16</v>
      </c>
      <c r="D32" s="669">
        <f>+'Calculo IP ZDF'!G41</f>
        <v>10003.336799999999</v>
      </c>
      <c r="E32" s="669">
        <f>+'Calculo IP ZDF'!H41</f>
        <v>10092.5136</v>
      </c>
      <c r="F32" s="669">
        <f>+'Calculo IP ZDF'!I41</f>
        <v>10137.1</v>
      </c>
      <c r="G32" s="682">
        <f>+'Calculo IP ZDF'!K41</f>
        <v>10360.044000000002</v>
      </c>
      <c r="H32" s="669">
        <f>+'Calculo IP ZDF'!F41</f>
        <v>3844.5374000000002</v>
      </c>
      <c r="I32" s="621">
        <f>+'Calculo IP ZDF'!S41</f>
        <v>4227.3354200000003</v>
      </c>
      <c r="J32" s="621">
        <f>+'Calculo IP ZDF'!N41</f>
        <v>4610.136512</v>
      </c>
      <c r="K32" s="622">
        <f>+'Calculo IP ZDF'!M41</f>
        <v>4865.3372399999998</v>
      </c>
      <c r="L32" s="618">
        <f>+L8</f>
        <v>9914.16</v>
      </c>
      <c r="M32" s="621">
        <f>+'GAS CTE'!E9</f>
        <v>10092.5136</v>
      </c>
      <c r="N32" s="621">
        <f>+'GAS CTE'!F9</f>
        <v>10137.1</v>
      </c>
      <c r="O32" s="621">
        <f>+O8</f>
        <v>10360.044000000002</v>
      </c>
      <c r="P32" s="621">
        <f>+P8</f>
        <v>5351.866</v>
      </c>
      <c r="Q32" s="621">
        <f>+Q8</f>
        <v>5699.1596</v>
      </c>
      <c r="R32" s="622">
        <f>+R8</f>
        <v>5930.6819999999998</v>
      </c>
    </row>
    <row r="33" spans="1:18" ht="18" customHeight="1" x14ac:dyDescent="0.35">
      <c r="A33" s="82" t="s">
        <v>169</v>
      </c>
      <c r="B33" s="88" t="s">
        <v>170</v>
      </c>
      <c r="C33" s="668" t="str">
        <f t="shared" ref="C33:P39" si="15">+C9</f>
        <v>------------------</v>
      </c>
      <c r="D33" s="669" t="s">
        <v>171</v>
      </c>
      <c r="E33" s="669" t="s">
        <v>171</v>
      </c>
      <c r="F33" s="669" t="str">
        <f t="shared" ref="F33" si="16">+F9</f>
        <v>------------------</v>
      </c>
      <c r="G33" s="682" t="str">
        <f t="shared" si="15"/>
        <v>------------------</v>
      </c>
      <c r="H33" s="669" t="s">
        <v>171</v>
      </c>
      <c r="I33" s="621" t="s">
        <v>171</v>
      </c>
      <c r="J33" s="621" t="s">
        <v>171</v>
      </c>
      <c r="K33" s="622" t="s">
        <v>171</v>
      </c>
      <c r="L33" s="618">
        <f>+L9</f>
        <v>663.16</v>
      </c>
      <c r="M33" s="621">
        <f>+'GAS CTE'!E10</f>
        <v>636.6336</v>
      </c>
      <c r="N33" s="621">
        <f>+'GAS CTE'!F10</f>
        <v>630.00199999999995</v>
      </c>
      <c r="O33" s="621">
        <f>+O9</f>
        <v>596.84399999999994</v>
      </c>
      <c r="P33" s="621">
        <f t="shared" si="15"/>
        <v>603.00299999999993</v>
      </c>
      <c r="Q33" s="621">
        <f t="shared" ref="Q33:R33" si="17">+Q9</f>
        <v>583.96080000000006</v>
      </c>
      <c r="R33" s="622">
        <f t="shared" si="17"/>
        <v>571.26600000000008</v>
      </c>
    </row>
    <row r="34" spans="1:18" ht="18" customHeight="1" x14ac:dyDescent="0.35">
      <c r="A34" s="82"/>
      <c r="B34" s="88" t="s">
        <v>129</v>
      </c>
      <c r="C34" s="668" t="str">
        <f t="shared" si="15"/>
        <v>------------------</v>
      </c>
      <c r="D34" s="669" t="s">
        <v>171</v>
      </c>
      <c r="E34" s="669" t="s">
        <v>171</v>
      </c>
      <c r="F34" s="669" t="str">
        <f t="shared" ref="F34" si="18">+F10</f>
        <v>------------------</v>
      </c>
      <c r="G34" s="682" t="str">
        <f t="shared" si="15"/>
        <v>------------------</v>
      </c>
      <c r="H34" s="669" t="s">
        <v>171</v>
      </c>
      <c r="I34" s="621" t="s">
        <v>171</v>
      </c>
      <c r="J34" s="621" t="s">
        <v>171</v>
      </c>
      <c r="K34" s="622" t="s">
        <v>171</v>
      </c>
      <c r="L34" s="618" t="s">
        <v>130</v>
      </c>
      <c r="M34" s="673" t="str">
        <f t="shared" si="15"/>
        <v>(3)</v>
      </c>
      <c r="N34" s="673" t="str">
        <f t="shared" ref="N34:O34" si="19">+N10</f>
        <v>(3)</v>
      </c>
      <c r="O34" s="673" t="str">
        <f t="shared" si="19"/>
        <v>(3)</v>
      </c>
      <c r="P34" s="693" t="str">
        <f t="shared" si="15"/>
        <v>(3)</v>
      </c>
      <c r="Q34" s="693" t="str">
        <f t="shared" ref="Q34:R34" si="20">+Q10</f>
        <v>(3)</v>
      </c>
      <c r="R34" s="694" t="str">
        <f t="shared" si="20"/>
        <v>(3)</v>
      </c>
    </row>
    <row r="35" spans="1:18" ht="18" customHeight="1" x14ac:dyDescent="0.35">
      <c r="A35" s="82"/>
      <c r="B35" s="88" t="s">
        <v>131</v>
      </c>
      <c r="C35" s="689" t="str">
        <f t="shared" si="15"/>
        <v>(4)</v>
      </c>
      <c r="D35" s="690" t="s">
        <v>201</v>
      </c>
      <c r="E35" s="690" t="s">
        <v>201</v>
      </c>
      <c r="F35" s="690" t="str">
        <f t="shared" ref="F35" si="21">+F11</f>
        <v>(4)</v>
      </c>
      <c r="G35" s="691" t="str">
        <f t="shared" si="15"/>
        <v>(4)</v>
      </c>
      <c r="H35" s="690" t="s">
        <v>201</v>
      </c>
      <c r="I35" s="621" t="str">
        <f t="shared" si="15"/>
        <v>(4)</v>
      </c>
      <c r="J35" s="621" t="str">
        <f t="shared" si="15"/>
        <v>(4)</v>
      </c>
      <c r="K35" s="622" t="str">
        <f t="shared" ref="K35" si="22">+K11</f>
        <v>(4)</v>
      </c>
      <c r="L35" s="618" t="str">
        <f t="shared" si="15"/>
        <v>(4)</v>
      </c>
      <c r="M35" s="673" t="str">
        <f t="shared" si="15"/>
        <v>(4)</v>
      </c>
      <c r="N35" s="673" t="str">
        <f t="shared" ref="N35:O35" si="23">+N11</f>
        <v>(4)</v>
      </c>
      <c r="O35" s="673" t="str">
        <f t="shared" si="23"/>
        <v>(4)</v>
      </c>
      <c r="P35" s="673" t="str">
        <f t="shared" si="15"/>
        <v>(4)</v>
      </c>
      <c r="Q35" s="673" t="str">
        <f t="shared" ref="Q35:R35" si="24">+Q11</f>
        <v>(4)</v>
      </c>
      <c r="R35" s="677" t="str">
        <f t="shared" si="24"/>
        <v>(4)</v>
      </c>
    </row>
    <row r="36" spans="1:18" ht="18" customHeight="1" x14ac:dyDescent="0.35">
      <c r="A36" s="82" t="s">
        <v>172</v>
      </c>
      <c r="B36" s="88" t="s">
        <v>268</v>
      </c>
      <c r="C36" s="689" t="str">
        <f t="shared" si="15"/>
        <v>(2)</v>
      </c>
      <c r="D36" s="690" t="s">
        <v>200</v>
      </c>
      <c r="E36" s="690" t="s">
        <v>200</v>
      </c>
      <c r="F36" s="690" t="str">
        <f t="shared" ref="F36" si="25">+F12</f>
        <v>(2)</v>
      </c>
      <c r="G36" s="691" t="str">
        <f t="shared" si="15"/>
        <v>(2)</v>
      </c>
      <c r="H36" s="690" t="s">
        <v>200</v>
      </c>
      <c r="I36" s="621" t="str">
        <f t="shared" si="15"/>
        <v>(2)</v>
      </c>
      <c r="J36" s="621" t="str">
        <f t="shared" si="15"/>
        <v>(2)</v>
      </c>
      <c r="K36" s="622" t="str">
        <f t="shared" ref="K36" si="26">+K12</f>
        <v>(2)</v>
      </c>
      <c r="L36" s="618" t="str">
        <f t="shared" si="15"/>
        <v>(2)</v>
      </c>
      <c r="M36" s="673" t="str">
        <f t="shared" si="15"/>
        <v>(2)</v>
      </c>
      <c r="N36" s="673" t="str">
        <f t="shared" ref="N36:O36" si="27">+N12</f>
        <v>(2)</v>
      </c>
      <c r="O36" s="673" t="str">
        <f t="shared" si="27"/>
        <v>(2)</v>
      </c>
      <c r="P36" s="673" t="str">
        <f t="shared" si="15"/>
        <v>(2)</v>
      </c>
      <c r="Q36" s="673" t="str">
        <f t="shared" ref="Q36:R36" si="28">+Q12</f>
        <v>(2)</v>
      </c>
      <c r="R36" s="677" t="str">
        <f t="shared" si="28"/>
        <v>(2)</v>
      </c>
    </row>
    <row r="37" spans="1:18" ht="18" customHeight="1" x14ac:dyDescent="0.35">
      <c r="A37" s="82" t="s">
        <v>174</v>
      </c>
      <c r="B37" s="88" t="s">
        <v>175</v>
      </c>
      <c r="C37" s="668">
        <f t="shared" si="15"/>
        <v>12.29256217662561</v>
      </c>
      <c r="D37" s="669">
        <f t="shared" si="15"/>
        <v>12.29256217662561</v>
      </c>
      <c r="E37" s="669">
        <f t="shared" ref="E37:F37" si="29">+E13</f>
        <v>12.29256217662561</v>
      </c>
      <c r="F37" s="669">
        <f t="shared" si="29"/>
        <v>12.29256217662561</v>
      </c>
      <c r="G37" s="682">
        <f t="shared" si="15"/>
        <v>12.29256217662561</v>
      </c>
      <c r="H37" s="669">
        <f>+C37</f>
        <v>12.29256217662561</v>
      </c>
      <c r="I37" s="621">
        <f t="shared" si="15"/>
        <v>12.29256217662561</v>
      </c>
      <c r="J37" s="621">
        <f t="shared" si="15"/>
        <v>12.29256217662561</v>
      </c>
      <c r="K37" s="622">
        <f t="shared" ref="K37" si="30">+K13</f>
        <v>12.29256217662561</v>
      </c>
      <c r="L37" s="618">
        <f t="shared" si="15"/>
        <v>26.583233136281329</v>
      </c>
      <c r="M37" s="621">
        <f t="shared" si="15"/>
        <v>26.583233136281329</v>
      </c>
      <c r="N37" s="621">
        <f t="shared" ref="N37:O37" si="31">+N13</f>
        <v>26.583233136281329</v>
      </c>
      <c r="O37" s="621">
        <f t="shared" si="31"/>
        <v>23.500029293035123</v>
      </c>
      <c r="P37" s="621">
        <f t="shared" si="15"/>
        <v>23.500029293035123</v>
      </c>
      <c r="Q37" s="621">
        <f t="shared" ref="Q37:R37" si="32">+Q13</f>
        <v>26.583233136281329</v>
      </c>
      <c r="R37" s="622">
        <f t="shared" si="32"/>
        <v>26.583233136281329</v>
      </c>
    </row>
    <row r="38" spans="1:18" ht="18" customHeight="1" x14ac:dyDescent="0.35">
      <c r="A38" s="82" t="s">
        <v>178</v>
      </c>
      <c r="B38" s="88" t="s">
        <v>179</v>
      </c>
      <c r="C38" s="668">
        <f t="shared" si="15"/>
        <v>13.726213893883656</v>
      </c>
      <c r="D38" s="669">
        <f t="shared" si="15"/>
        <v>13.726213893883656</v>
      </c>
      <c r="E38" s="669">
        <f t="shared" ref="E38:F38" si="33">+E14</f>
        <v>13.726213893883656</v>
      </c>
      <c r="F38" s="669">
        <f t="shared" si="33"/>
        <v>13.726213893883656</v>
      </c>
      <c r="G38" s="682">
        <f t="shared" si="15"/>
        <v>13.726213893883656</v>
      </c>
      <c r="H38" s="669">
        <f>+C38</f>
        <v>13.726213893883656</v>
      </c>
      <c r="I38" s="621">
        <f t="shared" si="15"/>
        <v>13.726213893883656</v>
      </c>
      <c r="J38" s="621">
        <f t="shared" si="15"/>
        <v>13.726213893883656</v>
      </c>
      <c r="K38" s="622">
        <f t="shared" ref="K38" si="34">+K14</f>
        <v>13.726213893883656</v>
      </c>
      <c r="L38" s="618">
        <f t="shared" si="15"/>
        <v>13.726213893883656</v>
      </c>
      <c r="M38" s="621">
        <f t="shared" si="15"/>
        <v>13.726213893883656</v>
      </c>
      <c r="N38" s="621">
        <f t="shared" ref="N38:O38" si="35">+N14</f>
        <v>13.726213893883656</v>
      </c>
      <c r="O38" s="621">
        <f t="shared" si="35"/>
        <v>13.326421256197724</v>
      </c>
      <c r="P38" s="621">
        <f t="shared" si="15"/>
        <v>13.326421256197724</v>
      </c>
      <c r="Q38" s="621">
        <f t="shared" ref="Q38:R38" si="36">+Q14</f>
        <v>13.726213893883656</v>
      </c>
      <c r="R38" s="622">
        <f t="shared" si="36"/>
        <v>13.726213893883656</v>
      </c>
    </row>
    <row r="39" spans="1:18" hidden="1" x14ac:dyDescent="0.35">
      <c r="A39" s="82"/>
      <c r="B39" s="88" t="s">
        <v>180</v>
      </c>
      <c r="C39" s="668">
        <f t="shared" si="15"/>
        <v>0</v>
      </c>
      <c r="D39" s="669"/>
      <c r="E39" s="669"/>
      <c r="F39" s="669">
        <f t="shared" ref="F39" si="37">+F15</f>
        <v>0</v>
      </c>
      <c r="G39" s="669">
        <f t="shared" si="15"/>
        <v>0</v>
      </c>
      <c r="H39" s="669"/>
      <c r="I39" s="621">
        <f t="shared" si="15"/>
        <v>0</v>
      </c>
      <c r="J39" s="621">
        <f t="shared" si="15"/>
        <v>0</v>
      </c>
      <c r="K39" s="622">
        <f t="shared" ref="K39" si="38">+K15</f>
        <v>0</v>
      </c>
      <c r="L39" s="684">
        <f t="shared" si="15"/>
        <v>0</v>
      </c>
      <c r="M39" s="695"/>
      <c r="N39" s="621"/>
      <c r="O39" s="621"/>
      <c r="P39" s="616">
        <f t="shared" si="15"/>
        <v>0</v>
      </c>
      <c r="Q39" s="616">
        <f t="shared" ref="Q39:R39" si="39">+Q15</f>
        <v>0</v>
      </c>
      <c r="R39" s="617">
        <f t="shared" si="39"/>
        <v>0</v>
      </c>
    </row>
    <row r="40" spans="1:18" x14ac:dyDescent="0.35">
      <c r="A40" s="89" t="s">
        <v>181</v>
      </c>
      <c r="B40" s="115" t="s">
        <v>182</v>
      </c>
      <c r="C40" s="685">
        <f>SUM(C32:C39)</f>
        <v>9940.1787760705101</v>
      </c>
      <c r="D40" s="686">
        <f>SUM(D32:D39)</f>
        <v>10029.355576070509</v>
      </c>
      <c r="E40" s="686">
        <f>SUM(E32:E39)</f>
        <v>10118.532376070511</v>
      </c>
      <c r="F40" s="662">
        <f t="shared" ref="F40:P40" si="40">SUM(F32:F39)</f>
        <v>10163.118776070511</v>
      </c>
      <c r="G40" s="662">
        <f t="shared" si="40"/>
        <v>10386.062776070512</v>
      </c>
      <c r="H40" s="662">
        <f t="shared" ref="H40" si="41">SUM(H32:H39)</f>
        <v>3870.5561760705095</v>
      </c>
      <c r="I40" s="662">
        <f t="shared" si="40"/>
        <v>4253.3541960705097</v>
      </c>
      <c r="J40" s="662">
        <f t="shared" si="40"/>
        <v>4636.1552880705094</v>
      </c>
      <c r="K40" s="663">
        <f t="shared" ref="K40" si="42">SUM(K32:K39)</f>
        <v>4891.3560160705092</v>
      </c>
      <c r="L40" s="661">
        <f t="shared" si="40"/>
        <v>10617.629447030165</v>
      </c>
      <c r="M40" s="662">
        <f t="shared" si="40"/>
        <v>10769.456647030165</v>
      </c>
      <c r="N40" s="662">
        <f t="shared" si="40"/>
        <v>10807.411447030167</v>
      </c>
      <c r="O40" s="662">
        <f t="shared" ref="O40" si="43">SUM(O32:O39)</f>
        <v>10993.714450549232</v>
      </c>
      <c r="P40" s="662">
        <f t="shared" si="40"/>
        <v>5991.6954505492331</v>
      </c>
      <c r="Q40" s="662">
        <f t="shared" ref="Q40:R40" si="44">SUM(Q32:Q39)</f>
        <v>6323.4298470301655</v>
      </c>
      <c r="R40" s="663">
        <f t="shared" si="44"/>
        <v>6542.2574470301661</v>
      </c>
    </row>
    <row r="41" spans="1:18" ht="16.899999999999999" customHeight="1" x14ac:dyDescent="0.35">
      <c r="A41" s="82" t="s">
        <v>183</v>
      </c>
      <c r="B41" s="88" t="s">
        <v>184</v>
      </c>
      <c r="C41" s="630" t="s">
        <v>214</v>
      </c>
      <c r="D41" s="619" t="s">
        <v>214</v>
      </c>
      <c r="E41" s="619" t="s">
        <v>214</v>
      </c>
      <c r="F41" s="619" t="s">
        <v>214</v>
      </c>
      <c r="G41" s="619" t="str">
        <f>+C41</f>
        <v>***</v>
      </c>
      <c r="H41" s="619" t="str">
        <f>+E41</f>
        <v>***</v>
      </c>
      <c r="I41" s="616" t="str">
        <f>+C41</f>
        <v>***</v>
      </c>
      <c r="J41" s="616" t="str">
        <f>+C41</f>
        <v>***</v>
      </c>
      <c r="K41" s="617" t="str">
        <f>+D41</f>
        <v>***</v>
      </c>
      <c r="L41" s="684" t="str">
        <f>+P41</f>
        <v>***</v>
      </c>
      <c r="M41" s="616" t="s">
        <v>214</v>
      </c>
      <c r="N41" s="616" t="s">
        <v>214</v>
      </c>
      <c r="O41" s="616" t="s">
        <v>214</v>
      </c>
      <c r="P41" s="616" t="s">
        <v>214</v>
      </c>
      <c r="Q41" s="616" t="s">
        <v>214</v>
      </c>
      <c r="R41" s="617" t="s">
        <v>214</v>
      </c>
    </row>
    <row r="42" spans="1:18" ht="16.899999999999999" customHeight="1" x14ac:dyDescent="0.35">
      <c r="A42" s="82" t="s">
        <v>185</v>
      </c>
      <c r="B42" s="88" t="s">
        <v>186</v>
      </c>
      <c r="C42" s="630" t="str">
        <f t="shared" ref="C42:E43" si="45">+G42</f>
        <v>**</v>
      </c>
      <c r="D42" s="619" t="str">
        <f t="shared" si="45"/>
        <v>**</v>
      </c>
      <c r="E42" s="619" t="str">
        <f t="shared" si="45"/>
        <v>**</v>
      </c>
      <c r="F42" s="619" t="s">
        <v>212</v>
      </c>
      <c r="G42" s="619" t="s">
        <v>212</v>
      </c>
      <c r="H42" s="619" t="s">
        <v>212</v>
      </c>
      <c r="I42" s="621" t="s">
        <v>212</v>
      </c>
      <c r="J42" s="616" t="s">
        <v>212</v>
      </c>
      <c r="K42" s="617" t="s">
        <v>212</v>
      </c>
      <c r="L42" s="684" t="str">
        <f>+P42</f>
        <v>**</v>
      </c>
      <c r="M42" s="616" t="s">
        <v>212</v>
      </c>
      <c r="N42" s="616" t="s">
        <v>212</v>
      </c>
      <c r="O42" s="616" t="s">
        <v>212</v>
      </c>
      <c r="P42" s="621" t="s">
        <v>212</v>
      </c>
      <c r="Q42" s="621" t="s">
        <v>212</v>
      </c>
      <c r="R42" s="622" t="s">
        <v>212</v>
      </c>
    </row>
    <row r="43" spans="1:18" ht="16.899999999999999" customHeight="1" x14ac:dyDescent="0.35">
      <c r="A43" s="82" t="s">
        <v>187</v>
      </c>
      <c r="B43" s="88" t="s">
        <v>188</v>
      </c>
      <c r="C43" s="630" t="str">
        <f t="shared" si="45"/>
        <v>****</v>
      </c>
      <c r="D43" s="619" t="str">
        <f t="shared" si="45"/>
        <v>****</v>
      </c>
      <c r="E43" s="619" t="str">
        <f t="shared" si="45"/>
        <v>****</v>
      </c>
      <c r="F43" s="619" t="s">
        <v>216</v>
      </c>
      <c r="G43" s="619" t="s">
        <v>216</v>
      </c>
      <c r="H43" s="619" t="s">
        <v>216</v>
      </c>
      <c r="I43" s="616" t="str">
        <f>+G43</f>
        <v>****</v>
      </c>
      <c r="J43" s="616" t="str">
        <f>+I43</f>
        <v>****</v>
      </c>
      <c r="K43" s="617" t="str">
        <f>+J43</f>
        <v>****</v>
      </c>
      <c r="L43" s="684" t="str">
        <f>+J43</f>
        <v>****</v>
      </c>
      <c r="M43" s="616" t="s">
        <v>216</v>
      </c>
      <c r="N43" s="616" t="s">
        <v>216</v>
      </c>
      <c r="O43" s="616" t="s">
        <v>216</v>
      </c>
      <c r="P43" s="616" t="str">
        <f>+J43</f>
        <v>****</v>
      </c>
      <c r="Q43" s="616" t="str">
        <f>+L43</f>
        <v>****</v>
      </c>
      <c r="R43" s="617" t="str">
        <f>+M43</f>
        <v>****</v>
      </c>
    </row>
    <row r="44" spans="1:18" ht="16.899999999999999" customHeight="1" x14ac:dyDescent="0.35">
      <c r="A44" s="89" t="s">
        <v>189</v>
      </c>
      <c r="B44" s="115" t="s">
        <v>190</v>
      </c>
      <c r="C44" s="685">
        <f t="shared" ref="C44:P44" si="46">+C40</f>
        <v>9940.1787760705101</v>
      </c>
      <c r="D44" s="686">
        <f t="shared" ref="D44:E44" si="47">+D40</f>
        <v>10029.355576070509</v>
      </c>
      <c r="E44" s="686">
        <f t="shared" si="47"/>
        <v>10118.532376070511</v>
      </c>
      <c r="F44" s="686">
        <f t="shared" si="46"/>
        <v>10163.118776070511</v>
      </c>
      <c r="G44" s="686">
        <f t="shared" si="46"/>
        <v>10386.062776070512</v>
      </c>
      <c r="H44" s="686">
        <f t="shared" ref="H44" si="48">+H40</f>
        <v>3870.5561760705095</v>
      </c>
      <c r="I44" s="686">
        <f t="shared" si="46"/>
        <v>4253.3541960705097</v>
      </c>
      <c r="J44" s="686">
        <f t="shared" si="46"/>
        <v>4636.1552880705094</v>
      </c>
      <c r="K44" s="687">
        <f t="shared" ref="K44" si="49">+K40</f>
        <v>4891.3560160705092</v>
      </c>
      <c r="L44" s="685">
        <f t="shared" si="46"/>
        <v>10617.629447030165</v>
      </c>
      <c r="M44" s="686">
        <f t="shared" ref="M44" si="50">+M40</f>
        <v>10769.456647030165</v>
      </c>
      <c r="N44" s="686">
        <f t="shared" si="46"/>
        <v>10807.411447030167</v>
      </c>
      <c r="O44" s="686">
        <f t="shared" ref="O44" si="51">+O40</f>
        <v>10993.714450549232</v>
      </c>
      <c r="P44" s="686">
        <f t="shared" si="46"/>
        <v>5991.6954505492331</v>
      </c>
      <c r="Q44" s="686">
        <f t="shared" ref="Q44:R44" si="52">+Q40</f>
        <v>6323.4298470301655</v>
      </c>
      <c r="R44" s="687">
        <f t="shared" si="52"/>
        <v>6542.2574470301661</v>
      </c>
    </row>
    <row r="45" spans="1:18" ht="16.899999999999999" customHeight="1" x14ac:dyDescent="0.35">
      <c r="A45" s="82" t="s">
        <v>191</v>
      </c>
      <c r="B45" s="88" t="s">
        <v>150</v>
      </c>
      <c r="C45" s="630" t="s">
        <v>214</v>
      </c>
      <c r="D45" s="619" t="s">
        <v>214</v>
      </c>
      <c r="E45" s="619" t="s">
        <v>214</v>
      </c>
      <c r="F45" s="619" t="s">
        <v>214</v>
      </c>
      <c r="G45" s="619" t="str">
        <f>+C45</f>
        <v>***</v>
      </c>
      <c r="H45" s="619" t="str">
        <f>+E45</f>
        <v>***</v>
      </c>
      <c r="I45" s="616" t="str">
        <f>+G45</f>
        <v>***</v>
      </c>
      <c r="J45" s="616" t="str">
        <f>+I45</f>
        <v>***</v>
      </c>
      <c r="K45" s="617" t="str">
        <f>+J45</f>
        <v>***</v>
      </c>
      <c r="L45" s="684" t="str">
        <f>+G45</f>
        <v>***</v>
      </c>
      <c r="M45" s="616" t="str">
        <f t="shared" ref="M45:O47" si="53">+E45</f>
        <v>***</v>
      </c>
      <c r="N45" s="616" t="str">
        <f t="shared" si="53"/>
        <v>***</v>
      </c>
      <c r="O45" s="616" t="str">
        <f t="shared" si="53"/>
        <v>***</v>
      </c>
      <c r="P45" s="616" t="s">
        <v>214</v>
      </c>
      <c r="Q45" s="616" t="s">
        <v>214</v>
      </c>
      <c r="R45" s="617" t="s">
        <v>214</v>
      </c>
    </row>
    <row r="46" spans="1:18" ht="16.899999999999999" customHeight="1" x14ac:dyDescent="0.35">
      <c r="A46" s="82" t="s">
        <v>192</v>
      </c>
      <c r="B46" s="83" t="s">
        <v>193</v>
      </c>
      <c r="C46" s="630" t="str">
        <f t="shared" ref="C46:E47" si="54">+G46</f>
        <v>*****</v>
      </c>
      <c r="D46" s="619" t="str">
        <f t="shared" si="54"/>
        <v>*****</v>
      </c>
      <c r="E46" s="619" t="str">
        <f t="shared" si="54"/>
        <v>N.A.</v>
      </c>
      <c r="F46" s="619" t="s">
        <v>218</v>
      </c>
      <c r="G46" s="619" t="s">
        <v>218</v>
      </c>
      <c r="H46" s="619" t="s">
        <v>218</v>
      </c>
      <c r="I46" s="616" t="s">
        <v>236</v>
      </c>
      <c r="J46" s="616" t="s">
        <v>194</v>
      </c>
      <c r="K46" s="617" t="s">
        <v>194</v>
      </c>
      <c r="L46" s="684" t="str">
        <f>+G46</f>
        <v>*****</v>
      </c>
      <c r="M46" s="616" t="str">
        <f t="shared" si="53"/>
        <v>N.A.</v>
      </c>
      <c r="N46" s="616" t="str">
        <f t="shared" si="53"/>
        <v>*****</v>
      </c>
      <c r="O46" s="616" t="str">
        <f t="shared" si="53"/>
        <v>*****</v>
      </c>
      <c r="P46" s="616" t="s">
        <v>237</v>
      </c>
      <c r="Q46" s="616" t="s">
        <v>237</v>
      </c>
      <c r="R46" s="617" t="s">
        <v>237</v>
      </c>
    </row>
    <row r="47" spans="1:18" ht="16.899999999999999" customHeight="1" x14ac:dyDescent="0.35">
      <c r="A47" s="82" t="s">
        <v>195</v>
      </c>
      <c r="B47" s="88" t="s">
        <v>272</v>
      </c>
      <c r="C47" s="630" t="str">
        <f t="shared" si="54"/>
        <v>******</v>
      </c>
      <c r="D47" s="619" t="str">
        <f t="shared" si="54"/>
        <v>******</v>
      </c>
      <c r="E47" s="619" t="str">
        <f t="shared" si="54"/>
        <v>******</v>
      </c>
      <c r="F47" s="619" t="s">
        <v>219</v>
      </c>
      <c r="G47" s="619" t="s">
        <v>219</v>
      </c>
      <c r="H47" s="619" t="s">
        <v>219</v>
      </c>
      <c r="I47" s="621" t="str">
        <f>+G47</f>
        <v>******</v>
      </c>
      <c r="J47" s="621" t="str">
        <f>+I47</f>
        <v>******</v>
      </c>
      <c r="K47" s="622" t="str">
        <f>+J47</f>
        <v>******</v>
      </c>
      <c r="L47" s="684" t="str">
        <f>+G47</f>
        <v>******</v>
      </c>
      <c r="M47" s="616" t="str">
        <f t="shared" si="53"/>
        <v>******</v>
      </c>
      <c r="N47" s="616" t="str">
        <f t="shared" si="53"/>
        <v>******</v>
      </c>
      <c r="O47" s="616" t="str">
        <f t="shared" si="53"/>
        <v>******</v>
      </c>
      <c r="P47" s="621" t="str">
        <f>+L47</f>
        <v>******</v>
      </c>
      <c r="Q47" s="621" t="str">
        <f>+N47</f>
        <v>******</v>
      </c>
      <c r="R47" s="622" t="str">
        <f>+O47</f>
        <v>******</v>
      </c>
    </row>
    <row r="48" spans="1:18" ht="16.899999999999999" customHeight="1" thickBot="1" x14ac:dyDescent="0.4">
      <c r="A48" s="93" t="s">
        <v>197</v>
      </c>
      <c r="B48" s="94" t="s">
        <v>198</v>
      </c>
      <c r="C48" s="678"/>
      <c r="D48" s="679"/>
      <c r="E48" s="679"/>
      <c r="F48" s="679"/>
      <c r="G48" s="636"/>
      <c r="H48" s="636"/>
      <c r="I48" s="636"/>
      <c r="J48" s="636"/>
      <c r="K48" s="637"/>
      <c r="L48" s="635"/>
      <c r="M48" s="636"/>
      <c r="N48" s="636"/>
      <c r="O48" s="636"/>
      <c r="P48" s="636"/>
      <c r="Q48" s="636"/>
      <c r="R48" s="637"/>
    </row>
    <row r="49" spans="1:24" ht="15" thickTop="1" x14ac:dyDescent="0.35"/>
    <row r="51" spans="1:24" x14ac:dyDescent="0.35">
      <c r="A51" s="101"/>
      <c r="B51" s="119" t="s">
        <v>210</v>
      </c>
      <c r="C51" s="145"/>
      <c r="D51" s="145"/>
      <c r="E51" s="145"/>
      <c r="F51" s="145"/>
      <c r="G51" s="145"/>
      <c r="H51" s="145"/>
      <c r="I51" s="145"/>
      <c r="J51" s="145"/>
      <c r="K51" s="145"/>
      <c r="L51" s="127"/>
      <c r="M51" s="127"/>
      <c r="N51" s="127"/>
      <c r="O51" s="127"/>
      <c r="P51" s="127"/>
      <c r="Q51" s="127"/>
      <c r="R51" s="127"/>
      <c r="S51" s="127"/>
      <c r="T51" s="127"/>
      <c r="U51" s="127"/>
      <c r="V51" s="127"/>
      <c r="W51" s="127"/>
      <c r="X51" s="127"/>
    </row>
    <row r="52" spans="1:24" x14ac:dyDescent="0.35">
      <c r="A52" s="101"/>
      <c r="B52" s="119"/>
      <c r="C52" s="145"/>
      <c r="D52" s="145"/>
      <c r="E52" s="145"/>
      <c r="F52" s="145"/>
      <c r="G52" s="145"/>
      <c r="H52" s="145"/>
      <c r="I52" s="145"/>
      <c r="J52" s="145"/>
      <c r="K52" s="145"/>
      <c r="L52" s="127"/>
      <c r="M52" s="127"/>
      <c r="N52" s="127"/>
      <c r="O52" s="127"/>
      <c r="P52" s="127"/>
      <c r="Q52" s="127"/>
      <c r="R52" s="127"/>
      <c r="S52" s="127"/>
      <c r="T52" s="127"/>
      <c r="U52" s="127"/>
      <c r="V52" s="127"/>
      <c r="W52" s="127"/>
      <c r="X52" s="127"/>
    </row>
    <row r="53" spans="1:24" ht="15" customHeight="1" x14ac:dyDescent="0.35">
      <c r="A53" s="101" t="s">
        <v>173</v>
      </c>
      <c r="B53" s="783" t="str">
        <f>+VAUPES!B28</f>
        <v>De acuerdo con lo establecido en la Resoluccion 91349 de 2014 del MME para combustible de origen nacional o importado a ser distribuido en zonas de frontera, aplica la tarifa de marcación o remarcación vigente a la fecha según corresponda</v>
      </c>
      <c r="C53" s="783"/>
      <c r="D53" s="783"/>
      <c r="E53" s="783"/>
      <c r="F53" s="783"/>
      <c r="G53" s="783"/>
      <c r="H53" s="783"/>
      <c r="I53" s="783"/>
      <c r="J53" s="783"/>
      <c r="K53" s="783"/>
      <c r="L53" s="783"/>
      <c r="M53" s="783"/>
      <c r="N53" s="783"/>
      <c r="O53" s="783"/>
      <c r="P53" s="783"/>
      <c r="Q53" s="783"/>
      <c r="R53" s="783"/>
      <c r="S53" s="146"/>
      <c r="T53" s="146"/>
      <c r="U53" s="146"/>
      <c r="V53" s="146"/>
      <c r="W53" s="146"/>
      <c r="X53" s="146"/>
    </row>
    <row r="54" spans="1:24" ht="26.5" customHeight="1" x14ac:dyDescent="0.35">
      <c r="A54" s="101" t="s">
        <v>200</v>
      </c>
      <c r="B54" s="778" t="s">
        <v>251</v>
      </c>
      <c r="C54" s="778"/>
      <c r="D54" s="778"/>
      <c r="E54" s="778"/>
      <c r="F54" s="778"/>
      <c r="G54" s="778"/>
      <c r="H54" s="778"/>
      <c r="I54" s="778"/>
      <c r="J54" s="778"/>
      <c r="K54" s="778"/>
      <c r="L54" s="778"/>
      <c r="M54" s="778"/>
      <c r="N54" s="778"/>
      <c r="O54" s="778"/>
      <c r="P54" s="778"/>
      <c r="Q54" s="778"/>
      <c r="R54" s="778"/>
      <c r="S54" s="127"/>
      <c r="T54" s="127"/>
      <c r="U54" s="127"/>
      <c r="V54" s="127"/>
      <c r="W54" s="127"/>
      <c r="X54" s="127"/>
    </row>
    <row r="55" spans="1:24" ht="54.75" customHeight="1" x14ac:dyDescent="0.35">
      <c r="A55" s="101" t="s">
        <v>130</v>
      </c>
      <c r="B55" s="783" t="s">
        <v>307</v>
      </c>
      <c r="C55" s="783"/>
      <c r="D55" s="783"/>
      <c r="E55" s="783"/>
      <c r="F55" s="783"/>
      <c r="G55" s="783"/>
      <c r="H55" s="783"/>
      <c r="I55" s="783"/>
      <c r="J55" s="783"/>
      <c r="K55" s="783"/>
      <c r="L55" s="783"/>
      <c r="M55" s="783"/>
      <c r="N55" s="783"/>
      <c r="O55" s="783"/>
      <c r="P55" s="783"/>
      <c r="Q55" s="783"/>
      <c r="R55" s="783"/>
      <c r="S55" s="127"/>
      <c r="T55" s="127"/>
      <c r="U55" s="127"/>
      <c r="V55" s="127"/>
      <c r="W55" s="127"/>
      <c r="X55" s="127"/>
    </row>
    <row r="56" spans="1:24" ht="43.75" customHeight="1" x14ac:dyDescent="0.35">
      <c r="A56" s="101" t="s">
        <v>201</v>
      </c>
      <c r="B56" s="782" t="s">
        <v>375</v>
      </c>
      <c r="C56" s="782"/>
      <c r="D56" s="782"/>
      <c r="E56" s="782"/>
      <c r="F56" s="782"/>
      <c r="G56" s="782"/>
      <c r="H56" s="782"/>
      <c r="I56" s="782"/>
      <c r="J56" s="782"/>
      <c r="K56" s="782"/>
      <c r="L56" s="782"/>
      <c r="M56" s="782"/>
      <c r="N56" s="782"/>
      <c r="O56" s="782"/>
      <c r="P56" s="782"/>
      <c r="Q56" s="782"/>
      <c r="R56" s="782"/>
      <c r="S56" s="127"/>
      <c r="T56" s="127"/>
      <c r="U56" s="127"/>
      <c r="V56" s="127"/>
      <c r="W56" s="127"/>
      <c r="X56" s="127"/>
    </row>
    <row r="57" spans="1:24" ht="12" customHeight="1" x14ac:dyDescent="0.35">
      <c r="A57" s="101"/>
      <c r="B57" s="887"/>
      <c r="C57" s="887"/>
      <c r="D57" s="887"/>
      <c r="E57" s="887"/>
      <c r="F57" s="887"/>
      <c r="G57" s="887"/>
      <c r="H57" s="887"/>
      <c r="I57" s="887"/>
      <c r="J57" s="887"/>
      <c r="K57" s="887"/>
      <c r="L57" s="887"/>
      <c r="M57" s="887"/>
      <c r="N57" s="887"/>
      <c r="O57" s="887"/>
      <c r="P57" s="887"/>
      <c r="Q57" s="887"/>
      <c r="R57" s="887"/>
      <c r="S57" s="127"/>
      <c r="T57" s="127"/>
      <c r="U57" s="127"/>
      <c r="V57" s="127"/>
      <c r="W57" s="127"/>
      <c r="X57" s="127"/>
    </row>
    <row r="58" spans="1:24" ht="15" customHeight="1" x14ac:dyDescent="0.35">
      <c r="A58" s="120" t="s">
        <v>102</v>
      </c>
      <c r="B58" s="779" t="s">
        <v>211</v>
      </c>
      <c r="C58" s="779"/>
      <c r="D58" s="779"/>
      <c r="E58" s="779"/>
      <c r="F58" s="779"/>
      <c r="G58" s="779"/>
      <c r="H58" s="779"/>
      <c r="I58" s="779"/>
      <c r="J58" s="779"/>
      <c r="K58" s="779"/>
      <c r="L58" s="779"/>
      <c r="M58" s="779"/>
      <c r="N58" s="779"/>
      <c r="O58" s="779"/>
      <c r="P58" s="779"/>
      <c r="Q58" s="779"/>
      <c r="R58" s="779"/>
      <c r="S58" s="127"/>
      <c r="T58" s="127"/>
      <c r="U58" s="127"/>
      <c r="V58" s="127"/>
      <c r="W58" s="127"/>
      <c r="X58" s="127"/>
    </row>
    <row r="59" spans="1:24" ht="15" customHeight="1" x14ac:dyDescent="0.35">
      <c r="A59" s="120" t="s">
        <v>212</v>
      </c>
      <c r="B59" s="783" t="s">
        <v>271</v>
      </c>
      <c r="C59" s="783"/>
      <c r="D59" s="783"/>
      <c r="E59" s="783"/>
      <c r="F59" s="783"/>
      <c r="G59" s="783"/>
      <c r="H59" s="783"/>
      <c r="I59" s="783"/>
      <c r="J59" s="783"/>
      <c r="K59" s="783"/>
      <c r="L59" s="783"/>
      <c r="M59" s="783"/>
      <c r="N59" s="783"/>
      <c r="O59" s="783"/>
      <c r="P59" s="783"/>
      <c r="Q59" s="783"/>
      <c r="R59" s="783"/>
      <c r="S59" s="127"/>
      <c r="T59" s="127"/>
      <c r="U59" s="127"/>
      <c r="V59" s="127"/>
      <c r="W59" s="127"/>
      <c r="X59" s="127"/>
    </row>
    <row r="60" spans="1:24" ht="15" customHeight="1" x14ac:dyDescent="0.35">
      <c r="A60" s="101" t="s">
        <v>214</v>
      </c>
      <c r="B60" s="783" t="s">
        <v>215</v>
      </c>
      <c r="C60" s="783"/>
      <c r="D60" s="783"/>
      <c r="E60" s="783"/>
      <c r="F60" s="783"/>
      <c r="G60" s="783"/>
      <c r="H60" s="783"/>
      <c r="I60" s="783"/>
      <c r="J60" s="783"/>
      <c r="K60" s="783"/>
      <c r="L60" s="783"/>
      <c r="M60" s="783"/>
      <c r="N60" s="783"/>
      <c r="O60" s="783"/>
      <c r="P60" s="783"/>
      <c r="Q60" s="101"/>
      <c r="R60" s="779"/>
      <c r="S60" s="779"/>
      <c r="T60" s="779"/>
      <c r="U60" s="779"/>
      <c r="V60" s="779"/>
      <c r="W60" s="779"/>
      <c r="X60" s="779"/>
    </row>
    <row r="61" spans="1:24" ht="15" customHeight="1" x14ac:dyDescent="0.35">
      <c r="A61" s="101" t="s">
        <v>216</v>
      </c>
      <c r="B61" s="779" t="s">
        <v>426</v>
      </c>
      <c r="C61" s="779"/>
      <c r="D61" s="779"/>
      <c r="E61" s="779"/>
      <c r="F61" s="779"/>
      <c r="G61" s="779"/>
      <c r="H61" s="779"/>
      <c r="I61" s="779"/>
      <c r="J61" s="779"/>
      <c r="K61" s="779"/>
      <c r="L61" s="779"/>
      <c r="M61" s="779"/>
      <c r="N61" s="779"/>
      <c r="O61" s="779"/>
      <c r="P61" s="779"/>
      <c r="Q61" s="101"/>
      <c r="R61" s="102"/>
      <c r="S61" s="102"/>
      <c r="T61" s="102"/>
      <c r="U61" s="102"/>
      <c r="V61" s="102"/>
      <c r="W61" s="102"/>
      <c r="X61" s="102"/>
    </row>
    <row r="62" spans="1:24" x14ac:dyDescent="0.35">
      <c r="A62" s="120" t="s">
        <v>218</v>
      </c>
      <c r="B62" s="783" t="s">
        <v>220</v>
      </c>
      <c r="C62" s="783"/>
      <c r="D62" s="783"/>
      <c r="E62" s="783"/>
      <c r="F62" s="783"/>
      <c r="G62" s="783"/>
      <c r="H62" s="783"/>
      <c r="I62" s="783"/>
      <c r="J62" s="783"/>
      <c r="K62" s="783"/>
      <c r="L62" s="783"/>
      <c r="M62" s="783"/>
      <c r="N62" s="783"/>
      <c r="O62" s="783"/>
      <c r="P62" s="783"/>
      <c r="Q62" s="783"/>
      <c r="R62" s="783"/>
      <c r="S62" s="127"/>
      <c r="T62" s="127"/>
      <c r="U62" s="127"/>
      <c r="V62" s="127"/>
      <c r="W62" s="127"/>
      <c r="X62" s="127"/>
    </row>
    <row r="63" spans="1:24" x14ac:dyDescent="0.35">
      <c r="A63" s="120" t="s">
        <v>219</v>
      </c>
      <c r="B63" s="783" t="s">
        <v>273</v>
      </c>
      <c r="C63" s="783"/>
      <c r="D63" s="783"/>
      <c r="E63" s="783"/>
      <c r="F63" s="783"/>
      <c r="G63" s="783"/>
      <c r="H63" s="783"/>
      <c r="I63" s="783"/>
      <c r="J63" s="783"/>
      <c r="K63" s="783"/>
      <c r="L63" s="783"/>
      <c r="M63" s="783"/>
      <c r="N63" s="783"/>
      <c r="O63" s="783"/>
      <c r="P63" s="783"/>
      <c r="Q63" s="783"/>
      <c r="R63" s="783"/>
      <c r="S63" s="127"/>
      <c r="T63" s="127"/>
      <c r="U63" s="127"/>
      <c r="V63" s="127"/>
      <c r="W63" s="127"/>
      <c r="X63" s="127"/>
    </row>
    <row r="65" spans="2:19" ht="88" customHeight="1" x14ac:dyDescent="0.35">
      <c r="B65" s="801" t="s">
        <v>137</v>
      </c>
      <c r="C65" s="801"/>
      <c r="D65" s="801"/>
      <c r="E65" s="801"/>
      <c r="F65" s="801"/>
      <c r="G65" s="801"/>
      <c r="H65" s="801"/>
      <c r="I65" s="801"/>
      <c r="J65" s="801"/>
      <c r="K65" s="801"/>
      <c r="L65" s="801"/>
      <c r="M65" s="801"/>
      <c r="N65" s="801"/>
      <c r="O65" s="801"/>
      <c r="P65" s="801"/>
      <c r="Q65" s="801"/>
      <c r="R65" s="801"/>
      <c r="S65" s="801"/>
    </row>
  </sheetData>
  <sheetProtection algorithmName="SHA-512" hashValue="iuqfXB07jgEjuE5IYByajM4/jKPbasAELPZ4WUfGR9qEmIUsl/azMzY1VgQ2d05sQSmwrWQolpIDGqjE2rbQoQ==" saltValue="FIYH5OfmaD7O2O8O0SPfZg==" spinCount="100000" sheet="1" objects="1" scenarios="1"/>
  <mergeCells count="23">
    <mergeCell ref="B62:R62"/>
    <mergeCell ref="B63:R63"/>
    <mergeCell ref="B65:S65"/>
    <mergeCell ref="B54:R54"/>
    <mergeCell ref="B55:R55"/>
    <mergeCell ref="B58:R58"/>
    <mergeCell ref="B59:R59"/>
    <mergeCell ref="B60:P60"/>
    <mergeCell ref="R60:X60"/>
    <mergeCell ref="B56:R56"/>
    <mergeCell ref="B57:R57"/>
    <mergeCell ref="C3:K4"/>
    <mergeCell ref="C27:K28"/>
    <mergeCell ref="L3:R4"/>
    <mergeCell ref="L27:R28"/>
    <mergeCell ref="B61:P61"/>
    <mergeCell ref="B53:R53"/>
    <mergeCell ref="A5:A7"/>
    <mergeCell ref="B5:B7"/>
    <mergeCell ref="C5:C6"/>
    <mergeCell ref="A29:A31"/>
    <mergeCell ref="B29:B31"/>
    <mergeCell ref="C29:C30"/>
  </mergeCells>
  <hyperlinks>
    <hyperlink ref="B51" location="VAUPES!A40" display="Ver Nota Informativa" xr:uid="{00000000-0004-0000-1500-000000000000}"/>
  </hyperlinks>
  <pageMargins left="0.7" right="0.7" top="0.75" bottom="0.75" header="0.3" footer="0.3"/>
  <pageSetup orientation="portrait" r:id="rId1"/>
  <ignoredErrors>
    <ignoredError sqref="M8:M9" formula="1"/>
    <ignoredError sqref="M10:M12" numberStoredAsText="1" formula="1"/>
    <ignoredError sqref="C35:E36"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46"/>
  <sheetViews>
    <sheetView topLeftCell="A7" zoomScale="70" zoomScaleNormal="70" workbookViewId="0">
      <selection activeCell="V46" sqref="A1:V46"/>
    </sheetView>
  </sheetViews>
  <sheetFormatPr baseColWidth="10" defaultColWidth="11.1796875" defaultRowHeight="14.5" x14ac:dyDescent="0.35"/>
  <cols>
    <col min="1" max="1" width="8.81640625" style="240" customWidth="1"/>
    <col min="2" max="2" width="9.81640625" style="240" customWidth="1"/>
    <col min="3" max="3" width="8.1796875" style="240" customWidth="1"/>
    <col min="4" max="4" width="4.81640625" style="240" customWidth="1"/>
    <col min="5" max="5" width="8.1796875" style="240" customWidth="1"/>
    <col min="6" max="6" width="10.1796875" style="240" customWidth="1"/>
    <col min="7" max="12" width="4.81640625" style="240" customWidth="1"/>
    <col min="13" max="13" width="10.1796875" style="240" bestFit="1" customWidth="1"/>
    <col min="14" max="14" width="9" style="240" customWidth="1"/>
    <col min="15" max="15" width="15.81640625" style="240" customWidth="1"/>
    <col min="16" max="16" width="15.1796875" style="241" customWidth="1"/>
    <col min="17" max="17" width="9.81640625" style="240" customWidth="1"/>
    <col min="18" max="18" width="13.1796875" style="240" bestFit="1" customWidth="1"/>
    <col min="19" max="19" width="17.1796875" style="240" bestFit="1" customWidth="1"/>
    <col min="20" max="20" width="20.54296875" style="240" bestFit="1" customWidth="1"/>
    <col min="21" max="21" width="10.81640625" style="242" bestFit="1" customWidth="1"/>
    <col min="22" max="22" width="13.81640625" style="242" bestFit="1" customWidth="1"/>
    <col min="23" max="16384" width="11.1796875" style="240"/>
  </cols>
  <sheetData>
    <row r="1" spans="1:26" x14ac:dyDescent="0.35">
      <c r="A1" s="240" t="s">
        <v>321</v>
      </c>
      <c r="B1" s="240" t="s">
        <v>322</v>
      </c>
      <c r="C1" s="240" t="s">
        <v>323</v>
      </c>
      <c r="D1" s="240" t="s">
        <v>324</v>
      </c>
      <c r="E1" s="240" t="s">
        <v>325</v>
      </c>
      <c r="F1" s="240" t="s">
        <v>326</v>
      </c>
      <c r="G1" s="240" t="s">
        <v>327</v>
      </c>
      <c r="H1" s="240" t="s">
        <v>328</v>
      </c>
      <c r="I1" s="240" t="s">
        <v>329</v>
      </c>
      <c r="J1" s="240" t="s">
        <v>330</v>
      </c>
      <c r="K1" s="240" t="s">
        <v>331</v>
      </c>
      <c r="L1" s="240" t="s">
        <v>332</v>
      </c>
      <c r="M1" s="240" t="s">
        <v>333</v>
      </c>
      <c r="N1" s="240" t="s">
        <v>334</v>
      </c>
      <c r="O1" s="240" t="s">
        <v>335</v>
      </c>
      <c r="P1" s="241" t="s">
        <v>336</v>
      </c>
      <c r="Q1" s="240" t="s">
        <v>337</v>
      </c>
      <c r="R1" s="240" t="s">
        <v>338</v>
      </c>
      <c r="S1" s="240" t="s">
        <v>339</v>
      </c>
      <c r="T1" s="240" t="s">
        <v>340</v>
      </c>
      <c r="U1" s="242" t="s">
        <v>341</v>
      </c>
      <c r="V1" s="242" t="s">
        <v>342</v>
      </c>
    </row>
    <row r="2" spans="1:26" x14ac:dyDescent="0.35">
      <c r="A2" s="259" t="s">
        <v>343</v>
      </c>
      <c r="B2" s="259">
        <v>567</v>
      </c>
      <c r="C2" s="259" t="s">
        <v>344</v>
      </c>
      <c r="D2" s="259"/>
      <c r="E2" s="259"/>
      <c r="F2" s="259" t="s">
        <v>148</v>
      </c>
      <c r="G2" s="259"/>
      <c r="H2" s="259"/>
      <c r="I2" s="259"/>
      <c r="J2" s="259"/>
      <c r="K2" s="259"/>
      <c r="L2" s="259"/>
      <c r="M2" s="277" t="str">
        <f>+'Calculo IP ZDF'!O28</f>
        <v>Z61</v>
      </c>
      <c r="N2" s="259"/>
      <c r="O2" s="244">
        <f>+'Calculo IP ZDF'!B49</f>
        <v>30000002129</v>
      </c>
      <c r="P2" s="380">
        <f>ROUND('Calculo IP ZDF'!D28,2)</f>
        <v>4457.2700000000004</v>
      </c>
      <c r="Q2" s="259" t="s">
        <v>345</v>
      </c>
      <c r="R2" s="259">
        <v>1</v>
      </c>
      <c r="S2" s="259" t="s">
        <v>346</v>
      </c>
      <c r="T2" s="259" t="s">
        <v>347</v>
      </c>
      <c r="U2" s="243" t="str">
        <f>+'Calculo IP ZDF'!B46</f>
        <v>04.11.2023</v>
      </c>
      <c r="V2" s="243">
        <f>+'Calculo IP ZDF'!C46</f>
        <v>0</v>
      </c>
      <c r="X2" s="240">
        <v>4242.59</v>
      </c>
      <c r="Y2" s="240">
        <f>+P2-X2</f>
        <v>214.68000000000029</v>
      </c>
      <c r="Z2" s="286" t="s">
        <v>380</v>
      </c>
    </row>
    <row r="3" spans="1:26" x14ac:dyDescent="0.35">
      <c r="A3" s="240" t="s">
        <v>343</v>
      </c>
      <c r="B3" s="259">
        <v>567</v>
      </c>
      <c r="C3" s="240" t="s">
        <v>344</v>
      </c>
      <c r="F3" s="240" t="s">
        <v>148</v>
      </c>
      <c r="M3" s="245" t="str">
        <f>+'Calculo IP ZDF'!O29</f>
        <v>Z68</v>
      </c>
      <c r="O3" s="244">
        <f>+O2</f>
        <v>30000002129</v>
      </c>
      <c r="P3" s="240">
        <f>ROUND('Calculo IP ZDF'!D29,2)</f>
        <v>3332.78</v>
      </c>
      <c r="Q3" s="240" t="s">
        <v>345</v>
      </c>
      <c r="R3" s="240">
        <v>1</v>
      </c>
      <c r="S3" s="240" t="s">
        <v>346</v>
      </c>
      <c r="T3" s="240" t="s">
        <v>347</v>
      </c>
      <c r="U3" s="243" t="str">
        <f>+U2</f>
        <v>04.11.2023</v>
      </c>
      <c r="V3" s="243">
        <f>+V2</f>
        <v>0</v>
      </c>
      <c r="X3" s="240">
        <v>4026.31</v>
      </c>
      <c r="Y3" s="240">
        <f t="shared" ref="Y3:Y46" si="0">+P3-X3</f>
        <v>-693.52999999999975</v>
      </c>
      <c r="Z3" s="286" t="s">
        <v>380</v>
      </c>
    </row>
    <row r="4" spans="1:26" x14ac:dyDescent="0.35">
      <c r="A4" s="240" t="s">
        <v>343</v>
      </c>
      <c r="B4" s="259">
        <v>567</v>
      </c>
      <c r="C4" s="240" t="s">
        <v>344</v>
      </c>
      <c r="M4" s="245" t="str">
        <f>+'Calculo IP ZDF'!O30</f>
        <v>Z67</v>
      </c>
      <c r="O4" s="244">
        <f t="shared" ref="O4:O27" si="1">+O3</f>
        <v>30000002129</v>
      </c>
      <c r="P4" s="240">
        <f>ROUND('Calculo IP ZDF'!D30,2)</f>
        <v>4465.6899999999996</v>
      </c>
      <c r="Q4" s="240" t="s">
        <v>345</v>
      </c>
      <c r="R4" s="240">
        <v>1</v>
      </c>
      <c r="S4" s="240" t="s">
        <v>346</v>
      </c>
      <c r="T4" s="240" t="s">
        <v>347</v>
      </c>
      <c r="U4" s="243" t="str">
        <f t="shared" ref="U4:V20" si="2">+U3</f>
        <v>04.11.2023</v>
      </c>
      <c r="V4" s="243">
        <f t="shared" si="2"/>
        <v>0</v>
      </c>
      <c r="X4" s="240">
        <v>4147.91</v>
      </c>
      <c r="Y4" s="240">
        <f t="shared" si="0"/>
        <v>317.77999999999975</v>
      </c>
      <c r="Z4" s="286" t="s">
        <v>380</v>
      </c>
    </row>
    <row r="5" spans="1:26" x14ac:dyDescent="0.35">
      <c r="A5" s="272" t="s">
        <v>343</v>
      </c>
      <c r="B5" s="259">
        <v>567</v>
      </c>
      <c r="C5" s="272" t="s">
        <v>344</v>
      </c>
      <c r="D5" s="272"/>
      <c r="E5" s="272"/>
      <c r="F5" s="272"/>
      <c r="G5" s="272"/>
      <c r="H5" s="272"/>
      <c r="I5" s="272"/>
      <c r="J5" s="272"/>
      <c r="K5" s="272"/>
      <c r="L5" s="272"/>
      <c r="M5" s="271" t="str">
        <f>+'Calculo IP ZDF'!O31</f>
        <v xml:space="preserve">Z64  </v>
      </c>
      <c r="N5" s="272"/>
      <c r="O5" s="273">
        <f t="shared" si="1"/>
        <v>30000002129</v>
      </c>
      <c r="P5" s="272">
        <f>ROUND('Calculo IP ZDF'!D31,2)</f>
        <v>4474.58</v>
      </c>
      <c r="Q5" s="272" t="s">
        <v>345</v>
      </c>
      <c r="R5" s="272">
        <v>1</v>
      </c>
      <c r="S5" s="272" t="s">
        <v>346</v>
      </c>
      <c r="T5" s="272" t="s">
        <v>347</v>
      </c>
      <c r="U5" s="274" t="str">
        <f t="shared" si="2"/>
        <v>04.11.2023</v>
      </c>
      <c r="V5" s="274">
        <f t="shared" si="2"/>
        <v>0</v>
      </c>
      <c r="X5" s="240">
        <v>4618.07</v>
      </c>
      <c r="Y5" s="240">
        <f t="shared" si="0"/>
        <v>-143.48999999999978</v>
      </c>
      <c r="Z5" s="286" t="s">
        <v>380</v>
      </c>
    </row>
    <row r="6" spans="1:26" x14ac:dyDescent="0.35">
      <c r="A6" s="240" t="s">
        <v>343</v>
      </c>
      <c r="B6" s="259">
        <v>567</v>
      </c>
      <c r="C6" s="240" t="s">
        <v>344</v>
      </c>
      <c r="M6" s="245" t="s">
        <v>377</v>
      </c>
      <c r="O6" s="244">
        <f t="shared" si="1"/>
        <v>30000002129</v>
      </c>
      <c r="P6" s="240">
        <f>ROUND('Calculo IP ZDF'!D32,2)</f>
        <v>3193.86</v>
      </c>
      <c r="Q6" s="240" t="s">
        <v>345</v>
      </c>
      <c r="R6" s="240">
        <v>1</v>
      </c>
      <c r="S6" s="240" t="s">
        <v>346</v>
      </c>
      <c r="T6" s="240" t="s">
        <v>347</v>
      </c>
      <c r="U6" s="243" t="str">
        <f t="shared" si="2"/>
        <v>04.11.2023</v>
      </c>
      <c r="V6" s="243">
        <f t="shared" si="2"/>
        <v>0</v>
      </c>
      <c r="X6" s="240">
        <v>4029.1</v>
      </c>
      <c r="Y6" s="240">
        <f t="shared" si="0"/>
        <v>-835.23999999999978</v>
      </c>
      <c r="Z6" s="286" t="s">
        <v>380</v>
      </c>
    </row>
    <row r="7" spans="1:26" x14ac:dyDescent="0.35">
      <c r="A7" s="240" t="s">
        <v>343</v>
      </c>
      <c r="B7" s="259">
        <v>567</v>
      </c>
      <c r="C7" s="240" t="s">
        <v>344</v>
      </c>
      <c r="M7" s="245" t="str">
        <f>+'Calculo IP ZDF'!O33</f>
        <v>Z65</v>
      </c>
      <c r="O7" s="244">
        <f t="shared" si="1"/>
        <v>30000002129</v>
      </c>
      <c r="P7" s="240">
        <f>ROUND('Calculo IP ZDF'!D33,2)</f>
        <v>4450.26</v>
      </c>
      <c r="Q7" s="240" t="s">
        <v>345</v>
      </c>
      <c r="R7" s="240">
        <v>1</v>
      </c>
      <c r="S7" s="240" t="s">
        <v>346</v>
      </c>
      <c r="T7" s="240" t="s">
        <v>347</v>
      </c>
      <c r="U7" s="243" t="str">
        <f t="shared" si="2"/>
        <v>04.11.2023</v>
      </c>
      <c r="V7" s="243">
        <f t="shared" si="2"/>
        <v>0</v>
      </c>
      <c r="X7" s="240">
        <v>4618.07</v>
      </c>
      <c r="Y7" s="240">
        <f t="shared" si="0"/>
        <v>-167.80999999999949</v>
      </c>
      <c r="Z7" s="286" t="s">
        <v>380</v>
      </c>
    </row>
    <row r="8" spans="1:26" x14ac:dyDescent="0.35">
      <c r="A8" s="240" t="s">
        <v>343</v>
      </c>
      <c r="B8" s="259">
        <v>567</v>
      </c>
      <c r="C8" s="240" t="s">
        <v>344</v>
      </c>
      <c r="M8" s="245" t="str">
        <f>+'Calculo IP ZDF'!O34</f>
        <v>Z69</v>
      </c>
      <c r="O8" s="244">
        <f t="shared" si="1"/>
        <v>30000002129</v>
      </c>
      <c r="P8" s="240">
        <f>ROUND('Calculo IP ZDF'!D34,2)</f>
        <v>3658.34</v>
      </c>
      <c r="Q8" s="240" t="s">
        <v>345</v>
      </c>
      <c r="R8" s="240">
        <v>1</v>
      </c>
      <c r="S8" s="240" t="s">
        <v>346</v>
      </c>
      <c r="T8" s="240" t="s">
        <v>347</v>
      </c>
      <c r="U8" s="243" t="str">
        <f t="shared" si="2"/>
        <v>04.11.2023</v>
      </c>
      <c r="V8" s="243">
        <f t="shared" si="2"/>
        <v>0</v>
      </c>
      <c r="X8" s="240">
        <v>4413.8599999999997</v>
      </c>
      <c r="Y8" s="240">
        <f t="shared" si="0"/>
        <v>-755.51999999999953</v>
      </c>
      <c r="Z8" s="286" t="s">
        <v>380</v>
      </c>
    </row>
    <row r="9" spans="1:26" x14ac:dyDescent="0.35">
      <c r="A9" s="240" t="s">
        <v>343</v>
      </c>
      <c r="B9" s="259">
        <v>567</v>
      </c>
      <c r="C9" s="240" t="s">
        <v>344</v>
      </c>
      <c r="M9" s="245" t="str">
        <f>+'Calculo IP ZDF'!O36</f>
        <v>Z62</v>
      </c>
      <c r="O9" s="244">
        <f>+O8</f>
        <v>30000002129</v>
      </c>
      <c r="P9" s="240">
        <f>ROUND('Calculo IP ZDF'!D36,2)</f>
        <v>4413.7700000000004</v>
      </c>
      <c r="Q9" s="240" t="s">
        <v>345</v>
      </c>
      <c r="R9" s="240">
        <v>1</v>
      </c>
      <c r="S9" s="240" t="s">
        <v>346</v>
      </c>
      <c r="T9" s="240" t="s">
        <v>347</v>
      </c>
      <c r="U9" s="243" t="str">
        <f>+U8</f>
        <v>04.11.2023</v>
      </c>
      <c r="V9" s="243">
        <f>+V8</f>
        <v>0</v>
      </c>
      <c r="X9" s="240">
        <v>4406.43</v>
      </c>
      <c r="Y9" s="240">
        <f t="shared" si="0"/>
        <v>7.3400000000001455</v>
      </c>
      <c r="Z9" s="286" t="s">
        <v>380</v>
      </c>
    </row>
    <row r="10" spans="1:26" s="252" customFormat="1" x14ac:dyDescent="0.35">
      <c r="A10" s="252" t="s">
        <v>343</v>
      </c>
      <c r="B10" s="259">
        <v>567</v>
      </c>
      <c r="C10" s="252" t="s">
        <v>344</v>
      </c>
      <c r="M10" s="253" t="str">
        <f>+M9</f>
        <v>Z62</v>
      </c>
      <c r="O10" s="254">
        <f>+'Calculo IP ZDF'!B51</f>
        <v>30000009250</v>
      </c>
      <c r="P10" s="252">
        <f>+P9</f>
        <v>4413.7700000000004</v>
      </c>
      <c r="Q10" s="252" t="s">
        <v>345</v>
      </c>
      <c r="R10" s="252">
        <v>1</v>
      </c>
      <c r="S10" s="252" t="s">
        <v>346</v>
      </c>
      <c r="T10" s="252" t="s">
        <v>347</v>
      </c>
      <c r="U10" s="255" t="str">
        <f>+U9</f>
        <v>04.11.2023</v>
      </c>
      <c r="V10" s="255">
        <f>+V9</f>
        <v>0</v>
      </c>
      <c r="X10" s="252">
        <v>4406.43</v>
      </c>
      <c r="Y10" s="240">
        <f t="shared" si="0"/>
        <v>7.3400000000001455</v>
      </c>
      <c r="Z10" s="252" t="s">
        <v>380</v>
      </c>
    </row>
    <row r="11" spans="1:26" x14ac:dyDescent="0.35">
      <c r="A11" s="240" t="s">
        <v>343</v>
      </c>
      <c r="B11" s="259">
        <v>567</v>
      </c>
      <c r="C11" s="240" t="s">
        <v>344</v>
      </c>
      <c r="M11" s="245" t="str">
        <f>+'Calculo IP ZDF'!O37</f>
        <v>Z60</v>
      </c>
      <c r="O11" s="244">
        <f>+O2</f>
        <v>30000002129</v>
      </c>
      <c r="P11" s="240">
        <f>ROUND('Calculo IP ZDF'!D37,2)</f>
        <v>3100.31</v>
      </c>
      <c r="Q11" s="240" t="s">
        <v>345</v>
      </c>
      <c r="R11" s="240">
        <v>1</v>
      </c>
      <c r="S11" s="240" t="s">
        <v>346</v>
      </c>
      <c r="T11" s="240" t="s">
        <v>347</v>
      </c>
      <c r="U11" s="243" t="str">
        <f>+U9</f>
        <v>04.11.2023</v>
      </c>
      <c r="V11" s="243">
        <f>+V9</f>
        <v>0</v>
      </c>
      <c r="X11" s="240">
        <v>4334.03</v>
      </c>
      <c r="Y11" s="240">
        <f t="shared" si="0"/>
        <v>-1233.7199999999998</v>
      </c>
      <c r="Z11" s="286" t="s">
        <v>380</v>
      </c>
    </row>
    <row r="12" spans="1:26" x14ac:dyDescent="0.35">
      <c r="A12" s="259" t="s">
        <v>343</v>
      </c>
      <c r="B12" s="259">
        <v>567</v>
      </c>
      <c r="C12" s="259" t="s">
        <v>344</v>
      </c>
      <c r="D12" s="259"/>
      <c r="E12" s="259"/>
      <c r="F12" s="259"/>
      <c r="G12" s="259"/>
      <c r="H12" s="259"/>
      <c r="I12" s="259"/>
      <c r="J12" s="259"/>
      <c r="K12" s="259"/>
      <c r="L12" s="259"/>
      <c r="M12" s="277" t="str">
        <f>+'Calculo IP ZDF'!O38</f>
        <v>Z63</v>
      </c>
      <c r="N12" s="259"/>
      <c r="O12" s="244">
        <f t="shared" si="1"/>
        <v>30000002129</v>
      </c>
      <c r="P12" s="259">
        <f>ROUND('Calculo IP ZDF'!D38,2)</f>
        <v>4450.26</v>
      </c>
      <c r="Q12" s="259" t="s">
        <v>345</v>
      </c>
      <c r="R12" s="259">
        <v>1</v>
      </c>
      <c r="S12" s="259" t="s">
        <v>346</v>
      </c>
      <c r="T12" s="259" t="s">
        <v>347</v>
      </c>
      <c r="U12" s="243" t="str">
        <f>+U11</f>
        <v>04.11.2023</v>
      </c>
      <c r="V12" s="243">
        <f>+'Calculo IP ZDF'!C46</f>
        <v>0</v>
      </c>
      <c r="X12" s="240">
        <v>4399.01</v>
      </c>
      <c r="Y12" s="240">
        <f t="shared" si="0"/>
        <v>51.25</v>
      </c>
      <c r="Z12" s="286" t="s">
        <v>380</v>
      </c>
    </row>
    <row r="13" spans="1:26" x14ac:dyDescent="0.35">
      <c r="A13" s="240" t="s">
        <v>343</v>
      </c>
      <c r="B13" s="259">
        <v>567</v>
      </c>
      <c r="C13" s="240" t="s">
        <v>344</v>
      </c>
      <c r="M13" s="245" t="str">
        <f>+'Calculo IP ZDF'!O39</f>
        <v>Z70</v>
      </c>
      <c r="O13" s="244">
        <f t="shared" si="1"/>
        <v>30000002129</v>
      </c>
      <c r="P13" s="240">
        <f>ROUND('Calculo IP ZDF'!D39,2)</f>
        <v>3517.55</v>
      </c>
      <c r="Q13" s="240" t="s">
        <v>345</v>
      </c>
      <c r="R13" s="240">
        <v>1</v>
      </c>
      <c r="S13" s="240" t="s">
        <v>346</v>
      </c>
      <c r="T13" s="240" t="s">
        <v>347</v>
      </c>
      <c r="U13" s="243" t="str">
        <f t="shared" si="2"/>
        <v>04.11.2023</v>
      </c>
      <c r="V13" s="243">
        <f t="shared" si="2"/>
        <v>0</v>
      </c>
      <c r="X13" s="240">
        <v>4618.07</v>
      </c>
      <c r="Y13" s="240">
        <f t="shared" si="0"/>
        <v>-1100.5199999999995</v>
      </c>
      <c r="Z13" s="286" t="s">
        <v>380</v>
      </c>
    </row>
    <row r="14" spans="1:26" x14ac:dyDescent="0.35">
      <c r="A14" s="240" t="s">
        <v>343</v>
      </c>
      <c r="B14" s="259">
        <v>567</v>
      </c>
      <c r="C14" s="240" t="s">
        <v>344</v>
      </c>
      <c r="M14" s="245" t="str">
        <f>+'Calculo IP ZDF'!O40</f>
        <v>Z75</v>
      </c>
      <c r="O14" s="244">
        <f t="shared" si="1"/>
        <v>30000002129</v>
      </c>
      <c r="P14" s="240">
        <f>ROUND('Calculo IP ZDF'!D40,2)</f>
        <v>3337.46</v>
      </c>
      <c r="Q14" s="240" t="s">
        <v>345</v>
      </c>
      <c r="R14" s="240">
        <v>1</v>
      </c>
      <c r="S14" s="240" t="s">
        <v>346</v>
      </c>
      <c r="T14" s="240" t="s">
        <v>347</v>
      </c>
      <c r="U14" s="243" t="str">
        <f t="shared" si="2"/>
        <v>04.11.2023</v>
      </c>
      <c r="V14" s="243">
        <f t="shared" si="2"/>
        <v>0</v>
      </c>
      <c r="X14" s="240">
        <v>4017.03</v>
      </c>
      <c r="Y14" s="240">
        <f t="shared" si="0"/>
        <v>-679.57000000000016</v>
      </c>
      <c r="Z14" s="286" t="s">
        <v>380</v>
      </c>
    </row>
    <row r="15" spans="1:26" x14ac:dyDescent="0.35">
      <c r="A15" s="259" t="s">
        <v>348</v>
      </c>
      <c r="B15" s="259">
        <v>567</v>
      </c>
      <c r="C15" s="259" t="s">
        <v>344</v>
      </c>
      <c r="D15" s="259"/>
      <c r="E15" s="259"/>
      <c r="F15" s="259"/>
      <c r="G15" s="259"/>
      <c r="H15" s="259"/>
      <c r="I15" s="259"/>
      <c r="J15" s="259"/>
      <c r="K15" s="259"/>
      <c r="L15" s="259"/>
      <c r="M15" s="277" t="str">
        <f>+'Calculo IP ZDF'!O28</f>
        <v>Z61</v>
      </c>
      <c r="N15" s="259"/>
      <c r="O15" s="244">
        <f t="shared" si="1"/>
        <v>30000002129</v>
      </c>
      <c r="P15" s="278">
        <f>ROUND('Calculo IP ZDF'!E28,2)</f>
        <v>326.99</v>
      </c>
      <c r="Q15" s="259" t="s">
        <v>345</v>
      </c>
      <c r="R15" s="259">
        <v>1</v>
      </c>
      <c r="S15" s="259" t="s">
        <v>346</v>
      </c>
      <c r="T15" s="259" t="s">
        <v>347</v>
      </c>
      <c r="U15" s="243" t="str">
        <f>+U14</f>
        <v>04.11.2023</v>
      </c>
      <c r="V15" s="243">
        <f>+V12</f>
        <v>0</v>
      </c>
      <c r="X15" s="240">
        <v>230.3</v>
      </c>
      <c r="Y15" s="240">
        <f t="shared" si="0"/>
        <v>96.69</v>
      </c>
      <c r="Z15" s="286" t="s">
        <v>380</v>
      </c>
    </row>
    <row r="16" spans="1:26" x14ac:dyDescent="0.35">
      <c r="A16" s="240" t="s">
        <v>348</v>
      </c>
      <c r="B16" s="259">
        <v>567</v>
      </c>
      <c r="C16" s="240" t="s">
        <v>344</v>
      </c>
      <c r="M16" s="245" t="str">
        <f>+'Calculo IP ZDF'!O29</f>
        <v>Z68</v>
      </c>
      <c r="O16" s="244">
        <f t="shared" si="1"/>
        <v>30000002129</v>
      </c>
      <c r="P16" s="241">
        <f>ROUND('Calculo IP ZDF'!E29,2)</f>
        <v>326.99</v>
      </c>
      <c r="Q16" s="240" t="s">
        <v>345</v>
      </c>
      <c r="R16" s="240">
        <v>1</v>
      </c>
      <c r="S16" s="240" t="s">
        <v>346</v>
      </c>
      <c r="T16" s="240" t="s">
        <v>347</v>
      </c>
      <c r="U16" s="243" t="str">
        <f t="shared" si="2"/>
        <v>04.11.2023</v>
      </c>
      <c r="V16" s="243">
        <f t="shared" si="2"/>
        <v>0</v>
      </c>
      <c r="X16" s="240">
        <v>230.3</v>
      </c>
      <c r="Y16" s="240">
        <f t="shared" si="0"/>
        <v>96.69</v>
      </c>
      <c r="Z16" s="286" t="s">
        <v>380</v>
      </c>
    </row>
    <row r="17" spans="1:26" x14ac:dyDescent="0.35">
      <c r="A17" s="240" t="s">
        <v>348</v>
      </c>
      <c r="B17" s="259">
        <v>567</v>
      </c>
      <c r="C17" s="240" t="s">
        <v>344</v>
      </c>
      <c r="M17" s="245" t="str">
        <f>+'Calculo IP ZDF'!O30</f>
        <v>Z67</v>
      </c>
      <c r="O17" s="244">
        <f t="shared" si="1"/>
        <v>30000002129</v>
      </c>
      <c r="P17" s="241">
        <f>ROUND('Calculo IP ZDF'!E30,2)</f>
        <v>326.99</v>
      </c>
      <c r="Q17" s="240" t="s">
        <v>345</v>
      </c>
      <c r="R17" s="240">
        <v>1</v>
      </c>
      <c r="S17" s="240" t="s">
        <v>346</v>
      </c>
      <c r="T17" s="240" t="s">
        <v>347</v>
      </c>
      <c r="U17" s="243" t="str">
        <f t="shared" si="2"/>
        <v>04.11.2023</v>
      </c>
      <c r="V17" s="243">
        <f t="shared" si="2"/>
        <v>0</v>
      </c>
      <c r="X17" s="240">
        <v>230.3</v>
      </c>
      <c r="Y17" s="240">
        <f t="shared" si="0"/>
        <v>96.69</v>
      </c>
      <c r="Z17" s="286" t="s">
        <v>380</v>
      </c>
    </row>
    <row r="18" spans="1:26" x14ac:dyDescent="0.35">
      <c r="A18" s="272" t="s">
        <v>348</v>
      </c>
      <c r="B18" s="259">
        <v>567</v>
      </c>
      <c r="C18" s="272" t="s">
        <v>344</v>
      </c>
      <c r="D18" s="272"/>
      <c r="E18" s="272"/>
      <c r="F18" s="272"/>
      <c r="G18" s="272"/>
      <c r="H18" s="272"/>
      <c r="I18" s="272"/>
      <c r="J18" s="272"/>
      <c r="K18" s="272"/>
      <c r="L18" s="272"/>
      <c r="M18" s="271" t="str">
        <f>+M5</f>
        <v xml:space="preserve">Z64  </v>
      </c>
      <c r="N18" s="272"/>
      <c r="O18" s="273">
        <f t="shared" si="1"/>
        <v>30000002129</v>
      </c>
      <c r="P18" s="260">
        <f>ROUND('Calculo IP ZDF'!E31,2)</f>
        <v>326.99</v>
      </c>
      <c r="Q18" s="272" t="s">
        <v>345</v>
      </c>
      <c r="R18" s="272">
        <v>1</v>
      </c>
      <c r="S18" s="272" t="s">
        <v>346</v>
      </c>
      <c r="T18" s="272" t="s">
        <v>347</v>
      </c>
      <c r="U18" s="274" t="str">
        <f t="shared" si="2"/>
        <v>04.11.2023</v>
      </c>
      <c r="V18" s="274">
        <f t="shared" si="2"/>
        <v>0</v>
      </c>
      <c r="X18" s="240">
        <v>230.3</v>
      </c>
      <c r="Y18" s="240">
        <f t="shared" si="0"/>
        <v>96.69</v>
      </c>
      <c r="Z18" s="286" t="s">
        <v>380</v>
      </c>
    </row>
    <row r="19" spans="1:26" x14ac:dyDescent="0.35">
      <c r="A19" s="240" t="s">
        <v>348</v>
      </c>
      <c r="B19" s="259">
        <v>567</v>
      </c>
      <c r="C19" s="240" t="s">
        <v>344</v>
      </c>
      <c r="M19" s="245" t="str">
        <f>+M6</f>
        <v>Z74</v>
      </c>
      <c r="O19" s="244">
        <f t="shared" si="1"/>
        <v>30000002129</v>
      </c>
      <c r="P19" s="241">
        <f>ROUND('Calculo IP ZDF'!E32,2)</f>
        <v>326.99</v>
      </c>
      <c r="Q19" s="240" t="s">
        <v>345</v>
      </c>
      <c r="R19" s="240">
        <v>1</v>
      </c>
      <c r="S19" s="240" t="s">
        <v>346</v>
      </c>
      <c r="T19" s="240" t="s">
        <v>347</v>
      </c>
      <c r="U19" s="243" t="str">
        <f t="shared" si="2"/>
        <v>04.11.2023</v>
      </c>
      <c r="V19" s="243">
        <f t="shared" si="2"/>
        <v>0</v>
      </c>
      <c r="X19" s="240">
        <v>230.3</v>
      </c>
      <c r="Y19" s="240">
        <f t="shared" si="0"/>
        <v>96.69</v>
      </c>
      <c r="Z19" s="286" t="s">
        <v>380</v>
      </c>
    </row>
    <row r="20" spans="1:26" x14ac:dyDescent="0.35">
      <c r="A20" s="240" t="s">
        <v>348</v>
      </c>
      <c r="B20" s="259">
        <v>567</v>
      </c>
      <c r="C20" s="240" t="s">
        <v>344</v>
      </c>
      <c r="M20" s="245" t="str">
        <f>+'Calculo IP ZDF'!O33</f>
        <v>Z65</v>
      </c>
      <c r="O20" s="244">
        <f t="shared" si="1"/>
        <v>30000002129</v>
      </c>
      <c r="P20" s="241">
        <f>ROUND('Calculo IP ZDF'!E33,2)</f>
        <v>326.99</v>
      </c>
      <c r="Q20" s="240" t="s">
        <v>345</v>
      </c>
      <c r="R20" s="240">
        <v>1</v>
      </c>
      <c r="S20" s="240" t="s">
        <v>346</v>
      </c>
      <c r="T20" s="240" t="s">
        <v>347</v>
      </c>
      <c r="U20" s="243" t="str">
        <f t="shared" si="2"/>
        <v>04.11.2023</v>
      </c>
      <c r="V20" s="243">
        <f t="shared" si="2"/>
        <v>0</v>
      </c>
      <c r="X20" s="240">
        <v>230.3</v>
      </c>
      <c r="Y20" s="240">
        <f t="shared" si="0"/>
        <v>96.69</v>
      </c>
      <c r="Z20" s="286" t="s">
        <v>380</v>
      </c>
    </row>
    <row r="21" spans="1:26" x14ac:dyDescent="0.35">
      <c r="A21" s="240" t="s">
        <v>348</v>
      </c>
      <c r="B21" s="259">
        <v>567</v>
      </c>
      <c r="C21" s="240" t="s">
        <v>344</v>
      </c>
      <c r="M21" s="245" t="str">
        <f>+'Calculo IP ZDF'!O34</f>
        <v>Z69</v>
      </c>
      <c r="O21" s="244">
        <f t="shared" si="1"/>
        <v>30000002129</v>
      </c>
      <c r="P21" s="241">
        <f>ROUND('Calculo IP ZDF'!E34,2)</f>
        <v>326.99</v>
      </c>
      <c r="Q21" s="240" t="s">
        <v>345</v>
      </c>
      <c r="R21" s="240">
        <v>1</v>
      </c>
      <c r="S21" s="240" t="s">
        <v>346</v>
      </c>
      <c r="T21" s="240" t="s">
        <v>347</v>
      </c>
      <c r="U21" s="243" t="str">
        <f t="shared" ref="U21:V36" si="3">+U20</f>
        <v>04.11.2023</v>
      </c>
      <c r="V21" s="243">
        <f t="shared" si="3"/>
        <v>0</v>
      </c>
      <c r="X21" s="240">
        <v>230.3</v>
      </c>
      <c r="Y21" s="240">
        <f t="shared" si="0"/>
        <v>96.69</v>
      </c>
      <c r="Z21" s="286" t="s">
        <v>380</v>
      </c>
    </row>
    <row r="22" spans="1:26" x14ac:dyDescent="0.35">
      <c r="A22" s="240" t="s">
        <v>348</v>
      </c>
      <c r="B22" s="259">
        <v>567</v>
      </c>
      <c r="C22" s="240" t="s">
        <v>344</v>
      </c>
      <c r="M22" s="245" t="str">
        <f>+'Calculo IP ZDF'!O36</f>
        <v>Z62</v>
      </c>
      <c r="O22" s="244">
        <f t="shared" si="1"/>
        <v>30000002129</v>
      </c>
      <c r="P22" s="241">
        <f>ROUND('Calculo IP ZDF'!E36,2)</f>
        <v>326.99</v>
      </c>
      <c r="Q22" s="240" t="s">
        <v>345</v>
      </c>
      <c r="R22" s="240">
        <v>1</v>
      </c>
      <c r="S22" s="240" t="s">
        <v>346</v>
      </c>
      <c r="T22" s="240" t="s">
        <v>347</v>
      </c>
      <c r="U22" s="243" t="str">
        <f>+U21</f>
        <v>04.11.2023</v>
      </c>
      <c r="V22" s="243">
        <f>+V21</f>
        <v>0</v>
      </c>
      <c r="X22" s="240">
        <v>230.3</v>
      </c>
      <c r="Y22" s="240">
        <f t="shared" si="0"/>
        <v>96.69</v>
      </c>
      <c r="Z22" s="286" t="s">
        <v>380</v>
      </c>
    </row>
    <row r="23" spans="1:26" s="252" customFormat="1" x14ac:dyDescent="0.35">
      <c r="A23" s="252" t="s">
        <v>348</v>
      </c>
      <c r="B23" s="259">
        <v>567</v>
      </c>
      <c r="C23" s="252" t="s">
        <v>344</v>
      </c>
      <c r="M23" s="253" t="str">
        <f>+M22</f>
        <v>Z62</v>
      </c>
      <c r="O23" s="256">
        <f>+O10</f>
        <v>30000009250</v>
      </c>
      <c r="P23" s="257">
        <f>ROUND('Calculo IP ZDF'!E37,2)</f>
        <v>326.99</v>
      </c>
      <c r="Q23" s="252" t="s">
        <v>345</v>
      </c>
      <c r="R23" s="252">
        <v>1</v>
      </c>
      <c r="S23" s="252" t="s">
        <v>346</v>
      </c>
      <c r="T23" s="252" t="s">
        <v>347</v>
      </c>
      <c r="U23" s="255" t="str">
        <f>+U22</f>
        <v>04.11.2023</v>
      </c>
      <c r="V23" s="255">
        <f>+V22</f>
        <v>0</v>
      </c>
      <c r="X23" s="252">
        <v>230.3</v>
      </c>
      <c r="Y23" s="240">
        <f t="shared" si="0"/>
        <v>96.69</v>
      </c>
      <c r="Z23" s="252" t="s">
        <v>380</v>
      </c>
    </row>
    <row r="24" spans="1:26" x14ac:dyDescent="0.35">
      <c r="A24" s="240" t="s">
        <v>348</v>
      </c>
      <c r="B24" s="259">
        <v>567</v>
      </c>
      <c r="C24" s="240" t="s">
        <v>344</v>
      </c>
      <c r="M24" s="245" t="str">
        <f>+'Calculo IP ZDF'!O37</f>
        <v>Z60</v>
      </c>
      <c r="O24" s="244">
        <f>+O22</f>
        <v>30000002129</v>
      </c>
      <c r="P24" s="241">
        <f>ROUND('Calculo IP ZDF'!E37,2)</f>
        <v>326.99</v>
      </c>
      <c r="Q24" s="240" t="s">
        <v>345</v>
      </c>
      <c r="R24" s="240">
        <v>1</v>
      </c>
      <c r="S24" s="240" t="s">
        <v>346</v>
      </c>
      <c r="T24" s="240" t="s">
        <v>347</v>
      </c>
      <c r="U24" s="243" t="str">
        <f>+U22</f>
        <v>04.11.2023</v>
      </c>
      <c r="V24" s="243">
        <f>+V22</f>
        <v>0</v>
      </c>
      <c r="X24" s="240">
        <v>230.3</v>
      </c>
      <c r="Y24" s="240">
        <f t="shared" si="0"/>
        <v>96.69</v>
      </c>
      <c r="Z24" s="286" t="s">
        <v>380</v>
      </c>
    </row>
    <row r="25" spans="1:26" x14ac:dyDescent="0.35">
      <c r="A25" s="259" t="s">
        <v>348</v>
      </c>
      <c r="B25" s="259">
        <v>567</v>
      </c>
      <c r="C25" s="259" t="s">
        <v>344</v>
      </c>
      <c r="D25" s="259"/>
      <c r="E25" s="259"/>
      <c r="F25" s="259"/>
      <c r="G25" s="259"/>
      <c r="H25" s="259"/>
      <c r="I25" s="259"/>
      <c r="J25" s="259"/>
      <c r="K25" s="259"/>
      <c r="L25" s="259"/>
      <c r="M25" s="277" t="str">
        <f>+'Calculo IP ZDF'!O38</f>
        <v>Z63</v>
      </c>
      <c r="N25" s="259"/>
      <c r="O25" s="244">
        <f t="shared" si="1"/>
        <v>30000002129</v>
      </c>
      <c r="P25" s="278">
        <f>ROUND('Calculo IP ZDF'!E38,2)</f>
        <v>326.99</v>
      </c>
      <c r="Q25" s="259" t="s">
        <v>345</v>
      </c>
      <c r="R25" s="259">
        <v>1</v>
      </c>
      <c r="S25" s="259" t="s">
        <v>346</v>
      </c>
      <c r="T25" s="259" t="s">
        <v>347</v>
      </c>
      <c r="U25" s="243" t="str">
        <f>+U24</f>
        <v>04.11.2023</v>
      </c>
      <c r="V25" s="243">
        <f>+V15</f>
        <v>0</v>
      </c>
      <c r="X25" s="240">
        <v>230.3</v>
      </c>
      <c r="Y25" s="240">
        <f t="shared" si="0"/>
        <v>96.69</v>
      </c>
      <c r="Z25" s="286" t="s">
        <v>380</v>
      </c>
    </row>
    <row r="26" spans="1:26" x14ac:dyDescent="0.35">
      <c r="A26" s="240" t="s">
        <v>348</v>
      </c>
      <c r="B26" s="259">
        <v>567</v>
      </c>
      <c r="C26" s="240" t="s">
        <v>344</v>
      </c>
      <c r="M26" s="245" t="str">
        <f>+'Calculo IP ZDF'!O39</f>
        <v>Z70</v>
      </c>
      <c r="O26" s="244">
        <f t="shared" si="1"/>
        <v>30000002129</v>
      </c>
      <c r="P26" s="241">
        <f>ROUND('Calculo IP ZDF'!E39,2)</f>
        <v>326.99</v>
      </c>
      <c r="Q26" s="240" t="s">
        <v>345</v>
      </c>
      <c r="R26" s="240">
        <v>1</v>
      </c>
      <c r="S26" s="240" t="s">
        <v>346</v>
      </c>
      <c r="T26" s="240" t="s">
        <v>347</v>
      </c>
      <c r="U26" s="243" t="str">
        <f t="shared" si="3"/>
        <v>04.11.2023</v>
      </c>
      <c r="V26" s="243">
        <f t="shared" si="3"/>
        <v>0</v>
      </c>
      <c r="X26" s="240">
        <v>230.3</v>
      </c>
      <c r="Y26" s="240">
        <f t="shared" si="0"/>
        <v>96.69</v>
      </c>
      <c r="Z26" s="286" t="s">
        <v>380</v>
      </c>
    </row>
    <row r="27" spans="1:26" x14ac:dyDescent="0.35">
      <c r="A27" s="240" t="s">
        <v>348</v>
      </c>
      <c r="B27" s="259">
        <v>567</v>
      </c>
      <c r="C27" s="240" t="s">
        <v>344</v>
      </c>
      <c r="M27" s="245" t="str">
        <f>+'Calculo IP ZDF'!O40</f>
        <v>Z75</v>
      </c>
      <c r="O27" s="244">
        <f t="shared" si="1"/>
        <v>30000002129</v>
      </c>
      <c r="P27" s="241">
        <f>ROUND('Calculo IP ZDF'!E40,2)</f>
        <v>326.99</v>
      </c>
      <c r="Q27" s="240" t="s">
        <v>345</v>
      </c>
      <c r="R27" s="240">
        <v>1</v>
      </c>
      <c r="S27" s="240" t="s">
        <v>346</v>
      </c>
      <c r="T27" s="240" t="s">
        <v>347</v>
      </c>
      <c r="U27" s="243" t="str">
        <f t="shared" si="3"/>
        <v>04.11.2023</v>
      </c>
      <c r="V27" s="243">
        <f t="shared" si="3"/>
        <v>0</v>
      </c>
      <c r="X27" s="240">
        <v>230.3</v>
      </c>
      <c r="Y27" s="240">
        <f t="shared" si="0"/>
        <v>96.69</v>
      </c>
      <c r="Z27" s="286" t="s">
        <v>380</v>
      </c>
    </row>
    <row r="28" spans="1:26" x14ac:dyDescent="0.35">
      <c r="A28" s="259" t="s">
        <v>349</v>
      </c>
      <c r="B28" s="259">
        <v>567</v>
      </c>
      <c r="C28" s="259" t="s">
        <v>344</v>
      </c>
      <c r="D28" s="259"/>
      <c r="E28" s="259"/>
      <c r="F28" s="259"/>
      <c r="G28" s="259"/>
      <c r="H28" s="259"/>
      <c r="I28" s="259"/>
      <c r="J28" s="259"/>
      <c r="K28" s="259"/>
      <c r="L28" s="259"/>
      <c r="M28" s="277" t="str">
        <f>+'Calculo IP ZDF'!O28</f>
        <v>Z61</v>
      </c>
      <c r="N28" s="259"/>
      <c r="O28" s="259">
        <f>+'Calculo IP ZDF'!B50</f>
        <v>30000000070</v>
      </c>
      <c r="P28" s="278">
        <f>ROUND('Calculo IP ZDF'!B28,2)</f>
        <v>9914.16</v>
      </c>
      <c r="Q28" s="259" t="s">
        <v>345</v>
      </c>
      <c r="R28" s="259">
        <v>1</v>
      </c>
      <c r="S28" s="259" t="s">
        <v>346</v>
      </c>
      <c r="T28" s="259" t="s">
        <v>347</v>
      </c>
      <c r="U28" s="243" t="str">
        <f>+U27</f>
        <v>04.11.2023</v>
      </c>
      <c r="V28" s="243">
        <f>+V25</f>
        <v>0</v>
      </c>
      <c r="X28" s="240">
        <v>3980</v>
      </c>
      <c r="Y28" s="240">
        <f t="shared" si="0"/>
        <v>5934.16</v>
      </c>
      <c r="Z28" s="285" t="s">
        <v>382</v>
      </c>
    </row>
    <row r="29" spans="1:26" x14ac:dyDescent="0.35">
      <c r="A29" s="240" t="s">
        <v>349</v>
      </c>
      <c r="B29" s="259">
        <v>567</v>
      </c>
      <c r="C29" s="240" t="s">
        <v>344</v>
      </c>
      <c r="M29" s="245" t="str">
        <f>+'Calculo IP ZDF'!O29</f>
        <v>Z68</v>
      </c>
      <c r="O29" s="240">
        <f>+O28</f>
        <v>30000000070</v>
      </c>
      <c r="P29" s="241">
        <f>ROUND('Calculo IP ZDF'!B29,2)</f>
        <v>9914.16</v>
      </c>
      <c r="Q29" s="240" t="s">
        <v>345</v>
      </c>
      <c r="R29" s="240">
        <v>1</v>
      </c>
      <c r="S29" s="240" t="s">
        <v>346</v>
      </c>
      <c r="T29" s="240" t="s">
        <v>347</v>
      </c>
      <c r="U29" s="243" t="str">
        <f t="shared" si="3"/>
        <v>04.11.2023</v>
      </c>
      <c r="V29" s="243">
        <f t="shared" si="3"/>
        <v>0</v>
      </c>
      <c r="X29" s="240">
        <v>3980</v>
      </c>
      <c r="Y29" s="240">
        <f t="shared" si="0"/>
        <v>5934.16</v>
      </c>
      <c r="Z29" s="285" t="s">
        <v>382</v>
      </c>
    </row>
    <row r="30" spans="1:26" x14ac:dyDescent="0.35">
      <c r="A30" s="240" t="s">
        <v>349</v>
      </c>
      <c r="B30" s="259">
        <v>567</v>
      </c>
      <c r="C30" s="240" t="s">
        <v>344</v>
      </c>
      <c r="M30" s="245" t="str">
        <f>+'Calculo IP ZDF'!O30</f>
        <v>Z67</v>
      </c>
      <c r="O30" s="240">
        <f t="shared" ref="O30:O39" si="4">+O29</f>
        <v>30000000070</v>
      </c>
      <c r="P30" s="241">
        <f>ROUND('Calculo IP ZDF'!B30,2)</f>
        <v>9914.16</v>
      </c>
      <c r="Q30" s="240" t="s">
        <v>345</v>
      </c>
      <c r="R30" s="240">
        <v>1</v>
      </c>
      <c r="S30" s="240" t="s">
        <v>346</v>
      </c>
      <c r="T30" s="240" t="s">
        <v>347</v>
      </c>
      <c r="U30" s="243" t="str">
        <f t="shared" si="3"/>
        <v>04.11.2023</v>
      </c>
      <c r="V30" s="243">
        <f t="shared" si="3"/>
        <v>0</v>
      </c>
      <c r="X30" s="240">
        <v>3980</v>
      </c>
      <c r="Y30" s="240">
        <f t="shared" si="0"/>
        <v>5934.16</v>
      </c>
      <c r="Z30" s="285" t="s">
        <v>382</v>
      </c>
    </row>
    <row r="31" spans="1:26" x14ac:dyDescent="0.35">
      <c r="A31" s="272" t="s">
        <v>349</v>
      </c>
      <c r="B31" s="259">
        <v>567</v>
      </c>
      <c r="C31" s="272" t="s">
        <v>344</v>
      </c>
      <c r="D31" s="272"/>
      <c r="E31" s="272"/>
      <c r="F31" s="272"/>
      <c r="G31" s="272"/>
      <c r="H31" s="272"/>
      <c r="I31" s="272"/>
      <c r="J31" s="272"/>
      <c r="K31" s="272"/>
      <c r="L31" s="272"/>
      <c r="M31" s="271" t="str">
        <f>+M18</f>
        <v xml:space="preserve">Z64  </v>
      </c>
      <c r="N31" s="272"/>
      <c r="O31" s="272">
        <f t="shared" si="4"/>
        <v>30000000070</v>
      </c>
      <c r="P31" s="260">
        <f>ROUND('Calculo IP ZDF'!B31,2)</f>
        <v>9914.16</v>
      </c>
      <c r="Q31" s="272" t="s">
        <v>345</v>
      </c>
      <c r="R31" s="272">
        <v>1</v>
      </c>
      <c r="S31" s="272" t="s">
        <v>346</v>
      </c>
      <c r="T31" s="272" t="s">
        <v>347</v>
      </c>
      <c r="U31" s="274" t="str">
        <f t="shared" si="3"/>
        <v>04.11.2023</v>
      </c>
      <c r="V31" s="274">
        <f t="shared" si="3"/>
        <v>0</v>
      </c>
      <c r="X31" s="240">
        <v>3980</v>
      </c>
      <c r="Y31" s="240">
        <f t="shared" si="0"/>
        <v>5934.16</v>
      </c>
      <c r="Z31" s="285" t="s">
        <v>382</v>
      </c>
    </row>
    <row r="32" spans="1:26" x14ac:dyDescent="0.35">
      <c r="A32" s="240" t="s">
        <v>349</v>
      </c>
      <c r="B32" s="259">
        <v>567</v>
      </c>
      <c r="C32" s="240" t="s">
        <v>344</v>
      </c>
      <c r="M32" s="245" t="str">
        <f>+M19</f>
        <v>Z74</v>
      </c>
      <c r="O32" s="240">
        <f t="shared" si="4"/>
        <v>30000000070</v>
      </c>
      <c r="P32" s="514">
        <f>ROUND('Calculo IP ZDF'!B32,2)</f>
        <v>9914.16</v>
      </c>
      <c r="Q32" s="240" t="s">
        <v>345</v>
      </c>
      <c r="R32" s="240">
        <v>1</v>
      </c>
      <c r="S32" s="240" t="s">
        <v>346</v>
      </c>
      <c r="T32" s="240" t="s">
        <v>347</v>
      </c>
      <c r="U32" s="243" t="str">
        <f t="shared" si="3"/>
        <v>04.11.2023</v>
      </c>
      <c r="V32" s="243">
        <f t="shared" si="3"/>
        <v>0</v>
      </c>
      <c r="X32" s="240">
        <v>3980</v>
      </c>
      <c r="Y32" s="240">
        <f t="shared" si="0"/>
        <v>5934.16</v>
      </c>
      <c r="Z32" s="285" t="s">
        <v>382</v>
      </c>
    </row>
    <row r="33" spans="1:26" x14ac:dyDescent="0.35">
      <c r="A33" s="240" t="s">
        <v>349</v>
      </c>
      <c r="B33" s="259">
        <v>567</v>
      </c>
      <c r="C33" s="240" t="s">
        <v>344</v>
      </c>
      <c r="M33" s="245" t="str">
        <f>+'Calculo IP ZDF'!O33</f>
        <v>Z65</v>
      </c>
      <c r="O33" s="240">
        <f t="shared" si="4"/>
        <v>30000000070</v>
      </c>
      <c r="P33" s="241">
        <f>ROUND('Calculo IP ZDF'!B33,2)</f>
        <v>9914.16</v>
      </c>
      <c r="Q33" s="240" t="s">
        <v>345</v>
      </c>
      <c r="R33" s="240">
        <v>1</v>
      </c>
      <c r="S33" s="240" t="s">
        <v>346</v>
      </c>
      <c r="T33" s="240" t="s">
        <v>347</v>
      </c>
      <c r="U33" s="243" t="str">
        <f t="shared" si="3"/>
        <v>04.11.2023</v>
      </c>
      <c r="V33" s="243">
        <f t="shared" si="3"/>
        <v>0</v>
      </c>
      <c r="X33" s="240">
        <v>3980</v>
      </c>
      <c r="Y33" s="240">
        <f t="shared" si="0"/>
        <v>5934.16</v>
      </c>
      <c r="Z33" s="285" t="s">
        <v>382</v>
      </c>
    </row>
    <row r="34" spans="1:26" x14ac:dyDescent="0.35">
      <c r="A34" s="240" t="s">
        <v>349</v>
      </c>
      <c r="B34" s="259">
        <v>567</v>
      </c>
      <c r="C34" s="240" t="s">
        <v>344</v>
      </c>
      <c r="M34" s="245" t="str">
        <f>+'Calculo IP ZDF'!O34</f>
        <v>Z69</v>
      </c>
      <c r="O34" s="240">
        <f t="shared" si="4"/>
        <v>30000000070</v>
      </c>
      <c r="P34" s="241">
        <f>ROUND('Calculo IP ZDF'!B34,2)</f>
        <v>9914.16</v>
      </c>
      <c r="Q34" s="240" t="s">
        <v>345</v>
      </c>
      <c r="R34" s="240">
        <v>1</v>
      </c>
      <c r="S34" s="240" t="s">
        <v>346</v>
      </c>
      <c r="T34" s="240" t="s">
        <v>347</v>
      </c>
      <c r="U34" s="243" t="str">
        <f t="shared" si="3"/>
        <v>04.11.2023</v>
      </c>
      <c r="V34" s="243">
        <f t="shared" si="3"/>
        <v>0</v>
      </c>
      <c r="X34" s="240">
        <v>3980</v>
      </c>
      <c r="Y34" s="240">
        <f t="shared" si="0"/>
        <v>5934.16</v>
      </c>
      <c r="Z34" s="285" t="s">
        <v>382</v>
      </c>
    </row>
    <row r="35" spans="1:26" x14ac:dyDescent="0.35">
      <c r="A35" s="240" t="s">
        <v>349</v>
      </c>
      <c r="B35" s="259">
        <v>567</v>
      </c>
      <c r="C35" s="240" t="s">
        <v>344</v>
      </c>
      <c r="M35" s="245" t="str">
        <f>+'Calculo IP ZDF'!O36</f>
        <v>Z62</v>
      </c>
      <c r="O35" s="240">
        <f t="shared" si="4"/>
        <v>30000000070</v>
      </c>
      <c r="P35" s="241">
        <f>ROUND('Calculo IP ZDF'!B36,2)</f>
        <v>9469.01</v>
      </c>
      <c r="Q35" s="240" t="s">
        <v>345</v>
      </c>
      <c r="R35" s="240">
        <v>1</v>
      </c>
      <c r="S35" s="240" t="s">
        <v>346</v>
      </c>
      <c r="T35" s="240" t="s">
        <v>347</v>
      </c>
      <c r="U35" s="243" t="str">
        <f t="shared" si="3"/>
        <v>04.11.2023</v>
      </c>
      <c r="V35" s="243">
        <f t="shared" si="3"/>
        <v>0</v>
      </c>
      <c r="X35" s="240">
        <v>3980</v>
      </c>
      <c r="Y35" s="240">
        <f t="shared" si="0"/>
        <v>5489.01</v>
      </c>
      <c r="Z35" s="285" t="s">
        <v>382</v>
      </c>
    </row>
    <row r="36" spans="1:26" x14ac:dyDescent="0.35">
      <c r="A36" s="240" t="s">
        <v>349</v>
      </c>
      <c r="B36" s="259">
        <v>567</v>
      </c>
      <c r="C36" s="240" t="s">
        <v>344</v>
      </c>
      <c r="M36" s="245" t="str">
        <f>+'Calculo IP ZDF'!O37</f>
        <v>Z60</v>
      </c>
      <c r="O36" s="240">
        <f t="shared" si="4"/>
        <v>30000000070</v>
      </c>
      <c r="P36" s="514">
        <f>ROUND('Calculo IP ZDF'!B37,2)</f>
        <v>9805.1</v>
      </c>
      <c r="Q36" s="240" t="s">
        <v>345</v>
      </c>
      <c r="R36" s="240">
        <v>1</v>
      </c>
      <c r="S36" s="240" t="s">
        <v>346</v>
      </c>
      <c r="T36" s="240" t="s">
        <v>347</v>
      </c>
      <c r="U36" s="243" t="str">
        <f t="shared" si="3"/>
        <v>04.11.2023</v>
      </c>
      <c r="V36" s="243">
        <f t="shared" si="3"/>
        <v>0</v>
      </c>
      <c r="X36" s="240">
        <v>3980</v>
      </c>
      <c r="Y36" s="240">
        <f t="shared" si="0"/>
        <v>5825.1</v>
      </c>
      <c r="Z36" s="285" t="s">
        <v>382</v>
      </c>
    </row>
    <row r="37" spans="1:26" x14ac:dyDescent="0.35">
      <c r="A37" s="259" t="s">
        <v>349</v>
      </c>
      <c r="B37" s="259">
        <v>567</v>
      </c>
      <c r="C37" s="259" t="s">
        <v>344</v>
      </c>
      <c r="D37" s="259"/>
      <c r="E37" s="259"/>
      <c r="F37" s="259"/>
      <c r="G37" s="259"/>
      <c r="H37" s="259"/>
      <c r="I37" s="259"/>
      <c r="J37" s="259"/>
      <c r="K37" s="259"/>
      <c r="L37" s="259"/>
      <c r="M37" s="277" t="str">
        <f>+'Calculo IP ZDF'!O38</f>
        <v>Z63</v>
      </c>
      <c r="N37" s="259"/>
      <c r="O37" s="259">
        <f t="shared" si="4"/>
        <v>30000000070</v>
      </c>
      <c r="P37" s="278">
        <f>ROUND('Calculo IP ZDF'!B38,2)</f>
        <v>9914.16</v>
      </c>
      <c r="Q37" s="259" t="s">
        <v>345</v>
      </c>
      <c r="R37" s="259">
        <v>1</v>
      </c>
      <c r="S37" s="259" t="s">
        <v>346</v>
      </c>
      <c r="T37" s="259" t="s">
        <v>347</v>
      </c>
      <c r="U37" s="243" t="str">
        <f>+U36</f>
        <v>04.11.2023</v>
      </c>
      <c r="V37" s="243">
        <f>+V28</f>
        <v>0</v>
      </c>
      <c r="X37" s="240">
        <v>3980</v>
      </c>
      <c r="Y37" s="240">
        <f t="shared" si="0"/>
        <v>5934.16</v>
      </c>
      <c r="Z37" s="285" t="s">
        <v>382</v>
      </c>
    </row>
    <row r="38" spans="1:26" x14ac:dyDescent="0.35">
      <c r="A38" s="240" t="s">
        <v>349</v>
      </c>
      <c r="B38" s="259">
        <v>567</v>
      </c>
      <c r="C38" s="240" t="s">
        <v>344</v>
      </c>
      <c r="M38" s="245" t="str">
        <f>+'Calculo IP ZDF'!O39</f>
        <v>Z70</v>
      </c>
      <c r="O38" s="240">
        <f t="shared" si="4"/>
        <v>30000000070</v>
      </c>
      <c r="P38" s="241">
        <f>ROUND('Calculo IP ZDF'!B39,2)</f>
        <v>9914.16</v>
      </c>
      <c r="Q38" s="240" t="s">
        <v>345</v>
      </c>
      <c r="R38" s="240">
        <v>1</v>
      </c>
      <c r="S38" s="240" t="s">
        <v>346</v>
      </c>
      <c r="T38" s="240" t="s">
        <v>347</v>
      </c>
      <c r="U38" s="243" t="str">
        <f t="shared" ref="U38:V43" si="5">+U37</f>
        <v>04.11.2023</v>
      </c>
      <c r="V38" s="243">
        <f t="shared" si="5"/>
        <v>0</v>
      </c>
      <c r="X38" s="240">
        <v>3980</v>
      </c>
      <c r="Y38" s="240">
        <f t="shared" si="0"/>
        <v>5934.16</v>
      </c>
      <c r="Z38" s="285" t="s">
        <v>382</v>
      </c>
    </row>
    <row r="39" spans="1:26" x14ac:dyDescent="0.35">
      <c r="A39" s="240" t="s">
        <v>349</v>
      </c>
      <c r="B39" s="259">
        <v>567</v>
      </c>
      <c r="C39" s="240" t="s">
        <v>344</v>
      </c>
      <c r="M39" s="245" t="str">
        <f>+'Calculo IP ZDF'!O40</f>
        <v>Z75</v>
      </c>
      <c r="O39" s="240">
        <f t="shared" si="4"/>
        <v>30000000070</v>
      </c>
      <c r="P39" s="241">
        <f>ROUND('Calculo IP ZDF'!B40,2)</f>
        <v>9914.16</v>
      </c>
      <c r="Q39" s="240" t="s">
        <v>345</v>
      </c>
      <c r="R39" s="240">
        <v>1</v>
      </c>
      <c r="S39" s="240" t="s">
        <v>346</v>
      </c>
      <c r="T39" s="240" t="s">
        <v>347</v>
      </c>
      <c r="U39" s="243" t="str">
        <f t="shared" si="5"/>
        <v>04.11.2023</v>
      </c>
      <c r="V39" s="243">
        <f t="shared" si="5"/>
        <v>0</v>
      </c>
      <c r="X39" s="240">
        <v>3980</v>
      </c>
      <c r="Y39" s="240">
        <f t="shared" si="0"/>
        <v>5934.16</v>
      </c>
      <c r="Z39" s="285" t="s">
        <v>382</v>
      </c>
    </row>
    <row r="40" spans="1:26" x14ac:dyDescent="0.35">
      <c r="A40" s="240" t="s">
        <v>349</v>
      </c>
      <c r="B40" s="259">
        <v>929</v>
      </c>
      <c r="C40" s="240" t="s">
        <v>344</v>
      </c>
      <c r="F40" s="240">
        <v>3003</v>
      </c>
      <c r="M40" s="245" t="s">
        <v>316</v>
      </c>
      <c r="O40" s="240">
        <v>30000009113</v>
      </c>
      <c r="P40" s="241">
        <f>ROUND(+'Calculo IP ZDF'!B36,2)</f>
        <v>9469.01</v>
      </c>
      <c r="Q40" s="240" t="s">
        <v>345</v>
      </c>
      <c r="R40" s="240">
        <v>1</v>
      </c>
      <c r="S40" s="240" t="s">
        <v>346</v>
      </c>
      <c r="T40" s="240" t="s">
        <v>347</v>
      </c>
      <c r="U40" s="243" t="str">
        <f t="shared" si="5"/>
        <v>04.11.2023</v>
      </c>
      <c r="V40" s="243">
        <f t="shared" si="5"/>
        <v>0</v>
      </c>
      <c r="X40" s="240">
        <v>3980</v>
      </c>
      <c r="Y40" s="240">
        <f t="shared" si="0"/>
        <v>5489.01</v>
      </c>
      <c r="Z40" s="240" t="s">
        <v>381</v>
      </c>
    </row>
    <row r="41" spans="1:26" x14ac:dyDescent="0.35">
      <c r="A41" s="240" t="s">
        <v>369</v>
      </c>
      <c r="B41" s="259">
        <v>929</v>
      </c>
      <c r="C41" s="240" t="s">
        <v>344</v>
      </c>
      <c r="F41" s="240">
        <v>3003</v>
      </c>
      <c r="M41" s="245" t="s">
        <v>316</v>
      </c>
      <c r="O41" s="240">
        <v>30000009113</v>
      </c>
      <c r="P41" s="281">
        <f>+BIODIESEL!C13</f>
        <v>8.8903420000000022</v>
      </c>
      <c r="Q41" s="240" t="s">
        <v>345</v>
      </c>
      <c r="R41" s="240">
        <v>1</v>
      </c>
      <c r="S41" s="240" t="s">
        <v>346</v>
      </c>
      <c r="T41" s="240" t="s">
        <v>347</v>
      </c>
      <c r="U41" s="243" t="str">
        <f t="shared" si="5"/>
        <v>04.11.2023</v>
      </c>
      <c r="V41" s="243">
        <f t="shared" si="5"/>
        <v>0</v>
      </c>
      <c r="X41" s="240">
        <v>8.14</v>
      </c>
      <c r="Y41" s="240">
        <f t="shared" si="0"/>
        <v>0.75034200000000162</v>
      </c>
      <c r="Z41" s="240" t="s">
        <v>381</v>
      </c>
    </row>
    <row r="42" spans="1:26" x14ac:dyDescent="0.35">
      <c r="A42" s="240" t="s">
        <v>349</v>
      </c>
      <c r="B42" s="259">
        <v>929</v>
      </c>
      <c r="C42" s="240" t="s">
        <v>344</v>
      </c>
      <c r="F42" s="240">
        <v>3003</v>
      </c>
      <c r="M42" s="245" t="s">
        <v>316</v>
      </c>
      <c r="O42" s="240">
        <v>30000000003</v>
      </c>
      <c r="P42" s="241">
        <f>ROUND(+'Calculo IP ZDF'!C36,2)</f>
        <v>4503.8500000000004</v>
      </c>
      <c r="Q42" s="240" t="s">
        <v>345</v>
      </c>
      <c r="R42" s="240">
        <v>1</v>
      </c>
      <c r="S42" s="240" t="s">
        <v>346</v>
      </c>
      <c r="T42" s="240" t="s">
        <v>347</v>
      </c>
      <c r="U42" s="243" t="str">
        <f t="shared" si="5"/>
        <v>04.11.2023</v>
      </c>
      <c r="V42" s="243">
        <f t="shared" si="5"/>
        <v>0</v>
      </c>
      <c r="X42" s="240">
        <v>4496.3599999999997</v>
      </c>
      <c r="Y42" s="240">
        <f t="shared" si="0"/>
        <v>7.4900000000006912</v>
      </c>
      <c r="Z42" s="240" t="s">
        <v>106</v>
      </c>
    </row>
    <row r="43" spans="1:26" x14ac:dyDescent="0.35">
      <c r="A43" s="240" t="s">
        <v>369</v>
      </c>
      <c r="B43" s="259">
        <v>929</v>
      </c>
      <c r="C43" s="240" t="s">
        <v>344</v>
      </c>
      <c r="F43" s="240">
        <v>3003</v>
      </c>
      <c r="M43" s="245" t="s">
        <v>316</v>
      </c>
      <c r="O43" s="240">
        <v>30000000003</v>
      </c>
      <c r="P43" s="260">
        <f>+P41</f>
        <v>8.8903420000000022</v>
      </c>
      <c r="Q43" s="240" t="s">
        <v>345</v>
      </c>
      <c r="R43" s="240">
        <v>1</v>
      </c>
      <c r="S43" s="240" t="s">
        <v>346</v>
      </c>
      <c r="T43" s="240" t="s">
        <v>347</v>
      </c>
      <c r="U43" s="243" t="str">
        <f t="shared" si="5"/>
        <v>04.11.2023</v>
      </c>
      <c r="V43" s="243">
        <f t="shared" si="5"/>
        <v>0</v>
      </c>
      <c r="X43" s="240">
        <v>8.14</v>
      </c>
      <c r="Y43" s="240">
        <f t="shared" si="0"/>
        <v>0.75034200000000162</v>
      </c>
      <c r="Z43" s="240" t="s">
        <v>106</v>
      </c>
    </row>
    <row r="44" spans="1:26" x14ac:dyDescent="0.35">
      <c r="A44" s="240" t="s">
        <v>343</v>
      </c>
      <c r="B44" s="240">
        <v>567</v>
      </c>
      <c r="C44" s="240" t="s">
        <v>344</v>
      </c>
      <c r="M44" s="271" t="str">
        <f>+'Calculo IP ZDF'!O41</f>
        <v>Z66</v>
      </c>
      <c r="O44" s="240">
        <v>30000002129</v>
      </c>
      <c r="P44" s="241">
        <f>ROUND(+'Calculo IP ZDF'!D41,2)</f>
        <v>3517.55</v>
      </c>
      <c r="Q44" s="240" t="s">
        <v>345</v>
      </c>
      <c r="R44" s="240">
        <v>1</v>
      </c>
      <c r="S44" s="240" t="s">
        <v>346</v>
      </c>
      <c r="T44" s="240" t="s">
        <v>347</v>
      </c>
      <c r="U44" s="243" t="str">
        <f t="shared" ref="U44:V46" si="6">+U43</f>
        <v>04.11.2023</v>
      </c>
      <c r="V44" s="243">
        <f t="shared" si="6"/>
        <v>0</v>
      </c>
      <c r="X44" s="240">
        <v>4618.07</v>
      </c>
      <c r="Y44" s="240">
        <f t="shared" si="0"/>
        <v>-1100.5199999999995</v>
      </c>
      <c r="Z44" s="286" t="s">
        <v>380</v>
      </c>
    </row>
    <row r="45" spans="1:26" x14ac:dyDescent="0.35">
      <c r="A45" s="240" t="s">
        <v>348</v>
      </c>
      <c r="B45" s="240">
        <v>567</v>
      </c>
      <c r="C45" s="240" t="s">
        <v>344</v>
      </c>
      <c r="M45" s="271" t="str">
        <f>+M44</f>
        <v>Z66</v>
      </c>
      <c r="O45" s="240">
        <v>30000002129</v>
      </c>
      <c r="P45" s="241">
        <f>ROUND(+'Calculo IP ZDF'!E41,2)</f>
        <v>326.99</v>
      </c>
      <c r="Q45" s="240" t="s">
        <v>345</v>
      </c>
      <c r="R45" s="240">
        <v>1</v>
      </c>
      <c r="S45" s="240" t="s">
        <v>346</v>
      </c>
      <c r="T45" s="240" t="s">
        <v>347</v>
      </c>
      <c r="U45" s="243" t="str">
        <f t="shared" si="6"/>
        <v>04.11.2023</v>
      </c>
      <c r="V45" s="243">
        <f t="shared" si="6"/>
        <v>0</v>
      </c>
      <c r="X45" s="240">
        <v>230.3</v>
      </c>
      <c r="Y45" s="240">
        <f t="shared" si="0"/>
        <v>96.69</v>
      </c>
      <c r="Z45" s="286" t="s">
        <v>380</v>
      </c>
    </row>
    <row r="46" spans="1:26" x14ac:dyDescent="0.35">
      <c r="A46" s="240" t="s">
        <v>349</v>
      </c>
      <c r="B46" s="240">
        <v>567</v>
      </c>
      <c r="C46" s="240" t="s">
        <v>344</v>
      </c>
      <c r="M46" s="245" t="str">
        <f>+M45</f>
        <v>Z66</v>
      </c>
      <c r="O46" s="240">
        <f>+'Calculo IP ZDF'!B50</f>
        <v>30000000070</v>
      </c>
      <c r="P46" s="241">
        <f>ROUND(+'Calculo IP ZDF'!B41,2)</f>
        <v>9914.16</v>
      </c>
      <c r="Q46" s="240" t="s">
        <v>345</v>
      </c>
      <c r="R46" s="240">
        <v>1</v>
      </c>
      <c r="S46" s="240" t="s">
        <v>346</v>
      </c>
      <c r="T46" s="240" t="s">
        <v>347</v>
      </c>
      <c r="U46" s="243" t="str">
        <f t="shared" si="6"/>
        <v>04.11.2023</v>
      </c>
      <c r="V46" s="243">
        <f t="shared" si="6"/>
        <v>0</v>
      </c>
      <c r="X46" s="240">
        <v>3980</v>
      </c>
      <c r="Y46" s="240">
        <f t="shared" si="0"/>
        <v>5934.16</v>
      </c>
      <c r="Z46" s="285" t="s">
        <v>382</v>
      </c>
    </row>
  </sheetData>
  <autoFilter ref="A1:V46" xr:uid="{00000000-0009-0000-0000-000017000000}"/>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92D050"/>
  </sheetPr>
  <dimension ref="B2:L49"/>
  <sheetViews>
    <sheetView showGridLines="0" topLeftCell="C22" zoomScale="85" zoomScaleNormal="85" workbookViewId="0">
      <selection activeCell="AP29" sqref="AP29"/>
    </sheetView>
  </sheetViews>
  <sheetFormatPr baseColWidth="10" defaultColWidth="11.1796875" defaultRowHeight="14.5" x14ac:dyDescent="0.35"/>
  <cols>
    <col min="1" max="1" width="0" hidden="1" customWidth="1"/>
    <col min="3" max="3" width="3.81640625" customWidth="1"/>
    <col min="4" max="4" width="81.1796875" customWidth="1"/>
    <col min="5" max="5" width="15.81640625" style="2" customWidth="1"/>
    <col min="6" max="6" width="21.1796875" customWidth="1"/>
    <col min="11" max="11" width="12.81640625" customWidth="1"/>
  </cols>
  <sheetData>
    <row r="2" spans="2:12" ht="36" x14ac:dyDescent="0.8">
      <c r="B2" s="1">
        <v>3</v>
      </c>
      <c r="D2" t="s">
        <v>13</v>
      </c>
    </row>
    <row r="4" spans="2:12" ht="21" x14ac:dyDescent="0.5">
      <c r="D4" s="3" t="s">
        <v>0</v>
      </c>
      <c r="E4" s="4" t="s">
        <v>1</v>
      </c>
      <c r="F4" s="5" t="s">
        <v>2</v>
      </c>
    </row>
    <row r="5" spans="2:12" ht="21" x14ac:dyDescent="0.5">
      <c r="D5" s="3"/>
      <c r="E5" s="4"/>
      <c r="F5" s="5" t="s">
        <v>14</v>
      </c>
    </row>
    <row r="6" spans="2:12" x14ac:dyDescent="0.35">
      <c r="D6" s="9" t="s">
        <v>15</v>
      </c>
      <c r="E6" s="6" t="s">
        <v>16</v>
      </c>
      <c r="F6" s="717" t="s">
        <v>17</v>
      </c>
      <c r="G6" s="717"/>
      <c r="H6" s="717"/>
      <c r="I6" s="717"/>
      <c r="J6" s="717"/>
      <c r="K6" s="7">
        <v>4169.6138703799988</v>
      </c>
      <c r="L6" s="11"/>
    </row>
    <row r="7" spans="2:12" x14ac:dyDescent="0.35">
      <c r="D7" s="9" t="s">
        <v>18</v>
      </c>
      <c r="E7" s="6" t="s">
        <v>19</v>
      </c>
      <c r="F7" s="717" t="s">
        <v>17</v>
      </c>
      <c r="G7" s="717"/>
      <c r="H7" s="717"/>
      <c r="I7" s="717"/>
      <c r="J7" s="717"/>
      <c r="K7" s="7">
        <v>4923.01</v>
      </c>
      <c r="L7" s="11"/>
    </row>
    <row r="10" spans="2:12" ht="21" x14ac:dyDescent="0.5">
      <c r="D10" s="3" t="s">
        <v>20</v>
      </c>
    </row>
    <row r="11" spans="2:12" x14ac:dyDescent="0.35">
      <c r="D11" s="8" t="s">
        <v>21</v>
      </c>
    </row>
    <row r="12" spans="2:12" x14ac:dyDescent="0.35">
      <c r="D12" s="8" t="s">
        <v>5</v>
      </c>
    </row>
    <row r="13" spans="2:12" x14ac:dyDescent="0.35">
      <c r="D13" t="s">
        <v>6</v>
      </c>
    </row>
    <row r="14" spans="2:12" x14ac:dyDescent="0.35">
      <c r="D14" t="s">
        <v>7</v>
      </c>
    </row>
    <row r="15" spans="2:12" x14ac:dyDescent="0.35">
      <c r="D15" t="s">
        <v>22</v>
      </c>
    </row>
    <row r="16" spans="2:12" x14ac:dyDescent="0.35">
      <c r="D16" t="s">
        <v>8</v>
      </c>
    </row>
    <row r="19" spans="4:12" ht="21" x14ac:dyDescent="0.5">
      <c r="D19" s="718" t="s">
        <v>9</v>
      </c>
      <c r="E19" s="719" t="s">
        <v>1</v>
      </c>
      <c r="F19" s="720" t="s">
        <v>2</v>
      </c>
      <c r="G19" s="721"/>
      <c r="H19" s="721"/>
      <c r="I19" s="721"/>
      <c r="J19" s="722"/>
    </row>
    <row r="20" spans="4:12" ht="21" x14ac:dyDescent="0.5">
      <c r="D20" s="718"/>
      <c r="E20" s="719"/>
      <c r="F20" s="723" t="s">
        <v>23</v>
      </c>
      <c r="G20" s="724"/>
      <c r="H20" s="724"/>
      <c r="I20" s="724"/>
      <c r="J20" s="725"/>
    </row>
    <row r="21" spans="4:12" x14ac:dyDescent="0.35">
      <c r="D21" s="10" t="s">
        <v>24</v>
      </c>
      <c r="E21" s="12" t="s">
        <v>10</v>
      </c>
      <c r="F21" s="717" t="s">
        <v>25</v>
      </c>
      <c r="G21" s="717"/>
      <c r="H21" s="717"/>
      <c r="I21" s="717"/>
      <c r="J21" s="717"/>
      <c r="K21" s="13">
        <v>4915.26</v>
      </c>
      <c r="L21" t="s">
        <v>298</v>
      </c>
    </row>
    <row r="22" spans="4:12" x14ac:dyDescent="0.35">
      <c r="D22" s="10" t="s">
        <v>26</v>
      </c>
      <c r="E22" s="12" t="s">
        <v>11</v>
      </c>
      <c r="F22" s="717" t="s">
        <v>27</v>
      </c>
      <c r="G22" s="717"/>
      <c r="H22" s="717"/>
      <c r="I22" s="717"/>
      <c r="J22" s="717"/>
      <c r="K22" s="13">
        <v>203.74</v>
      </c>
      <c r="L22" t="s">
        <v>298</v>
      </c>
    </row>
    <row r="23" spans="4:12" x14ac:dyDescent="0.35">
      <c r="D23" s="10" t="s">
        <v>28</v>
      </c>
      <c r="E23" s="12" t="s">
        <v>4</v>
      </c>
      <c r="F23" s="717" t="s">
        <v>29</v>
      </c>
      <c r="G23" s="717"/>
      <c r="H23" s="717"/>
      <c r="I23" s="717"/>
      <c r="J23" s="717"/>
      <c r="K23" s="13">
        <v>4923.01</v>
      </c>
      <c r="L23" t="s">
        <v>298</v>
      </c>
    </row>
    <row r="24" spans="4:12" x14ac:dyDescent="0.35">
      <c r="D24" s="10" t="s">
        <v>30</v>
      </c>
      <c r="E24" s="12" t="s">
        <v>3</v>
      </c>
      <c r="F24" s="717" t="s">
        <v>29</v>
      </c>
      <c r="G24" s="717"/>
      <c r="H24" s="717"/>
      <c r="I24" s="717"/>
      <c r="J24" s="717"/>
      <c r="K24" s="13">
        <v>5015.57</v>
      </c>
      <c r="L24" t="s">
        <v>300</v>
      </c>
    </row>
    <row r="25" spans="4:12" x14ac:dyDescent="0.35">
      <c r="D25" s="10" t="s">
        <v>31</v>
      </c>
      <c r="E25" s="12" t="s">
        <v>12</v>
      </c>
      <c r="F25" s="717" t="s">
        <v>32</v>
      </c>
      <c r="G25" s="717"/>
      <c r="H25" s="717"/>
      <c r="I25" s="717"/>
      <c r="J25" s="717"/>
      <c r="K25" s="13">
        <v>4254.7080309999992</v>
      </c>
      <c r="L25" t="s">
        <v>298</v>
      </c>
    </row>
    <row r="26" spans="4:12" x14ac:dyDescent="0.35">
      <c r="D26" s="10" t="s">
        <v>33</v>
      </c>
      <c r="E26" s="12" t="s">
        <v>34</v>
      </c>
      <c r="F26" s="717" t="s">
        <v>32</v>
      </c>
      <c r="G26" s="717"/>
      <c r="H26" s="717"/>
      <c r="I26" s="717"/>
      <c r="J26" s="717"/>
      <c r="K26" s="13">
        <v>4391.8172209999993</v>
      </c>
      <c r="L26" t="s">
        <v>298</v>
      </c>
    </row>
    <row r="27" spans="4:12" ht="15" customHeight="1" x14ac:dyDescent="0.35">
      <c r="D27" s="10" t="s">
        <v>35</v>
      </c>
      <c r="E27" s="12" t="s">
        <v>36</v>
      </c>
      <c r="F27" s="717" t="s">
        <v>32</v>
      </c>
      <c r="G27" s="717"/>
      <c r="H27" s="717"/>
      <c r="I27" s="717"/>
      <c r="J27" s="717"/>
      <c r="K27" s="13">
        <v>4384.4327060000005</v>
      </c>
      <c r="L27" t="s">
        <v>298</v>
      </c>
    </row>
    <row r="28" spans="4:12" ht="15" customHeight="1" x14ac:dyDescent="0.35">
      <c r="D28" s="10" t="s">
        <v>37</v>
      </c>
      <c r="E28" s="12" t="s">
        <v>38</v>
      </c>
      <c r="F28" s="717" t="s">
        <v>32</v>
      </c>
      <c r="G28" s="717"/>
      <c r="H28" s="717"/>
      <c r="I28" s="717"/>
      <c r="J28" s="717"/>
      <c r="K28" s="13">
        <v>4505.5387520000004</v>
      </c>
      <c r="L28" t="s">
        <v>298</v>
      </c>
    </row>
    <row r="29" spans="4:12" ht="15" customHeight="1" x14ac:dyDescent="0.35">
      <c r="D29" s="10" t="s">
        <v>39</v>
      </c>
      <c r="E29" s="12" t="s">
        <v>40</v>
      </c>
      <c r="F29" s="717" t="s">
        <v>32</v>
      </c>
      <c r="G29" s="717"/>
      <c r="H29" s="717"/>
      <c r="I29" s="717"/>
      <c r="J29" s="717"/>
      <c r="K29" s="13">
        <v>4234.7732020000003</v>
      </c>
      <c r="L29" t="s">
        <v>298</v>
      </c>
    </row>
    <row r="30" spans="4:12" x14ac:dyDescent="0.35">
      <c r="D30" s="10" t="s">
        <v>41</v>
      </c>
      <c r="E30" s="12" t="s">
        <v>42</v>
      </c>
      <c r="F30" s="717" t="s">
        <v>32</v>
      </c>
      <c r="G30" s="717"/>
      <c r="H30" s="717"/>
      <c r="I30" s="717"/>
      <c r="J30" s="717"/>
      <c r="K30" s="13">
        <v>4923.01</v>
      </c>
      <c r="L30" t="s">
        <v>298</v>
      </c>
    </row>
    <row r="31" spans="4:12" x14ac:dyDescent="0.35">
      <c r="D31" s="10" t="s">
        <v>43</v>
      </c>
      <c r="E31" s="12" t="s">
        <v>4</v>
      </c>
      <c r="F31" s="717" t="s">
        <v>29</v>
      </c>
      <c r="G31" s="717"/>
      <c r="H31" s="717"/>
      <c r="I31" s="717"/>
      <c r="J31" s="717"/>
      <c r="K31" s="13">
        <v>4923.01</v>
      </c>
      <c r="L31" t="s">
        <v>298</v>
      </c>
    </row>
    <row r="32" spans="4:12" x14ac:dyDescent="0.35">
      <c r="D32" s="10" t="s">
        <v>44</v>
      </c>
      <c r="E32" s="12" t="s">
        <v>40</v>
      </c>
      <c r="F32" s="717" t="s">
        <v>45</v>
      </c>
      <c r="G32" s="717"/>
      <c r="H32" s="717"/>
      <c r="I32" s="717"/>
      <c r="J32" s="717"/>
      <c r="K32" s="13">
        <v>4923.01</v>
      </c>
      <c r="L32" t="s">
        <v>298</v>
      </c>
    </row>
    <row r="33" spans="4:12" x14ac:dyDescent="0.35">
      <c r="D33" s="10" t="s">
        <v>46</v>
      </c>
      <c r="E33" s="12" t="s">
        <v>47</v>
      </c>
      <c r="F33" s="717" t="s">
        <v>32</v>
      </c>
      <c r="G33" s="717"/>
      <c r="H33" s="717"/>
      <c r="I33" s="717"/>
      <c r="J33" s="717"/>
      <c r="K33" s="13">
        <v>4056.8112165399998</v>
      </c>
      <c r="L33" t="s">
        <v>300</v>
      </c>
    </row>
    <row r="34" spans="4:12" x14ac:dyDescent="0.35">
      <c r="D34" s="10" t="s">
        <v>48</v>
      </c>
      <c r="E34" s="12">
        <v>0</v>
      </c>
      <c r="F34" s="717"/>
      <c r="G34" s="717"/>
      <c r="H34" s="717"/>
      <c r="I34" s="717"/>
      <c r="J34" s="717"/>
      <c r="K34" s="13"/>
      <c r="L34" t="s">
        <v>298</v>
      </c>
    </row>
    <row r="35" spans="4:12" x14ac:dyDescent="0.35">
      <c r="D35" s="10" t="s">
        <v>49</v>
      </c>
      <c r="E35" s="12" t="s">
        <v>50</v>
      </c>
      <c r="F35" s="717" t="s">
        <v>32</v>
      </c>
      <c r="G35" s="717"/>
      <c r="H35" s="717"/>
      <c r="I35" s="717"/>
      <c r="J35" s="717"/>
      <c r="K35" s="13">
        <v>3853.07121654</v>
      </c>
      <c r="L35" t="s">
        <v>298</v>
      </c>
    </row>
    <row r="36" spans="4:12" x14ac:dyDescent="0.35">
      <c r="D36" s="10" t="s">
        <v>51</v>
      </c>
      <c r="E36" s="12" t="s">
        <v>52</v>
      </c>
      <c r="F36" s="717" t="s">
        <v>32</v>
      </c>
      <c r="G36" s="717"/>
      <c r="H36" s="717"/>
      <c r="I36" s="717"/>
      <c r="J36" s="717"/>
      <c r="K36" s="13">
        <v>203.74</v>
      </c>
      <c r="L36" t="s">
        <v>298</v>
      </c>
    </row>
    <row r="37" spans="4:12" x14ac:dyDescent="0.35">
      <c r="D37" s="10" t="s">
        <v>53</v>
      </c>
      <c r="E37" s="12" t="s">
        <v>54</v>
      </c>
      <c r="F37" s="717" t="s">
        <v>55</v>
      </c>
      <c r="G37" s="717"/>
      <c r="H37" s="717"/>
      <c r="I37" s="717"/>
      <c r="J37" s="717"/>
      <c r="K37" s="13">
        <v>4345.8234222199999</v>
      </c>
      <c r="L37" s="14" t="s">
        <v>299</v>
      </c>
    </row>
    <row r="38" spans="4:12" x14ac:dyDescent="0.35">
      <c r="D38" s="10" t="s">
        <v>56</v>
      </c>
      <c r="E38" s="12" t="s">
        <v>57</v>
      </c>
      <c r="F38" s="717" t="s">
        <v>55</v>
      </c>
      <c r="G38" s="717"/>
      <c r="H38" s="717"/>
      <c r="I38" s="717"/>
      <c r="J38" s="717"/>
      <c r="K38" s="13">
        <v>4142.0884222200002</v>
      </c>
      <c r="L38" t="s">
        <v>298</v>
      </c>
    </row>
    <row r="39" spans="4:12" x14ac:dyDescent="0.35">
      <c r="D39" s="10" t="s">
        <v>58</v>
      </c>
      <c r="E39" s="12" t="s">
        <v>59</v>
      </c>
      <c r="F39" s="717" t="s">
        <v>55</v>
      </c>
      <c r="G39" s="717"/>
      <c r="H39" s="717"/>
      <c r="I39" s="717"/>
      <c r="J39" s="717"/>
      <c r="K39" s="13">
        <v>203.73500000000001</v>
      </c>
      <c r="L39" t="s">
        <v>298</v>
      </c>
    </row>
    <row r="40" spans="4:12" x14ac:dyDescent="0.35">
      <c r="D40" s="10" t="s">
        <v>60</v>
      </c>
      <c r="E40" s="12" t="s">
        <v>61</v>
      </c>
      <c r="F40" s="717" t="s">
        <v>62</v>
      </c>
      <c r="G40" s="717"/>
      <c r="H40" s="717"/>
      <c r="I40" s="717"/>
      <c r="J40" s="717"/>
      <c r="K40" s="13">
        <v>4180.670733259999</v>
      </c>
      <c r="L40" s="14" t="s">
        <v>299</v>
      </c>
    </row>
    <row r="41" spans="4:12" x14ac:dyDescent="0.35">
      <c r="D41" s="10" t="s">
        <v>63</v>
      </c>
      <c r="E41" s="12" t="s">
        <v>64</v>
      </c>
      <c r="F41" s="717" t="s">
        <v>62</v>
      </c>
      <c r="G41" s="717"/>
      <c r="H41" s="717"/>
      <c r="I41" s="717"/>
      <c r="J41" s="717"/>
      <c r="K41" s="13">
        <v>3976.9357332599993</v>
      </c>
      <c r="L41" t="s">
        <v>298</v>
      </c>
    </row>
    <row r="42" spans="4:12" x14ac:dyDescent="0.35">
      <c r="D42" s="10" t="s">
        <v>65</v>
      </c>
      <c r="E42" s="12" t="s">
        <v>66</v>
      </c>
      <c r="F42" s="717" t="s">
        <v>62</v>
      </c>
      <c r="G42" s="717"/>
      <c r="H42" s="717"/>
      <c r="I42" s="717"/>
      <c r="J42" s="717"/>
      <c r="K42" s="13">
        <v>203.73500000000001</v>
      </c>
      <c r="L42" t="s">
        <v>298</v>
      </c>
    </row>
    <row r="43" spans="4:12" x14ac:dyDescent="0.35">
      <c r="D43" s="10" t="s">
        <v>67</v>
      </c>
      <c r="E43" s="12" t="s">
        <v>68</v>
      </c>
      <c r="F43" s="717" t="s">
        <v>69</v>
      </c>
      <c r="G43" s="717"/>
      <c r="H43" s="717"/>
      <c r="I43" s="717"/>
      <c r="J43" s="717"/>
      <c r="K43" s="13">
        <v>4373.3488703799985</v>
      </c>
      <c r="L43" s="14" t="s">
        <v>298</v>
      </c>
    </row>
    <row r="44" spans="4:12" x14ac:dyDescent="0.35">
      <c r="D44" s="10" t="s">
        <v>70</v>
      </c>
      <c r="E44" s="12" t="s">
        <v>16</v>
      </c>
      <c r="F44" s="717" t="s">
        <v>69</v>
      </c>
      <c r="G44" s="717"/>
      <c r="H44" s="717"/>
      <c r="I44" s="717"/>
      <c r="J44" s="717"/>
      <c r="K44" s="13">
        <v>4169.6138703799988</v>
      </c>
      <c r="L44" t="s">
        <v>298</v>
      </c>
    </row>
    <row r="45" spans="4:12" x14ac:dyDescent="0.35">
      <c r="D45" s="10" t="s">
        <v>71</v>
      </c>
      <c r="E45" s="12" t="s">
        <v>72</v>
      </c>
      <c r="F45" s="717" t="s">
        <v>69</v>
      </c>
      <c r="G45" s="717"/>
      <c r="H45" s="717"/>
      <c r="I45" s="717"/>
      <c r="J45" s="717"/>
      <c r="K45" s="13">
        <v>203.73500000000001</v>
      </c>
      <c r="L45" t="s">
        <v>298</v>
      </c>
    </row>
    <row r="46" spans="4:12" x14ac:dyDescent="0.35">
      <c r="D46" s="10" t="s">
        <v>73</v>
      </c>
      <c r="E46" s="6">
        <v>0</v>
      </c>
      <c r="F46" s="717"/>
      <c r="G46" s="717"/>
      <c r="H46" s="717"/>
      <c r="I46" s="717"/>
      <c r="J46" s="717"/>
      <c r="K46" s="13"/>
      <c r="L46" t="s">
        <v>300</v>
      </c>
    </row>
    <row r="47" spans="4:12" x14ac:dyDescent="0.35">
      <c r="D47" s="232" t="s">
        <v>301</v>
      </c>
      <c r="F47" t="s">
        <v>302</v>
      </c>
      <c r="K47">
        <f>+'Calculo IP ZDF'!C36</f>
        <v>4503.84998</v>
      </c>
      <c r="L47" t="s">
        <v>298</v>
      </c>
    </row>
    <row r="48" spans="4:12" x14ac:dyDescent="0.35">
      <c r="D48" s="232" t="s">
        <v>303</v>
      </c>
      <c r="F48" t="s">
        <v>304</v>
      </c>
      <c r="K48">
        <f>+'Calculo IP ZDF'!C32</f>
        <v>3259.03854</v>
      </c>
      <c r="L48" t="s">
        <v>298</v>
      </c>
    </row>
    <row r="49" spans="4:12" x14ac:dyDescent="0.35">
      <c r="D49" s="231" t="s">
        <v>305</v>
      </c>
      <c r="K49">
        <f>+'Calculo IP ZDF'!C35</f>
        <v>3566.9002649999998</v>
      </c>
      <c r="L49" t="s">
        <v>298</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X26"/>
  <sheetViews>
    <sheetView zoomScale="85" zoomScaleNormal="85" workbookViewId="0">
      <selection activeCell="A21" sqref="A1:V21"/>
    </sheetView>
  </sheetViews>
  <sheetFormatPr baseColWidth="10" defaultColWidth="11.1796875" defaultRowHeight="14.5" x14ac:dyDescent="0.35"/>
  <cols>
    <col min="1" max="1" width="7.1796875" style="240" customWidth="1"/>
    <col min="2" max="2" width="9.1796875" style="240" customWidth="1"/>
    <col min="3" max="3" width="7.81640625" style="240" customWidth="1"/>
    <col min="4" max="12" width="4.453125" style="240" customWidth="1"/>
    <col min="13" max="13" width="6.81640625" style="240" customWidth="1"/>
    <col min="14" max="14" width="11.1796875" style="240" customWidth="1"/>
    <col min="15" max="15" width="18.1796875" style="240" customWidth="1"/>
    <col min="16" max="16" width="11.81640625" style="241" bestFit="1" customWidth="1"/>
    <col min="17" max="17" width="7.81640625" style="240" customWidth="1"/>
    <col min="18" max="18" width="8.81640625" style="240" customWidth="1"/>
    <col min="19" max="19" width="9.81640625" style="240" customWidth="1"/>
    <col min="20" max="20" width="5.81640625" style="240" customWidth="1"/>
    <col min="21" max="22" width="10.81640625" style="242" bestFit="1" customWidth="1"/>
    <col min="23" max="16384" width="11.1796875" style="240"/>
  </cols>
  <sheetData>
    <row r="1" spans="1:24" x14ac:dyDescent="0.35">
      <c r="A1" s="240" t="s">
        <v>321</v>
      </c>
      <c r="B1" s="240" t="s">
        <v>322</v>
      </c>
      <c r="C1" s="240" t="s">
        <v>323</v>
      </c>
      <c r="D1" s="240" t="s">
        <v>324</v>
      </c>
      <c r="E1" s="240" t="s">
        <v>325</v>
      </c>
      <c r="F1" s="240" t="s">
        <v>326</v>
      </c>
      <c r="G1" s="240" t="s">
        <v>327</v>
      </c>
      <c r="H1" s="240" t="s">
        <v>328</v>
      </c>
      <c r="I1" s="240" t="s">
        <v>329</v>
      </c>
      <c r="J1" s="240" t="s">
        <v>330</v>
      </c>
      <c r="K1" s="240" t="s">
        <v>331</v>
      </c>
      <c r="L1" s="240" t="s">
        <v>332</v>
      </c>
      <c r="M1" s="240" t="s">
        <v>333</v>
      </c>
      <c r="N1" s="240" t="s">
        <v>334</v>
      </c>
      <c r="O1" s="240" t="s">
        <v>335</v>
      </c>
      <c r="P1" s="241" t="s">
        <v>336</v>
      </c>
      <c r="Q1" s="240" t="s">
        <v>337</v>
      </c>
      <c r="R1" s="240" t="s">
        <v>338</v>
      </c>
      <c r="S1" s="240" t="s">
        <v>339</v>
      </c>
      <c r="T1" s="240" t="s">
        <v>340</v>
      </c>
      <c r="U1" s="242" t="s">
        <v>341</v>
      </c>
      <c r="V1" s="242" t="s">
        <v>342</v>
      </c>
    </row>
    <row r="2" spans="1:24" x14ac:dyDescent="0.35">
      <c r="A2" s="240" t="s">
        <v>349</v>
      </c>
      <c r="B2" s="240">
        <v>567</v>
      </c>
      <c r="C2" s="240" t="s">
        <v>362</v>
      </c>
      <c r="F2" s="240" t="s">
        <v>148</v>
      </c>
      <c r="M2" s="277" t="s">
        <v>365</v>
      </c>
      <c r="O2" s="264">
        <v>30000000003</v>
      </c>
      <c r="P2" s="240">
        <f>ROUND('Calculo IP ZDF'!C31,2)</f>
        <v>4565.8999999999996</v>
      </c>
      <c r="Q2" s="240" t="s">
        <v>345</v>
      </c>
      <c r="R2" s="240">
        <v>1</v>
      </c>
      <c r="S2" s="240" t="s">
        <v>363</v>
      </c>
      <c r="T2" s="240" t="s">
        <v>347</v>
      </c>
      <c r="U2" s="243" t="str">
        <f>+'Calculo IP ZDF'!B46</f>
        <v>04.11.2023</v>
      </c>
      <c r="V2" s="243" t="s">
        <v>516</v>
      </c>
      <c r="X2" s="259" t="s">
        <v>108</v>
      </c>
    </row>
    <row r="3" spans="1:24" x14ac:dyDescent="0.35">
      <c r="A3" s="240" t="s">
        <v>349</v>
      </c>
      <c r="B3" s="240">
        <v>567</v>
      </c>
      <c r="C3" s="240" t="s">
        <v>362</v>
      </c>
      <c r="M3" s="344" t="s">
        <v>364</v>
      </c>
      <c r="O3" s="264">
        <v>30000000003</v>
      </c>
      <c r="P3" s="582">
        <f>ROUND('Calculo IP ZDF'!C32,2)</f>
        <v>3259.04</v>
      </c>
      <c r="Q3" s="240" t="s">
        <v>345</v>
      </c>
      <c r="R3" s="240">
        <v>1</v>
      </c>
      <c r="S3" s="240" t="s">
        <v>363</v>
      </c>
      <c r="T3" s="240" t="s">
        <v>347</v>
      </c>
      <c r="U3" s="345" t="str">
        <f>+U2</f>
        <v>04.11.2023</v>
      </c>
      <c r="V3" s="345" t="str">
        <f>+V2</f>
        <v>30.11.2023</v>
      </c>
      <c r="X3" s="343" t="s">
        <v>433</v>
      </c>
    </row>
    <row r="4" spans="1:24" x14ac:dyDescent="0.35">
      <c r="A4" s="240" t="s">
        <v>349</v>
      </c>
      <c r="B4" s="240">
        <v>567</v>
      </c>
      <c r="C4" s="240" t="s">
        <v>362</v>
      </c>
      <c r="M4" s="339" t="str">
        <f>+'Calculo IP ZDF'!O33</f>
        <v>Z65</v>
      </c>
      <c r="O4" s="264">
        <v>30000000003</v>
      </c>
      <c r="P4" s="240">
        <f>ROUND('Calculo IP ZDF'!C33,2)</f>
        <v>4541.08</v>
      </c>
      <c r="Q4" s="240" t="s">
        <v>345</v>
      </c>
      <c r="R4" s="240">
        <v>1</v>
      </c>
      <c r="S4" s="240" t="s">
        <v>363</v>
      </c>
      <c r="T4" s="240" t="s">
        <v>347</v>
      </c>
      <c r="U4" s="340" t="str">
        <f t="shared" ref="U4:U6" si="0">+U3</f>
        <v>04.11.2023</v>
      </c>
      <c r="V4" s="340" t="str">
        <f t="shared" ref="V4:V6" si="1">+V3</f>
        <v>30.11.2023</v>
      </c>
      <c r="X4" s="338" t="s">
        <v>431</v>
      </c>
    </row>
    <row r="5" spans="1:24" x14ac:dyDescent="0.35">
      <c r="A5" s="240" t="s">
        <v>349</v>
      </c>
      <c r="B5" s="240">
        <v>567</v>
      </c>
      <c r="C5" s="240" t="s">
        <v>362</v>
      </c>
      <c r="M5" s="341" t="str">
        <f>+'Calculo IP ZDF'!O35</f>
        <v>Z73</v>
      </c>
      <c r="O5" s="264">
        <v>30000000003</v>
      </c>
      <c r="P5" s="240">
        <f>ROUND('Calculo IP ZDF'!C35,2)</f>
        <v>3566.9</v>
      </c>
      <c r="Q5" s="240" t="s">
        <v>345</v>
      </c>
      <c r="R5" s="240">
        <v>1</v>
      </c>
      <c r="S5" s="240" t="s">
        <v>363</v>
      </c>
      <c r="T5" s="240" t="s">
        <v>347</v>
      </c>
      <c r="U5" s="243" t="str">
        <f t="shared" si="0"/>
        <v>04.11.2023</v>
      </c>
      <c r="V5" s="243" t="str">
        <f t="shared" si="1"/>
        <v>30.11.2023</v>
      </c>
      <c r="X5" s="342" t="s">
        <v>432</v>
      </c>
    </row>
    <row r="6" spans="1:24" x14ac:dyDescent="0.35">
      <c r="A6" s="240" t="s">
        <v>349</v>
      </c>
      <c r="B6" s="240">
        <v>567</v>
      </c>
      <c r="C6" s="240" t="s">
        <v>362</v>
      </c>
      <c r="M6" s="337" t="str">
        <f>+'Calculo IP ZDF'!O36</f>
        <v>Z62</v>
      </c>
      <c r="O6" s="264">
        <v>30000000003</v>
      </c>
      <c r="P6" s="240">
        <f>ROUND('Calculo IP ZDF'!C36,2)</f>
        <v>4503.8500000000004</v>
      </c>
      <c r="Q6" s="240" t="s">
        <v>345</v>
      </c>
      <c r="R6" s="240">
        <v>1</v>
      </c>
      <c r="S6" s="240" t="s">
        <v>363</v>
      </c>
      <c r="T6" s="240" t="s">
        <v>347</v>
      </c>
      <c r="U6" s="335" t="str">
        <f t="shared" si="0"/>
        <v>04.11.2023</v>
      </c>
      <c r="V6" s="335" t="str">
        <f t="shared" si="1"/>
        <v>30.11.2023</v>
      </c>
      <c r="W6" s="336"/>
      <c r="X6" s="336" t="s">
        <v>110</v>
      </c>
    </row>
    <row r="7" spans="1:24" x14ac:dyDescent="0.35">
      <c r="A7" s="240" t="s">
        <v>349</v>
      </c>
      <c r="B7" s="240">
        <v>567</v>
      </c>
      <c r="C7" s="240" t="s">
        <v>362</v>
      </c>
      <c r="M7" s="277" t="str">
        <f>+M2</f>
        <v xml:space="preserve">Z64  </v>
      </c>
      <c r="O7" s="244">
        <v>30000000070</v>
      </c>
      <c r="P7" s="440">
        <f>ROUND('Calculo IP ZDF'!B31,2)</f>
        <v>9914.16</v>
      </c>
      <c r="Q7" s="240" t="s">
        <v>345</v>
      </c>
      <c r="R7" s="240">
        <v>1</v>
      </c>
      <c r="S7" s="240" t="s">
        <v>363</v>
      </c>
      <c r="T7" s="240" t="s">
        <v>347</v>
      </c>
      <c r="U7" s="243" t="str">
        <f t="shared" ref="U7:U10" si="2">+U6</f>
        <v>04.11.2023</v>
      </c>
      <c r="V7" s="243" t="str">
        <f t="shared" ref="V7:V21" si="3">+V6</f>
        <v>30.11.2023</v>
      </c>
      <c r="X7" s="259" t="s">
        <v>108</v>
      </c>
    </row>
    <row r="8" spans="1:24" x14ac:dyDescent="0.35">
      <c r="A8" s="240" t="s">
        <v>349</v>
      </c>
      <c r="B8" s="240">
        <v>567</v>
      </c>
      <c r="C8" s="240" t="s">
        <v>362</v>
      </c>
      <c r="M8" s="344" t="str">
        <f t="shared" ref="M8:M11" si="4">+M3</f>
        <v>Z51</v>
      </c>
      <c r="O8" s="244">
        <v>30000000070</v>
      </c>
      <c r="P8" s="515">
        <f>ROUND('Calculo IP ZDF'!B32,2)</f>
        <v>9914.16</v>
      </c>
      <c r="Q8" s="240" t="s">
        <v>345</v>
      </c>
      <c r="R8" s="240">
        <v>1</v>
      </c>
      <c r="S8" s="240" t="s">
        <v>363</v>
      </c>
      <c r="T8" s="240" t="s">
        <v>347</v>
      </c>
      <c r="U8" s="345" t="str">
        <f t="shared" si="2"/>
        <v>04.11.2023</v>
      </c>
      <c r="V8" s="345" t="str">
        <f t="shared" si="3"/>
        <v>30.11.2023</v>
      </c>
      <c r="X8" s="343" t="s">
        <v>433</v>
      </c>
    </row>
    <row r="9" spans="1:24" x14ac:dyDescent="0.35">
      <c r="A9" s="240" t="s">
        <v>349</v>
      </c>
      <c r="B9" s="240">
        <v>567</v>
      </c>
      <c r="C9" s="240" t="s">
        <v>362</v>
      </c>
      <c r="M9" s="339" t="str">
        <f t="shared" si="4"/>
        <v>Z65</v>
      </c>
      <c r="O9" s="244">
        <v>30000000070</v>
      </c>
      <c r="P9" s="440">
        <f>ROUND('Calculo IP ZDF'!B33,2)</f>
        <v>9914.16</v>
      </c>
      <c r="Q9" s="240" t="s">
        <v>345</v>
      </c>
      <c r="R9" s="240">
        <v>1</v>
      </c>
      <c r="S9" s="240" t="s">
        <v>363</v>
      </c>
      <c r="T9" s="240" t="s">
        <v>347</v>
      </c>
      <c r="U9" s="340" t="str">
        <f t="shared" si="2"/>
        <v>04.11.2023</v>
      </c>
      <c r="V9" s="340" t="str">
        <f t="shared" si="3"/>
        <v>30.11.2023</v>
      </c>
      <c r="X9" s="338" t="s">
        <v>431</v>
      </c>
    </row>
    <row r="10" spans="1:24" x14ac:dyDescent="0.35">
      <c r="A10" s="240" t="s">
        <v>349</v>
      </c>
      <c r="B10" s="240">
        <v>567</v>
      </c>
      <c r="C10" s="240" t="s">
        <v>362</v>
      </c>
      <c r="M10" s="341" t="str">
        <f t="shared" si="4"/>
        <v>Z73</v>
      </c>
      <c r="O10" s="244">
        <v>30000000070</v>
      </c>
      <c r="P10" s="240">
        <f>ROUND('Calculo IP ZDF'!B35,2)</f>
        <v>9813.0400000000009</v>
      </c>
      <c r="Q10" s="240" t="s">
        <v>345</v>
      </c>
      <c r="R10" s="240">
        <v>1</v>
      </c>
      <c r="S10" s="240" t="s">
        <v>363</v>
      </c>
      <c r="T10" s="240" t="s">
        <v>347</v>
      </c>
      <c r="U10" s="243" t="str">
        <f t="shared" si="2"/>
        <v>04.11.2023</v>
      </c>
      <c r="V10" s="243" t="str">
        <f t="shared" si="3"/>
        <v>30.11.2023</v>
      </c>
      <c r="X10" s="342" t="s">
        <v>432</v>
      </c>
    </row>
    <row r="11" spans="1:24" x14ac:dyDescent="0.35">
      <c r="A11" s="240" t="s">
        <v>349</v>
      </c>
      <c r="B11" s="240">
        <v>567</v>
      </c>
      <c r="C11" s="240" t="s">
        <v>362</v>
      </c>
      <c r="M11" s="337" t="str">
        <f t="shared" si="4"/>
        <v>Z62</v>
      </c>
      <c r="O11" s="244">
        <v>30000000070</v>
      </c>
      <c r="P11" s="240">
        <f>ROUND('Calculo IP ZDF'!B36,2)</f>
        <v>9469.01</v>
      </c>
      <c r="Q11" s="240" t="s">
        <v>345</v>
      </c>
      <c r="R11" s="240">
        <v>1</v>
      </c>
      <c r="S11" s="240" t="s">
        <v>363</v>
      </c>
      <c r="T11" s="240" t="s">
        <v>347</v>
      </c>
      <c r="U11" s="335" t="str">
        <f>+U10</f>
        <v>04.11.2023</v>
      </c>
      <c r="V11" s="335" t="str">
        <f t="shared" si="3"/>
        <v>30.11.2023</v>
      </c>
      <c r="W11" s="336"/>
      <c r="X11" s="336" t="s">
        <v>110</v>
      </c>
    </row>
    <row r="12" spans="1:24" x14ac:dyDescent="0.35">
      <c r="A12" s="240" t="s">
        <v>343</v>
      </c>
      <c r="B12" s="240">
        <v>567</v>
      </c>
      <c r="C12" s="240" t="s">
        <v>362</v>
      </c>
      <c r="F12" s="240" t="s">
        <v>148</v>
      </c>
      <c r="M12" s="277" t="str">
        <f t="shared" ref="M12:M21" si="5">+M2</f>
        <v xml:space="preserve">Z64  </v>
      </c>
      <c r="O12" s="256">
        <v>30000002129</v>
      </c>
      <c r="P12" s="240">
        <f>ROUND('Calculo IP ZDF'!D31,2)</f>
        <v>4474.58</v>
      </c>
      <c r="Q12" s="240" t="s">
        <v>345</v>
      </c>
      <c r="R12" s="240">
        <v>1</v>
      </c>
      <c r="S12" s="240" t="s">
        <v>363</v>
      </c>
      <c r="T12" s="240" t="s">
        <v>347</v>
      </c>
      <c r="U12" s="243" t="str">
        <f t="shared" ref="U12:U16" si="6">+U11</f>
        <v>04.11.2023</v>
      </c>
      <c r="V12" s="243" t="str">
        <f t="shared" si="3"/>
        <v>30.11.2023</v>
      </c>
      <c r="X12" s="259" t="s">
        <v>108</v>
      </c>
    </row>
    <row r="13" spans="1:24" x14ac:dyDescent="0.35">
      <c r="A13" s="240" t="s">
        <v>343</v>
      </c>
      <c r="B13" s="240">
        <v>567</v>
      </c>
      <c r="C13" s="240" t="s">
        <v>362</v>
      </c>
      <c r="M13" s="344" t="str">
        <f t="shared" si="5"/>
        <v>Z51</v>
      </c>
      <c r="O13" s="256">
        <v>30000002129</v>
      </c>
      <c r="P13" s="240">
        <f>ROUND('Calculo IP ZDF'!D32,2)</f>
        <v>3193.86</v>
      </c>
      <c r="Q13" s="240" t="s">
        <v>345</v>
      </c>
      <c r="R13" s="240">
        <v>1</v>
      </c>
      <c r="S13" s="240" t="s">
        <v>363</v>
      </c>
      <c r="T13" s="240" t="s">
        <v>347</v>
      </c>
      <c r="U13" s="345" t="str">
        <f t="shared" si="6"/>
        <v>04.11.2023</v>
      </c>
      <c r="V13" s="345" t="str">
        <f t="shared" si="3"/>
        <v>30.11.2023</v>
      </c>
      <c r="X13" s="343" t="s">
        <v>433</v>
      </c>
    </row>
    <row r="14" spans="1:24" x14ac:dyDescent="0.35">
      <c r="A14" s="240" t="s">
        <v>343</v>
      </c>
      <c r="B14" s="240">
        <v>567</v>
      </c>
      <c r="C14" s="240" t="s">
        <v>362</v>
      </c>
      <c r="M14" s="339" t="str">
        <f t="shared" si="5"/>
        <v>Z65</v>
      </c>
      <c r="O14" s="256">
        <v>30000002129</v>
      </c>
      <c r="P14" s="240">
        <f>ROUND('Calculo IP ZDF'!D33,2)</f>
        <v>4450.26</v>
      </c>
      <c r="Q14" s="240" t="s">
        <v>345</v>
      </c>
      <c r="R14" s="240">
        <v>1</v>
      </c>
      <c r="S14" s="240" t="s">
        <v>363</v>
      </c>
      <c r="T14" s="240" t="s">
        <v>347</v>
      </c>
      <c r="U14" s="340" t="str">
        <f t="shared" si="6"/>
        <v>04.11.2023</v>
      </c>
      <c r="V14" s="340" t="str">
        <f t="shared" si="3"/>
        <v>30.11.2023</v>
      </c>
      <c r="X14" s="338" t="s">
        <v>431</v>
      </c>
    </row>
    <row r="15" spans="1:24" x14ac:dyDescent="0.35">
      <c r="A15" s="240" t="s">
        <v>343</v>
      </c>
      <c r="B15" s="240">
        <v>567</v>
      </c>
      <c r="C15" s="240" t="s">
        <v>362</v>
      </c>
      <c r="M15" s="341" t="str">
        <f t="shared" si="5"/>
        <v>Z73</v>
      </c>
      <c r="O15" s="256">
        <v>30000002129</v>
      </c>
      <c r="P15" s="240">
        <f>ROUND('Calculo IP ZDF'!D35,2)</f>
        <v>3495.56</v>
      </c>
      <c r="Q15" s="240" t="s">
        <v>345</v>
      </c>
      <c r="R15" s="240">
        <v>1</v>
      </c>
      <c r="S15" s="240" t="s">
        <v>363</v>
      </c>
      <c r="T15" s="240" t="s">
        <v>347</v>
      </c>
      <c r="U15" s="243" t="str">
        <f t="shared" si="6"/>
        <v>04.11.2023</v>
      </c>
      <c r="V15" s="243" t="str">
        <f t="shared" si="3"/>
        <v>30.11.2023</v>
      </c>
      <c r="X15" s="342" t="s">
        <v>432</v>
      </c>
    </row>
    <row r="16" spans="1:24" x14ac:dyDescent="0.35">
      <c r="A16" s="240" t="s">
        <v>343</v>
      </c>
      <c r="B16" s="240">
        <v>567</v>
      </c>
      <c r="C16" s="240" t="s">
        <v>362</v>
      </c>
      <c r="M16" s="337" t="str">
        <f t="shared" si="5"/>
        <v>Z62</v>
      </c>
      <c r="O16" s="256">
        <v>30000002129</v>
      </c>
      <c r="P16" s="240">
        <f>ROUND('Calculo IP ZDF'!D36,2)</f>
        <v>4413.7700000000004</v>
      </c>
      <c r="Q16" s="240" t="s">
        <v>345</v>
      </c>
      <c r="R16" s="240">
        <v>1</v>
      </c>
      <c r="S16" s="240" t="s">
        <v>363</v>
      </c>
      <c r="T16" s="240" t="s">
        <v>347</v>
      </c>
      <c r="U16" s="335" t="str">
        <f t="shared" si="6"/>
        <v>04.11.2023</v>
      </c>
      <c r="V16" s="335" t="str">
        <f t="shared" si="3"/>
        <v>30.11.2023</v>
      </c>
      <c r="W16" s="336"/>
      <c r="X16" s="336" t="s">
        <v>110</v>
      </c>
    </row>
    <row r="17" spans="1:24" x14ac:dyDescent="0.35">
      <c r="A17" s="240" t="s">
        <v>348</v>
      </c>
      <c r="B17" s="240">
        <v>567</v>
      </c>
      <c r="C17" s="240" t="s">
        <v>362</v>
      </c>
      <c r="F17" s="240" t="s">
        <v>148</v>
      </c>
      <c r="M17" s="277" t="str">
        <f t="shared" si="5"/>
        <v xml:space="preserve">Z64  </v>
      </c>
      <c r="O17" s="256">
        <v>30000002129</v>
      </c>
      <c r="P17" s="240">
        <f>ROUND('Calculo IP ZDF'!E31,2)</f>
        <v>326.99</v>
      </c>
      <c r="Q17" s="240" t="s">
        <v>345</v>
      </c>
      <c r="R17" s="240">
        <v>1</v>
      </c>
      <c r="S17" s="240" t="s">
        <v>363</v>
      </c>
      <c r="T17" s="240" t="s">
        <v>347</v>
      </c>
      <c r="U17" s="243" t="str">
        <f t="shared" ref="U17:U21" si="7">+U16</f>
        <v>04.11.2023</v>
      </c>
      <c r="V17" s="243" t="str">
        <f t="shared" si="3"/>
        <v>30.11.2023</v>
      </c>
      <c r="X17" s="259" t="s">
        <v>108</v>
      </c>
    </row>
    <row r="18" spans="1:24" x14ac:dyDescent="0.35">
      <c r="A18" s="240" t="s">
        <v>348</v>
      </c>
      <c r="B18" s="240">
        <v>567</v>
      </c>
      <c r="C18" s="240" t="s">
        <v>362</v>
      </c>
      <c r="M18" s="344" t="str">
        <f t="shared" si="5"/>
        <v>Z51</v>
      </c>
      <c r="O18" s="256">
        <v>30000002129</v>
      </c>
      <c r="P18" s="240">
        <f>ROUND('Calculo IP ZDF'!E32,2)</f>
        <v>326.99</v>
      </c>
      <c r="Q18" s="240" t="s">
        <v>345</v>
      </c>
      <c r="R18" s="240">
        <v>1</v>
      </c>
      <c r="S18" s="240" t="s">
        <v>363</v>
      </c>
      <c r="T18" s="240" t="s">
        <v>347</v>
      </c>
      <c r="U18" s="345" t="str">
        <f t="shared" si="7"/>
        <v>04.11.2023</v>
      </c>
      <c r="V18" s="345" t="str">
        <f t="shared" si="3"/>
        <v>30.11.2023</v>
      </c>
      <c r="X18" s="343" t="s">
        <v>433</v>
      </c>
    </row>
    <row r="19" spans="1:24" x14ac:dyDescent="0.35">
      <c r="A19" s="240" t="s">
        <v>348</v>
      </c>
      <c r="B19" s="240">
        <v>567</v>
      </c>
      <c r="C19" s="240" t="s">
        <v>362</v>
      </c>
      <c r="M19" s="339" t="str">
        <f t="shared" si="5"/>
        <v>Z65</v>
      </c>
      <c r="O19" s="256">
        <v>30000002129</v>
      </c>
      <c r="P19" s="240">
        <f>ROUND('Calculo IP ZDF'!E33,2)</f>
        <v>326.99</v>
      </c>
      <c r="Q19" s="240" t="s">
        <v>345</v>
      </c>
      <c r="R19" s="240">
        <v>1</v>
      </c>
      <c r="S19" s="240" t="s">
        <v>363</v>
      </c>
      <c r="T19" s="240" t="s">
        <v>347</v>
      </c>
      <c r="U19" s="340" t="str">
        <f t="shared" si="7"/>
        <v>04.11.2023</v>
      </c>
      <c r="V19" s="340" t="str">
        <f t="shared" si="3"/>
        <v>30.11.2023</v>
      </c>
      <c r="X19" s="338" t="s">
        <v>431</v>
      </c>
    </row>
    <row r="20" spans="1:24" x14ac:dyDescent="0.35">
      <c r="A20" s="240" t="s">
        <v>348</v>
      </c>
      <c r="B20" s="240">
        <v>567</v>
      </c>
      <c r="C20" s="240" t="s">
        <v>362</v>
      </c>
      <c r="M20" s="341" t="str">
        <f t="shared" si="5"/>
        <v>Z73</v>
      </c>
      <c r="O20" s="256">
        <v>30000002129</v>
      </c>
      <c r="P20" s="240">
        <f>ROUND('Calculo IP ZDF'!E35,2)</f>
        <v>326.99</v>
      </c>
      <c r="Q20" s="240" t="s">
        <v>345</v>
      </c>
      <c r="R20" s="240">
        <v>1</v>
      </c>
      <c r="S20" s="240" t="s">
        <v>363</v>
      </c>
      <c r="T20" s="240" t="s">
        <v>347</v>
      </c>
      <c r="U20" s="243" t="str">
        <f t="shared" si="7"/>
        <v>04.11.2023</v>
      </c>
      <c r="V20" s="243" t="str">
        <f t="shared" si="3"/>
        <v>30.11.2023</v>
      </c>
      <c r="X20" s="342" t="s">
        <v>432</v>
      </c>
    </row>
    <row r="21" spans="1:24" x14ac:dyDescent="0.35">
      <c r="A21" s="240" t="s">
        <v>348</v>
      </c>
      <c r="B21" s="240">
        <v>567</v>
      </c>
      <c r="C21" s="240" t="s">
        <v>362</v>
      </c>
      <c r="M21" s="337" t="str">
        <f t="shared" si="5"/>
        <v>Z62</v>
      </c>
      <c r="O21" s="256">
        <v>30000002129</v>
      </c>
      <c r="P21" s="240">
        <f>ROUND('Calculo IP ZDF'!E36,2)</f>
        <v>326.99</v>
      </c>
      <c r="Q21" s="240" t="s">
        <v>345</v>
      </c>
      <c r="R21" s="240">
        <v>1</v>
      </c>
      <c r="S21" s="240" t="s">
        <v>363</v>
      </c>
      <c r="T21" s="240" t="s">
        <v>347</v>
      </c>
      <c r="U21" s="335" t="str">
        <f t="shared" si="7"/>
        <v>04.11.2023</v>
      </c>
      <c r="V21" s="335" t="str">
        <f t="shared" si="3"/>
        <v>30.11.2023</v>
      </c>
      <c r="W21" s="336"/>
      <c r="X21" s="336" t="s">
        <v>110</v>
      </c>
    </row>
    <row r="26" spans="1:24" x14ac:dyDescent="0.35">
      <c r="I26" s="259" t="s">
        <v>396</v>
      </c>
      <c r="J26" s="259"/>
      <c r="K26" s="259"/>
      <c r="L26" s="259"/>
    </row>
  </sheetData>
  <autoFilter ref="A1:Y21" xr:uid="{00000000-0009-0000-0000-000018000000}"/>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dimension ref="A1:K31"/>
  <sheetViews>
    <sheetView showGridLines="0" tabSelected="1" zoomScale="85" zoomScaleNormal="85" workbookViewId="0">
      <selection activeCell="L30" sqref="L30"/>
    </sheetView>
  </sheetViews>
  <sheetFormatPr baseColWidth="10" defaultRowHeight="14.5" x14ac:dyDescent="0.35"/>
  <cols>
    <col min="1" max="1" width="65.81640625" customWidth="1"/>
    <col min="2" max="2" width="32.1796875" customWidth="1"/>
    <col min="3" max="3" width="31" customWidth="1"/>
    <col min="4" max="4" width="25.54296875" hidden="1" customWidth="1"/>
    <col min="7" max="8" width="0" hidden="1" customWidth="1"/>
  </cols>
  <sheetData>
    <row r="1" spans="1:7" x14ac:dyDescent="0.35">
      <c r="A1" s="888" t="s">
        <v>274</v>
      </c>
      <c r="B1" s="888"/>
      <c r="C1" s="888"/>
      <c r="D1" s="888"/>
      <c r="E1" s="203">
        <v>2826.91</v>
      </c>
    </row>
    <row r="2" spans="1:7" x14ac:dyDescent="0.35">
      <c r="A2" s="888" t="s">
        <v>275</v>
      </c>
      <c r="B2" s="888"/>
      <c r="C2" s="888"/>
      <c r="D2" s="888"/>
      <c r="E2" s="202"/>
    </row>
    <row r="3" spans="1:7" x14ac:dyDescent="0.35">
      <c r="A3" s="888" t="s">
        <v>276</v>
      </c>
      <c r="B3" s="888"/>
      <c r="C3" s="888"/>
      <c r="D3" s="888"/>
      <c r="E3" s="202"/>
    </row>
    <row r="4" spans="1:7" x14ac:dyDescent="0.35">
      <c r="A4" s="201"/>
      <c r="B4" s="201"/>
      <c r="C4" s="202"/>
      <c r="D4" s="202"/>
      <c r="E4" s="202"/>
    </row>
    <row r="5" spans="1:7" ht="15" thickBot="1" x14ac:dyDescent="0.4">
      <c r="A5" s="204" t="str">
        <f>+AMAZONAS!C1</f>
        <v>Vigencia: 04 de Noviembre de 2023; 00:00 horas</v>
      </c>
      <c r="B5" s="201"/>
      <c r="D5" s="409" t="s">
        <v>455</v>
      </c>
      <c r="E5" s="202"/>
    </row>
    <row r="6" spans="1:7" ht="16" customHeight="1" thickTop="1" x14ac:dyDescent="0.35">
      <c r="A6" s="889" t="s">
        <v>277</v>
      </c>
      <c r="B6" s="891" t="s">
        <v>434</v>
      </c>
      <c r="C6" s="891" t="s">
        <v>435</v>
      </c>
      <c r="D6" s="893" t="s">
        <v>456</v>
      </c>
      <c r="E6" s="202"/>
    </row>
    <row r="7" spans="1:7" ht="31.75" customHeight="1" x14ac:dyDescent="0.35">
      <c r="A7" s="890"/>
      <c r="B7" s="892"/>
      <c r="C7" s="892"/>
      <c r="D7" s="792"/>
      <c r="E7" s="202"/>
    </row>
    <row r="8" spans="1:7" x14ac:dyDescent="0.35">
      <c r="A8" s="213" t="s">
        <v>278</v>
      </c>
      <c r="B8" s="214">
        <f>+BIODIESEL!C6</f>
        <v>4773.05</v>
      </c>
      <c r="C8" s="215">
        <f>+BIODIESEL!E9</f>
        <v>5004.5774000000001</v>
      </c>
      <c r="D8" s="216">
        <f>+BIODIESEL!F9</f>
        <v>5120.3396000000002</v>
      </c>
      <c r="E8" s="202"/>
      <c r="F8" s="312"/>
      <c r="G8" s="282"/>
    </row>
    <row r="9" spans="1:7" x14ac:dyDescent="0.35">
      <c r="A9" s="213" t="s">
        <v>279</v>
      </c>
      <c r="B9" s="215" t="s">
        <v>130</v>
      </c>
      <c r="C9" s="215" t="s">
        <v>130</v>
      </c>
      <c r="D9" s="216" t="s">
        <v>130</v>
      </c>
      <c r="E9" s="202"/>
      <c r="F9" s="312"/>
    </row>
    <row r="10" spans="1:7" x14ac:dyDescent="0.35">
      <c r="A10" s="213" t="s">
        <v>466</v>
      </c>
      <c r="B10" s="215">
        <f>+BIODIESEL!C12</f>
        <v>191</v>
      </c>
      <c r="C10" s="215">
        <f>+BIODIESEL!E12</f>
        <v>187.18</v>
      </c>
      <c r="D10" s="216">
        <f>+BIODIESEL!F12</f>
        <v>185.26999999999998</v>
      </c>
      <c r="E10" s="202"/>
      <c r="F10" s="312"/>
    </row>
    <row r="11" spans="1:7" x14ac:dyDescent="0.35">
      <c r="A11" s="213" t="s">
        <v>280</v>
      </c>
      <c r="B11" s="217">
        <f>+BIODIESEL!D13</f>
        <v>8.8903420000000022</v>
      </c>
      <c r="C11" s="217">
        <f>+BIODIESEL!E13</f>
        <v>8.8903420000000022</v>
      </c>
      <c r="D11" s="218">
        <f>+C11</f>
        <v>8.8903420000000022</v>
      </c>
      <c r="E11" s="202"/>
    </row>
    <row r="12" spans="1:7" x14ac:dyDescent="0.35">
      <c r="A12" s="219" t="s">
        <v>281</v>
      </c>
      <c r="B12" s="220" t="s">
        <v>127</v>
      </c>
      <c r="C12" s="220" t="s">
        <v>127</v>
      </c>
      <c r="D12" s="221" t="s">
        <v>127</v>
      </c>
      <c r="E12" s="202"/>
    </row>
    <row r="13" spans="1:7" hidden="1" x14ac:dyDescent="0.35">
      <c r="A13" s="213" t="s">
        <v>282</v>
      </c>
      <c r="B13" s="217"/>
      <c r="C13" s="217"/>
      <c r="D13" s="218"/>
      <c r="E13" s="202"/>
    </row>
    <row r="14" spans="1:7" x14ac:dyDescent="0.35">
      <c r="A14" s="219" t="s">
        <v>283</v>
      </c>
      <c r="B14" s="220" t="s">
        <v>173</v>
      </c>
      <c r="C14" s="220" t="s">
        <v>173</v>
      </c>
      <c r="D14" s="221" t="s">
        <v>173</v>
      </c>
      <c r="E14" s="202"/>
    </row>
    <row r="15" spans="1:7" x14ac:dyDescent="0.35">
      <c r="A15" s="219" t="s">
        <v>284</v>
      </c>
      <c r="B15" s="217" t="s">
        <v>135</v>
      </c>
      <c r="C15" s="217" t="s">
        <v>135</v>
      </c>
      <c r="D15" s="218" t="s">
        <v>135</v>
      </c>
      <c r="E15" s="202"/>
    </row>
    <row r="16" spans="1:7" x14ac:dyDescent="0.35">
      <c r="A16" s="219" t="s">
        <v>285</v>
      </c>
      <c r="B16" s="217" t="s">
        <v>132</v>
      </c>
      <c r="C16" s="217" t="s">
        <v>132</v>
      </c>
      <c r="D16" s="218" t="s">
        <v>132</v>
      </c>
      <c r="E16" s="202"/>
    </row>
    <row r="17" spans="1:11" ht="15" thickBot="1" x14ac:dyDescent="0.4">
      <c r="A17" s="222" t="s">
        <v>286</v>
      </c>
      <c r="B17" s="223" t="s">
        <v>200</v>
      </c>
      <c r="C17" s="223" t="s">
        <v>200</v>
      </c>
      <c r="D17" s="224" t="s">
        <v>200</v>
      </c>
      <c r="E17" s="202"/>
    </row>
    <row r="18" spans="1:11" ht="15" thickTop="1" x14ac:dyDescent="0.35">
      <c r="A18" s="212" t="s">
        <v>287</v>
      </c>
      <c r="B18" s="205"/>
      <c r="C18" s="202"/>
      <c r="D18" s="202"/>
      <c r="E18" s="202"/>
    </row>
    <row r="19" spans="1:11" x14ac:dyDescent="0.35">
      <c r="A19" s="206" t="s">
        <v>148</v>
      </c>
      <c r="B19" s="207"/>
      <c r="C19" s="202"/>
      <c r="D19" s="202"/>
      <c r="E19" s="202"/>
    </row>
    <row r="20" spans="1:11" x14ac:dyDescent="0.35">
      <c r="A20" s="119" t="s">
        <v>210</v>
      </c>
      <c r="B20" s="207"/>
      <c r="C20" s="202"/>
      <c r="D20" s="202"/>
      <c r="E20" s="202"/>
    </row>
    <row r="21" spans="1:11" x14ac:dyDescent="0.35">
      <c r="A21" s="208" t="s">
        <v>288</v>
      </c>
      <c r="B21" s="209"/>
      <c r="C21" s="202"/>
      <c r="D21" s="202"/>
      <c r="E21" s="202"/>
    </row>
    <row r="22" spans="1:11" x14ac:dyDescent="0.35">
      <c r="A22" s="208" t="s">
        <v>289</v>
      </c>
      <c r="B22" s="210"/>
      <c r="C22" s="202"/>
      <c r="D22" s="287"/>
      <c r="E22" s="202"/>
    </row>
    <row r="23" spans="1:11" x14ac:dyDescent="0.35">
      <c r="A23" s="208" t="s">
        <v>290</v>
      </c>
      <c r="B23" s="211"/>
      <c r="C23" s="202"/>
      <c r="D23" s="202"/>
      <c r="E23" s="202"/>
    </row>
    <row r="24" spans="1:11" ht="12.25" customHeight="1" x14ac:dyDescent="0.35">
      <c r="A24" s="208"/>
      <c r="B24" s="211"/>
      <c r="C24" s="202"/>
      <c r="D24" s="202"/>
      <c r="E24" s="202"/>
    </row>
    <row r="25" spans="1:11" x14ac:dyDescent="0.35">
      <c r="A25" s="206" t="s">
        <v>291</v>
      </c>
      <c r="B25" s="206"/>
      <c r="C25" s="202"/>
      <c r="D25" s="202"/>
      <c r="E25" s="202"/>
    </row>
    <row r="26" spans="1:11" x14ac:dyDescent="0.35">
      <c r="A26" s="206" t="s">
        <v>292</v>
      </c>
      <c r="B26" s="206"/>
      <c r="C26" s="202"/>
      <c r="D26" s="202"/>
      <c r="E26" s="202"/>
    </row>
    <row r="27" spans="1:11" x14ac:dyDescent="0.35">
      <c r="A27" s="894" t="s">
        <v>306</v>
      </c>
      <c r="B27" s="894"/>
      <c r="C27" s="894"/>
      <c r="D27" s="894"/>
      <c r="E27" s="894"/>
    </row>
    <row r="28" spans="1:11" ht="41.5" customHeight="1" x14ac:dyDescent="0.35">
      <c r="A28" s="894"/>
      <c r="B28" s="894"/>
      <c r="C28" s="894"/>
      <c r="D28" s="894"/>
      <c r="E28" s="894"/>
    </row>
    <row r="29" spans="1:11" x14ac:dyDescent="0.35">
      <c r="A29" s="872" t="s">
        <v>417</v>
      </c>
      <c r="B29" s="872"/>
      <c r="C29" s="872"/>
      <c r="D29" s="872"/>
      <c r="E29" s="872"/>
      <c r="F29" s="872"/>
      <c r="G29" s="872"/>
      <c r="H29" s="872"/>
    </row>
    <row r="30" spans="1:11" ht="17.149999999999999" customHeight="1" x14ac:dyDescent="0.35">
      <c r="A30" s="887"/>
      <c r="B30" s="887"/>
      <c r="C30" s="887"/>
      <c r="D30" s="887"/>
      <c r="E30" s="887"/>
      <c r="F30" s="434"/>
      <c r="G30" s="434"/>
      <c r="H30" s="434"/>
      <c r="I30" s="434"/>
      <c r="J30" s="434"/>
      <c r="K30" s="434"/>
    </row>
    <row r="31" spans="1:11" ht="90" customHeight="1" x14ac:dyDescent="0.35">
      <c r="A31" s="768" t="s">
        <v>137</v>
      </c>
      <c r="B31" s="768"/>
      <c r="C31" s="768"/>
      <c r="D31" s="768"/>
      <c r="E31" s="768"/>
    </row>
  </sheetData>
  <sheetProtection algorithmName="SHA-512" hashValue="xhfQVP16hD5mUqCFersnAw2tUADTPaiuzBTr78fUxnO8qb+K4lh3gjjUmXlnT0wnb73BuanXu1MATyT0TpcaQw==" saltValue="nGqNKcd7GtVa2zBJwwLcuQ==" spinCount="100000" sheet="1" objects="1" scenarios="1"/>
  <mergeCells count="11">
    <mergeCell ref="A1:D1"/>
    <mergeCell ref="A2:D2"/>
    <mergeCell ref="A3:D3"/>
    <mergeCell ref="A31:E31"/>
    <mergeCell ref="A6:A7"/>
    <mergeCell ref="C6:C7"/>
    <mergeCell ref="D6:D7"/>
    <mergeCell ref="A27:E28"/>
    <mergeCell ref="B6:B7"/>
    <mergeCell ref="A29:H29"/>
    <mergeCell ref="A30:E30"/>
  </mergeCells>
  <hyperlinks>
    <hyperlink ref="A20" location="ELECTROCOMBUSTIBLE!A31" display="Ver Nota Informativa" xr:uid="{00000000-0004-0000-16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249977111117893"/>
  </sheetPr>
  <dimension ref="A1:Y52"/>
  <sheetViews>
    <sheetView showGridLines="0" zoomScale="85" zoomScaleNormal="85" workbookViewId="0">
      <selection activeCell="C32" sqref="C32"/>
    </sheetView>
  </sheetViews>
  <sheetFormatPr baseColWidth="10" defaultRowHeight="14.5" x14ac:dyDescent="0.35"/>
  <cols>
    <col min="1" max="1" width="33.1796875" customWidth="1"/>
    <col min="2" max="2" width="11.81640625" customWidth="1"/>
    <col min="4" max="5" width="11.1796875" customWidth="1"/>
    <col min="6" max="6" width="15.54296875" customWidth="1"/>
    <col min="7" max="9" width="14.81640625" customWidth="1"/>
    <col min="10" max="10" width="12.1796875" customWidth="1"/>
    <col min="11" max="11" width="14" customWidth="1"/>
    <col min="12" max="12" width="12.1796875" customWidth="1"/>
    <col min="13" max="14" width="18.1796875" customWidth="1"/>
    <col min="15" max="15" width="18.26953125" customWidth="1"/>
    <col min="16" max="16" width="13.81640625" customWidth="1"/>
    <col min="17" max="17" width="18.1796875" customWidth="1"/>
  </cols>
  <sheetData>
    <row r="1" spans="1:19" x14ac:dyDescent="0.35">
      <c r="A1" s="234"/>
      <c r="D1" s="125"/>
      <c r="S1" t="s">
        <v>148</v>
      </c>
    </row>
    <row r="2" spans="1:19" x14ac:dyDescent="0.35">
      <c r="A2" s="727" t="s">
        <v>120</v>
      </c>
      <c r="B2" s="726" t="s">
        <v>119</v>
      </c>
      <c r="C2" s="726"/>
      <c r="G2" t="s">
        <v>148</v>
      </c>
    </row>
    <row r="3" spans="1:19" x14ac:dyDescent="0.35">
      <c r="A3" s="727"/>
      <c r="B3" s="235" t="s">
        <v>379</v>
      </c>
      <c r="C3" s="236" t="s">
        <v>106</v>
      </c>
    </row>
    <row r="4" spans="1:19" ht="17.5" customHeight="1" x14ac:dyDescent="0.35">
      <c r="A4" s="17" t="s">
        <v>107</v>
      </c>
      <c r="B4" s="712">
        <v>1</v>
      </c>
      <c r="C4" s="712">
        <v>0.95289999999999997</v>
      </c>
      <c r="D4" s="312"/>
      <c r="E4" s="332">
        <f>+ROUND(B4,4)</f>
        <v>1</v>
      </c>
      <c r="F4" s="332">
        <f>+ROUND(C4,4)</f>
        <v>0.95289999999999997</v>
      </c>
      <c r="G4" s="288"/>
      <c r="H4" s="288"/>
      <c r="I4" s="288"/>
    </row>
    <row r="5" spans="1:19" ht="17.5" customHeight="1" x14ac:dyDescent="0.35">
      <c r="A5" s="17" t="s">
        <v>115</v>
      </c>
      <c r="B5" s="712">
        <v>1</v>
      </c>
      <c r="C5" s="712">
        <v>0.71250000000000002</v>
      </c>
      <c r="E5" s="332">
        <f t="shared" ref="E5:E22" si="0">+ROUND(B5,4)</f>
        <v>1</v>
      </c>
      <c r="F5" s="332">
        <f t="shared" ref="F5:F22" si="1">+ROUND(C5,4)</f>
        <v>0.71250000000000002</v>
      </c>
    </row>
    <row r="6" spans="1:19" ht="17.5" customHeight="1" x14ac:dyDescent="0.35">
      <c r="A6" s="17" t="s">
        <v>112</v>
      </c>
      <c r="B6" s="712">
        <v>1</v>
      </c>
      <c r="C6" s="712">
        <v>0.95469999999999999</v>
      </c>
      <c r="E6" s="332">
        <f t="shared" si="0"/>
        <v>1</v>
      </c>
      <c r="F6" s="332">
        <f t="shared" si="1"/>
        <v>0.95469999999999999</v>
      </c>
    </row>
    <row r="7" spans="1:19" ht="17.5" customHeight="1" x14ac:dyDescent="0.35">
      <c r="A7" s="17" t="s">
        <v>108</v>
      </c>
      <c r="B7" s="712">
        <v>1</v>
      </c>
      <c r="C7" s="712">
        <v>0.95660000000000001</v>
      </c>
      <c r="E7" s="332">
        <f t="shared" si="0"/>
        <v>1</v>
      </c>
      <c r="F7" s="332">
        <f t="shared" si="1"/>
        <v>0.95660000000000001</v>
      </c>
    </row>
    <row r="8" spans="1:19" ht="17.5" customHeight="1" x14ac:dyDescent="0.35">
      <c r="A8" s="17" t="s">
        <v>113</v>
      </c>
      <c r="B8" s="712">
        <v>1</v>
      </c>
      <c r="C8" s="712">
        <v>0.68279999999999996</v>
      </c>
      <c r="E8" s="332">
        <f t="shared" si="0"/>
        <v>1</v>
      </c>
      <c r="F8" s="332">
        <f t="shared" si="1"/>
        <v>0.68279999999999996</v>
      </c>
    </row>
    <row r="9" spans="1:19" ht="17.5" customHeight="1" x14ac:dyDescent="0.35">
      <c r="A9" s="17" t="s">
        <v>420</v>
      </c>
      <c r="B9" s="712">
        <v>1</v>
      </c>
      <c r="C9" s="712">
        <v>0.95660000000000001</v>
      </c>
      <c r="E9" s="332">
        <f t="shared" si="0"/>
        <v>1</v>
      </c>
      <c r="F9" s="332">
        <f t="shared" si="1"/>
        <v>0.95660000000000001</v>
      </c>
    </row>
    <row r="10" spans="1:19" ht="17.5" customHeight="1" x14ac:dyDescent="0.35">
      <c r="A10" s="17" t="s">
        <v>421</v>
      </c>
      <c r="B10" s="712">
        <v>1</v>
      </c>
      <c r="C10" s="712">
        <v>0.95660000000000001</v>
      </c>
      <c r="E10" s="332">
        <f t="shared" si="0"/>
        <v>1</v>
      </c>
      <c r="F10" s="332">
        <f t="shared" si="1"/>
        <v>0.95660000000000001</v>
      </c>
    </row>
    <row r="11" spans="1:19" ht="17.5" customHeight="1" x14ac:dyDescent="0.35">
      <c r="A11" s="17" t="s">
        <v>121</v>
      </c>
      <c r="B11" s="712">
        <v>1</v>
      </c>
      <c r="C11" s="712">
        <v>0.95140000000000002</v>
      </c>
      <c r="E11" s="332">
        <f t="shared" si="0"/>
        <v>1</v>
      </c>
      <c r="F11" s="332">
        <f t="shared" si="1"/>
        <v>0.95140000000000002</v>
      </c>
    </row>
    <row r="12" spans="1:19" ht="17.5" customHeight="1" x14ac:dyDescent="0.35">
      <c r="A12" s="17" t="s">
        <v>116</v>
      </c>
      <c r="B12" s="712">
        <v>1</v>
      </c>
      <c r="C12" s="712">
        <v>0.78210000000000002</v>
      </c>
      <c r="E12" s="332">
        <f t="shared" si="0"/>
        <v>1</v>
      </c>
      <c r="F12" s="332">
        <f t="shared" si="1"/>
        <v>0.78210000000000002</v>
      </c>
    </row>
    <row r="13" spans="1:19" ht="17.5" customHeight="1" x14ac:dyDescent="0.35">
      <c r="A13" s="17" t="s">
        <v>111</v>
      </c>
      <c r="B13" s="712">
        <v>0.98980000000000001</v>
      </c>
      <c r="C13" s="712">
        <v>0.74729999999999996</v>
      </c>
      <c r="E13" s="332">
        <f t="shared" si="0"/>
        <v>0.98980000000000001</v>
      </c>
      <c r="F13" s="332">
        <f t="shared" si="1"/>
        <v>0.74729999999999996</v>
      </c>
    </row>
    <row r="14" spans="1:19" ht="17.5" customHeight="1" x14ac:dyDescent="0.35">
      <c r="A14" s="17" t="s">
        <v>419</v>
      </c>
      <c r="B14" s="712">
        <v>0.98980000000000001</v>
      </c>
      <c r="C14" s="712">
        <v>0.74729999999999996</v>
      </c>
      <c r="E14" s="332">
        <f t="shared" si="0"/>
        <v>0.98980000000000001</v>
      </c>
      <c r="F14" s="332">
        <f t="shared" si="1"/>
        <v>0.74729999999999996</v>
      </c>
    </row>
    <row r="15" spans="1:19" ht="17.5" customHeight="1" x14ac:dyDescent="0.35">
      <c r="A15" s="17" t="s">
        <v>110</v>
      </c>
      <c r="B15" s="712">
        <v>0.95509999999999995</v>
      </c>
      <c r="C15" s="712">
        <v>0.94359999999999999</v>
      </c>
      <c r="D15" s="282"/>
      <c r="E15" s="332">
        <f t="shared" si="0"/>
        <v>0.95509999999999995</v>
      </c>
      <c r="F15" s="332">
        <f t="shared" si="1"/>
        <v>0.94359999999999999</v>
      </c>
      <c r="I15" s="267"/>
    </row>
    <row r="16" spans="1:19" ht="17.5" customHeight="1" x14ac:dyDescent="0.35">
      <c r="A16" s="17" t="s">
        <v>109</v>
      </c>
      <c r="B16" s="712">
        <v>0.98899999999999999</v>
      </c>
      <c r="C16" s="712">
        <v>0.66279999999999994</v>
      </c>
      <c r="E16" s="332">
        <f t="shared" si="0"/>
        <v>0.98899999999999999</v>
      </c>
      <c r="F16" s="332">
        <f t="shared" si="1"/>
        <v>0.66279999999999994</v>
      </c>
    </row>
    <row r="17" spans="1:25" ht="17.5" customHeight="1" x14ac:dyDescent="0.35">
      <c r="A17" s="17" t="s">
        <v>295</v>
      </c>
      <c r="B17" s="712">
        <v>1</v>
      </c>
      <c r="C17" s="712">
        <v>0.95140000000000002</v>
      </c>
      <c r="E17" s="332">
        <f t="shared" si="0"/>
        <v>1</v>
      </c>
      <c r="F17" s="332">
        <f t="shared" si="1"/>
        <v>0.95140000000000002</v>
      </c>
    </row>
    <row r="18" spans="1:25" ht="17.5" customHeight="1" x14ac:dyDescent="0.35">
      <c r="A18" s="17" t="s">
        <v>117</v>
      </c>
      <c r="B18" s="712">
        <v>1</v>
      </c>
      <c r="C18" s="712">
        <v>0.752</v>
      </c>
      <c r="E18" s="332">
        <f t="shared" si="0"/>
        <v>1</v>
      </c>
      <c r="F18" s="332">
        <f t="shared" si="1"/>
        <v>0.752</v>
      </c>
    </row>
    <row r="19" spans="1:25" ht="17.5" customHeight="1" x14ac:dyDescent="0.35">
      <c r="A19" s="17" t="s">
        <v>114</v>
      </c>
      <c r="B19" s="712">
        <v>1</v>
      </c>
      <c r="C19" s="712">
        <v>0.71350000000000002</v>
      </c>
      <c r="E19" s="332">
        <f t="shared" si="0"/>
        <v>1</v>
      </c>
      <c r="F19" s="332">
        <f t="shared" si="1"/>
        <v>0.71350000000000002</v>
      </c>
    </row>
    <row r="20" spans="1:25" ht="17.5" customHeight="1" x14ac:dyDescent="0.35">
      <c r="A20" s="17" t="s">
        <v>453</v>
      </c>
      <c r="B20" s="712">
        <v>1</v>
      </c>
      <c r="C20" s="712">
        <v>0.752</v>
      </c>
      <c r="E20" s="332">
        <f t="shared" si="0"/>
        <v>1</v>
      </c>
      <c r="F20" s="332">
        <f t="shared" si="1"/>
        <v>0.752</v>
      </c>
      <c r="H20" s="312"/>
    </row>
    <row r="21" spans="1:25" ht="18.649999999999999" customHeight="1" x14ac:dyDescent="0.35">
      <c r="A21" s="17" t="s">
        <v>512</v>
      </c>
      <c r="B21" s="713">
        <v>1</v>
      </c>
      <c r="C21" s="713">
        <v>1</v>
      </c>
      <c r="E21" s="332">
        <f t="shared" si="0"/>
        <v>1</v>
      </c>
      <c r="F21" s="332">
        <f t="shared" si="1"/>
        <v>1</v>
      </c>
    </row>
    <row r="22" spans="1:25" ht="18.649999999999999" customHeight="1" x14ac:dyDescent="0.35">
      <c r="A22" s="17" t="s">
        <v>513</v>
      </c>
      <c r="B22" s="713">
        <v>1</v>
      </c>
      <c r="C22" s="713">
        <v>1</v>
      </c>
      <c r="E22" s="332">
        <f t="shared" si="0"/>
        <v>1</v>
      </c>
      <c r="F22" s="332">
        <f t="shared" si="1"/>
        <v>1</v>
      </c>
      <c r="G22" s="312"/>
    </row>
    <row r="23" spans="1:25" x14ac:dyDescent="0.35">
      <c r="A23" s="237" t="s">
        <v>227</v>
      </c>
      <c r="B23" s="237" t="s">
        <v>118</v>
      </c>
      <c r="C23" s="237" t="s">
        <v>226</v>
      </c>
      <c r="D23" s="237" t="s">
        <v>228</v>
      </c>
      <c r="E23" s="237" t="s">
        <v>229</v>
      </c>
      <c r="F23" s="2"/>
      <c r="G23" s="125"/>
    </row>
    <row r="24" spans="1:25" ht="21" customHeight="1" x14ac:dyDescent="0.5">
      <c r="A24" s="527" t="s">
        <v>308</v>
      </c>
      <c r="B24" s="526">
        <v>9914.16</v>
      </c>
      <c r="C24" s="526">
        <v>4773.05</v>
      </c>
      <c r="D24" s="526">
        <v>16349.37</v>
      </c>
      <c r="E24" s="526">
        <v>14373</v>
      </c>
      <c r="F24" s="525" t="s">
        <v>475</v>
      </c>
      <c r="G24" s="312"/>
      <c r="H24" s="312"/>
    </row>
    <row r="25" spans="1:25" x14ac:dyDescent="0.35">
      <c r="B25" s="125"/>
      <c r="C25" s="125"/>
      <c r="D25" s="125"/>
      <c r="E25" s="125"/>
      <c r="I25" t="s">
        <v>497</v>
      </c>
    </row>
    <row r="26" spans="1:25" x14ac:dyDescent="0.35">
      <c r="B26" s="125"/>
      <c r="C26" s="125"/>
      <c r="D26" s="125"/>
      <c r="E26" s="125"/>
      <c r="H26" s="311"/>
      <c r="I26" s="408"/>
      <c r="O26" t="s">
        <v>148</v>
      </c>
      <c r="V26" t="s">
        <v>360</v>
      </c>
      <c r="Y26" t="s">
        <v>361</v>
      </c>
    </row>
    <row r="27" spans="1:25" s="233" customFormat="1" ht="66.25" customHeight="1" x14ac:dyDescent="0.35">
      <c r="A27" s="238" t="s">
        <v>225</v>
      </c>
      <c r="B27" s="239" t="s">
        <v>356</v>
      </c>
      <c r="C27" s="239" t="s">
        <v>357</v>
      </c>
      <c r="D27" s="249" t="s">
        <v>309</v>
      </c>
      <c r="E27" s="249" t="s">
        <v>310</v>
      </c>
      <c r="F27" s="250" t="s">
        <v>496</v>
      </c>
      <c r="G27" s="490" t="s">
        <v>499</v>
      </c>
      <c r="H27" s="490" t="s">
        <v>477</v>
      </c>
      <c r="I27" s="490" t="s">
        <v>478</v>
      </c>
      <c r="J27" s="417" t="s">
        <v>479</v>
      </c>
      <c r="K27" s="417" t="s">
        <v>476</v>
      </c>
      <c r="L27" s="238" t="s">
        <v>461</v>
      </c>
      <c r="M27" s="238" t="s">
        <v>468</v>
      </c>
      <c r="N27" s="238" t="s">
        <v>506</v>
      </c>
      <c r="O27" s="372" t="s">
        <v>359</v>
      </c>
      <c r="P27" s="315" t="s">
        <v>391</v>
      </c>
      <c r="R27" s="368" t="s">
        <v>441</v>
      </c>
      <c r="S27" s="250" t="s">
        <v>439</v>
      </c>
      <c r="T27"/>
    </row>
    <row r="28" spans="1:25" ht="20.5" customHeight="1" x14ac:dyDescent="0.35">
      <c r="A28" s="126" t="s">
        <v>107</v>
      </c>
      <c r="B28" s="528">
        <f t="shared" ref="B28:C32" si="2">+B$24*B4</f>
        <v>9914.16</v>
      </c>
      <c r="C28" s="529">
        <f>+C$24*C4</f>
        <v>4548.239345</v>
      </c>
      <c r="D28" s="126">
        <f>+ROUND(C28*0.98,2)</f>
        <v>4457.2700000000004</v>
      </c>
      <c r="E28" s="126">
        <f>+D$24*0.02</f>
        <v>326.98740000000004</v>
      </c>
      <c r="F28" s="488">
        <f>+ROUND(D28+E28,2)</f>
        <v>4784.26</v>
      </c>
      <c r="G28" s="488">
        <f>($B$28*98%)+('GAS CTE'!D$8)</f>
        <v>10003.336799999999</v>
      </c>
      <c r="H28" s="488">
        <f>($B$28*96%)+('GAS CTE'!E$8)</f>
        <v>10092.5136</v>
      </c>
      <c r="I28" s="488">
        <f>ROUND((B28*95%),2)+($E$24*5%)</f>
        <v>10137.1</v>
      </c>
      <c r="J28" s="488">
        <f>ROUND(($B28*94%),2)+($E$24*6%)</f>
        <v>10181.689999999999</v>
      </c>
      <c r="K28" s="488"/>
      <c r="L28" s="429">
        <f>(C28*89%)+(BIODIESEL!J$8)</f>
        <v>5846.3637170500006</v>
      </c>
      <c r="M28" s="436">
        <f>(C28*90%)+(BIODIESEL!I$8)</f>
        <v>5728.3524105000006</v>
      </c>
      <c r="N28" s="436">
        <f>(C28*92%)+($D$24*0.08)</f>
        <v>5492.3297973999997</v>
      </c>
      <c r="O28" s="369" t="s">
        <v>311</v>
      </c>
      <c r="P28" s="291" t="s">
        <v>392</v>
      </c>
      <c r="T28" s="373" t="s">
        <v>107</v>
      </c>
    </row>
    <row r="29" spans="1:25" ht="20.5" customHeight="1" thickBot="1" x14ac:dyDescent="0.4">
      <c r="A29" s="543" t="s">
        <v>115</v>
      </c>
      <c r="B29" s="544">
        <f t="shared" si="2"/>
        <v>9914.16</v>
      </c>
      <c r="C29" s="545">
        <f t="shared" si="2"/>
        <v>3400.7981250000003</v>
      </c>
      <c r="D29" s="543">
        <f t="shared" ref="D29:D40" si="3">+C29*0.98</f>
        <v>3332.7821625000001</v>
      </c>
      <c r="E29" s="543">
        <f t="shared" ref="E29:E41" si="4">+D$24*0.02</f>
        <v>326.98740000000004</v>
      </c>
      <c r="F29" s="546">
        <f>+D29+E29</f>
        <v>3659.7695625000001</v>
      </c>
      <c r="G29" s="546">
        <f>($B$29*98%)+('GAS CTE'!D$8)</f>
        <v>10003.336799999999</v>
      </c>
      <c r="H29" s="546">
        <f>($B$29*96%)+('GAS CTE'!E$8)</f>
        <v>10092.5136</v>
      </c>
      <c r="I29" s="546">
        <f>(B29*95%)+($E$24*5%)</f>
        <v>10137.101999999999</v>
      </c>
      <c r="J29" s="547"/>
      <c r="K29" s="548">
        <f>(B29*90%)+($E$24*10%)</f>
        <v>10360.044000000002</v>
      </c>
      <c r="M29" s="549">
        <f>(C29*90%)+(BIODIESEL!I$8)</f>
        <v>4695.6553125</v>
      </c>
      <c r="N29" s="436">
        <f t="shared" ref="N29:N41" si="5">(C29*92%)+($D$24*0.08)</f>
        <v>4436.6838750000006</v>
      </c>
      <c r="O29" s="550" t="s">
        <v>312</v>
      </c>
      <c r="P29" s="313" t="s">
        <v>394</v>
      </c>
      <c r="R29" s="125">
        <f>(B29*95%)+5%*$E$24</f>
        <v>10137.101999999999</v>
      </c>
      <c r="S29" s="125">
        <f>(C29*95%)+(5%*$D$24)</f>
        <v>4048.2267187500001</v>
      </c>
      <c r="T29" s="373" t="s">
        <v>115</v>
      </c>
    </row>
    <row r="30" spans="1:25" ht="20.5" customHeight="1" thickBot="1" x14ac:dyDescent="0.4">
      <c r="A30" s="558" t="s">
        <v>112</v>
      </c>
      <c r="B30" s="559">
        <f t="shared" si="2"/>
        <v>9914.16</v>
      </c>
      <c r="C30" s="560">
        <f t="shared" si="2"/>
        <v>4556.8308349999998</v>
      </c>
      <c r="D30" s="561">
        <f t="shared" si="3"/>
        <v>4465.6942183000001</v>
      </c>
      <c r="E30" s="561">
        <f t="shared" si="4"/>
        <v>326.98740000000004</v>
      </c>
      <c r="F30" s="562">
        <f>+D30+E30</f>
        <v>4792.6816183000001</v>
      </c>
      <c r="G30" s="562">
        <f>($B$30*98%)+('GAS CTE'!D$8)</f>
        <v>10003.336799999999</v>
      </c>
      <c r="H30" s="562">
        <f>($B$30*96%)+('GAS CTE'!E$8)</f>
        <v>10092.5136</v>
      </c>
      <c r="I30" s="562">
        <f>ROUND((B30*95%),2)+($E$24*5%)</f>
        <v>10137.1</v>
      </c>
      <c r="J30" s="562">
        <f>ROUND(($B30*94%),2)+($E$24*6%)</f>
        <v>10181.689999999999</v>
      </c>
      <c r="K30" s="562"/>
      <c r="L30" s="563">
        <f>(C30*89%)+(BIODIESEL!J$8)</f>
        <v>5854.0101431499997</v>
      </c>
      <c r="M30" s="564">
        <f>(C30*90%)+(BIODIESEL!I$8)</f>
        <v>5736.0847514999996</v>
      </c>
      <c r="N30" s="436">
        <f t="shared" si="5"/>
        <v>5500.2339682000002</v>
      </c>
      <c r="O30" s="565" t="s">
        <v>313</v>
      </c>
      <c r="P30" s="566">
        <f>(C30*88%)+BIODIESEL!K8</f>
        <v>5971.9355347999999</v>
      </c>
      <c r="Q30" s="311" t="s">
        <v>438</v>
      </c>
      <c r="T30" s="373" t="s">
        <v>112</v>
      </c>
    </row>
    <row r="31" spans="1:25" ht="20.5" customHeight="1" x14ac:dyDescent="0.35">
      <c r="A31" s="551" t="s">
        <v>108</v>
      </c>
      <c r="B31" s="552">
        <f t="shared" si="2"/>
        <v>9914.16</v>
      </c>
      <c r="C31" s="553">
        <f t="shared" si="2"/>
        <v>4565.8996299999999</v>
      </c>
      <c r="D31" s="551">
        <f t="shared" ref="D31:D39" si="6">+ROUND(C31*0.98,2)</f>
        <v>4474.58</v>
      </c>
      <c r="E31" s="551">
        <f t="shared" si="4"/>
        <v>326.98740000000004</v>
      </c>
      <c r="F31" s="554">
        <f t="shared" ref="F31:F41" si="7">+D31+E31</f>
        <v>4801.5673999999999</v>
      </c>
      <c r="G31" s="554">
        <f>($B$31*98%)+('GAS CTE'!D$8)</f>
        <v>10003.336799999999</v>
      </c>
      <c r="H31" s="554">
        <f>($B$31*96%)+('GAS CTE'!E$8)</f>
        <v>10092.5136</v>
      </c>
      <c r="I31" s="554">
        <f>ROUND((B31*95%),2)+($E$24*5%)</f>
        <v>10137.1</v>
      </c>
      <c r="J31" s="554">
        <f>ROUND(($B31*94%),2)+($E$24*6%)</f>
        <v>10181.689999999999</v>
      </c>
      <c r="K31" s="554"/>
      <c r="L31" s="555">
        <f>(C31*89%)+(BIODIESEL!J$8)</f>
        <v>5862.0813706999998</v>
      </c>
      <c r="M31" s="556">
        <f>(C31*90%)+(BIODIESEL!I$8)</f>
        <v>5744.2466670000003</v>
      </c>
      <c r="N31" s="436">
        <f t="shared" si="5"/>
        <v>5508.5772595999997</v>
      </c>
      <c r="O31" s="557" t="s">
        <v>365</v>
      </c>
      <c r="P31" s="314">
        <f>(C31*88%)+(BIODIESEL!K$8)</f>
        <v>5979.9160744000001</v>
      </c>
      <c r="Q31" s="311" t="s">
        <v>393</v>
      </c>
      <c r="T31" s="373" t="s">
        <v>108</v>
      </c>
    </row>
    <row r="32" spans="1:25" ht="20.5" customHeight="1" x14ac:dyDescent="0.35">
      <c r="A32" s="126" t="s">
        <v>113</v>
      </c>
      <c r="B32" s="528">
        <f t="shared" si="2"/>
        <v>9914.16</v>
      </c>
      <c r="C32" s="529">
        <f t="shared" si="2"/>
        <v>3259.03854</v>
      </c>
      <c r="D32" s="126">
        <f t="shared" si="6"/>
        <v>3193.86</v>
      </c>
      <c r="E32" s="126">
        <f t="shared" si="4"/>
        <v>326.98740000000004</v>
      </c>
      <c r="F32" s="488">
        <f t="shared" si="7"/>
        <v>3520.8474000000001</v>
      </c>
      <c r="G32" s="488">
        <f>($B$32*98%)+('GAS CTE'!D$8)</f>
        <v>10003.336799999999</v>
      </c>
      <c r="H32" s="488">
        <f>($B$32*96%)+('GAS CTE'!E$8)</f>
        <v>10092.5136</v>
      </c>
      <c r="I32" s="554">
        <f>(B32*95%)+($E$24*5%)</f>
        <v>10137.101999999999</v>
      </c>
      <c r="J32" s="489"/>
      <c r="K32" s="489"/>
      <c r="L32" s="430">
        <f>(C32*89%)+(BIODIESEL!J$8)</f>
        <v>4698.9750006000004</v>
      </c>
      <c r="M32" s="437">
        <f>(C32*90%)+(BIODIESEL!I$8)</f>
        <v>4568.0716860000002</v>
      </c>
      <c r="N32" s="436">
        <f t="shared" si="5"/>
        <v>4306.2650567999999</v>
      </c>
      <c r="O32" s="513" t="s">
        <v>486</v>
      </c>
      <c r="P32" s="313" t="s">
        <v>394</v>
      </c>
      <c r="S32" s="125">
        <f>(C32*95%)+(5%*$D$24)</f>
        <v>3913.5551129999999</v>
      </c>
      <c r="T32" s="373" t="s">
        <v>113</v>
      </c>
    </row>
    <row r="33" spans="1:23" ht="20.5" customHeight="1" thickBot="1" x14ac:dyDescent="0.4">
      <c r="A33" s="543" t="s">
        <v>121</v>
      </c>
      <c r="B33" s="544">
        <f t="shared" ref="B33:C35" si="8">+B$24*B11</f>
        <v>9914.16</v>
      </c>
      <c r="C33" s="545">
        <f t="shared" si="8"/>
        <v>4541.0797700000003</v>
      </c>
      <c r="D33" s="543">
        <f t="shared" si="6"/>
        <v>4450.26</v>
      </c>
      <c r="E33" s="543">
        <f t="shared" si="4"/>
        <v>326.98740000000004</v>
      </c>
      <c r="F33" s="546">
        <f t="shared" si="7"/>
        <v>4777.2474000000002</v>
      </c>
      <c r="G33" s="546">
        <f>($B$33*98%)+('GAS CTE'!D$8)</f>
        <v>10003.336799999999</v>
      </c>
      <c r="H33" s="546">
        <f>($B$33*96%)+('GAS CTE'!E$8)</f>
        <v>10092.5136</v>
      </c>
      <c r="I33" s="546">
        <f>ROUND((B33*95%),2)+($E$24*5%)</f>
        <v>10137.1</v>
      </c>
      <c r="J33" s="546">
        <f>ROUND(($B33*94%),2)+($E$24*6%)</f>
        <v>10181.689999999999</v>
      </c>
      <c r="K33" s="546"/>
      <c r="L33" s="567">
        <f>(C33*89%)+(BIODIESEL!J$8)</f>
        <v>5839.9916953000002</v>
      </c>
      <c r="M33" s="568">
        <f>(C33*90%)+(BIODIESEL!I$8)</f>
        <v>5721.9087930000005</v>
      </c>
      <c r="N33" s="436">
        <f t="shared" si="5"/>
        <v>5485.7429884000003</v>
      </c>
      <c r="O33" s="550" t="s">
        <v>314</v>
      </c>
      <c r="P33" s="291" t="s">
        <v>392</v>
      </c>
      <c r="T33" s="373" t="s">
        <v>121</v>
      </c>
      <c r="U33" s="284" t="s">
        <v>362</v>
      </c>
    </row>
    <row r="34" spans="1:23" ht="20.5" customHeight="1" thickBot="1" x14ac:dyDescent="0.4">
      <c r="A34" s="558" t="s">
        <v>116</v>
      </c>
      <c r="B34" s="559">
        <f t="shared" si="8"/>
        <v>9914.16</v>
      </c>
      <c r="C34" s="560">
        <f t="shared" si="8"/>
        <v>3733.0024050000002</v>
      </c>
      <c r="D34" s="561">
        <f t="shared" si="6"/>
        <v>3658.34</v>
      </c>
      <c r="E34" s="561">
        <f t="shared" si="4"/>
        <v>326.98740000000004</v>
      </c>
      <c r="F34" s="562">
        <f>+D34+E34</f>
        <v>3985.3274000000001</v>
      </c>
      <c r="G34" s="562">
        <f>($B$34*98%)+('GAS CTE'!D$8)</f>
        <v>10003.336799999999</v>
      </c>
      <c r="H34" s="562">
        <f>($B$34*96%)+('GAS CTE'!E$8)</f>
        <v>10092.5136</v>
      </c>
      <c r="I34" s="562">
        <f>ROUND((B34*95%),2)+($E$24*5%)</f>
        <v>10137.1</v>
      </c>
      <c r="J34" s="573"/>
      <c r="K34" s="574">
        <f>(B34*90%)+($E$24*10%)</f>
        <v>10360.044000000002</v>
      </c>
      <c r="L34" s="575"/>
      <c r="M34" s="576">
        <f>(C34*90%)+(BIODIESEL!I$8)</f>
        <v>4994.6391645000003</v>
      </c>
      <c r="N34" s="436">
        <f t="shared" si="5"/>
        <v>4742.3118126000008</v>
      </c>
      <c r="O34" s="565" t="s">
        <v>315</v>
      </c>
      <c r="P34" s="577" t="s">
        <v>394</v>
      </c>
      <c r="R34" s="125">
        <f>(B34*95%)+5%*$E$24</f>
        <v>10137.101999999999</v>
      </c>
      <c r="S34" s="125">
        <f>(C34*95%)+(5%*$D$24)</f>
        <v>4363.8207847499998</v>
      </c>
      <c r="T34" s="373" t="s">
        <v>116</v>
      </c>
    </row>
    <row r="35" spans="1:23" ht="20.5" customHeight="1" x14ac:dyDescent="0.35">
      <c r="A35" s="551" t="s">
        <v>111</v>
      </c>
      <c r="B35" s="552">
        <f t="shared" si="8"/>
        <v>9813.0355679999993</v>
      </c>
      <c r="C35" s="553">
        <f t="shared" si="8"/>
        <v>3566.9002649999998</v>
      </c>
      <c r="D35" s="551">
        <f t="shared" si="6"/>
        <v>3495.56</v>
      </c>
      <c r="E35" s="551">
        <f t="shared" si="4"/>
        <v>326.98740000000004</v>
      </c>
      <c r="F35" s="554">
        <f t="shared" si="7"/>
        <v>3822.5473999999999</v>
      </c>
      <c r="G35" s="554">
        <f>($B$35*98%)+('GAS CTE'!D$8)</f>
        <v>9904.2348566399978</v>
      </c>
      <c r="H35" s="554">
        <f>($B$35*96%)+('GAS CTE'!E$8)</f>
        <v>9995.4341452799999</v>
      </c>
      <c r="I35" s="554">
        <f t="shared" ref="I35:I40" si="9">(B35*95%)+($E$24*5%)</f>
        <v>10041.033789599998</v>
      </c>
      <c r="J35" s="569"/>
      <c r="K35" s="570">
        <f>(B35*90%)+($E$24*10%)</f>
        <v>10269.032011200001</v>
      </c>
      <c r="M35" s="571">
        <f>(C35*90%)+(BIODIESEL!I$8)</f>
        <v>4845.1472384999997</v>
      </c>
      <c r="N35" s="436">
        <f t="shared" si="5"/>
        <v>4589.4978437999998</v>
      </c>
      <c r="O35" s="572" t="s">
        <v>358</v>
      </c>
      <c r="P35" s="313" t="s">
        <v>394</v>
      </c>
      <c r="R35" s="125">
        <f>(B35*95%)+5%*$E$24</f>
        <v>10041.033789599998</v>
      </c>
      <c r="S35" s="125">
        <f>(C35*95%)+(5%*$D$24)</f>
        <v>4206.02375175</v>
      </c>
      <c r="T35" s="373" t="s">
        <v>111</v>
      </c>
      <c r="U35" s="284" t="s">
        <v>362</v>
      </c>
    </row>
    <row r="36" spans="1:23" ht="20.5" customHeight="1" x14ac:dyDescent="0.35">
      <c r="A36" s="126" t="s">
        <v>110</v>
      </c>
      <c r="B36" s="528">
        <f>+B$24*B15</f>
        <v>9469.0142159999996</v>
      </c>
      <c r="C36" s="529">
        <f>+C$24*C15</f>
        <v>4503.84998</v>
      </c>
      <c r="D36" s="126">
        <f t="shared" si="6"/>
        <v>4413.7700000000004</v>
      </c>
      <c r="E36" s="126">
        <f t="shared" si="4"/>
        <v>326.98740000000004</v>
      </c>
      <c r="F36" s="488">
        <f t="shared" si="7"/>
        <v>4740.7574000000004</v>
      </c>
      <c r="G36" s="488">
        <f>($B$36*98%)+('GAS CTE'!D$8)</f>
        <v>9567.0939316799977</v>
      </c>
      <c r="H36" s="488">
        <f>($B$36*96%)+('GAS CTE'!E$8)</f>
        <v>9665.1736473599994</v>
      </c>
      <c r="I36" s="488">
        <f t="shared" si="9"/>
        <v>9714.2135051999994</v>
      </c>
      <c r="J36" s="488">
        <f>ROUND(($B36*94%),2)+($E$24*6%)</f>
        <v>9763.25</v>
      </c>
      <c r="K36" s="488"/>
      <c r="L36" s="430">
        <f>(C36*89%)+(BIODIESEL!J$8)</f>
        <v>5806.8571822000004</v>
      </c>
      <c r="M36" s="437">
        <f>(C36*90%)+(BIODIESEL!I$8)</f>
        <v>5688.4019820000003</v>
      </c>
      <c r="N36" s="436">
        <f t="shared" si="5"/>
        <v>5451.4915816000002</v>
      </c>
      <c r="O36" s="369" t="s">
        <v>316</v>
      </c>
      <c r="P36" s="291" t="s">
        <v>392</v>
      </c>
      <c r="R36" s="125"/>
      <c r="S36" s="125"/>
      <c r="T36" s="373" t="s">
        <v>110</v>
      </c>
    </row>
    <row r="37" spans="1:23" ht="20.5" customHeight="1" thickBot="1" x14ac:dyDescent="0.4">
      <c r="A37" s="543" t="s">
        <v>109</v>
      </c>
      <c r="B37" s="544">
        <f t="shared" ref="B37:C41" si="10">+B$24*B16</f>
        <v>9805.1042400000006</v>
      </c>
      <c r="C37" s="545">
        <f t="shared" si="10"/>
        <v>3163.5775399999998</v>
      </c>
      <c r="D37" s="543">
        <f t="shared" si="6"/>
        <v>3100.31</v>
      </c>
      <c r="E37" s="543">
        <f t="shared" si="4"/>
        <v>326.98740000000004</v>
      </c>
      <c r="F37" s="546">
        <f t="shared" si="7"/>
        <v>3427.2973999999999</v>
      </c>
      <c r="G37" s="578">
        <f>($B$37*98%)+('GAS CTE'!D$8)</f>
        <v>9896.462155199999</v>
      </c>
      <c r="H37" s="578">
        <f>($B$37*96%)+('GAS CTE'!E$8)</f>
        <v>9987.820070400001</v>
      </c>
      <c r="I37" s="578">
        <f t="shared" si="9"/>
        <v>10033.499028</v>
      </c>
      <c r="J37" s="547"/>
      <c r="K37" s="547"/>
      <c r="M37" s="549">
        <f>(C37*90%)+(BIODIESEL!I$8)</f>
        <v>4482.1567859999996</v>
      </c>
      <c r="N37" s="436">
        <f t="shared" si="5"/>
        <v>4218.4409367999997</v>
      </c>
      <c r="O37" s="579" t="s">
        <v>317</v>
      </c>
      <c r="P37" s="313" t="s">
        <v>394</v>
      </c>
      <c r="S37" s="125">
        <f>(C37*95%)+(5%*$D$24)</f>
        <v>3822.8671629999994</v>
      </c>
      <c r="T37" s="373" t="s">
        <v>109</v>
      </c>
    </row>
    <row r="38" spans="1:23" ht="20.5" customHeight="1" thickBot="1" x14ac:dyDescent="0.4">
      <c r="A38" s="558" t="s">
        <v>295</v>
      </c>
      <c r="B38" s="559">
        <f t="shared" si="10"/>
        <v>9914.16</v>
      </c>
      <c r="C38" s="560">
        <f t="shared" si="10"/>
        <v>4541.0797700000003</v>
      </c>
      <c r="D38" s="561">
        <f t="shared" si="6"/>
        <v>4450.26</v>
      </c>
      <c r="E38" s="561">
        <f t="shared" si="4"/>
        <v>326.98740000000004</v>
      </c>
      <c r="F38" s="562">
        <f t="shared" si="7"/>
        <v>4777.2474000000002</v>
      </c>
      <c r="G38" s="562">
        <f>($B$38*98%)+('GAS CTE'!D$8)</f>
        <v>10003.336799999999</v>
      </c>
      <c r="H38" s="562">
        <f>($B$38*96%)+('GAS CTE'!E$8)</f>
        <v>10092.5136</v>
      </c>
      <c r="I38" s="562">
        <f>ROUND((B38*95%),2)+($E$24*5%)</f>
        <v>10137.1</v>
      </c>
      <c r="J38" s="562">
        <f>ROUND(($B38*94%),2)+($E$24*6%)</f>
        <v>10181.689999999999</v>
      </c>
      <c r="K38" s="562"/>
      <c r="L38" s="580">
        <f>(C38*89%)+(BIODIESEL!J$8)</f>
        <v>5839.9916953000002</v>
      </c>
      <c r="M38" s="564">
        <f>(C38*90%)+(BIODIESEL!I$8)</f>
        <v>5721.9087930000005</v>
      </c>
      <c r="N38" s="436">
        <f t="shared" si="5"/>
        <v>5485.7429884000003</v>
      </c>
      <c r="O38" s="565" t="s">
        <v>318</v>
      </c>
      <c r="P38" s="581" t="s">
        <v>392</v>
      </c>
      <c r="T38" s="373" t="s">
        <v>295</v>
      </c>
    </row>
    <row r="39" spans="1:23" ht="20.5" customHeight="1" x14ac:dyDescent="0.35">
      <c r="A39" s="551" t="s">
        <v>117</v>
      </c>
      <c r="B39" s="552">
        <f t="shared" si="10"/>
        <v>9914.16</v>
      </c>
      <c r="C39" s="553">
        <f t="shared" si="10"/>
        <v>3589.3335999999999</v>
      </c>
      <c r="D39" s="551">
        <f t="shared" si="6"/>
        <v>3517.55</v>
      </c>
      <c r="E39" s="551">
        <f t="shared" si="4"/>
        <v>326.98740000000004</v>
      </c>
      <c r="F39" s="554">
        <f t="shared" si="7"/>
        <v>3844.5374000000002</v>
      </c>
      <c r="G39" s="554">
        <f>($B$39*98%)+('GAS CTE'!D$8)</f>
        <v>10003.336799999999</v>
      </c>
      <c r="H39" s="554">
        <f>($B$39*96%)+('GAS CTE'!E$8)</f>
        <v>10092.5136</v>
      </c>
      <c r="I39" s="554">
        <f>ROUND((B39*95%),2)+($E$24*5%)</f>
        <v>10137.1</v>
      </c>
      <c r="J39" s="569"/>
      <c r="K39" s="570">
        <f>(B39*90%)+($E$24*10%)</f>
        <v>10360.044000000002</v>
      </c>
      <c r="M39" s="571">
        <f>(C39*90%)+(BIODIESEL!I$8)</f>
        <v>4865.3372399999998</v>
      </c>
      <c r="N39" s="436">
        <f t="shared" si="5"/>
        <v>4610.136512</v>
      </c>
      <c r="O39" s="557" t="s">
        <v>320</v>
      </c>
      <c r="P39" s="313" t="s">
        <v>394</v>
      </c>
      <c r="R39" s="125">
        <f>(B39*95%)+5%*$E$24</f>
        <v>10137.101999999999</v>
      </c>
      <c r="S39" s="125">
        <f>(C39*95%)+(5%*$D$24)</f>
        <v>4227.3354200000003</v>
      </c>
      <c r="T39" s="373" t="s">
        <v>117</v>
      </c>
    </row>
    <row r="40" spans="1:23" ht="20.5" customHeight="1" x14ac:dyDescent="0.35">
      <c r="A40" s="126" t="s">
        <v>368</v>
      </c>
      <c r="B40" s="528">
        <f t="shared" si="10"/>
        <v>9914.16</v>
      </c>
      <c r="C40" s="529">
        <f t="shared" si="10"/>
        <v>3405.571175</v>
      </c>
      <c r="D40" s="126">
        <f t="shared" si="3"/>
        <v>3337.4597515</v>
      </c>
      <c r="E40" s="126">
        <f t="shared" si="4"/>
        <v>326.98740000000004</v>
      </c>
      <c r="F40" s="488">
        <f t="shared" si="7"/>
        <v>3664.4471515</v>
      </c>
      <c r="G40" s="488">
        <f>($B$40*98%)+('GAS CTE'!D$8)</f>
        <v>10003.336799999999</v>
      </c>
      <c r="H40" s="488">
        <f>($B$40*96%)+('GAS CTE'!E$8)</f>
        <v>10092.5136</v>
      </c>
      <c r="I40" s="488">
        <f t="shared" si="9"/>
        <v>10137.101999999999</v>
      </c>
      <c r="J40" s="488">
        <f>ROUND(($B40*94%),2)+($E$24*6%)</f>
        <v>10181.689999999999</v>
      </c>
      <c r="K40" s="491">
        <f>(B40*90%)+($E$24*10%)</f>
        <v>10360.044000000002</v>
      </c>
      <c r="M40" s="143">
        <f>(C40*90%)+(BIODIESEL!I$8)</f>
        <v>4699.9510575000004</v>
      </c>
      <c r="N40" s="436">
        <f t="shared" si="5"/>
        <v>4441.075081</v>
      </c>
      <c r="O40" s="369" t="s">
        <v>376</v>
      </c>
      <c r="P40" s="313" t="s">
        <v>394</v>
      </c>
      <c r="R40" s="314">
        <f>(B40*95%)+5%*$E$24</f>
        <v>10137.101999999999</v>
      </c>
      <c r="S40" s="125">
        <f>(C40*95%)+(5%*$D$24)</f>
        <v>4052.7611162499998</v>
      </c>
      <c r="T40" s="373" t="s">
        <v>442</v>
      </c>
      <c r="W40" t="s">
        <v>148</v>
      </c>
    </row>
    <row r="41" spans="1:23" ht="20.5" customHeight="1" x14ac:dyDescent="0.35">
      <c r="A41" s="126" t="s">
        <v>367</v>
      </c>
      <c r="B41" s="528">
        <f t="shared" si="10"/>
        <v>9914.16</v>
      </c>
      <c r="C41" s="529">
        <f t="shared" si="10"/>
        <v>3589.3335999999999</v>
      </c>
      <c r="D41" s="126">
        <f>+ROUND(C41*0.98,2)</f>
        <v>3517.55</v>
      </c>
      <c r="E41" s="126">
        <f t="shared" si="4"/>
        <v>326.98740000000004</v>
      </c>
      <c r="F41" s="488">
        <f t="shared" si="7"/>
        <v>3844.5374000000002</v>
      </c>
      <c r="G41" s="488">
        <f>($B$41*98%)+('GAS CTE'!D$8)</f>
        <v>10003.336799999999</v>
      </c>
      <c r="H41" s="488">
        <f>($B$41*96%)+('GAS CTE'!E$8)</f>
        <v>10092.5136</v>
      </c>
      <c r="I41" s="488">
        <f>ROUND((B41*95%),2)+($E$24*5%)</f>
        <v>10137.1</v>
      </c>
      <c r="J41" s="489"/>
      <c r="K41" s="491">
        <f>(B41*90%)+($E$24*10%)</f>
        <v>10360.044000000002</v>
      </c>
      <c r="M41" s="143">
        <f>(C41*90%)+(BIODIESEL!I$8)</f>
        <v>4865.3372399999998</v>
      </c>
      <c r="N41" s="436">
        <f t="shared" si="5"/>
        <v>4610.136512</v>
      </c>
      <c r="O41" s="369" t="s">
        <v>319</v>
      </c>
      <c r="P41" s="313" t="s">
        <v>394</v>
      </c>
      <c r="R41" s="314">
        <f>(B41*95%)+5%*$E$24</f>
        <v>10137.101999999999</v>
      </c>
      <c r="S41" s="125">
        <f>(C41*95%)+(5%*$D$24)</f>
        <v>4227.3354200000003</v>
      </c>
      <c r="T41" s="373" t="s">
        <v>443</v>
      </c>
    </row>
    <row r="42" spans="1:23" ht="20.5" customHeight="1" x14ac:dyDescent="0.35">
      <c r="A42" s="126" t="s">
        <v>420</v>
      </c>
      <c r="B42" s="528">
        <f>+B$24*B9</f>
        <v>9914.16</v>
      </c>
      <c r="C42" s="529">
        <f>+C$24*C9</f>
        <v>4565.8996299999999</v>
      </c>
      <c r="D42" s="126">
        <f t="shared" ref="D42" si="11">+ROUND(C42*0.98,2)</f>
        <v>4474.58</v>
      </c>
      <c r="E42" s="126">
        <f t="shared" ref="E42" si="12">+D$24*0.02</f>
        <v>326.98740000000004</v>
      </c>
      <c r="F42" s="488">
        <f t="shared" ref="F42:F44" si="13">+D42+E42</f>
        <v>4801.5673999999999</v>
      </c>
      <c r="G42" s="488"/>
      <c r="H42" s="488">
        <f>(B42*96%)+('GAS CTE'!E$8)</f>
        <v>10092.5136</v>
      </c>
      <c r="I42" s="488"/>
      <c r="J42" s="489"/>
      <c r="K42" s="491"/>
      <c r="L42">
        <f>(C42*90%)+(BIODIESEL!I$8)</f>
        <v>5744.2466670000003</v>
      </c>
      <c r="M42" s="143"/>
      <c r="N42" s="436"/>
      <c r="O42" s="369"/>
      <c r="P42" s="313">
        <f>(C42*88%)+(BIODIESEL!K$8)</f>
        <v>5979.9160744000001</v>
      </c>
      <c r="R42" s="314"/>
      <c r="S42" s="125"/>
      <c r="T42" s="373"/>
    </row>
    <row r="43" spans="1:23" ht="20.5" customHeight="1" x14ac:dyDescent="0.35">
      <c r="A43" s="126" t="s">
        <v>421</v>
      </c>
      <c r="B43" s="528">
        <f>+B$24*B10</f>
        <v>9914.16</v>
      </c>
      <c r="C43" s="529">
        <f>+C$24*C10</f>
        <v>4565.8996299999999</v>
      </c>
      <c r="D43" s="126">
        <f t="shared" ref="D43:D44" si="14">+ROUND(C43*0.98,2)</f>
        <v>4474.58</v>
      </c>
      <c r="E43" s="126">
        <f t="shared" ref="E43:E44" si="15">+D$24*0.02</f>
        <v>326.98740000000004</v>
      </c>
      <c r="F43" s="488">
        <f t="shared" si="13"/>
        <v>4801.5673999999999</v>
      </c>
      <c r="G43" s="488"/>
      <c r="H43" s="488">
        <f>(B43*96%)+('GAS CTE'!E$8)</f>
        <v>10092.5136</v>
      </c>
      <c r="I43" s="488"/>
      <c r="J43" s="489"/>
      <c r="K43" s="491"/>
      <c r="L43">
        <f>(C43*90%)+(BIODIESEL!I$8)</f>
        <v>5744.2466670000003</v>
      </c>
      <c r="M43" s="143"/>
      <c r="N43" s="436"/>
      <c r="O43" s="369"/>
      <c r="P43" s="313">
        <f>(C43*88%)+(BIODIESEL!K$8)</f>
        <v>5979.9160744000001</v>
      </c>
      <c r="R43" s="314"/>
      <c r="S43" s="125"/>
      <c r="T43" s="373"/>
    </row>
    <row r="44" spans="1:23" ht="20.5" customHeight="1" x14ac:dyDescent="0.35">
      <c r="A44" s="126" t="s">
        <v>419</v>
      </c>
      <c r="B44" s="528">
        <f>+B$24*B14</f>
        <v>9813.0355679999993</v>
      </c>
      <c r="C44" s="529">
        <f>+C$24*C14</f>
        <v>3566.9002649999998</v>
      </c>
      <c r="D44" s="126">
        <f t="shared" si="14"/>
        <v>3495.56</v>
      </c>
      <c r="E44" s="126">
        <f t="shared" si="15"/>
        <v>326.98740000000004</v>
      </c>
      <c r="F44" s="488">
        <f t="shared" si="13"/>
        <v>3822.5473999999999</v>
      </c>
      <c r="G44" s="488"/>
      <c r="H44" s="488">
        <f>(B44*96%)+('GAS CTE'!E$8)</f>
        <v>9995.4341452799999</v>
      </c>
      <c r="I44" s="488"/>
      <c r="J44" s="489"/>
      <c r="K44" s="491"/>
      <c r="L44">
        <f>(C44*90%)+(BIODIESEL!I$8)</f>
        <v>4845.1472384999997</v>
      </c>
      <c r="M44" s="143"/>
      <c r="N44" s="436"/>
      <c r="O44" s="369"/>
      <c r="P44" s="313"/>
      <c r="R44" s="314"/>
      <c r="S44" s="125"/>
      <c r="T44" s="373"/>
    </row>
    <row r="46" spans="1:23" ht="15.5" x14ac:dyDescent="0.35">
      <c r="A46" s="248" t="s">
        <v>355</v>
      </c>
      <c r="B46" s="381" t="s">
        <v>514</v>
      </c>
      <c r="C46" s="381"/>
    </row>
    <row r="48" spans="1:23" x14ac:dyDescent="0.35">
      <c r="A48" s="258" t="s">
        <v>352</v>
      </c>
      <c r="B48" s="258" t="s">
        <v>350</v>
      </c>
      <c r="C48" s="258" t="s">
        <v>351</v>
      </c>
      <c r="D48" t="s">
        <v>148</v>
      </c>
    </row>
    <row r="49" spans="1:5" x14ac:dyDescent="0.35">
      <c r="A49" s="246" t="s">
        <v>353</v>
      </c>
      <c r="B49" s="247">
        <v>30000002129</v>
      </c>
      <c r="C49" s="17"/>
    </row>
    <row r="50" spans="1:5" x14ac:dyDescent="0.35">
      <c r="A50" s="246" t="s">
        <v>354</v>
      </c>
      <c r="B50" s="247">
        <v>30000000070</v>
      </c>
      <c r="C50" s="247">
        <v>30000000070</v>
      </c>
    </row>
    <row r="51" spans="1:5" x14ac:dyDescent="0.35">
      <c r="A51" s="246" t="s">
        <v>366</v>
      </c>
      <c r="B51" s="251">
        <v>30000009250</v>
      </c>
      <c r="C51" s="247"/>
      <c r="E51" t="s">
        <v>148</v>
      </c>
    </row>
    <row r="52" spans="1:5" x14ac:dyDescent="0.35">
      <c r="A52" s="246" t="s">
        <v>106</v>
      </c>
      <c r="B52" s="247" t="s">
        <v>148</v>
      </c>
      <c r="C52" s="247">
        <v>30000000003</v>
      </c>
    </row>
  </sheetData>
  <sortState xmlns:xlrd2="http://schemas.microsoft.com/office/spreadsheetml/2017/richdata2" ref="A4:C17">
    <sortCondition ref="A3:A17"/>
  </sortState>
  <mergeCells count="2">
    <mergeCell ref="B2:C2"/>
    <mergeCell ref="A2:A3"/>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BF167"/>
  <sheetViews>
    <sheetView showGridLines="0" topLeftCell="Q17" zoomScale="85" zoomScaleNormal="85" workbookViewId="0">
      <selection activeCell="R9" sqref="R9"/>
    </sheetView>
  </sheetViews>
  <sheetFormatPr baseColWidth="10" defaultRowHeight="14.5" x14ac:dyDescent="0.35"/>
  <cols>
    <col min="1" max="1" width="23.81640625" customWidth="1"/>
    <col min="2" max="2" width="13.81640625" customWidth="1"/>
    <col min="3" max="3" width="13.1796875" customWidth="1"/>
    <col min="4" max="4" width="14.1796875" customWidth="1"/>
    <col min="5" max="7" width="13.1796875" customWidth="1"/>
    <col min="8" max="8" width="12.81640625" customWidth="1"/>
    <col min="9" max="9" width="13.1796875" customWidth="1"/>
    <col min="10" max="10" width="11.1796875" customWidth="1"/>
    <col min="11" max="13" width="12.81640625" customWidth="1"/>
    <col min="14" max="18" width="11.1796875" customWidth="1"/>
    <col min="19" max="20" width="13.54296875" customWidth="1"/>
    <col min="21" max="22" width="11.1796875" customWidth="1"/>
    <col min="23" max="24" width="13.1796875" customWidth="1"/>
    <col min="25" max="25" width="11.1796875" customWidth="1"/>
    <col min="26" max="26" width="14.1796875" customWidth="1"/>
    <col min="27" max="27" width="12.81640625" customWidth="1"/>
    <col min="28" max="28" width="11.1796875" customWidth="1"/>
    <col min="29" max="29" width="13" customWidth="1"/>
    <col min="30" max="30" width="14.7265625" customWidth="1"/>
    <col min="31" max="31" width="15.1796875" customWidth="1"/>
    <col min="32" max="32" width="13.54296875" customWidth="1"/>
    <col min="33" max="33" width="13" customWidth="1"/>
    <col min="36" max="36" width="20.26953125" customWidth="1"/>
    <col min="38" max="42" width="12.1796875" bestFit="1" customWidth="1"/>
    <col min="43" max="43" width="11.81640625" bestFit="1" customWidth="1"/>
    <col min="44" max="44" width="12.1796875" bestFit="1" customWidth="1"/>
  </cols>
  <sheetData>
    <row r="1" spans="1:36" x14ac:dyDescent="0.35">
      <c r="A1" s="15" t="s">
        <v>74</v>
      </c>
    </row>
    <row r="2" spans="1:36" x14ac:dyDescent="0.35">
      <c r="A2" s="16" t="s">
        <v>75</v>
      </c>
      <c r="B2" s="16"/>
      <c r="C2" s="16"/>
      <c r="D2" s="16"/>
      <c r="AB2" s="383">
        <v>2016</v>
      </c>
      <c r="AC2" s="383">
        <v>2017</v>
      </c>
      <c r="AD2" s="383">
        <v>2018</v>
      </c>
      <c r="AE2" s="384">
        <v>2019</v>
      </c>
      <c r="AF2" s="384">
        <v>2020</v>
      </c>
      <c r="AG2" s="385">
        <v>2021</v>
      </c>
    </row>
    <row r="3" spans="1:36" x14ac:dyDescent="0.35">
      <c r="Y3" t="s">
        <v>487</v>
      </c>
      <c r="AB3" s="18">
        <v>5.7500000000000002E-2</v>
      </c>
      <c r="AC3" s="18">
        <v>4.0899999999999999E-2</v>
      </c>
      <c r="AD3" s="18">
        <v>3.1800000000000002E-2</v>
      </c>
      <c r="AE3" s="18">
        <v>3.7999999999999999E-2</v>
      </c>
      <c r="AF3" s="18">
        <v>1.61E-2</v>
      </c>
      <c r="AG3" s="290">
        <v>5.62E-2</v>
      </c>
    </row>
    <row r="4" spans="1:36" x14ac:dyDescent="0.35">
      <c r="B4" s="383">
        <v>2013</v>
      </c>
      <c r="C4" s="383">
        <v>2014</v>
      </c>
      <c r="D4" s="383">
        <v>2015</v>
      </c>
      <c r="E4" s="383">
        <v>2016</v>
      </c>
      <c r="F4" s="383">
        <v>2017</v>
      </c>
      <c r="G4" s="383">
        <v>2018</v>
      </c>
      <c r="H4" s="384">
        <v>2019</v>
      </c>
      <c r="I4" s="384">
        <v>2020</v>
      </c>
      <c r="J4" s="384">
        <v>2021</v>
      </c>
      <c r="K4" s="385">
        <v>2022</v>
      </c>
      <c r="R4" t="s">
        <v>489</v>
      </c>
      <c r="S4" t="s">
        <v>490</v>
      </c>
      <c r="W4" s="516">
        <f>+T13</f>
        <v>21.104913852952627</v>
      </c>
      <c r="Y4" s="2">
        <v>2019</v>
      </c>
      <c r="Z4" s="312">
        <v>21.1</v>
      </c>
    </row>
    <row r="5" spans="1:36" x14ac:dyDescent="0.35">
      <c r="A5" s="17" t="s">
        <v>76</v>
      </c>
      <c r="B5" s="18">
        <v>1.9400000000000001E-2</v>
      </c>
      <c r="C5" s="18">
        <v>3.6600000000000001E-2</v>
      </c>
      <c r="D5" s="18">
        <v>6.7699999999999996E-2</v>
      </c>
      <c r="E5" s="18">
        <v>5.7500000000000002E-2</v>
      </c>
      <c r="F5" s="18">
        <v>4.0899999999999999E-2</v>
      </c>
      <c r="G5" s="18">
        <v>3.1800000000000002E-2</v>
      </c>
      <c r="H5" s="18">
        <v>3.7999999999999999E-2</v>
      </c>
      <c r="I5" s="18">
        <v>1.61E-2</v>
      </c>
      <c r="J5" s="18">
        <v>5.62E-2</v>
      </c>
      <c r="K5" s="290">
        <v>0.13120000000000001</v>
      </c>
      <c r="R5">
        <v>2020</v>
      </c>
      <c r="S5" s="521">
        <v>81596633</v>
      </c>
      <c r="T5" s="519">
        <f>+S5*0.01</f>
        <v>815966.33000000007</v>
      </c>
      <c r="W5" s="517">
        <f>+W4*(1+AE3)</f>
        <v>21.906900579364827</v>
      </c>
      <c r="X5" s="518">
        <f>+ROUND(W4,2)*(1+AE3)</f>
        <v>21.901800000000001</v>
      </c>
      <c r="Y5" s="2">
        <v>2020</v>
      </c>
      <c r="Z5" s="312">
        <f>+Z4*(1+AE3)</f>
        <v>21.901800000000001</v>
      </c>
      <c r="AA5" s="312">
        <f>+ROUND(Z5,2)</f>
        <v>21.9</v>
      </c>
      <c r="AC5">
        <v>21.91</v>
      </c>
      <c r="AD5" s="312">
        <v>21.9</v>
      </c>
    </row>
    <row r="6" spans="1:36" x14ac:dyDescent="0.35">
      <c r="A6" s="19" t="s">
        <v>77</v>
      </c>
      <c r="B6" s="20"/>
      <c r="C6" s="21"/>
      <c r="D6" s="18">
        <v>7.9299999999999995E-2</v>
      </c>
      <c r="R6">
        <v>2021</v>
      </c>
      <c r="S6" s="521">
        <v>105647084</v>
      </c>
      <c r="T6" s="520">
        <f>+S6*0.01</f>
        <v>1056470.8400000001</v>
      </c>
      <c r="W6" s="330">
        <f>+W5*(1+AF3)</f>
        <v>22.259601678692601</v>
      </c>
      <c r="X6" s="312">
        <f>21.9*(1+AF3)</f>
        <v>22.252589999999998</v>
      </c>
      <c r="Y6" s="2">
        <v>2021</v>
      </c>
      <c r="Z6" s="312">
        <f>+AA5*(1+AF3)</f>
        <v>22.252589999999998</v>
      </c>
      <c r="AA6" s="312">
        <f>+ROUND(Z6,2)</f>
        <v>22.25</v>
      </c>
      <c r="AC6" s="282">
        <v>22.26</v>
      </c>
      <c r="AD6" s="395">
        <v>22.25</v>
      </c>
      <c r="AE6" s="395" t="s">
        <v>488</v>
      </c>
    </row>
    <row r="7" spans="1:36" x14ac:dyDescent="0.35">
      <c r="A7" t="s">
        <v>78</v>
      </c>
      <c r="Y7" s="2">
        <v>2022</v>
      </c>
      <c r="Z7" s="312">
        <f>+AA6*(1+AG3)</f>
        <v>23.500450000000001</v>
      </c>
      <c r="AA7" s="312">
        <f>+ROUND(Z7,2)</f>
        <v>23.5</v>
      </c>
    </row>
    <row r="8" spans="1:36" x14ac:dyDescent="0.35">
      <c r="C8" s="330"/>
      <c r="D8" s="330"/>
      <c r="E8" s="330"/>
      <c r="F8" s="330"/>
      <c r="G8" s="330"/>
      <c r="H8" s="330"/>
      <c r="I8" s="330"/>
      <c r="J8" s="330"/>
    </row>
    <row r="9" spans="1:36" x14ac:dyDescent="0.35">
      <c r="A9" s="15" t="s">
        <v>79</v>
      </c>
      <c r="H9" t="s">
        <v>413</v>
      </c>
      <c r="W9" s="330">
        <f>21.91*1.0161</f>
        <v>22.262751000000002</v>
      </c>
      <c r="AF9" s="15" t="s">
        <v>79</v>
      </c>
    </row>
    <row r="10" spans="1:36" ht="15" thickBot="1" x14ac:dyDescent="0.4"/>
    <row r="11" spans="1:36" x14ac:dyDescent="0.35">
      <c r="B11" s="751">
        <v>2013</v>
      </c>
      <c r="C11" s="751"/>
      <c r="D11" s="751"/>
      <c r="E11" s="751">
        <v>2014</v>
      </c>
      <c r="F11" s="751"/>
      <c r="G11" s="751"/>
      <c r="H11" s="751">
        <v>2015</v>
      </c>
      <c r="I11" s="751"/>
      <c r="J11" s="751"/>
      <c r="K11" s="751">
        <v>2016</v>
      </c>
      <c r="L11" s="751"/>
      <c r="M11" s="751"/>
      <c r="N11" s="751">
        <v>2017</v>
      </c>
      <c r="O11" s="751"/>
      <c r="P11" s="739"/>
      <c r="Q11" s="747">
        <v>2018</v>
      </c>
      <c r="R11" s="748"/>
      <c r="S11" s="749"/>
      <c r="T11" s="741">
        <v>2019</v>
      </c>
      <c r="U11" s="751"/>
      <c r="V11" s="739"/>
      <c r="W11" s="747">
        <v>2020</v>
      </c>
      <c r="X11" s="748"/>
      <c r="Y11" s="749"/>
      <c r="Z11" s="747">
        <v>2021</v>
      </c>
      <c r="AA11" s="748"/>
      <c r="AB11" s="749"/>
      <c r="AC11" s="752">
        <v>2022</v>
      </c>
      <c r="AD11" s="753"/>
      <c r="AE11" s="753"/>
      <c r="AF11" s="741">
        <v>2023</v>
      </c>
      <c r="AG11" s="751"/>
      <c r="AH11" s="751"/>
    </row>
    <row r="12" spans="1:36" s="23" customFormat="1" ht="43.5" x14ac:dyDescent="0.35">
      <c r="A12" s="22" t="s">
        <v>80</v>
      </c>
      <c r="B12" s="22" t="s">
        <v>81</v>
      </c>
      <c r="C12" s="22" t="s">
        <v>82</v>
      </c>
      <c r="D12" s="22" t="s">
        <v>83</v>
      </c>
      <c r="E12" s="22" t="s">
        <v>81</v>
      </c>
      <c r="F12" s="22" t="s">
        <v>82</v>
      </c>
      <c r="G12" s="22" t="s">
        <v>83</v>
      </c>
      <c r="H12" s="22" t="s">
        <v>81</v>
      </c>
      <c r="I12" s="22" t="s">
        <v>82</v>
      </c>
      <c r="J12" s="22" t="s">
        <v>83</v>
      </c>
      <c r="K12" s="22" t="s">
        <v>81</v>
      </c>
      <c r="L12" s="22" t="s">
        <v>82</v>
      </c>
      <c r="M12" s="22" t="s">
        <v>83</v>
      </c>
      <c r="N12" s="22" t="s">
        <v>81</v>
      </c>
      <c r="O12" s="22" t="s">
        <v>82</v>
      </c>
      <c r="P12" s="293" t="s">
        <v>83</v>
      </c>
      <c r="Q12" s="296" t="s">
        <v>81</v>
      </c>
      <c r="R12" s="22" t="s">
        <v>82</v>
      </c>
      <c r="S12" s="297" t="s">
        <v>83</v>
      </c>
      <c r="T12" s="294" t="s">
        <v>81</v>
      </c>
      <c r="U12" s="22" t="s">
        <v>82</v>
      </c>
      <c r="V12" s="293" t="s">
        <v>83</v>
      </c>
      <c r="W12" s="296" t="s">
        <v>81</v>
      </c>
      <c r="X12" s="22" t="s">
        <v>82</v>
      </c>
      <c r="Y12" s="297" t="s">
        <v>83</v>
      </c>
      <c r="Z12" s="296" t="s">
        <v>81</v>
      </c>
      <c r="AA12" s="22" t="s">
        <v>82</v>
      </c>
      <c r="AB12" s="297" t="s">
        <v>83</v>
      </c>
      <c r="AC12" s="386" t="s">
        <v>81</v>
      </c>
      <c r="AD12" s="387" t="s">
        <v>82</v>
      </c>
      <c r="AE12" s="387" t="s">
        <v>83</v>
      </c>
      <c r="AF12" s="599" t="s">
        <v>81</v>
      </c>
      <c r="AG12" s="600" t="s">
        <v>82</v>
      </c>
      <c r="AH12" s="600" t="s">
        <v>83</v>
      </c>
    </row>
    <row r="13" spans="1:36" x14ac:dyDescent="0.35">
      <c r="A13" s="17" t="s">
        <v>84</v>
      </c>
      <c r="B13" s="17">
        <v>16.47</v>
      </c>
      <c r="C13" s="17">
        <v>16.47</v>
      </c>
      <c r="D13" s="17">
        <v>0</v>
      </c>
      <c r="E13" s="24">
        <f>B13*(1+$B$5)</f>
        <v>16.789518000000001</v>
      </c>
      <c r="F13" s="24">
        <f t="shared" ref="F13:G20" si="0">C13*(1+$B$5)</f>
        <v>16.789518000000001</v>
      </c>
      <c r="G13" s="24">
        <f t="shared" si="0"/>
        <v>0</v>
      </c>
      <c r="H13" s="24">
        <f>E13*(1+$C$5)</f>
        <v>17.404014358800001</v>
      </c>
      <c r="I13" s="24">
        <f>F13*(1+$C$5)</f>
        <v>17.404014358800001</v>
      </c>
      <c r="J13" s="24">
        <f>G13*(1+$C$5)</f>
        <v>0</v>
      </c>
      <c r="K13" s="24">
        <f>H13*(1+$D$5)</f>
        <v>18.582266130890762</v>
      </c>
      <c r="L13" s="24">
        <f>I13*(1+$D$5)</f>
        <v>18.582266130890762</v>
      </c>
      <c r="M13" s="24">
        <f>J13*(1+$D$5)</f>
        <v>0</v>
      </c>
      <c r="N13" s="25">
        <f>K13*(1+$E$5)</f>
        <v>19.650746433416984</v>
      </c>
      <c r="O13" s="25">
        <f t="shared" ref="O13:P21" si="1">L13*(1+$E$5)</f>
        <v>19.650746433416984</v>
      </c>
      <c r="P13" s="303">
        <f t="shared" si="1"/>
        <v>0</v>
      </c>
      <c r="Q13" s="305">
        <f>N13*(1+$F$5)</f>
        <v>20.454461962543736</v>
      </c>
      <c r="R13" s="26">
        <f>O13*(1+$F$5)</f>
        <v>20.454461962543736</v>
      </c>
      <c r="S13" s="306">
        <f>P13*(1+$F$5)</f>
        <v>0</v>
      </c>
      <c r="T13" s="304">
        <f t="shared" ref="T13:V21" si="2">Q13*(1+$G$5)</f>
        <v>21.104913852952627</v>
      </c>
      <c r="U13" s="27">
        <f t="shared" si="2"/>
        <v>21.104913852952627</v>
      </c>
      <c r="V13" s="295">
        <f t="shared" si="2"/>
        <v>0</v>
      </c>
      <c r="W13" s="329">
        <f t="shared" ref="W13:W21" si="3">T13*(1+$H$5)</f>
        <v>21.906900579364827</v>
      </c>
      <c r="X13" s="27">
        <f t="shared" ref="X13:X21" si="4">U13*(1+$H$5)</f>
        <v>21.906900579364827</v>
      </c>
      <c r="Y13" s="299">
        <f t="shared" ref="Y13:Y21" si="5">V13*(1+$G$5)</f>
        <v>0</v>
      </c>
      <c r="Z13" s="596">
        <f t="shared" ref="Z13:AA17" si="6">W13*(1+$I$5)-0.01</f>
        <v>22.249601678692599</v>
      </c>
      <c r="AA13" s="27">
        <f t="shared" si="6"/>
        <v>22.249601678692599</v>
      </c>
      <c r="AB13" s="299"/>
      <c r="AC13" s="595">
        <f>Z13*(1+$J$5)</f>
        <v>23.500029293035123</v>
      </c>
      <c r="AD13" s="389">
        <f t="shared" ref="AD13:AD21" si="7">AA13*(1+$J$5)</f>
        <v>23.500029293035123</v>
      </c>
      <c r="AE13" s="389"/>
      <c r="AF13" s="601">
        <f>AC13*(1+$K$5)</f>
        <v>26.583233136281329</v>
      </c>
      <c r="AG13" s="602">
        <f t="shared" ref="AG13:AG21" si="8">AD13*(1+$K$5)</f>
        <v>26.583233136281329</v>
      </c>
      <c r="AH13" s="602"/>
      <c r="AJ13" s="17" t="s">
        <v>84</v>
      </c>
    </row>
    <row r="14" spans="1:36" x14ac:dyDescent="0.35">
      <c r="A14" s="17" t="s">
        <v>85</v>
      </c>
      <c r="B14" s="17">
        <v>7.62</v>
      </c>
      <c r="C14" s="17">
        <v>16.47</v>
      </c>
      <c r="D14" s="17">
        <v>0</v>
      </c>
      <c r="E14" s="24">
        <f t="shared" ref="E14:E20" si="9">B14*(1+$B$5)</f>
        <v>7.7678280000000006</v>
      </c>
      <c r="F14" s="24">
        <f t="shared" si="0"/>
        <v>16.789518000000001</v>
      </c>
      <c r="G14" s="24">
        <f t="shared" si="0"/>
        <v>0</v>
      </c>
      <c r="H14" s="24">
        <f t="shared" ref="H14:J20" si="10">E14*(1+$C$5)</f>
        <v>8.0521305048000009</v>
      </c>
      <c r="I14" s="24">
        <f t="shared" si="10"/>
        <v>17.404014358800001</v>
      </c>
      <c r="J14" s="24">
        <f t="shared" si="10"/>
        <v>0</v>
      </c>
      <c r="K14" s="24">
        <f t="shared" ref="K14:M20" si="11">H14*(1+$D$5)</f>
        <v>8.5972597399749624</v>
      </c>
      <c r="L14" s="24">
        <f t="shared" si="11"/>
        <v>18.582266130890762</v>
      </c>
      <c r="M14" s="24">
        <f t="shared" si="11"/>
        <v>0</v>
      </c>
      <c r="N14" s="25">
        <f t="shared" ref="N14:N21" si="12">K14*(1+$E$5)</f>
        <v>9.0916021750235245</v>
      </c>
      <c r="O14" s="25">
        <f t="shared" si="1"/>
        <v>19.650746433416984</v>
      </c>
      <c r="P14" s="303">
        <f t="shared" si="1"/>
        <v>0</v>
      </c>
      <c r="Q14" s="305">
        <f t="shared" ref="Q14:S21" si="13">N14*(1+$F$5)</f>
        <v>9.4634487039819852</v>
      </c>
      <c r="R14" s="26">
        <f t="shared" si="13"/>
        <v>20.454461962543736</v>
      </c>
      <c r="S14" s="306">
        <f t="shared" si="13"/>
        <v>0</v>
      </c>
      <c r="T14" s="304">
        <f t="shared" si="2"/>
        <v>9.7643863727686124</v>
      </c>
      <c r="U14" s="27">
        <f t="shared" si="2"/>
        <v>21.104913852952627</v>
      </c>
      <c r="V14" s="295">
        <f t="shared" si="2"/>
        <v>0</v>
      </c>
      <c r="W14" s="298">
        <f t="shared" si="3"/>
        <v>10.13543305493382</v>
      </c>
      <c r="X14" s="27">
        <f t="shared" si="4"/>
        <v>21.906900579364827</v>
      </c>
      <c r="Y14" s="299">
        <f t="shared" si="5"/>
        <v>0</v>
      </c>
      <c r="Z14" s="298">
        <f t="shared" si="6"/>
        <v>10.288613527118255</v>
      </c>
      <c r="AA14" s="27">
        <f t="shared" si="6"/>
        <v>22.249601678692599</v>
      </c>
      <c r="AB14" s="299"/>
      <c r="AC14" s="388">
        <f t="shared" ref="AC14:AC21" si="14">Z14*(1+$J$5)</f>
        <v>10.866833607342301</v>
      </c>
      <c r="AD14" s="389">
        <f t="shared" si="7"/>
        <v>23.500029293035123</v>
      </c>
      <c r="AE14" s="389"/>
      <c r="AF14" s="601">
        <f t="shared" ref="AF14:AF21" si="15">AC14*(1+$K$5)</f>
        <v>12.29256217662561</v>
      </c>
      <c r="AG14" s="602">
        <f t="shared" si="8"/>
        <v>26.583233136281329</v>
      </c>
      <c r="AH14" s="602"/>
      <c r="AJ14" s="17" t="s">
        <v>85</v>
      </c>
    </row>
    <row r="15" spans="1:36" x14ac:dyDescent="0.35">
      <c r="A15" s="17" t="s">
        <v>86</v>
      </c>
      <c r="B15" s="17">
        <v>16.47</v>
      </c>
      <c r="C15" s="17">
        <v>16.47</v>
      </c>
      <c r="D15" s="17">
        <v>0</v>
      </c>
      <c r="E15" s="24">
        <f>B15*(1+$B$5)</f>
        <v>16.789518000000001</v>
      </c>
      <c r="F15" s="24">
        <f t="shared" si="0"/>
        <v>16.789518000000001</v>
      </c>
      <c r="G15" s="24">
        <f t="shared" si="0"/>
        <v>0</v>
      </c>
      <c r="H15" s="24">
        <f t="shared" si="10"/>
        <v>17.404014358800001</v>
      </c>
      <c r="I15" s="24">
        <f t="shared" si="10"/>
        <v>17.404014358800001</v>
      </c>
      <c r="J15" s="24">
        <f t="shared" si="10"/>
        <v>0</v>
      </c>
      <c r="K15" s="24">
        <f t="shared" si="11"/>
        <v>18.582266130890762</v>
      </c>
      <c r="L15" s="24">
        <f t="shared" si="11"/>
        <v>18.582266130890762</v>
      </c>
      <c r="M15" s="24">
        <f t="shared" si="11"/>
        <v>0</v>
      </c>
      <c r="N15" s="25">
        <f t="shared" si="12"/>
        <v>19.650746433416984</v>
      </c>
      <c r="O15" s="25">
        <f t="shared" si="1"/>
        <v>19.650746433416984</v>
      </c>
      <c r="P15" s="303">
        <f t="shared" si="1"/>
        <v>0</v>
      </c>
      <c r="Q15" s="305">
        <f t="shared" si="13"/>
        <v>20.454461962543736</v>
      </c>
      <c r="R15" s="26">
        <f t="shared" si="13"/>
        <v>20.454461962543736</v>
      </c>
      <c r="S15" s="306">
        <f t="shared" si="13"/>
        <v>0</v>
      </c>
      <c r="T15" s="304">
        <f t="shared" si="2"/>
        <v>21.104913852952627</v>
      </c>
      <c r="U15" s="27">
        <f t="shared" si="2"/>
        <v>21.104913852952627</v>
      </c>
      <c r="V15" s="295">
        <f t="shared" si="2"/>
        <v>0</v>
      </c>
      <c r="W15" s="597">
        <f t="shared" si="3"/>
        <v>21.906900579364827</v>
      </c>
      <c r="X15" s="27">
        <f t="shared" si="4"/>
        <v>21.906900579364827</v>
      </c>
      <c r="Y15" s="299">
        <f t="shared" si="5"/>
        <v>0</v>
      </c>
      <c r="Z15" s="596">
        <f>W15*(1+$I$5)-0.01</f>
        <v>22.249601678692599</v>
      </c>
      <c r="AA15" s="27">
        <f t="shared" si="6"/>
        <v>22.249601678692599</v>
      </c>
      <c r="AB15" s="299"/>
      <c r="AC15" s="595">
        <f t="shared" si="14"/>
        <v>23.500029293035123</v>
      </c>
      <c r="AD15" s="389">
        <f t="shared" si="7"/>
        <v>23.500029293035123</v>
      </c>
      <c r="AE15" s="389"/>
      <c r="AF15" s="601">
        <f t="shared" si="15"/>
        <v>26.583233136281329</v>
      </c>
      <c r="AG15" s="602">
        <f>+AF15</f>
        <v>26.583233136281329</v>
      </c>
      <c r="AH15" s="602"/>
      <c r="AJ15" s="17" t="s">
        <v>86</v>
      </c>
    </row>
    <row r="16" spans="1:36" x14ac:dyDescent="0.35">
      <c r="A16" s="17" t="s">
        <v>87</v>
      </c>
      <c r="B16" s="17">
        <v>7.62</v>
      </c>
      <c r="C16" s="17">
        <v>16.47</v>
      </c>
      <c r="D16" s="17">
        <v>0</v>
      </c>
      <c r="E16" s="24">
        <f t="shared" si="9"/>
        <v>7.7678280000000006</v>
      </c>
      <c r="F16" s="24">
        <f t="shared" si="0"/>
        <v>16.789518000000001</v>
      </c>
      <c r="G16" s="24">
        <f t="shared" si="0"/>
        <v>0</v>
      </c>
      <c r="H16" s="24">
        <f t="shared" si="10"/>
        <v>8.0521305048000009</v>
      </c>
      <c r="I16" s="24">
        <f t="shared" si="10"/>
        <v>17.404014358800001</v>
      </c>
      <c r="J16" s="24">
        <f t="shared" si="10"/>
        <v>0</v>
      </c>
      <c r="K16" s="24">
        <f t="shared" si="11"/>
        <v>8.5972597399749624</v>
      </c>
      <c r="L16" s="24">
        <f t="shared" si="11"/>
        <v>18.582266130890762</v>
      </c>
      <c r="M16" s="24">
        <f t="shared" si="11"/>
        <v>0</v>
      </c>
      <c r="N16" s="25">
        <f t="shared" si="12"/>
        <v>9.0916021750235245</v>
      </c>
      <c r="O16" s="25">
        <f t="shared" si="1"/>
        <v>19.650746433416984</v>
      </c>
      <c r="P16" s="303">
        <f t="shared" si="1"/>
        <v>0</v>
      </c>
      <c r="Q16" s="305">
        <f t="shared" si="13"/>
        <v>9.4634487039819852</v>
      </c>
      <c r="R16" s="26">
        <f t="shared" si="13"/>
        <v>20.454461962543736</v>
      </c>
      <c r="S16" s="306">
        <f t="shared" si="13"/>
        <v>0</v>
      </c>
      <c r="T16" s="304">
        <f t="shared" si="2"/>
        <v>9.7643863727686124</v>
      </c>
      <c r="U16" s="27">
        <f t="shared" si="2"/>
        <v>21.104913852952627</v>
      </c>
      <c r="V16" s="295">
        <f t="shared" si="2"/>
        <v>0</v>
      </c>
      <c r="W16" s="298">
        <f t="shared" si="3"/>
        <v>10.13543305493382</v>
      </c>
      <c r="X16" s="27">
        <f t="shared" si="4"/>
        <v>21.906900579364827</v>
      </c>
      <c r="Y16" s="299">
        <f t="shared" si="5"/>
        <v>0</v>
      </c>
      <c r="Z16" s="298">
        <f t="shared" si="6"/>
        <v>10.288613527118255</v>
      </c>
      <c r="AA16" s="27">
        <f t="shared" si="6"/>
        <v>22.249601678692599</v>
      </c>
      <c r="AB16" s="299"/>
      <c r="AC16" s="388">
        <f t="shared" si="14"/>
        <v>10.866833607342301</v>
      </c>
      <c r="AD16" s="389">
        <f t="shared" si="7"/>
        <v>23.500029293035123</v>
      </c>
      <c r="AE16" s="389"/>
      <c r="AF16" s="601">
        <f t="shared" si="15"/>
        <v>12.29256217662561</v>
      </c>
      <c r="AG16" s="602">
        <f t="shared" si="8"/>
        <v>26.583233136281329</v>
      </c>
      <c r="AH16" s="602"/>
      <c r="AJ16" s="17" t="s">
        <v>87</v>
      </c>
    </row>
    <row r="17" spans="1:58" x14ac:dyDescent="0.35">
      <c r="A17" s="17" t="s">
        <v>88</v>
      </c>
      <c r="B17" s="17">
        <v>16.47</v>
      </c>
      <c r="C17" s="17">
        <v>16.47</v>
      </c>
      <c r="D17" s="17">
        <v>16.47</v>
      </c>
      <c r="E17" s="24">
        <f t="shared" si="9"/>
        <v>16.789518000000001</v>
      </c>
      <c r="F17" s="24">
        <f t="shared" si="0"/>
        <v>16.789518000000001</v>
      </c>
      <c r="G17" s="24">
        <f t="shared" si="0"/>
        <v>16.789518000000001</v>
      </c>
      <c r="H17" s="24">
        <f t="shared" si="10"/>
        <v>17.404014358800001</v>
      </c>
      <c r="I17" s="24">
        <f t="shared" si="10"/>
        <v>17.404014358800001</v>
      </c>
      <c r="J17" s="24">
        <f t="shared" si="10"/>
        <v>17.404014358800001</v>
      </c>
      <c r="K17" s="24">
        <f t="shared" si="11"/>
        <v>18.582266130890762</v>
      </c>
      <c r="L17" s="24">
        <f t="shared" si="11"/>
        <v>18.582266130890762</v>
      </c>
      <c r="M17" s="24">
        <f t="shared" si="11"/>
        <v>18.582266130890762</v>
      </c>
      <c r="N17" s="25">
        <f t="shared" si="12"/>
        <v>19.650746433416984</v>
      </c>
      <c r="O17" s="25">
        <f t="shared" si="1"/>
        <v>19.650746433416984</v>
      </c>
      <c r="P17" s="303">
        <f t="shared" si="1"/>
        <v>19.650746433416984</v>
      </c>
      <c r="Q17" s="305">
        <f t="shared" si="13"/>
        <v>20.454461962543736</v>
      </c>
      <c r="R17" s="26">
        <f t="shared" si="13"/>
        <v>20.454461962543736</v>
      </c>
      <c r="S17" s="306">
        <f t="shared" si="13"/>
        <v>20.454461962543736</v>
      </c>
      <c r="T17" s="304">
        <f t="shared" si="2"/>
        <v>21.104913852952627</v>
      </c>
      <c r="U17" s="27">
        <f t="shared" si="2"/>
        <v>21.104913852952627</v>
      </c>
      <c r="V17" s="295">
        <f t="shared" si="2"/>
        <v>21.104913852952627</v>
      </c>
      <c r="W17" s="598">
        <f t="shared" si="3"/>
        <v>21.906900579364827</v>
      </c>
      <c r="X17" s="27">
        <f t="shared" si="4"/>
        <v>21.906900579364827</v>
      </c>
      <c r="Y17" s="299">
        <f t="shared" si="5"/>
        <v>21.776050113476522</v>
      </c>
      <c r="Z17" s="596">
        <f t="shared" si="6"/>
        <v>22.249601678692599</v>
      </c>
      <c r="AA17" s="27">
        <f t="shared" si="6"/>
        <v>22.249601678692599</v>
      </c>
      <c r="AB17" s="299"/>
      <c r="AC17" s="595">
        <f t="shared" si="14"/>
        <v>23.500029293035123</v>
      </c>
      <c r="AD17" s="389">
        <f t="shared" si="7"/>
        <v>23.500029293035123</v>
      </c>
      <c r="AE17" s="389"/>
      <c r="AF17" s="601">
        <f t="shared" si="15"/>
        <v>26.583233136281329</v>
      </c>
      <c r="AG17" s="602">
        <f t="shared" si="8"/>
        <v>26.583233136281329</v>
      </c>
      <c r="AH17" s="602"/>
      <c r="AJ17" s="17" t="s">
        <v>88</v>
      </c>
    </row>
    <row r="18" spans="1:58" x14ac:dyDescent="0.35">
      <c r="A18" s="17" t="s">
        <v>89</v>
      </c>
      <c r="B18" s="17">
        <v>11.21</v>
      </c>
      <c r="C18" s="17">
        <v>16.47</v>
      </c>
      <c r="D18" s="17">
        <v>0</v>
      </c>
      <c r="E18" s="24">
        <f t="shared" si="9"/>
        <v>11.427474000000002</v>
      </c>
      <c r="F18" s="24">
        <f t="shared" si="0"/>
        <v>16.789518000000001</v>
      </c>
      <c r="G18" s="24">
        <f t="shared" si="0"/>
        <v>0</v>
      </c>
      <c r="H18" s="24">
        <f t="shared" si="10"/>
        <v>11.845719548400002</v>
      </c>
      <c r="I18" s="24">
        <f t="shared" si="10"/>
        <v>17.404014358800001</v>
      </c>
      <c r="J18" s="24">
        <f t="shared" si="10"/>
        <v>0</v>
      </c>
      <c r="K18" s="24">
        <f t="shared" si="11"/>
        <v>12.647674761826684</v>
      </c>
      <c r="L18" s="24">
        <f t="shared" si="11"/>
        <v>18.582266130890762</v>
      </c>
      <c r="M18" s="24">
        <f t="shared" si="11"/>
        <v>0</v>
      </c>
      <c r="N18" s="25">
        <f t="shared" si="12"/>
        <v>13.374916060631719</v>
      </c>
      <c r="O18" s="25">
        <f t="shared" si="1"/>
        <v>19.650746433416984</v>
      </c>
      <c r="P18" s="303">
        <f t="shared" si="1"/>
        <v>0</v>
      </c>
      <c r="Q18" s="305">
        <f t="shared" si="13"/>
        <v>13.921950127511556</v>
      </c>
      <c r="R18" s="26">
        <f t="shared" si="13"/>
        <v>20.454461962543736</v>
      </c>
      <c r="S18" s="306">
        <f t="shared" si="13"/>
        <v>0</v>
      </c>
      <c r="T18" s="304">
        <f t="shared" si="2"/>
        <v>14.364668141566424</v>
      </c>
      <c r="U18" s="27">
        <f t="shared" si="2"/>
        <v>21.104913852952627</v>
      </c>
      <c r="V18" s="295">
        <f t="shared" si="2"/>
        <v>0</v>
      </c>
      <c r="W18" s="298">
        <f t="shared" si="3"/>
        <v>14.910525530945948</v>
      </c>
      <c r="X18" s="27">
        <f t="shared" si="4"/>
        <v>21.906900579364827</v>
      </c>
      <c r="Y18" s="299">
        <f t="shared" si="5"/>
        <v>0</v>
      </c>
      <c r="Z18" s="298">
        <f t="shared" ref="Z18" si="16">W18*(1+$I$5)</f>
        <v>15.150584991994178</v>
      </c>
      <c r="AA18" s="27">
        <f>X18*(1+$I$5)-0.01</f>
        <v>22.249601678692599</v>
      </c>
      <c r="AB18" s="299"/>
      <c r="AC18" s="388">
        <f t="shared" si="14"/>
        <v>16.002047868544253</v>
      </c>
      <c r="AD18" s="389">
        <f t="shared" si="7"/>
        <v>23.500029293035123</v>
      </c>
      <c r="AE18" s="389"/>
      <c r="AF18" s="601">
        <f t="shared" si="15"/>
        <v>18.101516548897258</v>
      </c>
      <c r="AG18" s="602">
        <f t="shared" si="8"/>
        <v>26.583233136281329</v>
      </c>
      <c r="AH18" s="602"/>
      <c r="AJ18" s="17" t="s">
        <v>89</v>
      </c>
    </row>
    <row r="19" spans="1:58" x14ac:dyDescent="0.35">
      <c r="A19" s="17" t="s">
        <v>90</v>
      </c>
      <c r="B19" s="17">
        <v>16.47</v>
      </c>
      <c r="C19" s="17">
        <v>16.47</v>
      </c>
      <c r="D19" s="17">
        <v>0</v>
      </c>
      <c r="E19" s="24">
        <f t="shared" si="9"/>
        <v>16.789518000000001</v>
      </c>
      <c r="F19" s="24">
        <f t="shared" si="0"/>
        <v>16.789518000000001</v>
      </c>
      <c r="G19" s="24">
        <f t="shared" si="0"/>
        <v>0</v>
      </c>
      <c r="H19" s="24">
        <f t="shared" si="10"/>
        <v>17.404014358800001</v>
      </c>
      <c r="I19" s="24">
        <f t="shared" si="10"/>
        <v>17.404014358800001</v>
      </c>
      <c r="J19" s="24">
        <f t="shared" si="10"/>
        <v>0</v>
      </c>
      <c r="K19" s="24">
        <f t="shared" si="11"/>
        <v>18.582266130890762</v>
      </c>
      <c r="L19" s="24">
        <f t="shared" si="11"/>
        <v>18.582266130890762</v>
      </c>
      <c r="M19" s="24">
        <f t="shared" si="11"/>
        <v>0</v>
      </c>
      <c r="N19" s="25">
        <f t="shared" si="12"/>
        <v>19.650746433416984</v>
      </c>
      <c r="O19" s="25">
        <f t="shared" si="1"/>
        <v>19.650746433416984</v>
      </c>
      <c r="P19" s="303">
        <f t="shared" si="1"/>
        <v>0</v>
      </c>
      <c r="Q19" s="305">
        <f t="shared" si="13"/>
        <v>20.454461962543736</v>
      </c>
      <c r="R19" s="26">
        <f t="shared" si="13"/>
        <v>20.454461962543736</v>
      </c>
      <c r="S19" s="306">
        <f t="shared" si="13"/>
        <v>0</v>
      </c>
      <c r="T19" s="304">
        <f t="shared" si="2"/>
        <v>21.104913852952627</v>
      </c>
      <c r="U19" s="27">
        <f t="shared" si="2"/>
        <v>21.104913852952627</v>
      </c>
      <c r="V19" s="295">
        <f t="shared" si="2"/>
        <v>0</v>
      </c>
      <c r="W19" s="298">
        <f t="shared" si="3"/>
        <v>21.906900579364827</v>
      </c>
      <c r="X19" s="27">
        <f t="shared" si="4"/>
        <v>21.906900579364827</v>
      </c>
      <c r="Y19" s="299">
        <f t="shared" si="5"/>
        <v>0</v>
      </c>
      <c r="Z19" s="298">
        <f>W19*(1+$I$5)-0.01</f>
        <v>22.249601678692599</v>
      </c>
      <c r="AA19" s="27">
        <f>X19*(1+$I$5)-0.01</f>
        <v>22.249601678692599</v>
      </c>
      <c r="AB19" s="299"/>
      <c r="AC19" s="388">
        <f t="shared" si="14"/>
        <v>23.500029293035123</v>
      </c>
      <c r="AD19" s="389">
        <f t="shared" si="7"/>
        <v>23.500029293035123</v>
      </c>
      <c r="AE19" s="389"/>
      <c r="AF19" s="601">
        <f t="shared" si="15"/>
        <v>26.583233136281329</v>
      </c>
      <c r="AG19" s="602">
        <f t="shared" si="8"/>
        <v>26.583233136281329</v>
      </c>
      <c r="AH19" s="602"/>
      <c r="AJ19" s="17" t="s">
        <v>90</v>
      </c>
    </row>
    <row r="20" spans="1:58" x14ac:dyDescent="0.35">
      <c r="A20" s="17" t="s">
        <v>91</v>
      </c>
      <c r="B20" s="17">
        <v>7.62</v>
      </c>
      <c r="C20" s="17">
        <v>16.47</v>
      </c>
      <c r="D20" s="17">
        <v>0</v>
      </c>
      <c r="E20" s="24">
        <f t="shared" si="9"/>
        <v>7.7678280000000006</v>
      </c>
      <c r="F20" s="24">
        <f t="shared" si="0"/>
        <v>16.789518000000001</v>
      </c>
      <c r="G20" s="24">
        <f t="shared" si="0"/>
        <v>0</v>
      </c>
      <c r="H20" s="24">
        <f t="shared" si="10"/>
        <v>8.0521305048000009</v>
      </c>
      <c r="I20" s="24">
        <f t="shared" si="10"/>
        <v>17.404014358800001</v>
      </c>
      <c r="J20" s="24">
        <f t="shared" si="10"/>
        <v>0</v>
      </c>
      <c r="K20" s="24">
        <f t="shared" si="11"/>
        <v>8.5972597399749624</v>
      </c>
      <c r="L20" s="24">
        <f t="shared" si="11"/>
        <v>18.582266130890762</v>
      </c>
      <c r="M20" s="24">
        <f t="shared" si="11"/>
        <v>0</v>
      </c>
      <c r="N20" s="25">
        <f t="shared" si="12"/>
        <v>9.0916021750235245</v>
      </c>
      <c r="O20" s="25">
        <f t="shared" si="1"/>
        <v>19.650746433416984</v>
      </c>
      <c r="P20" s="303">
        <f t="shared" si="1"/>
        <v>0</v>
      </c>
      <c r="Q20" s="305">
        <f t="shared" si="13"/>
        <v>9.4634487039819852</v>
      </c>
      <c r="R20" s="26">
        <f t="shared" si="13"/>
        <v>20.454461962543736</v>
      </c>
      <c r="S20" s="306">
        <f t="shared" si="13"/>
        <v>0</v>
      </c>
      <c r="T20" s="304">
        <f t="shared" si="2"/>
        <v>9.7643863727686124</v>
      </c>
      <c r="U20" s="27">
        <f t="shared" si="2"/>
        <v>21.104913852952627</v>
      </c>
      <c r="V20" s="295">
        <f t="shared" si="2"/>
        <v>0</v>
      </c>
      <c r="W20" s="298">
        <f t="shared" si="3"/>
        <v>10.13543305493382</v>
      </c>
      <c r="X20" s="27">
        <f t="shared" si="4"/>
        <v>21.906900579364827</v>
      </c>
      <c r="Y20" s="299">
        <f t="shared" si="5"/>
        <v>0</v>
      </c>
      <c r="Z20" s="298">
        <f>W20*(1+$I$5)-0.01</f>
        <v>10.288613527118255</v>
      </c>
      <c r="AA20" s="27">
        <f>X20*(1+$I$5)-0.01</f>
        <v>22.249601678692599</v>
      </c>
      <c r="AB20" s="299"/>
      <c r="AC20" s="388">
        <f t="shared" si="14"/>
        <v>10.866833607342301</v>
      </c>
      <c r="AD20" s="389">
        <f t="shared" si="7"/>
        <v>23.500029293035123</v>
      </c>
      <c r="AE20" s="389"/>
      <c r="AF20" s="601">
        <f t="shared" si="15"/>
        <v>12.29256217662561</v>
      </c>
      <c r="AG20" s="602">
        <f t="shared" si="8"/>
        <v>26.583233136281329</v>
      </c>
      <c r="AH20" s="602"/>
      <c r="AJ20" s="17" t="s">
        <v>91</v>
      </c>
    </row>
    <row r="21" spans="1:58" ht="15" thickBot="1" x14ac:dyDescent="0.4">
      <c r="A21" s="17" t="s">
        <v>92</v>
      </c>
      <c r="B21" s="17"/>
      <c r="C21" s="17"/>
      <c r="D21" s="17"/>
      <c r="E21" s="24"/>
      <c r="F21" s="24"/>
      <c r="G21" s="24"/>
      <c r="H21" s="24"/>
      <c r="I21" s="24"/>
      <c r="J21" s="24"/>
      <c r="K21" s="24">
        <f>K13</f>
        <v>18.582266130890762</v>
      </c>
      <c r="L21" s="24">
        <f>L13</f>
        <v>18.582266130890762</v>
      </c>
      <c r="M21" s="24">
        <f>M13</f>
        <v>0</v>
      </c>
      <c r="N21" s="25">
        <f t="shared" si="12"/>
        <v>19.650746433416984</v>
      </c>
      <c r="O21" s="25">
        <f t="shared" si="1"/>
        <v>19.650746433416984</v>
      </c>
      <c r="P21" s="303">
        <f t="shared" si="1"/>
        <v>0</v>
      </c>
      <c r="Q21" s="307">
        <f t="shared" si="13"/>
        <v>20.454461962543736</v>
      </c>
      <c r="R21" s="308">
        <f t="shared" si="13"/>
        <v>20.454461962543736</v>
      </c>
      <c r="S21" s="309">
        <f t="shared" si="13"/>
        <v>0</v>
      </c>
      <c r="T21" s="304">
        <f t="shared" si="2"/>
        <v>21.104913852952627</v>
      </c>
      <c r="U21" s="27">
        <f t="shared" si="2"/>
        <v>21.104913852952627</v>
      </c>
      <c r="V21" s="295">
        <f t="shared" si="2"/>
        <v>0</v>
      </c>
      <c r="W21" s="300">
        <f t="shared" si="3"/>
        <v>21.906900579364827</v>
      </c>
      <c r="X21" s="301">
        <f t="shared" si="4"/>
        <v>21.906900579364827</v>
      </c>
      <c r="Y21" s="302">
        <f t="shared" si="5"/>
        <v>0</v>
      </c>
      <c r="Z21" s="300">
        <f>W21*(1+$I$5)-0.01</f>
        <v>22.249601678692599</v>
      </c>
      <c r="AA21" s="301">
        <f>X21*(1+$I$5)-0.01</f>
        <v>22.249601678692599</v>
      </c>
      <c r="AB21" s="302"/>
      <c r="AC21" s="388">
        <f t="shared" si="14"/>
        <v>23.500029293035123</v>
      </c>
      <c r="AD21" s="389">
        <f t="shared" si="7"/>
        <v>23.500029293035123</v>
      </c>
      <c r="AE21" s="389"/>
      <c r="AF21" s="601">
        <f t="shared" si="15"/>
        <v>26.583233136281329</v>
      </c>
      <c r="AG21" s="602">
        <f t="shared" si="8"/>
        <v>26.583233136281329</v>
      </c>
      <c r="AH21" s="602"/>
      <c r="AJ21" s="17" t="s">
        <v>92</v>
      </c>
    </row>
    <row r="22" spans="1:58" x14ac:dyDescent="0.35">
      <c r="W22" s="322"/>
    </row>
    <row r="23" spans="1:58" x14ac:dyDescent="0.35">
      <c r="A23" s="15" t="s">
        <v>93</v>
      </c>
      <c r="W23" s="322"/>
    </row>
    <row r="24" spans="1:58" x14ac:dyDescent="0.35">
      <c r="L24" t="s">
        <v>94</v>
      </c>
      <c r="P24" s="28">
        <v>0.03</v>
      </c>
      <c r="Q24" t="s">
        <v>95</v>
      </c>
      <c r="U24" s="28">
        <v>0.03</v>
      </c>
      <c r="V24" t="s">
        <v>95</v>
      </c>
      <c r="Z24" s="28">
        <v>0.03</v>
      </c>
      <c r="AA24" t="s">
        <v>450</v>
      </c>
      <c r="AE24" s="28">
        <v>0.03</v>
      </c>
      <c r="AF24" t="s">
        <v>449</v>
      </c>
      <c r="AJ24" s="28">
        <v>0.03</v>
      </c>
      <c r="AK24" t="s">
        <v>388</v>
      </c>
      <c r="AO24" s="28">
        <v>0.03</v>
      </c>
      <c r="AP24" t="s">
        <v>384</v>
      </c>
      <c r="AT24" s="28">
        <v>0.03</v>
      </c>
      <c r="AU24" t="s">
        <v>451</v>
      </c>
      <c r="AY24" s="28">
        <v>0.03</v>
      </c>
      <c r="AZ24" s="390" t="s">
        <v>508</v>
      </c>
      <c r="BA24" s="390"/>
      <c r="BB24" s="390"/>
      <c r="BC24" s="390"/>
      <c r="BD24" s="391">
        <v>0.03</v>
      </c>
    </row>
    <row r="25" spans="1:58" x14ac:dyDescent="0.35">
      <c r="A25" s="750" t="s">
        <v>80</v>
      </c>
      <c r="B25" s="751" t="s">
        <v>414</v>
      </c>
      <c r="C25" s="751"/>
      <c r="D25" s="751"/>
      <c r="E25" s="751"/>
      <c r="F25" s="751"/>
      <c r="G25" s="751">
        <v>2014</v>
      </c>
      <c r="H25" s="751"/>
      <c r="I25" s="751"/>
      <c r="J25" s="751"/>
      <c r="K25" s="751"/>
      <c r="L25" s="739">
        <v>2015</v>
      </c>
      <c r="M25" s="740"/>
      <c r="N25" s="740"/>
      <c r="O25" s="740"/>
      <c r="P25" s="741"/>
      <c r="Q25" s="739">
        <v>2016</v>
      </c>
      <c r="R25" s="740"/>
      <c r="S25" s="740"/>
      <c r="T25" s="740"/>
      <c r="U25" s="741"/>
      <c r="V25" s="739">
        <v>2017</v>
      </c>
      <c r="W25" s="740"/>
      <c r="X25" s="740"/>
      <c r="Y25" s="740"/>
      <c r="Z25" s="741"/>
      <c r="AA25" s="739">
        <v>2018</v>
      </c>
      <c r="AB25" s="740"/>
      <c r="AC25" s="740"/>
      <c r="AD25" s="740"/>
      <c r="AE25" s="741"/>
      <c r="AF25" s="739">
        <v>2019</v>
      </c>
      <c r="AG25" s="740"/>
      <c r="AH25" s="740"/>
      <c r="AI25" s="740"/>
      <c r="AJ25" s="741"/>
      <c r="AK25" s="739">
        <v>2020</v>
      </c>
      <c r="AL25" s="740"/>
      <c r="AM25" s="740"/>
      <c r="AN25" s="740"/>
      <c r="AO25" s="741"/>
      <c r="AP25" s="739">
        <v>2021</v>
      </c>
      <c r="AQ25" s="740"/>
      <c r="AR25" s="740"/>
      <c r="AS25" s="740"/>
      <c r="AT25" s="741"/>
      <c r="AU25" s="739">
        <v>2022</v>
      </c>
      <c r="AV25" s="740"/>
      <c r="AW25" s="740"/>
      <c r="AX25" s="740"/>
      <c r="AY25" s="741"/>
      <c r="AZ25" s="728">
        <v>2023</v>
      </c>
      <c r="BA25" s="729"/>
      <c r="BB25" s="729"/>
      <c r="BC25" s="729"/>
      <c r="BD25" s="730"/>
    </row>
    <row r="26" spans="1:58" ht="30.25" customHeight="1" x14ac:dyDescent="0.35">
      <c r="A26" s="750"/>
      <c r="B26" s="750" t="s">
        <v>81</v>
      </c>
      <c r="C26" s="750"/>
      <c r="D26" s="750" t="s">
        <v>82</v>
      </c>
      <c r="E26" s="750"/>
      <c r="F26" s="750" t="s">
        <v>83</v>
      </c>
      <c r="G26" s="750" t="s">
        <v>81</v>
      </c>
      <c r="H26" s="750"/>
      <c r="I26" s="750" t="s">
        <v>82</v>
      </c>
      <c r="J26" s="750"/>
      <c r="K26" s="750" t="s">
        <v>83</v>
      </c>
      <c r="L26" s="742" t="s">
        <v>81</v>
      </c>
      <c r="M26" s="743"/>
      <c r="N26" s="742" t="s">
        <v>82</v>
      </c>
      <c r="O26" s="743"/>
      <c r="P26" s="744" t="s">
        <v>83</v>
      </c>
      <c r="Q26" s="742" t="s">
        <v>81</v>
      </c>
      <c r="R26" s="743"/>
      <c r="S26" s="742" t="s">
        <v>82</v>
      </c>
      <c r="T26" s="743"/>
      <c r="U26" s="744" t="s">
        <v>83</v>
      </c>
      <c r="V26" s="742" t="s">
        <v>81</v>
      </c>
      <c r="W26" s="743"/>
      <c r="X26" s="742" t="s">
        <v>82</v>
      </c>
      <c r="Y26" s="743"/>
      <c r="Z26" s="744" t="s">
        <v>83</v>
      </c>
      <c r="AA26" s="742" t="s">
        <v>81</v>
      </c>
      <c r="AB26" s="743"/>
      <c r="AC26" s="742" t="s">
        <v>82</v>
      </c>
      <c r="AD26" s="743"/>
      <c r="AE26" s="744" t="s">
        <v>83</v>
      </c>
      <c r="AF26" s="742" t="s">
        <v>81</v>
      </c>
      <c r="AG26" s="743"/>
      <c r="AH26" s="742" t="s">
        <v>82</v>
      </c>
      <c r="AI26" s="743"/>
      <c r="AJ26" s="744" t="s">
        <v>83</v>
      </c>
      <c r="AK26" s="742" t="s">
        <v>81</v>
      </c>
      <c r="AL26" s="743"/>
      <c r="AM26" s="742" t="s">
        <v>82</v>
      </c>
      <c r="AN26" s="743"/>
      <c r="AO26" s="744" t="s">
        <v>83</v>
      </c>
      <c r="AP26" s="742" t="s">
        <v>81</v>
      </c>
      <c r="AQ26" s="743"/>
      <c r="AR26" s="742" t="s">
        <v>82</v>
      </c>
      <c r="AS26" s="743"/>
      <c r="AT26" s="744" t="s">
        <v>83</v>
      </c>
      <c r="AU26" s="742" t="s">
        <v>81</v>
      </c>
      <c r="AV26" s="743"/>
      <c r="AW26" s="742" t="s">
        <v>82</v>
      </c>
      <c r="AX26" s="743"/>
      <c r="AY26" s="744" t="s">
        <v>83</v>
      </c>
      <c r="AZ26" s="731" t="s">
        <v>81</v>
      </c>
      <c r="BA26" s="732"/>
      <c r="BB26" s="731" t="s">
        <v>82</v>
      </c>
      <c r="BC26" s="732"/>
      <c r="BD26" s="733" t="s">
        <v>83</v>
      </c>
    </row>
    <row r="27" spans="1:58" ht="29" x14ac:dyDescent="0.35">
      <c r="A27" s="750"/>
      <c r="B27" s="22" t="s">
        <v>96</v>
      </c>
      <c r="C27" s="22" t="s">
        <v>97</v>
      </c>
      <c r="D27" s="22" t="s">
        <v>96</v>
      </c>
      <c r="E27" s="22" t="s">
        <v>97</v>
      </c>
      <c r="F27" s="750"/>
      <c r="G27" s="22" t="s">
        <v>96</v>
      </c>
      <c r="H27" s="22" t="s">
        <v>97</v>
      </c>
      <c r="I27" s="22" t="s">
        <v>96</v>
      </c>
      <c r="J27" s="22" t="s">
        <v>97</v>
      </c>
      <c r="K27" s="750"/>
      <c r="L27" s="22" t="s">
        <v>96</v>
      </c>
      <c r="M27" s="22" t="s">
        <v>97</v>
      </c>
      <c r="N27" s="22" t="s">
        <v>96</v>
      </c>
      <c r="O27" s="22" t="s">
        <v>97</v>
      </c>
      <c r="P27" s="745"/>
      <c r="Q27" s="22" t="s">
        <v>96</v>
      </c>
      <c r="R27" s="22" t="s">
        <v>97</v>
      </c>
      <c r="S27" s="22" t="s">
        <v>96</v>
      </c>
      <c r="T27" s="22" t="s">
        <v>97</v>
      </c>
      <c r="U27" s="745"/>
      <c r="V27" s="22" t="s">
        <v>96</v>
      </c>
      <c r="W27" s="22" t="s">
        <v>97</v>
      </c>
      <c r="X27" s="22" t="s">
        <v>96</v>
      </c>
      <c r="Y27" s="22" t="s">
        <v>97</v>
      </c>
      <c r="Z27" s="745"/>
      <c r="AA27" s="22" t="s">
        <v>96</v>
      </c>
      <c r="AB27" s="22" t="s">
        <v>97</v>
      </c>
      <c r="AC27" s="22" t="s">
        <v>96</v>
      </c>
      <c r="AD27" s="22" t="s">
        <v>97</v>
      </c>
      <c r="AE27" s="745"/>
      <c r="AF27" s="22" t="s">
        <v>96</v>
      </c>
      <c r="AG27" s="22" t="s">
        <v>97</v>
      </c>
      <c r="AH27" s="22" t="s">
        <v>96</v>
      </c>
      <c r="AI27" s="22" t="s">
        <v>97</v>
      </c>
      <c r="AJ27" s="745"/>
      <c r="AK27" s="22" t="s">
        <v>96</v>
      </c>
      <c r="AL27" s="22" t="s">
        <v>97</v>
      </c>
      <c r="AM27" s="22" t="s">
        <v>96</v>
      </c>
      <c r="AN27" s="22" t="s">
        <v>97</v>
      </c>
      <c r="AO27" s="745"/>
      <c r="AP27" s="22" t="s">
        <v>96</v>
      </c>
      <c r="AQ27" s="22" t="s">
        <v>97</v>
      </c>
      <c r="AR27" s="22" t="s">
        <v>96</v>
      </c>
      <c r="AS27" s="22" t="s">
        <v>97</v>
      </c>
      <c r="AT27" s="745"/>
      <c r="AU27" s="22" t="s">
        <v>96</v>
      </c>
      <c r="AV27" s="22" t="s">
        <v>97</v>
      </c>
      <c r="AW27" s="22" t="s">
        <v>96</v>
      </c>
      <c r="AX27" s="22" t="s">
        <v>97</v>
      </c>
      <c r="AY27" s="745"/>
      <c r="AZ27" s="392" t="s">
        <v>96</v>
      </c>
      <c r="BA27" s="392" t="s">
        <v>97</v>
      </c>
      <c r="BB27" s="392" t="s">
        <v>96</v>
      </c>
      <c r="BC27" s="392" t="s">
        <v>97</v>
      </c>
      <c r="BD27" s="734"/>
    </row>
    <row r="28" spans="1:58" x14ac:dyDescent="0.35">
      <c r="A28" s="17" t="s">
        <v>85</v>
      </c>
      <c r="B28" s="17">
        <v>9.06</v>
      </c>
      <c r="C28" s="17">
        <v>8.6300000000000008</v>
      </c>
      <c r="D28" s="17">
        <v>9.06</v>
      </c>
      <c r="E28" s="17">
        <v>8.6300000000000008</v>
      </c>
      <c r="F28" s="17">
        <v>0</v>
      </c>
      <c r="G28" s="24">
        <v>10.52</v>
      </c>
      <c r="H28" s="24">
        <v>10.52</v>
      </c>
      <c r="I28" s="24">
        <v>10.52</v>
      </c>
      <c r="J28" s="24">
        <v>10.52</v>
      </c>
      <c r="K28" s="24">
        <f>F28*(1+$B$5)</f>
        <v>0</v>
      </c>
      <c r="L28" s="24">
        <f>G28*(1+$P$24)</f>
        <v>10.835599999999999</v>
      </c>
      <c r="M28" s="24">
        <f t="shared" ref="M28:P31" si="17">H28*(1+$P$24)</f>
        <v>10.835599999999999</v>
      </c>
      <c r="N28" s="24">
        <f t="shared" si="17"/>
        <v>10.835599999999999</v>
      </c>
      <c r="O28" s="24">
        <f t="shared" si="17"/>
        <v>10.835599999999999</v>
      </c>
      <c r="P28" s="24">
        <f t="shared" si="17"/>
        <v>0</v>
      </c>
      <c r="Q28" s="25">
        <f>L28*(1+U24)</f>
        <v>11.160667999999999</v>
      </c>
      <c r="R28" s="25">
        <f t="shared" ref="R28:U31" si="18">M28*(1+$U$24)</f>
        <v>11.160667999999999</v>
      </c>
      <c r="S28" s="25">
        <f t="shared" si="18"/>
        <v>11.160667999999999</v>
      </c>
      <c r="T28" s="25">
        <f t="shared" si="18"/>
        <v>11.160667999999999</v>
      </c>
      <c r="U28" s="25">
        <f t="shared" si="18"/>
        <v>0</v>
      </c>
      <c r="V28" s="24">
        <f t="shared" ref="V28:Z32" si="19">Q28*(1+$Z$24)</f>
        <v>11.49548804</v>
      </c>
      <c r="W28" s="24">
        <f t="shared" si="19"/>
        <v>11.49548804</v>
      </c>
      <c r="X28" s="24">
        <f t="shared" si="19"/>
        <v>11.49548804</v>
      </c>
      <c r="Y28" s="24">
        <f t="shared" si="19"/>
        <v>11.49548804</v>
      </c>
      <c r="Z28" s="24">
        <f t="shared" si="19"/>
        <v>0</v>
      </c>
      <c r="AA28" s="26">
        <f>V28*(1+$AE$24)</f>
        <v>11.840352681200001</v>
      </c>
      <c r="AB28" s="26">
        <f>W28*(1+$AE$24)</f>
        <v>11.840352681200001</v>
      </c>
      <c r="AC28" s="26">
        <f>X28*(1+$AE$24)</f>
        <v>11.840352681200001</v>
      </c>
      <c r="AD28" s="26">
        <f>Y28*(1+$AE$24)</f>
        <v>11.840352681200001</v>
      </c>
      <c r="AE28" s="26">
        <f>Z28*(1+$AE$24)</f>
        <v>0</v>
      </c>
      <c r="AF28" s="29">
        <f t="shared" ref="AF28:AI32" si="20">AA28*(1+$AJ$24)</f>
        <v>12.195563261636002</v>
      </c>
      <c r="AG28" s="29">
        <f t="shared" si="20"/>
        <v>12.195563261636002</v>
      </c>
      <c r="AH28" s="29">
        <f t="shared" si="20"/>
        <v>12.195563261636002</v>
      </c>
      <c r="AI28" s="29">
        <f t="shared" si="20"/>
        <v>12.195563261636002</v>
      </c>
      <c r="AJ28" s="230">
        <v>0</v>
      </c>
      <c r="AK28" s="29">
        <f>AF28*(1+$AJ$24)</f>
        <v>12.561430159485083</v>
      </c>
      <c r="AL28" s="29">
        <f t="shared" ref="AL28:AL32" si="21">AG28*(1+$AJ$24)</f>
        <v>12.561430159485083</v>
      </c>
      <c r="AM28" s="29">
        <f t="shared" ref="AM28:AM32" si="22">AH28*(1+$AJ$24)</f>
        <v>12.561430159485083</v>
      </c>
      <c r="AN28" s="29">
        <f t="shared" ref="AN28:AN32" si="23">AI28*(1+$AJ$24)</f>
        <v>12.561430159485083</v>
      </c>
      <c r="AO28" s="230">
        <v>0</v>
      </c>
      <c r="AP28" s="30">
        <f>AK28*(1+$AT$24)</f>
        <v>12.938273064269636</v>
      </c>
      <c r="AQ28" s="30"/>
      <c r="AR28" s="30"/>
      <c r="AS28" s="30"/>
      <c r="AT28" s="289">
        <v>0</v>
      </c>
      <c r="AU28" s="30">
        <f>AP28*(1+$AY$24)</f>
        <v>13.326421256197724</v>
      </c>
      <c r="AV28" s="30"/>
      <c r="AW28" s="30"/>
      <c r="AX28" s="30"/>
      <c r="AY28" s="289">
        <v>0</v>
      </c>
      <c r="AZ28" s="393">
        <f>AU28*(1+$BD$24)</f>
        <v>13.726213893883656</v>
      </c>
      <c r="BA28" s="393"/>
      <c r="BB28" s="393"/>
      <c r="BC28" s="393"/>
      <c r="BD28" s="394">
        <v>0</v>
      </c>
      <c r="BF28" s="17" t="s">
        <v>85</v>
      </c>
    </row>
    <row r="29" spans="1:58" x14ac:dyDescent="0.35">
      <c r="A29" s="17" t="s">
        <v>86</v>
      </c>
      <c r="B29" s="17">
        <v>5.56</v>
      </c>
      <c r="C29" s="17">
        <v>5.13</v>
      </c>
      <c r="D29" s="17">
        <v>5.56</v>
      </c>
      <c r="E29" s="17">
        <v>5.13</v>
      </c>
      <c r="F29" s="17">
        <v>0</v>
      </c>
      <c r="G29" s="24">
        <v>10.52</v>
      </c>
      <c r="H29" s="24">
        <v>10.52</v>
      </c>
      <c r="I29" s="24">
        <v>10.52</v>
      </c>
      <c r="J29" s="24">
        <v>10.52</v>
      </c>
      <c r="K29" s="24">
        <f>F29*(1+$B$5)</f>
        <v>0</v>
      </c>
      <c r="L29" s="24">
        <f>G29*(1+$P$24)</f>
        <v>10.835599999999999</v>
      </c>
      <c r="M29" s="24">
        <f t="shared" si="17"/>
        <v>10.835599999999999</v>
      </c>
      <c r="N29" s="24">
        <f t="shared" si="17"/>
        <v>10.835599999999999</v>
      </c>
      <c r="O29" s="24">
        <f t="shared" si="17"/>
        <v>10.835599999999999</v>
      </c>
      <c r="P29" s="24">
        <f t="shared" si="17"/>
        <v>0</v>
      </c>
      <c r="Q29" s="25">
        <f>L29*(1+$U$24)</f>
        <v>11.160667999999999</v>
      </c>
      <c r="R29" s="25">
        <f t="shared" si="18"/>
        <v>11.160667999999999</v>
      </c>
      <c r="S29" s="25">
        <f t="shared" si="18"/>
        <v>11.160667999999999</v>
      </c>
      <c r="T29" s="25">
        <f t="shared" si="18"/>
        <v>11.160667999999999</v>
      </c>
      <c r="U29" s="25">
        <f t="shared" si="18"/>
        <v>0</v>
      </c>
      <c r="V29" s="24">
        <f t="shared" si="19"/>
        <v>11.49548804</v>
      </c>
      <c r="W29" s="24">
        <f t="shared" si="19"/>
        <v>11.49548804</v>
      </c>
      <c r="X29" s="24">
        <f t="shared" si="19"/>
        <v>11.49548804</v>
      </c>
      <c r="Y29" s="24">
        <f t="shared" si="19"/>
        <v>11.49548804</v>
      </c>
      <c r="Z29" s="24">
        <f t="shared" si="19"/>
        <v>0</v>
      </c>
      <c r="AA29" s="26">
        <f>V29*(1+$AE$24)</f>
        <v>11.840352681200001</v>
      </c>
      <c r="AB29" s="26">
        <f>W29*(1+$AE$24)-0.01</f>
        <v>11.830352681200001</v>
      </c>
      <c r="AC29" s="26">
        <f>X29*(1+$AE$24)-0.01</f>
        <v>11.830352681200001</v>
      </c>
      <c r="AD29" s="26">
        <f>Y29*(1+$AE$24)-0.01</f>
        <v>11.830352681200001</v>
      </c>
      <c r="AE29" s="26">
        <f>Z29*(1+$AE$24)</f>
        <v>0</v>
      </c>
      <c r="AF29" s="29">
        <f t="shared" si="20"/>
        <v>12.195563261636002</v>
      </c>
      <c r="AG29" s="29">
        <f t="shared" si="20"/>
        <v>12.185263261636001</v>
      </c>
      <c r="AH29" s="29">
        <f t="shared" si="20"/>
        <v>12.185263261636001</v>
      </c>
      <c r="AI29" s="29">
        <f t="shared" si="20"/>
        <v>12.185263261636001</v>
      </c>
      <c r="AJ29" s="230">
        <v>0</v>
      </c>
      <c r="AK29" s="29">
        <f t="shared" ref="AK29:AK32" si="24">AF29*(1+$AJ$24)</f>
        <v>12.561430159485083</v>
      </c>
      <c r="AL29" s="29">
        <f t="shared" si="21"/>
        <v>12.550821159485082</v>
      </c>
      <c r="AM29" s="29">
        <f t="shared" si="22"/>
        <v>12.550821159485082</v>
      </c>
      <c r="AN29" s="29">
        <f t="shared" si="23"/>
        <v>12.550821159485082</v>
      </c>
      <c r="AO29" s="230">
        <v>0</v>
      </c>
      <c r="AP29" s="30">
        <f t="shared" ref="AP29:AP32" si="25">AK29*(1+$AT$24)</f>
        <v>12.938273064269636</v>
      </c>
      <c r="AQ29" s="30"/>
      <c r="AR29" s="30"/>
      <c r="AS29" s="30"/>
      <c r="AT29" s="289">
        <v>0</v>
      </c>
      <c r="AU29" s="30">
        <f>AP29*(1+$AY$24)</f>
        <v>13.326421256197724</v>
      </c>
      <c r="AV29" s="30"/>
      <c r="AW29" s="30"/>
      <c r="AX29" s="30"/>
      <c r="AY29" s="289">
        <v>0</v>
      </c>
      <c r="AZ29" s="393">
        <f>AU29*(1+$BD$24)</f>
        <v>13.726213893883656</v>
      </c>
      <c r="BA29" s="393"/>
      <c r="BB29" s="393"/>
      <c r="BC29" s="393"/>
      <c r="BD29" s="394">
        <v>0</v>
      </c>
      <c r="BF29" s="17" t="s">
        <v>86</v>
      </c>
    </row>
    <row r="30" spans="1:58" x14ac:dyDescent="0.35">
      <c r="A30" s="17" t="s">
        <v>87</v>
      </c>
      <c r="B30" s="17">
        <v>9.06</v>
      </c>
      <c r="C30" s="17">
        <v>8.6300000000000008</v>
      </c>
      <c r="D30" s="17">
        <v>9.06</v>
      </c>
      <c r="E30" s="17">
        <v>8.6300000000000008</v>
      </c>
      <c r="F30" s="17">
        <v>0</v>
      </c>
      <c r="G30" s="24">
        <v>10.52</v>
      </c>
      <c r="H30" s="24">
        <v>10.52</v>
      </c>
      <c r="I30" s="24">
        <v>10.52</v>
      </c>
      <c r="J30" s="24">
        <v>10.52</v>
      </c>
      <c r="K30" s="24">
        <f>F30*(1+$B$5)</f>
        <v>0</v>
      </c>
      <c r="L30" s="24">
        <f>G30*(1+$P$24)</f>
        <v>10.835599999999999</v>
      </c>
      <c r="M30" s="24">
        <f t="shared" si="17"/>
        <v>10.835599999999999</v>
      </c>
      <c r="N30" s="24">
        <f t="shared" si="17"/>
        <v>10.835599999999999</v>
      </c>
      <c r="O30" s="24">
        <f t="shared" si="17"/>
        <v>10.835599999999999</v>
      </c>
      <c r="P30" s="24">
        <f t="shared" si="17"/>
        <v>0</v>
      </c>
      <c r="Q30" s="25">
        <f>L30*(1+$U$24)</f>
        <v>11.160667999999999</v>
      </c>
      <c r="R30" s="25">
        <f t="shared" si="18"/>
        <v>11.160667999999999</v>
      </c>
      <c r="S30" s="25">
        <f t="shared" si="18"/>
        <v>11.160667999999999</v>
      </c>
      <c r="T30" s="25">
        <f t="shared" si="18"/>
        <v>11.160667999999999</v>
      </c>
      <c r="U30" s="25">
        <f t="shared" si="18"/>
        <v>0</v>
      </c>
      <c r="V30" s="24">
        <f>Q30*(1+$Z$24)</f>
        <v>11.49548804</v>
      </c>
      <c r="W30" s="24">
        <f t="shared" si="19"/>
        <v>11.49548804</v>
      </c>
      <c r="X30" s="24">
        <f t="shared" si="19"/>
        <v>11.49548804</v>
      </c>
      <c r="Y30" s="24">
        <f t="shared" si="19"/>
        <v>11.49548804</v>
      </c>
      <c r="Z30" s="24">
        <f t="shared" si="19"/>
        <v>0</v>
      </c>
      <c r="AA30" s="26">
        <f t="shared" ref="AA30:AD32" si="26">V30*(1+$AE$24)</f>
        <v>11.840352681200001</v>
      </c>
      <c r="AB30" s="26">
        <f t="shared" si="26"/>
        <v>11.840352681200001</v>
      </c>
      <c r="AC30" s="26">
        <f t="shared" si="26"/>
        <v>11.840352681200001</v>
      </c>
      <c r="AD30" s="26">
        <f t="shared" si="26"/>
        <v>11.840352681200001</v>
      </c>
      <c r="AE30" s="26">
        <f>Z30*(1+$AE$24)</f>
        <v>0</v>
      </c>
      <c r="AF30" s="29">
        <f t="shared" si="20"/>
        <v>12.195563261636002</v>
      </c>
      <c r="AG30" s="29">
        <f t="shared" si="20"/>
        <v>12.195563261636002</v>
      </c>
      <c r="AH30" s="29">
        <f t="shared" si="20"/>
        <v>12.195563261636002</v>
      </c>
      <c r="AI30" s="29">
        <f t="shared" si="20"/>
        <v>12.195563261636002</v>
      </c>
      <c r="AJ30" s="230">
        <v>0</v>
      </c>
      <c r="AK30" s="29">
        <f t="shared" si="24"/>
        <v>12.561430159485083</v>
      </c>
      <c r="AL30" s="29">
        <f t="shared" si="21"/>
        <v>12.561430159485083</v>
      </c>
      <c r="AM30" s="29">
        <f t="shared" si="22"/>
        <v>12.561430159485083</v>
      </c>
      <c r="AN30" s="29">
        <f t="shared" si="23"/>
        <v>12.561430159485083</v>
      </c>
      <c r="AO30" s="230">
        <v>0</v>
      </c>
      <c r="AP30" s="30">
        <f t="shared" si="25"/>
        <v>12.938273064269636</v>
      </c>
      <c r="AQ30" s="30"/>
      <c r="AR30" s="30"/>
      <c r="AS30" s="30"/>
      <c r="AT30" s="289">
        <v>0</v>
      </c>
      <c r="AU30" s="30">
        <f>AP30*(1+$AY$24)</f>
        <v>13.326421256197724</v>
      </c>
      <c r="AV30" s="30"/>
      <c r="AW30" s="30"/>
      <c r="AX30" s="30"/>
      <c r="AY30" s="289">
        <v>0</v>
      </c>
      <c r="AZ30" s="393">
        <f>AU30*(1+$BD$24)</f>
        <v>13.726213893883656</v>
      </c>
      <c r="BA30" s="393"/>
      <c r="BB30" s="393"/>
      <c r="BC30" s="393"/>
      <c r="BD30" s="394">
        <v>0</v>
      </c>
      <c r="BF30" s="17" t="s">
        <v>87</v>
      </c>
    </row>
    <row r="31" spans="1:58" x14ac:dyDescent="0.35">
      <c r="A31" s="17" t="s">
        <v>91</v>
      </c>
      <c r="B31" s="17">
        <v>9.06</v>
      </c>
      <c r="C31" s="17">
        <v>8.6300000000000008</v>
      </c>
      <c r="D31" s="17">
        <v>9.06</v>
      </c>
      <c r="E31" s="17">
        <v>8.6300000000000008</v>
      </c>
      <c r="F31" s="17">
        <v>0</v>
      </c>
      <c r="G31" s="24">
        <v>10.52</v>
      </c>
      <c r="H31" s="24">
        <v>10.52</v>
      </c>
      <c r="I31" s="24">
        <v>10.52</v>
      </c>
      <c r="J31" s="24">
        <v>10.52</v>
      </c>
      <c r="K31" s="24">
        <f>F31*(1+$B$5)</f>
        <v>0</v>
      </c>
      <c r="L31" s="24">
        <f>G31*(1+$P$24)</f>
        <v>10.835599999999999</v>
      </c>
      <c r="M31" s="24">
        <f t="shared" si="17"/>
        <v>10.835599999999999</v>
      </c>
      <c r="N31" s="24">
        <f t="shared" si="17"/>
        <v>10.835599999999999</v>
      </c>
      <c r="O31" s="24">
        <f t="shared" si="17"/>
        <v>10.835599999999999</v>
      </c>
      <c r="P31" s="24">
        <f t="shared" si="17"/>
        <v>0</v>
      </c>
      <c r="Q31" s="25">
        <f>L31*(1+$U$24)</f>
        <v>11.160667999999999</v>
      </c>
      <c r="R31" s="25">
        <f t="shared" si="18"/>
        <v>11.160667999999999</v>
      </c>
      <c r="S31" s="25">
        <f t="shared" si="18"/>
        <v>11.160667999999999</v>
      </c>
      <c r="T31" s="25">
        <f t="shared" si="18"/>
        <v>11.160667999999999</v>
      </c>
      <c r="U31" s="25">
        <f t="shared" si="18"/>
        <v>0</v>
      </c>
      <c r="V31" s="24">
        <f>Q31*(1+$Z$24)</f>
        <v>11.49548804</v>
      </c>
      <c r="W31" s="24">
        <f t="shared" si="19"/>
        <v>11.49548804</v>
      </c>
      <c r="X31" s="24">
        <f t="shared" si="19"/>
        <v>11.49548804</v>
      </c>
      <c r="Y31" s="24">
        <f t="shared" si="19"/>
        <v>11.49548804</v>
      </c>
      <c r="Z31" s="24">
        <f t="shared" si="19"/>
        <v>0</v>
      </c>
      <c r="AA31" s="26">
        <f t="shared" si="26"/>
        <v>11.840352681200001</v>
      </c>
      <c r="AB31" s="26">
        <f t="shared" si="26"/>
        <v>11.840352681200001</v>
      </c>
      <c r="AC31" s="26">
        <f t="shared" si="26"/>
        <v>11.840352681200001</v>
      </c>
      <c r="AD31" s="26">
        <f t="shared" si="26"/>
        <v>11.840352681200001</v>
      </c>
      <c r="AE31" s="26">
        <f>Z31*(1+$AE$24)</f>
        <v>0</v>
      </c>
      <c r="AF31" s="29">
        <f t="shared" si="20"/>
        <v>12.195563261636002</v>
      </c>
      <c r="AG31" s="29">
        <f t="shared" si="20"/>
        <v>12.195563261636002</v>
      </c>
      <c r="AH31" s="29">
        <f t="shared" si="20"/>
        <v>12.195563261636002</v>
      </c>
      <c r="AI31" s="29">
        <f t="shared" si="20"/>
        <v>12.195563261636002</v>
      </c>
      <c r="AJ31" s="230">
        <v>0</v>
      </c>
      <c r="AK31" s="29">
        <f t="shared" si="24"/>
        <v>12.561430159485083</v>
      </c>
      <c r="AL31" s="29">
        <f t="shared" si="21"/>
        <v>12.561430159485083</v>
      </c>
      <c r="AM31" s="29">
        <f t="shared" si="22"/>
        <v>12.561430159485083</v>
      </c>
      <c r="AN31" s="29">
        <f t="shared" si="23"/>
        <v>12.561430159485083</v>
      </c>
      <c r="AO31" s="230">
        <v>0</v>
      </c>
      <c r="AP31" s="30">
        <f t="shared" si="25"/>
        <v>12.938273064269636</v>
      </c>
      <c r="AQ31" s="30"/>
      <c r="AR31" s="30"/>
      <c r="AS31" s="30"/>
      <c r="AT31" s="289">
        <v>0</v>
      </c>
      <c r="AU31" s="30">
        <f>AP31*(1+$AY$24)</f>
        <v>13.326421256197724</v>
      </c>
      <c r="AV31" s="30"/>
      <c r="AW31" s="30"/>
      <c r="AX31" s="30"/>
      <c r="AY31" s="289">
        <v>0</v>
      </c>
      <c r="AZ31" s="393">
        <f>AU31*(1+$BD$24)</f>
        <v>13.726213893883656</v>
      </c>
      <c r="BA31" s="393"/>
      <c r="BB31" s="393"/>
      <c r="BC31" s="393"/>
      <c r="BD31" s="394">
        <v>0</v>
      </c>
      <c r="BF31" s="17" t="s">
        <v>91</v>
      </c>
    </row>
    <row r="32" spans="1:58" x14ac:dyDescent="0.35">
      <c r="A32" s="17" t="s">
        <v>92</v>
      </c>
      <c r="B32" s="30"/>
      <c r="C32" s="30"/>
      <c r="D32" s="30"/>
      <c r="E32" s="30"/>
      <c r="F32" s="30"/>
      <c r="G32" s="24"/>
      <c r="H32" s="24"/>
      <c r="I32" s="24"/>
      <c r="J32" s="24"/>
      <c r="K32" s="24"/>
      <c r="L32" s="24"/>
      <c r="M32" s="24"/>
      <c r="N32" s="24"/>
      <c r="O32" s="24"/>
      <c r="P32" s="24"/>
      <c r="Q32" s="25">
        <f>Q28</f>
        <v>11.160667999999999</v>
      </c>
      <c r="R32" s="25">
        <f>R28</f>
        <v>11.160667999999999</v>
      </c>
      <c r="S32" s="25">
        <f>S28</f>
        <v>11.160667999999999</v>
      </c>
      <c r="T32" s="25">
        <f>T28</f>
        <v>11.160667999999999</v>
      </c>
      <c r="U32" s="25">
        <f>U28</f>
        <v>0</v>
      </c>
      <c r="V32" s="24">
        <f>Q32*(1+$Z$24)</f>
        <v>11.49548804</v>
      </c>
      <c r="W32" s="24">
        <f t="shared" si="19"/>
        <v>11.49548804</v>
      </c>
      <c r="X32" s="24">
        <f t="shared" si="19"/>
        <v>11.49548804</v>
      </c>
      <c r="Y32" s="24">
        <f t="shared" si="19"/>
        <v>11.49548804</v>
      </c>
      <c r="Z32" s="24">
        <f t="shared" si="19"/>
        <v>0</v>
      </c>
      <c r="AA32" s="26">
        <f t="shared" si="26"/>
        <v>11.840352681200001</v>
      </c>
      <c r="AB32" s="26">
        <f t="shared" si="26"/>
        <v>11.840352681200001</v>
      </c>
      <c r="AC32" s="26">
        <f t="shared" si="26"/>
        <v>11.840352681200001</v>
      </c>
      <c r="AD32" s="26">
        <f t="shared" si="26"/>
        <v>11.840352681200001</v>
      </c>
      <c r="AE32" s="26">
        <f>Z32*(1+$AE$24)</f>
        <v>0</v>
      </c>
      <c r="AF32" s="29">
        <f t="shared" si="20"/>
        <v>12.195563261636002</v>
      </c>
      <c r="AG32" s="29">
        <f t="shared" si="20"/>
        <v>12.195563261636002</v>
      </c>
      <c r="AH32" s="29">
        <f t="shared" si="20"/>
        <v>12.195563261636002</v>
      </c>
      <c r="AI32" s="29">
        <f t="shared" si="20"/>
        <v>12.195563261636002</v>
      </c>
      <c r="AJ32" s="230">
        <v>0</v>
      </c>
      <c r="AK32" s="29">
        <f t="shared" si="24"/>
        <v>12.561430159485083</v>
      </c>
      <c r="AL32" s="29">
        <f t="shared" si="21"/>
        <v>12.561430159485083</v>
      </c>
      <c r="AM32" s="29">
        <f t="shared" si="22"/>
        <v>12.561430159485083</v>
      </c>
      <c r="AN32" s="29">
        <f t="shared" si="23"/>
        <v>12.561430159485083</v>
      </c>
      <c r="AO32" s="230">
        <v>0</v>
      </c>
      <c r="AP32" s="30">
        <f t="shared" si="25"/>
        <v>12.938273064269636</v>
      </c>
      <c r="AQ32" s="30"/>
      <c r="AR32" s="30"/>
      <c r="AS32" s="30"/>
      <c r="AT32" s="289">
        <v>0</v>
      </c>
      <c r="AU32" s="30">
        <f>AP32*(1+$AY$24)</f>
        <v>13.326421256197724</v>
      </c>
      <c r="AV32" s="30"/>
      <c r="AW32" s="30"/>
      <c r="AX32" s="30"/>
      <c r="AY32" s="289">
        <v>0</v>
      </c>
      <c r="AZ32" s="393">
        <f>AU32*(1+$BD$24)</f>
        <v>13.726213893883656</v>
      </c>
      <c r="BA32" s="393"/>
      <c r="BB32" s="393"/>
      <c r="BC32" s="393"/>
      <c r="BD32" s="394">
        <v>0</v>
      </c>
      <c r="BF32" s="17" t="s">
        <v>92</v>
      </c>
    </row>
    <row r="34" spans="1:56" x14ac:dyDescent="0.35">
      <c r="A34" s="15" t="s">
        <v>98</v>
      </c>
    </row>
    <row r="35" spans="1:56" x14ac:dyDescent="0.35">
      <c r="L35" t="s">
        <v>94</v>
      </c>
      <c r="P35" s="28">
        <v>0.03</v>
      </c>
      <c r="Q35" t="s">
        <v>95</v>
      </c>
      <c r="U35" s="28">
        <v>0.03</v>
      </c>
      <c r="V35" t="s">
        <v>95</v>
      </c>
      <c r="Z35" s="28">
        <v>0.03</v>
      </c>
      <c r="AA35" t="s">
        <v>95</v>
      </c>
      <c r="AE35" s="28">
        <v>0.03</v>
      </c>
      <c r="AF35" t="s">
        <v>95</v>
      </c>
      <c r="AJ35" s="28">
        <v>0.03</v>
      </c>
      <c r="AK35" t="s">
        <v>388</v>
      </c>
      <c r="AO35" s="28">
        <v>0.03</v>
      </c>
      <c r="AP35" t="s">
        <v>384</v>
      </c>
      <c r="AT35" s="28">
        <v>0.03</v>
      </c>
      <c r="AU35" s="395" t="s">
        <v>451</v>
      </c>
      <c r="AV35" s="395"/>
      <c r="AW35" s="395"/>
      <c r="AX35" s="395"/>
      <c r="AY35" s="396">
        <v>0.03</v>
      </c>
      <c r="AZ35" s="590" t="s">
        <v>508</v>
      </c>
      <c r="BA35" s="590"/>
      <c r="BB35" s="590"/>
      <c r="BC35" s="590"/>
      <c r="BD35" s="591">
        <v>0.03</v>
      </c>
    </row>
    <row r="36" spans="1:56" x14ac:dyDescent="0.35">
      <c r="A36" s="750" t="s">
        <v>80</v>
      </c>
      <c r="B36" s="751">
        <v>2013</v>
      </c>
      <c r="C36" s="751"/>
      <c r="D36" s="751"/>
      <c r="E36" s="751"/>
      <c r="F36" s="751"/>
      <c r="G36" s="755">
        <v>2014</v>
      </c>
      <c r="H36" s="755"/>
      <c r="I36" s="755"/>
      <c r="J36" s="755"/>
      <c r="K36" s="755"/>
      <c r="L36" s="751">
        <v>2015</v>
      </c>
      <c r="M36" s="751"/>
      <c r="N36" s="751"/>
      <c r="O36" s="751"/>
      <c r="P36" s="751"/>
      <c r="Q36" s="751">
        <v>2016</v>
      </c>
      <c r="R36" s="751"/>
      <c r="S36" s="751"/>
      <c r="T36" s="751"/>
      <c r="U36" s="751"/>
      <c r="V36" s="751">
        <v>2017</v>
      </c>
      <c r="W36" s="751"/>
      <c r="X36" s="751"/>
      <c r="Y36" s="751"/>
      <c r="Z36" s="751"/>
      <c r="AA36" s="751">
        <v>2018</v>
      </c>
      <c r="AB36" s="751"/>
      <c r="AC36" s="751"/>
      <c r="AD36" s="751"/>
      <c r="AE36" s="751"/>
      <c r="AF36" s="751">
        <v>2019</v>
      </c>
      <c r="AG36" s="751"/>
      <c r="AH36" s="751"/>
      <c r="AI36" s="751"/>
      <c r="AJ36" s="751"/>
      <c r="AK36" s="751">
        <v>2020</v>
      </c>
      <c r="AL36" s="751"/>
      <c r="AM36" s="751"/>
      <c r="AN36" s="751"/>
      <c r="AO36" s="751"/>
      <c r="AP36" s="751">
        <v>2021</v>
      </c>
      <c r="AQ36" s="751"/>
      <c r="AR36" s="751"/>
      <c r="AS36" s="751"/>
      <c r="AT36" s="751"/>
      <c r="AU36" s="738">
        <v>2022</v>
      </c>
      <c r="AV36" s="738"/>
      <c r="AW36" s="738"/>
      <c r="AX36" s="738"/>
      <c r="AY36" s="738"/>
      <c r="AZ36" s="735">
        <v>2023</v>
      </c>
      <c r="BA36" s="735"/>
      <c r="BB36" s="735"/>
      <c r="BC36" s="735"/>
      <c r="BD36" s="735"/>
    </row>
    <row r="37" spans="1:56" ht="30.25" customHeight="1" x14ac:dyDescent="0.35">
      <c r="A37" s="750"/>
      <c r="B37" s="750" t="s">
        <v>81</v>
      </c>
      <c r="C37" s="750"/>
      <c r="D37" s="750" t="s">
        <v>82</v>
      </c>
      <c r="E37" s="750"/>
      <c r="F37" s="750" t="s">
        <v>83</v>
      </c>
      <c r="G37" s="750" t="s">
        <v>81</v>
      </c>
      <c r="H37" s="750"/>
      <c r="I37" s="750" t="s">
        <v>82</v>
      </c>
      <c r="J37" s="750"/>
      <c r="K37" s="750" t="s">
        <v>83</v>
      </c>
      <c r="L37" s="750" t="s">
        <v>81</v>
      </c>
      <c r="M37" s="750"/>
      <c r="N37" s="750" t="s">
        <v>82</v>
      </c>
      <c r="O37" s="750"/>
      <c r="P37" s="750" t="s">
        <v>83</v>
      </c>
      <c r="Q37" s="750" t="s">
        <v>81</v>
      </c>
      <c r="R37" s="750"/>
      <c r="S37" s="750" t="s">
        <v>82</v>
      </c>
      <c r="T37" s="750"/>
      <c r="U37" s="750" t="s">
        <v>83</v>
      </c>
      <c r="V37" s="750" t="s">
        <v>81</v>
      </c>
      <c r="W37" s="750"/>
      <c r="X37" s="750" t="s">
        <v>82</v>
      </c>
      <c r="Y37" s="750"/>
      <c r="Z37" s="750" t="s">
        <v>83</v>
      </c>
      <c r="AA37" s="750" t="s">
        <v>81</v>
      </c>
      <c r="AB37" s="750"/>
      <c r="AC37" s="750" t="s">
        <v>82</v>
      </c>
      <c r="AD37" s="750"/>
      <c r="AE37" s="750" t="s">
        <v>83</v>
      </c>
      <c r="AF37" s="750" t="s">
        <v>81</v>
      </c>
      <c r="AG37" s="750"/>
      <c r="AH37" s="750" t="s">
        <v>82</v>
      </c>
      <c r="AI37" s="750"/>
      <c r="AJ37" s="750" t="s">
        <v>83</v>
      </c>
      <c r="AK37" s="750" t="s">
        <v>81</v>
      </c>
      <c r="AL37" s="750"/>
      <c r="AM37" s="750" t="s">
        <v>82</v>
      </c>
      <c r="AN37" s="750"/>
      <c r="AO37" s="750" t="s">
        <v>83</v>
      </c>
      <c r="AP37" s="750" t="s">
        <v>81</v>
      </c>
      <c r="AQ37" s="750"/>
      <c r="AR37" s="750" t="s">
        <v>82</v>
      </c>
      <c r="AS37" s="750"/>
      <c r="AT37" s="750" t="s">
        <v>83</v>
      </c>
      <c r="AU37" s="746" t="s">
        <v>81</v>
      </c>
      <c r="AV37" s="746"/>
      <c r="AW37" s="746" t="s">
        <v>82</v>
      </c>
      <c r="AX37" s="746"/>
      <c r="AY37" s="746" t="s">
        <v>83</v>
      </c>
      <c r="AZ37" s="736" t="s">
        <v>81</v>
      </c>
      <c r="BA37" s="736"/>
      <c r="BB37" s="736" t="s">
        <v>82</v>
      </c>
      <c r="BC37" s="736"/>
      <c r="BD37" s="736" t="s">
        <v>83</v>
      </c>
    </row>
    <row r="38" spans="1:56" ht="58" x14ac:dyDescent="0.35">
      <c r="A38" s="750"/>
      <c r="B38" s="22" t="s">
        <v>99</v>
      </c>
      <c r="C38" s="22" t="s">
        <v>100</v>
      </c>
      <c r="D38" s="22" t="s">
        <v>99</v>
      </c>
      <c r="E38" s="22" t="s">
        <v>100</v>
      </c>
      <c r="F38" s="750"/>
      <c r="G38" s="22" t="s">
        <v>99</v>
      </c>
      <c r="H38" s="22" t="s">
        <v>100</v>
      </c>
      <c r="I38" s="22" t="s">
        <v>99</v>
      </c>
      <c r="J38" s="22" t="s">
        <v>100</v>
      </c>
      <c r="K38" s="750"/>
      <c r="L38" s="22" t="s">
        <v>99</v>
      </c>
      <c r="M38" s="22" t="s">
        <v>100</v>
      </c>
      <c r="N38" s="22" t="s">
        <v>99</v>
      </c>
      <c r="O38" s="22" t="s">
        <v>100</v>
      </c>
      <c r="P38" s="750"/>
      <c r="Q38" s="22" t="s">
        <v>99</v>
      </c>
      <c r="R38" s="22" t="s">
        <v>100</v>
      </c>
      <c r="S38" s="22" t="s">
        <v>99</v>
      </c>
      <c r="T38" s="22" t="s">
        <v>100</v>
      </c>
      <c r="U38" s="750"/>
      <c r="V38" s="22" t="s">
        <v>99</v>
      </c>
      <c r="W38" s="22" t="s">
        <v>100</v>
      </c>
      <c r="X38" s="22" t="s">
        <v>99</v>
      </c>
      <c r="Y38" s="22" t="s">
        <v>100</v>
      </c>
      <c r="Z38" s="750"/>
      <c r="AA38" s="22" t="s">
        <v>99</v>
      </c>
      <c r="AB38" s="22" t="s">
        <v>100</v>
      </c>
      <c r="AC38" s="22" t="s">
        <v>99</v>
      </c>
      <c r="AD38" s="22" t="s">
        <v>100</v>
      </c>
      <c r="AE38" s="750"/>
      <c r="AF38" s="22" t="s">
        <v>99</v>
      </c>
      <c r="AG38" s="22" t="s">
        <v>100</v>
      </c>
      <c r="AH38" s="22" t="s">
        <v>99</v>
      </c>
      <c r="AI38" s="22" t="s">
        <v>100</v>
      </c>
      <c r="AJ38" s="750"/>
      <c r="AK38" s="22" t="s">
        <v>99</v>
      </c>
      <c r="AL38" s="22" t="s">
        <v>100</v>
      </c>
      <c r="AM38" s="22" t="s">
        <v>99</v>
      </c>
      <c r="AN38" s="22" t="s">
        <v>100</v>
      </c>
      <c r="AO38" s="750"/>
      <c r="AP38" s="22" t="s">
        <v>99</v>
      </c>
      <c r="AQ38" s="22" t="s">
        <v>100</v>
      </c>
      <c r="AR38" s="22" t="s">
        <v>99</v>
      </c>
      <c r="AS38" s="22" t="s">
        <v>100</v>
      </c>
      <c r="AT38" s="750"/>
      <c r="AU38" s="397" t="s">
        <v>99</v>
      </c>
      <c r="AV38" s="397" t="s">
        <v>100</v>
      </c>
      <c r="AW38" s="397" t="s">
        <v>99</v>
      </c>
      <c r="AX38" s="397" t="s">
        <v>100</v>
      </c>
      <c r="AY38" s="746"/>
      <c r="AZ38" s="592" t="s">
        <v>99</v>
      </c>
      <c r="BA38" s="592" t="s">
        <v>100</v>
      </c>
      <c r="BB38" s="592" t="s">
        <v>99</v>
      </c>
      <c r="BC38" s="592" t="s">
        <v>100</v>
      </c>
      <c r="BD38" s="736"/>
    </row>
    <row r="39" spans="1:56" x14ac:dyDescent="0.35">
      <c r="A39" s="17" t="s">
        <v>84</v>
      </c>
      <c r="B39" s="30">
        <v>9.65</v>
      </c>
      <c r="C39" s="30">
        <v>8.7899999999999991</v>
      </c>
      <c r="D39" s="30">
        <v>9.65</v>
      </c>
      <c r="E39" s="30">
        <v>8.7899999999999991</v>
      </c>
      <c r="F39" s="30">
        <v>0</v>
      </c>
      <c r="G39" s="24">
        <v>10.52</v>
      </c>
      <c r="H39" s="24">
        <v>10.52</v>
      </c>
      <c r="I39" s="24">
        <v>10.52</v>
      </c>
      <c r="J39" s="24">
        <v>10.52</v>
      </c>
      <c r="K39" s="24">
        <f>F39*(1+$B$5)</f>
        <v>0</v>
      </c>
      <c r="L39" s="24">
        <f>G39*(1+$P$35)</f>
        <v>10.835599999999999</v>
      </c>
      <c r="M39" s="24">
        <f t="shared" ref="M39:P42" si="27">H39*(1+$P$35)</f>
        <v>10.835599999999999</v>
      </c>
      <c r="N39" s="24">
        <f t="shared" si="27"/>
        <v>10.835599999999999</v>
      </c>
      <c r="O39" s="24">
        <f t="shared" si="27"/>
        <v>10.835599999999999</v>
      </c>
      <c r="P39" s="24">
        <f t="shared" si="27"/>
        <v>0</v>
      </c>
      <c r="Q39" s="25">
        <f>L39*(1+U35)</f>
        <v>11.160667999999999</v>
      </c>
      <c r="R39" s="25">
        <f t="shared" ref="R39:U42" si="28">M39*(1+$U$35)</f>
        <v>11.160667999999999</v>
      </c>
      <c r="S39" s="25">
        <f t="shared" si="28"/>
        <v>11.160667999999999</v>
      </c>
      <c r="T39" s="25">
        <f t="shared" si="28"/>
        <v>11.160667999999999</v>
      </c>
      <c r="U39" s="25">
        <f t="shared" si="28"/>
        <v>0</v>
      </c>
      <c r="V39" s="24">
        <f t="shared" ref="V39:Z43" si="29">Q39*(1+$Z$35)</f>
        <v>11.49548804</v>
      </c>
      <c r="W39" s="24">
        <f t="shared" si="29"/>
        <v>11.49548804</v>
      </c>
      <c r="X39" s="24">
        <f t="shared" si="29"/>
        <v>11.49548804</v>
      </c>
      <c r="Y39" s="24">
        <f t="shared" si="29"/>
        <v>11.49548804</v>
      </c>
      <c r="Z39" s="24">
        <f t="shared" si="29"/>
        <v>0</v>
      </c>
      <c r="AA39" s="26">
        <f>V39*(1+$AE$35)</f>
        <v>11.840352681200001</v>
      </c>
      <c r="AB39" s="26">
        <f>W39*(1+$AE$35)</f>
        <v>11.840352681200001</v>
      </c>
      <c r="AC39" s="26">
        <f>X39*(1+$AE$35)</f>
        <v>11.840352681200001</v>
      </c>
      <c r="AD39" s="26">
        <f>Y39*(1+$AE$35)</f>
        <v>11.840352681200001</v>
      </c>
      <c r="AE39" s="26">
        <f>Z39*(1+$AE$35)</f>
        <v>0</v>
      </c>
      <c r="AF39" s="29">
        <f t="shared" ref="AF39:AO39" si="30">AA39*(1+$AJ$35)</f>
        <v>12.195563261636002</v>
      </c>
      <c r="AG39" s="29">
        <f t="shared" si="30"/>
        <v>12.195563261636002</v>
      </c>
      <c r="AH39" s="29">
        <f t="shared" si="30"/>
        <v>12.195563261636002</v>
      </c>
      <c r="AI39" s="29">
        <f t="shared" si="30"/>
        <v>12.195563261636002</v>
      </c>
      <c r="AJ39" s="29">
        <f t="shared" si="30"/>
        <v>0</v>
      </c>
      <c r="AK39" s="29">
        <f>AF39*(1+$AJ$35)</f>
        <v>12.561430159485083</v>
      </c>
      <c r="AL39" s="29">
        <f t="shared" si="30"/>
        <v>12.561430159485083</v>
      </c>
      <c r="AM39" s="29">
        <f t="shared" si="30"/>
        <v>12.561430159485083</v>
      </c>
      <c r="AN39" s="29">
        <f t="shared" si="30"/>
        <v>12.561430159485083</v>
      </c>
      <c r="AO39" s="29">
        <f t="shared" si="30"/>
        <v>0</v>
      </c>
      <c r="AP39" s="30">
        <f t="shared" ref="AP39:AT43" si="31">AK39*(1+$AT$35)</f>
        <v>12.938273064269636</v>
      </c>
      <c r="AQ39" s="30">
        <f t="shared" si="31"/>
        <v>12.938273064269636</v>
      </c>
      <c r="AR39" s="30">
        <f t="shared" si="31"/>
        <v>12.938273064269636</v>
      </c>
      <c r="AS39" s="431">
        <f t="shared" si="31"/>
        <v>12.938273064269636</v>
      </c>
      <c r="AT39" s="30">
        <f t="shared" si="31"/>
        <v>0</v>
      </c>
      <c r="AU39" s="702">
        <f t="shared" ref="AU39:AY43" si="32">AP39*(1+$AY$35)</f>
        <v>13.326421256197724</v>
      </c>
      <c r="AV39" s="398">
        <f t="shared" si="32"/>
        <v>13.326421256197724</v>
      </c>
      <c r="AW39" s="398">
        <f t="shared" si="32"/>
        <v>13.326421256197724</v>
      </c>
      <c r="AX39" s="399">
        <f t="shared" si="32"/>
        <v>13.326421256197724</v>
      </c>
      <c r="AY39" s="398">
        <f t="shared" si="32"/>
        <v>0</v>
      </c>
      <c r="AZ39" s="593">
        <f>AU39*(1+$BD$35)-0.01</f>
        <v>13.716213893883657</v>
      </c>
      <c r="BA39" s="593">
        <f>AV39*(1+$BD$35)-0.01</f>
        <v>13.716213893883657</v>
      </c>
      <c r="BB39" s="593">
        <f>AW39*(1+$BD$35)</f>
        <v>13.726213893883656</v>
      </c>
      <c r="BC39" s="594">
        <f>AX39*(1+$BD$35)-0.01</f>
        <v>13.716213893883657</v>
      </c>
      <c r="BD39" s="593">
        <f>AY39*(1+$BD$35)</f>
        <v>0</v>
      </c>
    </row>
    <row r="40" spans="1:56" x14ac:dyDescent="0.35">
      <c r="A40" s="17" t="s">
        <v>89</v>
      </c>
      <c r="B40" s="30">
        <v>6.15</v>
      </c>
      <c r="C40" s="30">
        <v>5.29</v>
      </c>
      <c r="D40" s="30">
        <v>6.15</v>
      </c>
      <c r="E40" s="30">
        <v>5.29</v>
      </c>
      <c r="F40" s="30">
        <v>0</v>
      </c>
      <c r="G40" s="24">
        <v>10.52</v>
      </c>
      <c r="H40" s="24">
        <v>6.82</v>
      </c>
      <c r="I40" s="24">
        <v>6.82</v>
      </c>
      <c r="J40" s="24">
        <v>6.82</v>
      </c>
      <c r="K40" s="24">
        <f>F40*(1+$B$5)</f>
        <v>0</v>
      </c>
      <c r="L40" s="24">
        <f>G40*(1+$P$35)</f>
        <v>10.835599999999999</v>
      </c>
      <c r="M40" s="24">
        <f t="shared" si="27"/>
        <v>7.0246000000000004</v>
      </c>
      <c r="N40" s="24">
        <f t="shared" si="27"/>
        <v>7.0246000000000004</v>
      </c>
      <c r="O40" s="24">
        <f t="shared" si="27"/>
        <v>7.0246000000000004</v>
      </c>
      <c r="P40" s="24">
        <f t="shared" si="27"/>
        <v>0</v>
      </c>
      <c r="Q40" s="25">
        <f>L40*(1+$U$35)</f>
        <v>11.160667999999999</v>
      </c>
      <c r="R40" s="25">
        <f t="shared" si="28"/>
        <v>7.2353380000000005</v>
      </c>
      <c r="S40" s="25">
        <f t="shared" si="28"/>
        <v>7.2353380000000005</v>
      </c>
      <c r="T40" s="25">
        <f t="shared" si="28"/>
        <v>7.2353380000000005</v>
      </c>
      <c r="U40" s="25">
        <f t="shared" si="28"/>
        <v>0</v>
      </c>
      <c r="V40" s="24">
        <f t="shared" si="29"/>
        <v>11.49548804</v>
      </c>
      <c r="W40" s="24">
        <f t="shared" si="29"/>
        <v>7.4523981400000006</v>
      </c>
      <c r="X40" s="24">
        <f t="shared" si="29"/>
        <v>7.4523981400000006</v>
      </c>
      <c r="Y40" s="24">
        <f t="shared" si="29"/>
        <v>7.4523981400000006</v>
      </c>
      <c r="Z40" s="24">
        <f t="shared" si="29"/>
        <v>0</v>
      </c>
      <c r="AA40" s="26">
        <f>V40*(1+$AE$35)</f>
        <v>11.840352681200001</v>
      </c>
      <c r="AB40" s="324">
        <f>W40*(1+$AE$35)-0.01</f>
        <v>7.6659700842000014</v>
      </c>
      <c r="AC40" s="325">
        <f>X40*(1+$AE$35)-0.01</f>
        <v>7.6659700842000014</v>
      </c>
      <c r="AD40" s="26">
        <f t="shared" ref="AB40:AD41" si="33">Y40*(1+$AE$35)-0.01</f>
        <v>7.6659700842000014</v>
      </c>
      <c r="AE40" s="26">
        <f>Z40*(1+$AE$35)</f>
        <v>0</v>
      </c>
      <c r="AF40" s="29">
        <f t="shared" ref="AF40:AJ43" si="34">AA40*(1+$AJ$35)</f>
        <v>12.195563261636002</v>
      </c>
      <c r="AG40" s="29">
        <f t="shared" si="34"/>
        <v>7.8959491867260017</v>
      </c>
      <c r="AH40" s="29">
        <f t="shared" si="34"/>
        <v>7.8959491867260017</v>
      </c>
      <c r="AI40" s="29">
        <f t="shared" si="34"/>
        <v>7.8959491867260017</v>
      </c>
      <c r="AJ40" s="29">
        <f t="shared" si="34"/>
        <v>0</v>
      </c>
      <c r="AK40" s="29">
        <f>AF40*(1+$AJ$35)</f>
        <v>12.561430159485083</v>
      </c>
      <c r="AL40" s="29">
        <f t="shared" ref="AL40:AL43" si="35">AG40*(1+$AJ$35)</f>
        <v>8.1328276623277826</v>
      </c>
      <c r="AM40" s="29">
        <f t="shared" ref="AM40:AM43" si="36">AH40*(1+$AJ$35)</f>
        <v>8.1328276623277826</v>
      </c>
      <c r="AN40" s="29">
        <f t="shared" ref="AN40:AN43" si="37">AI40*(1+$AJ$35)</f>
        <v>8.1328276623277826</v>
      </c>
      <c r="AO40" s="29">
        <f t="shared" ref="AO40:AO43" si="38">AJ40*(1+$AJ$35)</f>
        <v>0</v>
      </c>
      <c r="AP40" s="30">
        <f>AK40*(1+$AT$35)</f>
        <v>12.938273064269636</v>
      </c>
      <c r="AQ40" s="432">
        <v>8.3841999999999999</v>
      </c>
      <c r="AR40" s="432">
        <v>8.3841999999999999</v>
      </c>
      <c r="AS40" s="432">
        <v>8.3841999999999999</v>
      </c>
      <c r="AT40" s="30">
        <f t="shared" si="31"/>
        <v>0</v>
      </c>
      <c r="AU40" s="398">
        <f t="shared" si="32"/>
        <v>13.326421256197724</v>
      </c>
      <c r="AV40" s="398">
        <f t="shared" ref="AV40:AX41" si="39">ROUND(AQ40,2)*(1+$AY$35)</f>
        <v>8.6314000000000011</v>
      </c>
      <c r="AW40" s="398">
        <f t="shared" si="39"/>
        <v>8.6314000000000011</v>
      </c>
      <c r="AX40" s="398">
        <f t="shared" si="39"/>
        <v>8.6314000000000011</v>
      </c>
      <c r="AY40" s="398">
        <f t="shared" si="32"/>
        <v>0</v>
      </c>
      <c r="AZ40" s="593">
        <f>AU40*(1+$BD$35)-0.01</f>
        <v>13.716213893883657</v>
      </c>
      <c r="BA40" s="593">
        <f t="shared" ref="BA40:BC41" si="40">ROUND(AV40,2)*(1+$BD$35)</f>
        <v>8.8889000000000014</v>
      </c>
      <c r="BB40" s="593">
        <f t="shared" si="40"/>
        <v>8.8889000000000014</v>
      </c>
      <c r="BC40" s="593">
        <f t="shared" si="40"/>
        <v>8.8889000000000014</v>
      </c>
      <c r="BD40" s="593">
        <f>AY40*(1+$BD$35)</f>
        <v>0</v>
      </c>
    </row>
    <row r="41" spans="1:56" x14ac:dyDescent="0.35">
      <c r="A41" s="17" t="s">
        <v>90</v>
      </c>
      <c r="B41" s="30">
        <v>6.15</v>
      </c>
      <c r="C41" s="30">
        <v>5.29</v>
      </c>
      <c r="D41" s="30">
        <v>6.15</v>
      </c>
      <c r="E41" s="30">
        <v>5.29</v>
      </c>
      <c r="F41" s="30">
        <v>0</v>
      </c>
      <c r="G41" s="24">
        <v>10.52</v>
      </c>
      <c r="H41" s="24">
        <v>6.82</v>
      </c>
      <c r="I41" s="24">
        <v>6.82</v>
      </c>
      <c r="J41" s="24">
        <v>6.82</v>
      </c>
      <c r="K41" s="24">
        <f>F41*(1+$B$5)</f>
        <v>0</v>
      </c>
      <c r="L41" s="24">
        <f>G41*(1+$P$35)</f>
        <v>10.835599999999999</v>
      </c>
      <c r="M41" s="24">
        <f t="shared" si="27"/>
        <v>7.0246000000000004</v>
      </c>
      <c r="N41" s="24">
        <f t="shared" si="27"/>
        <v>7.0246000000000004</v>
      </c>
      <c r="O41" s="24">
        <f t="shared" si="27"/>
        <v>7.0246000000000004</v>
      </c>
      <c r="P41" s="24">
        <f t="shared" si="27"/>
        <v>0</v>
      </c>
      <c r="Q41" s="25">
        <f>L41*(1+$U$35)</f>
        <v>11.160667999999999</v>
      </c>
      <c r="R41" s="25">
        <f t="shared" si="28"/>
        <v>7.2353380000000005</v>
      </c>
      <c r="S41" s="25">
        <f t="shared" si="28"/>
        <v>7.2353380000000005</v>
      </c>
      <c r="T41" s="25">
        <f t="shared" si="28"/>
        <v>7.2353380000000005</v>
      </c>
      <c r="U41" s="25">
        <f t="shared" si="28"/>
        <v>0</v>
      </c>
      <c r="V41" s="24">
        <f t="shared" si="29"/>
        <v>11.49548804</v>
      </c>
      <c r="W41" s="24">
        <f t="shared" si="29"/>
        <v>7.4523981400000006</v>
      </c>
      <c r="X41" s="24">
        <f t="shared" si="29"/>
        <v>7.4523981400000006</v>
      </c>
      <c r="Y41" s="24">
        <f t="shared" si="29"/>
        <v>7.4523981400000006</v>
      </c>
      <c r="Z41" s="24">
        <f t="shared" si="29"/>
        <v>0</v>
      </c>
      <c r="AA41" s="26">
        <f>V41*(1+$AE$35)</f>
        <v>11.840352681200001</v>
      </c>
      <c r="AB41" s="325">
        <f t="shared" si="33"/>
        <v>7.6659700842000014</v>
      </c>
      <c r="AC41" s="325">
        <f t="shared" si="33"/>
        <v>7.6659700842000014</v>
      </c>
      <c r="AD41" s="26">
        <f t="shared" si="33"/>
        <v>7.6659700842000014</v>
      </c>
      <c r="AE41" s="26">
        <f>Z41*(1+$AE$35)</f>
        <v>0</v>
      </c>
      <c r="AF41" s="29">
        <f t="shared" si="34"/>
        <v>12.195563261636002</v>
      </c>
      <c r="AG41" s="29">
        <f t="shared" si="34"/>
        <v>7.8959491867260017</v>
      </c>
      <c r="AH41" s="29">
        <f t="shared" si="34"/>
        <v>7.8959491867260017</v>
      </c>
      <c r="AI41" s="29">
        <f t="shared" si="34"/>
        <v>7.8959491867260017</v>
      </c>
      <c r="AJ41" s="29">
        <f t="shared" si="34"/>
        <v>0</v>
      </c>
      <c r="AK41" s="29">
        <f t="shared" ref="AK41:AK43" si="41">AF41*(1+$AJ$35)</f>
        <v>12.561430159485083</v>
      </c>
      <c r="AL41" s="29">
        <f t="shared" si="35"/>
        <v>8.1328276623277826</v>
      </c>
      <c r="AM41" s="29">
        <f t="shared" si="36"/>
        <v>8.1328276623277826</v>
      </c>
      <c r="AN41" s="29">
        <f t="shared" si="37"/>
        <v>8.1328276623277826</v>
      </c>
      <c r="AO41" s="29">
        <f t="shared" si="38"/>
        <v>0</v>
      </c>
      <c r="AP41" s="30">
        <f t="shared" si="31"/>
        <v>12.938273064269636</v>
      </c>
      <c r="AQ41" s="432">
        <v>8.3841999999999999</v>
      </c>
      <c r="AR41" s="432">
        <v>8.3841999999999999</v>
      </c>
      <c r="AS41" s="432">
        <v>8.3841999999999999</v>
      </c>
      <c r="AT41" s="30">
        <f t="shared" si="31"/>
        <v>0</v>
      </c>
      <c r="AU41" s="398">
        <f t="shared" si="32"/>
        <v>13.326421256197724</v>
      </c>
      <c r="AV41" s="398">
        <f t="shared" si="39"/>
        <v>8.6314000000000011</v>
      </c>
      <c r="AW41" s="398">
        <f t="shared" si="39"/>
        <v>8.6314000000000011</v>
      </c>
      <c r="AX41" s="398">
        <f t="shared" si="39"/>
        <v>8.6314000000000011</v>
      </c>
      <c r="AY41" s="398">
        <f t="shared" si="32"/>
        <v>0</v>
      </c>
      <c r="AZ41" s="593">
        <f>AU41*(1+$BD$35)-0.01</f>
        <v>13.716213893883657</v>
      </c>
      <c r="BA41" s="593">
        <f t="shared" si="40"/>
        <v>8.8889000000000014</v>
      </c>
      <c r="BB41" s="593">
        <f t="shared" si="40"/>
        <v>8.8889000000000014</v>
      </c>
      <c r="BC41" s="593">
        <f t="shared" si="40"/>
        <v>8.8889000000000014</v>
      </c>
      <c r="BD41" s="593">
        <f>AY41*(1+$BD$35)</f>
        <v>0</v>
      </c>
    </row>
    <row r="42" spans="1:56" x14ac:dyDescent="0.35">
      <c r="A42" s="275" t="s">
        <v>378</v>
      </c>
      <c r="B42" s="30">
        <v>9.15</v>
      </c>
      <c r="C42" s="30">
        <v>8.2899999999999991</v>
      </c>
      <c r="D42" s="30">
        <v>9.15</v>
      </c>
      <c r="E42" s="30">
        <v>8.2899999999999991</v>
      </c>
      <c r="F42" s="276">
        <v>3.7</v>
      </c>
      <c r="G42" s="24">
        <v>10.52</v>
      </c>
      <c r="H42" s="24">
        <v>10.52</v>
      </c>
      <c r="I42" s="24">
        <v>10.52</v>
      </c>
      <c r="J42" s="24">
        <v>10.52</v>
      </c>
      <c r="K42" s="24">
        <v>3.7</v>
      </c>
      <c r="L42" s="24">
        <f>G42*(1+$P$35)</f>
        <v>10.835599999999999</v>
      </c>
      <c r="M42" s="24">
        <f t="shared" si="27"/>
        <v>10.835599999999999</v>
      </c>
      <c r="N42" s="24">
        <f t="shared" si="27"/>
        <v>10.835599999999999</v>
      </c>
      <c r="O42" s="24">
        <f t="shared" si="27"/>
        <v>10.835599999999999</v>
      </c>
      <c r="P42" s="24">
        <f t="shared" si="27"/>
        <v>3.8110000000000004</v>
      </c>
      <c r="Q42" s="25">
        <f>L42*(1+$U$35)</f>
        <v>11.160667999999999</v>
      </c>
      <c r="R42" s="25">
        <f t="shared" si="28"/>
        <v>11.160667999999999</v>
      </c>
      <c r="S42" s="25">
        <f t="shared" si="28"/>
        <v>11.160667999999999</v>
      </c>
      <c r="T42" s="25">
        <f t="shared" si="28"/>
        <v>11.160667999999999</v>
      </c>
      <c r="U42" s="25">
        <f t="shared" si="28"/>
        <v>3.9253300000000007</v>
      </c>
      <c r="V42" s="24">
        <f t="shared" si="29"/>
        <v>11.49548804</v>
      </c>
      <c r="W42" s="24">
        <f t="shared" si="29"/>
        <v>11.49548804</v>
      </c>
      <c r="X42" s="24">
        <f t="shared" si="29"/>
        <v>11.49548804</v>
      </c>
      <c r="Y42" s="24">
        <f t="shared" si="29"/>
        <v>11.49548804</v>
      </c>
      <c r="Z42" s="24">
        <f>U42*(1+$Z$35)</f>
        <v>4.0430899000000009</v>
      </c>
      <c r="AA42" s="26">
        <f t="shared" ref="AA42:AD43" si="42">V42*(1+$AE$35)</f>
        <v>11.840352681200001</v>
      </c>
      <c r="AB42" s="26">
        <f t="shared" si="42"/>
        <v>11.840352681200001</v>
      </c>
      <c r="AC42" s="26">
        <f t="shared" si="42"/>
        <v>11.840352681200001</v>
      </c>
      <c r="AD42" s="26">
        <f t="shared" si="42"/>
        <v>11.840352681200001</v>
      </c>
      <c r="AE42" s="26">
        <f>Z42*(1+$AE$35)</f>
        <v>4.1643825970000012</v>
      </c>
      <c r="AF42" s="29">
        <f t="shared" si="34"/>
        <v>12.195563261636002</v>
      </c>
      <c r="AG42" s="29">
        <f t="shared" si="34"/>
        <v>12.195563261636002</v>
      </c>
      <c r="AH42" s="29">
        <f t="shared" si="34"/>
        <v>12.195563261636002</v>
      </c>
      <c r="AI42" s="29">
        <f t="shared" si="34"/>
        <v>12.195563261636002</v>
      </c>
      <c r="AJ42" s="29">
        <f t="shared" si="34"/>
        <v>4.2893140749100018</v>
      </c>
      <c r="AK42" s="29">
        <f t="shared" si="41"/>
        <v>12.561430159485083</v>
      </c>
      <c r="AL42" s="29">
        <f t="shared" si="35"/>
        <v>12.561430159485083</v>
      </c>
      <c r="AM42" s="29">
        <f t="shared" si="36"/>
        <v>12.561430159485083</v>
      </c>
      <c r="AN42" s="29">
        <f t="shared" si="37"/>
        <v>12.561430159485083</v>
      </c>
      <c r="AO42" s="29">
        <f>AJ42*(1+$AJ$35)</f>
        <v>4.4179934971573021</v>
      </c>
      <c r="AP42" s="30">
        <f t="shared" si="31"/>
        <v>12.938273064269636</v>
      </c>
      <c r="AQ42" s="30">
        <f t="shared" si="31"/>
        <v>12.938273064269636</v>
      </c>
      <c r="AR42" s="30">
        <f t="shared" si="31"/>
        <v>12.938273064269636</v>
      </c>
      <c r="AS42" s="30">
        <f t="shared" si="31"/>
        <v>12.938273064269636</v>
      </c>
      <c r="AT42" s="30">
        <f t="shared" si="31"/>
        <v>4.5505333020720213</v>
      </c>
      <c r="AU42" s="398">
        <f t="shared" si="32"/>
        <v>13.326421256197724</v>
      </c>
      <c r="AV42" s="398">
        <f t="shared" si="32"/>
        <v>13.326421256197724</v>
      </c>
      <c r="AW42" s="398">
        <f t="shared" si="32"/>
        <v>13.326421256197724</v>
      </c>
      <c r="AX42" s="398">
        <f t="shared" si="32"/>
        <v>13.326421256197724</v>
      </c>
      <c r="AY42" s="398">
        <f>AT42*(1+$AY$35)</f>
        <v>4.6870493011341825</v>
      </c>
      <c r="AZ42" s="593">
        <f>AU42*(1+$BD$35)-0.01</f>
        <v>13.716213893883657</v>
      </c>
      <c r="BA42" s="593">
        <f t="shared" ref="BA42:BC43" si="43">AV42*(1+$BD$35)-0.01</f>
        <v>13.716213893883657</v>
      </c>
      <c r="BB42" s="593">
        <f t="shared" si="43"/>
        <v>13.716213893883657</v>
      </c>
      <c r="BC42" s="593">
        <f t="shared" si="43"/>
        <v>13.716213893883657</v>
      </c>
      <c r="BD42" s="593">
        <f>AY42*(1+$BD$35)</f>
        <v>4.8276607801682081</v>
      </c>
    </row>
    <row r="43" spans="1:56" x14ac:dyDescent="0.35">
      <c r="A43" s="17" t="s">
        <v>92</v>
      </c>
      <c r="B43" s="30"/>
      <c r="C43" s="30"/>
      <c r="D43" s="30"/>
      <c r="E43" s="30"/>
      <c r="F43" s="30"/>
      <c r="G43" s="24"/>
      <c r="H43" s="24"/>
      <c r="I43" s="24"/>
      <c r="J43" s="24"/>
      <c r="K43" s="24"/>
      <c r="L43" s="24"/>
      <c r="M43" s="24"/>
      <c r="N43" s="24"/>
      <c r="O43" s="24"/>
      <c r="P43" s="24"/>
      <c r="Q43" s="25">
        <f>Q39</f>
        <v>11.160667999999999</v>
      </c>
      <c r="R43" s="25">
        <f>R39</f>
        <v>11.160667999999999</v>
      </c>
      <c r="S43" s="25">
        <f>S39</f>
        <v>11.160667999999999</v>
      </c>
      <c r="T43" s="25">
        <f>T39</f>
        <v>11.160667999999999</v>
      </c>
      <c r="U43" s="25">
        <f>U39</f>
        <v>0</v>
      </c>
      <c r="V43" s="24">
        <f t="shared" si="29"/>
        <v>11.49548804</v>
      </c>
      <c r="W43" s="24">
        <f t="shared" si="29"/>
        <v>11.49548804</v>
      </c>
      <c r="X43" s="24">
        <f t="shared" si="29"/>
        <v>11.49548804</v>
      </c>
      <c r="Y43" s="24">
        <f t="shared" si="29"/>
        <v>11.49548804</v>
      </c>
      <c r="Z43" s="24">
        <f>U43*(1+$Z$35)</f>
        <v>0</v>
      </c>
      <c r="AA43" s="26">
        <f t="shared" si="42"/>
        <v>11.840352681200001</v>
      </c>
      <c r="AB43" s="26">
        <f t="shared" si="42"/>
        <v>11.840352681200001</v>
      </c>
      <c r="AC43" s="26">
        <f t="shared" si="42"/>
        <v>11.840352681200001</v>
      </c>
      <c r="AD43" s="26">
        <f t="shared" si="42"/>
        <v>11.840352681200001</v>
      </c>
      <c r="AE43" s="26">
        <f>Z43*(1+$AE$35)</f>
        <v>0</v>
      </c>
      <c r="AF43" s="29">
        <f t="shared" si="34"/>
        <v>12.195563261636002</v>
      </c>
      <c r="AG43" s="29">
        <f t="shared" si="34"/>
        <v>12.195563261636002</v>
      </c>
      <c r="AH43" s="29">
        <f t="shared" si="34"/>
        <v>12.195563261636002</v>
      </c>
      <c r="AI43" s="29">
        <f t="shared" si="34"/>
        <v>12.195563261636002</v>
      </c>
      <c r="AJ43" s="29">
        <f t="shared" si="34"/>
        <v>0</v>
      </c>
      <c r="AK43" s="29">
        <f t="shared" si="41"/>
        <v>12.561430159485083</v>
      </c>
      <c r="AL43" s="29">
        <f t="shared" si="35"/>
        <v>12.561430159485083</v>
      </c>
      <c r="AM43" s="29">
        <f t="shared" si="36"/>
        <v>12.561430159485083</v>
      </c>
      <c r="AN43" s="29">
        <f t="shared" si="37"/>
        <v>12.561430159485083</v>
      </c>
      <c r="AO43" s="29">
        <f t="shared" si="38"/>
        <v>0</v>
      </c>
      <c r="AP43" s="30">
        <f t="shared" si="31"/>
        <v>12.938273064269636</v>
      </c>
      <c r="AQ43" s="30">
        <f t="shared" si="31"/>
        <v>12.938273064269636</v>
      </c>
      <c r="AR43" s="30">
        <f t="shared" si="31"/>
        <v>12.938273064269636</v>
      </c>
      <c r="AS43" s="30">
        <f t="shared" si="31"/>
        <v>12.938273064269636</v>
      </c>
      <c r="AT43" s="30">
        <f t="shared" si="31"/>
        <v>0</v>
      </c>
      <c r="AU43" s="398">
        <f t="shared" si="32"/>
        <v>13.326421256197724</v>
      </c>
      <c r="AV43" s="398">
        <f t="shared" si="32"/>
        <v>13.326421256197724</v>
      </c>
      <c r="AW43" s="398">
        <f t="shared" si="32"/>
        <v>13.326421256197724</v>
      </c>
      <c r="AX43" s="398">
        <f t="shared" si="32"/>
        <v>13.326421256197724</v>
      </c>
      <c r="AY43" s="398">
        <f t="shared" si="32"/>
        <v>0</v>
      </c>
      <c r="AZ43" s="593">
        <f>AU43*(1+$BD$35)-0.01</f>
        <v>13.716213893883657</v>
      </c>
      <c r="BA43" s="593">
        <f t="shared" si="43"/>
        <v>13.716213893883657</v>
      </c>
      <c r="BB43" s="593">
        <f t="shared" si="43"/>
        <v>13.716213893883657</v>
      </c>
      <c r="BC43" s="593">
        <f t="shared" si="43"/>
        <v>13.716213893883657</v>
      </c>
      <c r="BD43" s="593">
        <f t="shared" ref="BD43" si="44">AY43*(1+$AY$35)</f>
        <v>0</v>
      </c>
    </row>
    <row r="45" spans="1:56" x14ac:dyDescent="0.35">
      <c r="A45" s="15" t="s">
        <v>415</v>
      </c>
      <c r="Z45" s="15" t="s">
        <v>415</v>
      </c>
      <c r="AQ45" s="312"/>
      <c r="AT45" s="312">
        <f>+AS40+AT42</f>
        <v>12.934733302072022</v>
      </c>
    </row>
    <row r="46" spans="1:56" ht="15" thickBot="1" x14ac:dyDescent="0.4">
      <c r="Z46" s="291"/>
      <c r="AH46" s="323"/>
      <c r="AI46" s="312"/>
      <c r="AJ46" s="312"/>
      <c r="AK46" s="322"/>
      <c r="AX46" s="312">
        <f>8.38*(1+3%)</f>
        <v>8.6314000000000011</v>
      </c>
    </row>
    <row r="47" spans="1:56" x14ac:dyDescent="0.35">
      <c r="A47" s="754" t="s">
        <v>80</v>
      </c>
      <c r="B47" s="751">
        <v>2013</v>
      </c>
      <c r="C47" s="751"/>
      <c r="D47" s="751"/>
      <c r="E47" s="751">
        <v>2014</v>
      </c>
      <c r="F47" s="751"/>
      <c r="G47" s="751"/>
      <c r="H47" s="751">
        <v>2015</v>
      </c>
      <c r="I47" s="751"/>
      <c r="J47" s="751"/>
      <c r="K47" s="751">
        <v>2016</v>
      </c>
      <c r="L47" s="751"/>
      <c r="M47" s="751"/>
      <c r="N47" s="751">
        <v>2017</v>
      </c>
      <c r="O47" s="751"/>
      <c r="P47" s="739"/>
      <c r="Q47" s="747">
        <v>2018</v>
      </c>
      <c r="R47" s="748"/>
      <c r="S47" s="749"/>
      <c r="T47" s="741">
        <v>2019</v>
      </c>
      <c r="U47" s="751"/>
      <c r="V47" s="739"/>
      <c r="W47" s="747">
        <v>2020</v>
      </c>
      <c r="X47" s="748"/>
      <c r="Y47" s="749"/>
      <c r="Z47" s="741">
        <v>2021</v>
      </c>
      <c r="AA47" s="751"/>
      <c r="AB47" s="751"/>
      <c r="AC47" s="747">
        <v>2022</v>
      </c>
      <c r="AD47" s="748"/>
      <c r="AE47" s="749"/>
      <c r="AF47" s="737">
        <v>2023</v>
      </c>
      <c r="AG47" s="738"/>
      <c r="AH47" s="738"/>
      <c r="AV47" s="330"/>
      <c r="AX47">
        <v>4.6900000000000004</v>
      </c>
    </row>
    <row r="48" spans="1:56" ht="43.5" x14ac:dyDescent="0.35">
      <c r="A48" s="754"/>
      <c r="B48" s="22" t="s">
        <v>81</v>
      </c>
      <c r="C48" s="22" t="s">
        <v>82</v>
      </c>
      <c r="D48" s="22" t="s">
        <v>83</v>
      </c>
      <c r="E48" s="22" t="s">
        <v>81</v>
      </c>
      <c r="F48" s="22" t="s">
        <v>82</v>
      </c>
      <c r="G48" s="22" t="s">
        <v>83</v>
      </c>
      <c r="H48" s="22" t="s">
        <v>81</v>
      </c>
      <c r="I48" s="22" t="s">
        <v>82</v>
      </c>
      <c r="J48" s="22" t="s">
        <v>83</v>
      </c>
      <c r="K48" s="22" t="s">
        <v>81</v>
      </c>
      <c r="L48" s="22" t="s">
        <v>82</v>
      </c>
      <c r="M48" s="22" t="s">
        <v>83</v>
      </c>
      <c r="N48" s="22" t="s">
        <v>81</v>
      </c>
      <c r="O48" s="22" t="s">
        <v>82</v>
      </c>
      <c r="P48" s="293" t="s">
        <v>83</v>
      </c>
      <c r="Q48" s="296" t="s">
        <v>81</v>
      </c>
      <c r="R48" s="22" t="s">
        <v>82</v>
      </c>
      <c r="S48" s="297" t="s">
        <v>83</v>
      </c>
      <c r="T48" s="294" t="s">
        <v>81</v>
      </c>
      <c r="U48" s="22" t="s">
        <v>82</v>
      </c>
      <c r="V48" s="293" t="s">
        <v>83</v>
      </c>
      <c r="W48" s="296" t="s">
        <v>81</v>
      </c>
      <c r="X48" s="22" t="s">
        <v>82</v>
      </c>
      <c r="Y48" s="297" t="s">
        <v>83</v>
      </c>
      <c r="Z48" s="294" t="s">
        <v>81</v>
      </c>
      <c r="AA48" s="22" t="s">
        <v>82</v>
      </c>
      <c r="AB48" s="22" t="s">
        <v>83</v>
      </c>
      <c r="AC48" s="296" t="s">
        <v>81</v>
      </c>
      <c r="AD48" s="22" t="s">
        <v>82</v>
      </c>
      <c r="AE48" s="297" t="s">
        <v>83</v>
      </c>
      <c r="AF48" s="400" t="s">
        <v>81</v>
      </c>
      <c r="AG48" s="397" t="s">
        <v>82</v>
      </c>
      <c r="AH48" s="397" t="s">
        <v>83</v>
      </c>
      <c r="AX48" s="312"/>
    </row>
    <row r="49" spans="1:44" x14ac:dyDescent="0.35">
      <c r="A49" s="17" t="s">
        <v>84</v>
      </c>
      <c r="B49" s="30">
        <v>0</v>
      </c>
      <c r="C49" s="30">
        <v>0</v>
      </c>
      <c r="D49" s="30">
        <v>0</v>
      </c>
      <c r="E49" s="24">
        <f>B49*(1+$B$5)</f>
        <v>0</v>
      </c>
      <c r="F49" s="24">
        <f t="shared" ref="F49:G56" si="45">C49*(1+$B$5)</f>
        <v>0</v>
      </c>
      <c r="G49" s="24">
        <f t="shared" si="45"/>
        <v>0</v>
      </c>
      <c r="H49" s="24">
        <f>E49*(1+$C$5)</f>
        <v>0</v>
      </c>
      <c r="I49" s="24">
        <f>F49*(1+$C$5)</f>
        <v>0</v>
      </c>
      <c r="J49" s="24">
        <f>G49*(1+$C$5)</f>
        <v>0</v>
      </c>
      <c r="K49" s="24">
        <f>H49*(1+$D$5)</f>
        <v>0</v>
      </c>
      <c r="L49" s="24">
        <f t="shared" ref="L49:L55" si="46">I49*(1+$D$5)</f>
        <v>0</v>
      </c>
      <c r="M49" s="24">
        <f>J49*(1+$D$5)</f>
        <v>0</v>
      </c>
      <c r="N49" s="25">
        <f t="shared" ref="N49:P57" si="47">K49*(1+$E$5)</f>
        <v>0</v>
      </c>
      <c r="O49" s="25">
        <f t="shared" si="47"/>
        <v>0</v>
      </c>
      <c r="P49" s="303">
        <f t="shared" si="47"/>
        <v>0</v>
      </c>
      <c r="Q49" s="305">
        <f t="shared" ref="Q49:S57" si="48">N49*(1+$F$5)</f>
        <v>0</v>
      </c>
      <c r="R49" s="26">
        <f t="shared" si="48"/>
        <v>0</v>
      </c>
      <c r="S49" s="306">
        <f t="shared" si="48"/>
        <v>0</v>
      </c>
      <c r="T49" s="304">
        <f t="shared" ref="T49:V56" si="49">Q49*(1+$G$5)</f>
        <v>0</v>
      </c>
      <c r="U49" s="27">
        <f t="shared" si="49"/>
        <v>0</v>
      </c>
      <c r="V49" s="295">
        <f t="shared" si="49"/>
        <v>0</v>
      </c>
      <c r="W49" s="298">
        <f t="shared" ref="W49:Y56" si="50">T49*(1+$H$5)</f>
        <v>0</v>
      </c>
      <c r="X49" s="27">
        <f t="shared" si="50"/>
        <v>0</v>
      </c>
      <c r="Y49" s="299">
        <f t="shared" si="50"/>
        <v>0</v>
      </c>
      <c r="Z49" s="433">
        <f t="shared" ref="Z49:AB56" si="51">W49*(1+$I$5)</f>
        <v>0</v>
      </c>
      <c r="AA49" s="30">
        <f t="shared" si="51"/>
        <v>0</v>
      </c>
      <c r="AB49" s="30">
        <f t="shared" si="51"/>
        <v>0</v>
      </c>
      <c r="AC49" s="298">
        <f t="shared" ref="AC49:AC57" si="52">Z49*(1+$J$5)</f>
        <v>0</v>
      </c>
      <c r="AD49" s="27">
        <f t="shared" ref="AD49:AD57" si="53">AA49*(1+$J$5)</f>
        <v>0</v>
      </c>
      <c r="AE49" s="299">
        <f t="shared" ref="AE49:AE57" si="54">AB49*(1+$J$5)</f>
        <v>0</v>
      </c>
      <c r="AF49" s="401">
        <f t="shared" ref="AF49:AF57" si="55">AC49*(1+$K$5)</f>
        <v>0</v>
      </c>
      <c r="AG49" s="398">
        <f t="shared" ref="AG49:AG57" si="56">AD49*(1+$K$5)</f>
        <v>0</v>
      </c>
      <c r="AH49" s="398">
        <f t="shared" ref="AH49:AH57" si="57">AE49*(1+$K$5)</f>
        <v>0</v>
      </c>
      <c r="AK49" s="17" t="s">
        <v>84</v>
      </c>
      <c r="AL49" s="410"/>
      <c r="AQ49" s="411"/>
      <c r="AR49" s="412"/>
    </row>
    <row r="50" spans="1:44" x14ac:dyDescent="0.35">
      <c r="A50" s="17" t="s">
        <v>85</v>
      </c>
      <c r="B50" s="30">
        <v>78.87</v>
      </c>
      <c r="C50" s="30">
        <v>78.87</v>
      </c>
      <c r="D50" s="30">
        <v>0</v>
      </c>
      <c r="E50" s="24">
        <f t="shared" ref="E50:E56" si="58">B50*(1+$B$5)</f>
        <v>80.400078000000008</v>
      </c>
      <c r="F50" s="24">
        <f t="shared" si="45"/>
        <v>80.400078000000008</v>
      </c>
      <c r="G50" s="24">
        <f t="shared" si="45"/>
        <v>0</v>
      </c>
      <c r="H50" s="24">
        <f t="shared" ref="H50:J56" si="59">E50*(1+$C$5)</f>
        <v>83.342720854800007</v>
      </c>
      <c r="I50" s="24">
        <f t="shared" si="59"/>
        <v>83.342720854800007</v>
      </c>
      <c r="J50" s="24">
        <f t="shared" si="59"/>
        <v>0</v>
      </c>
      <c r="K50" s="24">
        <f>H50*(1+$D$5)-0.01</f>
        <v>88.975023056669968</v>
      </c>
      <c r="L50" s="24">
        <f>I50*(1+$D$5)-0.01</f>
        <v>88.975023056669968</v>
      </c>
      <c r="M50" s="24">
        <f t="shared" ref="M50:M56" si="60">J50*(1+$D$5)</f>
        <v>0</v>
      </c>
      <c r="N50" s="25">
        <f t="shared" si="47"/>
        <v>94.091086882428499</v>
      </c>
      <c r="O50" s="25">
        <f t="shared" si="47"/>
        <v>94.091086882428499</v>
      </c>
      <c r="P50" s="303">
        <f t="shared" si="47"/>
        <v>0</v>
      </c>
      <c r="Q50" s="305">
        <f t="shared" si="48"/>
        <v>97.939412335919812</v>
      </c>
      <c r="R50" s="26">
        <f t="shared" si="48"/>
        <v>97.939412335919812</v>
      </c>
      <c r="S50" s="306">
        <f t="shared" si="48"/>
        <v>0</v>
      </c>
      <c r="T50" s="304">
        <f>Q50*(1+$G$5)</f>
        <v>101.05388564820207</v>
      </c>
      <c r="U50" s="27">
        <f t="shared" si="49"/>
        <v>101.05388564820207</v>
      </c>
      <c r="V50" s="295">
        <f t="shared" si="49"/>
        <v>0</v>
      </c>
      <c r="W50" s="298">
        <f>T50*(1+$H$5)</f>
        <v>104.89393330283374</v>
      </c>
      <c r="X50" s="27">
        <f t="shared" si="50"/>
        <v>104.89393330283374</v>
      </c>
      <c r="Y50" s="299">
        <f t="shared" si="50"/>
        <v>0</v>
      </c>
      <c r="Z50" s="433">
        <f>W50*(1+$I$5)+0.01</f>
        <v>106.59272562900938</v>
      </c>
      <c r="AA50" s="30">
        <f>X50*(1+$I$5)+0.01</f>
        <v>106.59272562900938</v>
      </c>
      <c r="AB50" s="30">
        <f t="shared" si="51"/>
        <v>0</v>
      </c>
      <c r="AC50" s="298">
        <f t="shared" si="52"/>
        <v>112.5832368093597</v>
      </c>
      <c r="AD50" s="27">
        <f t="shared" si="53"/>
        <v>112.5832368093597</v>
      </c>
      <c r="AE50" s="299">
        <f t="shared" si="54"/>
        <v>0</v>
      </c>
      <c r="AF50" s="401">
        <f t="shared" si="55"/>
        <v>127.35415747874769</v>
      </c>
      <c r="AG50" s="398">
        <f t="shared" si="56"/>
        <v>127.35415747874769</v>
      </c>
      <c r="AH50" s="398">
        <f t="shared" si="57"/>
        <v>0</v>
      </c>
      <c r="AK50" s="17" t="s">
        <v>85</v>
      </c>
      <c r="AL50" s="410"/>
      <c r="AM50" s="410"/>
      <c r="AN50" s="410"/>
      <c r="AO50" s="410"/>
      <c r="AP50" s="410"/>
      <c r="AQ50" s="411"/>
      <c r="AR50" s="412"/>
    </row>
    <row r="51" spans="1:44" x14ac:dyDescent="0.35">
      <c r="A51" s="17" t="s">
        <v>86</v>
      </c>
      <c r="B51" s="30">
        <v>0</v>
      </c>
      <c r="C51" s="30">
        <v>0</v>
      </c>
      <c r="D51" s="30">
        <v>0</v>
      </c>
      <c r="E51" s="24">
        <f t="shared" si="58"/>
        <v>0</v>
      </c>
      <c r="F51" s="24">
        <f t="shared" si="45"/>
        <v>0</v>
      </c>
      <c r="G51" s="24">
        <f t="shared" si="45"/>
        <v>0</v>
      </c>
      <c r="H51" s="24">
        <f t="shared" si="59"/>
        <v>0</v>
      </c>
      <c r="I51" s="24">
        <f t="shared" si="59"/>
        <v>0</v>
      </c>
      <c r="J51" s="24">
        <f t="shared" si="59"/>
        <v>0</v>
      </c>
      <c r="K51" s="24">
        <f>H51*(1+$D$5)</f>
        <v>0</v>
      </c>
      <c r="L51" s="24">
        <f t="shared" si="46"/>
        <v>0</v>
      </c>
      <c r="M51" s="24">
        <f t="shared" si="60"/>
        <v>0</v>
      </c>
      <c r="N51" s="25">
        <f t="shared" si="47"/>
        <v>0</v>
      </c>
      <c r="O51" s="25">
        <f t="shared" si="47"/>
        <v>0</v>
      </c>
      <c r="P51" s="303">
        <f t="shared" si="47"/>
        <v>0</v>
      </c>
      <c r="Q51" s="305">
        <f t="shared" si="48"/>
        <v>0</v>
      </c>
      <c r="R51" s="26">
        <f t="shared" si="48"/>
        <v>0</v>
      </c>
      <c r="S51" s="306">
        <f t="shared" si="48"/>
        <v>0</v>
      </c>
      <c r="T51" s="304">
        <f t="shared" si="49"/>
        <v>0</v>
      </c>
      <c r="U51" s="27">
        <f t="shared" si="49"/>
        <v>0</v>
      </c>
      <c r="V51" s="295">
        <f t="shared" si="49"/>
        <v>0</v>
      </c>
      <c r="W51" s="298">
        <f t="shared" si="50"/>
        <v>0</v>
      </c>
      <c r="X51" s="27">
        <f t="shared" si="50"/>
        <v>0</v>
      </c>
      <c r="Y51" s="299">
        <f t="shared" si="50"/>
        <v>0</v>
      </c>
      <c r="Z51" s="433">
        <f t="shared" si="51"/>
        <v>0</v>
      </c>
      <c r="AA51" s="30">
        <f t="shared" si="51"/>
        <v>0</v>
      </c>
      <c r="AB51" s="30">
        <f t="shared" si="51"/>
        <v>0</v>
      </c>
      <c r="AC51" s="298">
        <f t="shared" si="52"/>
        <v>0</v>
      </c>
      <c r="AD51" s="27">
        <f t="shared" si="53"/>
        <v>0</v>
      </c>
      <c r="AE51" s="299">
        <f t="shared" si="54"/>
        <v>0</v>
      </c>
      <c r="AF51" s="401">
        <f t="shared" si="55"/>
        <v>0</v>
      </c>
      <c r="AG51" s="398">
        <f t="shared" si="56"/>
        <v>0</v>
      </c>
      <c r="AH51" s="398">
        <f t="shared" si="57"/>
        <v>0</v>
      </c>
      <c r="AK51" s="17" t="s">
        <v>86</v>
      </c>
    </row>
    <row r="52" spans="1:44" x14ac:dyDescent="0.35">
      <c r="A52" s="17" t="s">
        <v>87</v>
      </c>
      <c r="B52" s="30">
        <v>78.87</v>
      </c>
      <c r="C52" s="30">
        <v>78.87</v>
      </c>
      <c r="D52" s="30">
        <v>0</v>
      </c>
      <c r="E52" s="24">
        <f t="shared" si="58"/>
        <v>80.400078000000008</v>
      </c>
      <c r="F52" s="24">
        <f t="shared" si="45"/>
        <v>80.400078000000008</v>
      </c>
      <c r="G52" s="24">
        <f t="shared" si="45"/>
        <v>0</v>
      </c>
      <c r="H52" s="24">
        <f t="shared" si="59"/>
        <v>83.342720854800007</v>
      </c>
      <c r="I52" s="24">
        <f t="shared" si="59"/>
        <v>83.342720854800007</v>
      </c>
      <c r="J52" s="24">
        <f t="shared" si="59"/>
        <v>0</v>
      </c>
      <c r="K52" s="24">
        <f>H52*(1+$D$5)-0.01</f>
        <v>88.975023056669968</v>
      </c>
      <c r="L52" s="24">
        <f>I52*(1+$D$5)-0.01</f>
        <v>88.975023056669968</v>
      </c>
      <c r="M52" s="24">
        <f t="shared" si="60"/>
        <v>0</v>
      </c>
      <c r="N52" s="25">
        <f t="shared" si="47"/>
        <v>94.091086882428499</v>
      </c>
      <c r="O52" s="25">
        <f t="shared" si="47"/>
        <v>94.091086882428499</v>
      </c>
      <c r="P52" s="303">
        <f t="shared" si="47"/>
        <v>0</v>
      </c>
      <c r="Q52" s="305">
        <f t="shared" si="48"/>
        <v>97.939412335919812</v>
      </c>
      <c r="R52" s="26">
        <f t="shared" si="48"/>
        <v>97.939412335919812</v>
      </c>
      <c r="S52" s="306">
        <f t="shared" si="48"/>
        <v>0</v>
      </c>
      <c r="T52" s="304">
        <f>Q52*(1+$G$5)</f>
        <v>101.05388564820207</v>
      </c>
      <c r="U52" s="27">
        <f t="shared" si="49"/>
        <v>101.05388564820207</v>
      </c>
      <c r="V52" s="295">
        <f t="shared" si="49"/>
        <v>0</v>
      </c>
      <c r="W52" s="298">
        <f t="shared" si="50"/>
        <v>104.89393330283374</v>
      </c>
      <c r="X52" s="27">
        <f t="shared" si="50"/>
        <v>104.89393330283374</v>
      </c>
      <c r="Y52" s="299">
        <f t="shared" si="50"/>
        <v>0</v>
      </c>
      <c r="Z52" s="433">
        <f>W52*(1+$I$5)+0.01</f>
        <v>106.59272562900938</v>
      </c>
      <c r="AA52" s="30">
        <f>X52*(1+$I$5)+0.01</f>
        <v>106.59272562900938</v>
      </c>
      <c r="AB52" s="30">
        <f t="shared" si="51"/>
        <v>0</v>
      </c>
      <c r="AC52" s="298">
        <f t="shared" si="52"/>
        <v>112.5832368093597</v>
      </c>
      <c r="AD52" s="27">
        <f t="shared" si="53"/>
        <v>112.5832368093597</v>
      </c>
      <c r="AE52" s="299">
        <f t="shared" si="54"/>
        <v>0</v>
      </c>
      <c r="AF52" s="401">
        <f t="shared" si="55"/>
        <v>127.35415747874769</v>
      </c>
      <c r="AG52" s="398">
        <f t="shared" si="56"/>
        <v>127.35415747874769</v>
      </c>
      <c r="AH52" s="398">
        <f t="shared" si="57"/>
        <v>0</v>
      </c>
      <c r="AK52" s="17" t="s">
        <v>87</v>
      </c>
    </row>
    <row r="53" spans="1:44" x14ac:dyDescent="0.35">
      <c r="A53" s="17" t="s">
        <v>88</v>
      </c>
      <c r="B53" s="30">
        <v>58.03</v>
      </c>
      <c r="C53" s="30">
        <v>58.03</v>
      </c>
      <c r="D53" s="30">
        <v>58.03</v>
      </c>
      <c r="E53" s="24">
        <f t="shared" si="58"/>
        <v>59.155782000000009</v>
      </c>
      <c r="F53" s="24">
        <f t="shared" si="45"/>
        <v>59.155782000000009</v>
      </c>
      <c r="G53" s="24">
        <f t="shared" si="45"/>
        <v>59.155782000000009</v>
      </c>
      <c r="H53" s="24">
        <f t="shared" si="59"/>
        <v>61.320883621200011</v>
      </c>
      <c r="I53" s="24">
        <f t="shared" si="59"/>
        <v>61.320883621200011</v>
      </c>
      <c r="J53" s="24">
        <f t="shared" si="59"/>
        <v>61.320883621200011</v>
      </c>
      <c r="K53" s="24">
        <f>H53*(1+$D$5)</f>
        <v>65.472307442355259</v>
      </c>
      <c r="L53" s="24">
        <f t="shared" si="46"/>
        <v>65.472307442355259</v>
      </c>
      <c r="M53" s="24">
        <f t="shared" si="60"/>
        <v>65.472307442355259</v>
      </c>
      <c r="N53" s="25">
        <f t="shared" si="47"/>
        <v>69.236965120290691</v>
      </c>
      <c r="O53" s="25">
        <f t="shared" si="47"/>
        <v>69.236965120290691</v>
      </c>
      <c r="P53" s="303">
        <f t="shared" si="47"/>
        <v>69.236965120290691</v>
      </c>
      <c r="Q53" s="305">
        <f t="shared" si="48"/>
        <v>72.068756993710579</v>
      </c>
      <c r="R53" s="26">
        <f t="shared" si="48"/>
        <v>72.068756993710579</v>
      </c>
      <c r="S53" s="306">
        <f t="shared" si="48"/>
        <v>72.068756993710579</v>
      </c>
      <c r="T53" s="304">
        <f t="shared" si="49"/>
        <v>74.360543466110585</v>
      </c>
      <c r="U53" s="27">
        <f t="shared" si="49"/>
        <v>74.360543466110585</v>
      </c>
      <c r="V53" s="295">
        <f t="shared" si="49"/>
        <v>74.360543466110585</v>
      </c>
      <c r="W53" s="298">
        <f t="shared" si="50"/>
        <v>77.186244117822795</v>
      </c>
      <c r="X53" s="27">
        <f t="shared" si="50"/>
        <v>77.186244117822795</v>
      </c>
      <c r="Y53" s="299">
        <f t="shared" si="50"/>
        <v>77.186244117822795</v>
      </c>
      <c r="Z53" s="433">
        <f t="shared" si="51"/>
        <v>78.428942648119744</v>
      </c>
      <c r="AA53" s="30">
        <f t="shared" si="51"/>
        <v>78.428942648119744</v>
      </c>
      <c r="AB53" s="30">
        <f t="shared" si="51"/>
        <v>78.428942648119744</v>
      </c>
      <c r="AC53" s="298">
        <f t="shared" si="52"/>
        <v>82.836649224944082</v>
      </c>
      <c r="AD53" s="27">
        <f t="shared" si="53"/>
        <v>82.836649224944082</v>
      </c>
      <c r="AE53" s="299">
        <f t="shared" si="54"/>
        <v>82.836649224944082</v>
      </c>
      <c r="AF53" s="401">
        <f t="shared" si="55"/>
        <v>93.704817603256743</v>
      </c>
      <c r="AG53" s="398">
        <f t="shared" si="56"/>
        <v>93.704817603256743</v>
      </c>
      <c r="AH53" s="398">
        <f t="shared" si="57"/>
        <v>93.704817603256743</v>
      </c>
      <c r="AK53" s="17" t="s">
        <v>88</v>
      </c>
    </row>
    <row r="54" spans="1:44" x14ac:dyDescent="0.35">
      <c r="A54" s="17" t="s">
        <v>89</v>
      </c>
      <c r="B54" s="30">
        <v>78.87</v>
      </c>
      <c r="C54" s="30">
        <v>78.87</v>
      </c>
      <c r="D54" s="30">
        <v>0</v>
      </c>
      <c r="E54" s="24">
        <f t="shared" si="58"/>
        <v>80.400078000000008</v>
      </c>
      <c r="F54" s="24">
        <f t="shared" si="45"/>
        <v>80.400078000000008</v>
      </c>
      <c r="G54" s="24">
        <f t="shared" si="45"/>
        <v>0</v>
      </c>
      <c r="H54" s="24">
        <f t="shared" si="59"/>
        <v>83.342720854800007</v>
      </c>
      <c r="I54" s="24">
        <f t="shared" si="59"/>
        <v>83.342720854800007</v>
      </c>
      <c r="J54" s="24">
        <f t="shared" si="59"/>
        <v>0</v>
      </c>
      <c r="K54" s="24">
        <f>H54*(1+$D$5)-0.01</f>
        <v>88.975023056669968</v>
      </c>
      <c r="L54" s="24">
        <f>I54*(1+$D$5)-0.01</f>
        <v>88.975023056669968</v>
      </c>
      <c r="M54" s="24">
        <f t="shared" si="60"/>
        <v>0</v>
      </c>
      <c r="N54" s="25">
        <f t="shared" si="47"/>
        <v>94.091086882428499</v>
      </c>
      <c r="O54" s="25">
        <f t="shared" si="47"/>
        <v>94.091086882428499</v>
      </c>
      <c r="P54" s="303">
        <f t="shared" si="47"/>
        <v>0</v>
      </c>
      <c r="Q54" s="305">
        <f t="shared" si="48"/>
        <v>97.939412335919812</v>
      </c>
      <c r="R54" s="26">
        <f t="shared" si="48"/>
        <v>97.939412335919812</v>
      </c>
      <c r="S54" s="306">
        <f t="shared" si="48"/>
        <v>0</v>
      </c>
      <c r="T54" s="304">
        <f t="shared" si="49"/>
        <v>101.05388564820207</v>
      </c>
      <c r="U54" s="27">
        <f t="shared" si="49"/>
        <v>101.05388564820207</v>
      </c>
      <c r="V54" s="295">
        <f t="shared" si="49"/>
        <v>0</v>
      </c>
      <c r="W54" s="298">
        <f t="shared" si="50"/>
        <v>104.89393330283374</v>
      </c>
      <c r="X54" s="27">
        <f t="shared" si="50"/>
        <v>104.89393330283374</v>
      </c>
      <c r="Y54" s="299">
        <f t="shared" si="50"/>
        <v>0</v>
      </c>
      <c r="Z54" s="433">
        <f>W54*(1+$I$5)+0.01</f>
        <v>106.59272562900938</v>
      </c>
      <c r="AA54" s="30">
        <f>X54*(1+$I$5)+0.01</f>
        <v>106.59272562900938</v>
      </c>
      <c r="AB54" s="30">
        <f t="shared" si="51"/>
        <v>0</v>
      </c>
      <c r="AC54" s="298">
        <f t="shared" si="52"/>
        <v>112.5832368093597</v>
      </c>
      <c r="AD54" s="27">
        <f t="shared" si="53"/>
        <v>112.5832368093597</v>
      </c>
      <c r="AE54" s="299">
        <f t="shared" si="54"/>
        <v>0</v>
      </c>
      <c r="AF54" s="401">
        <f t="shared" si="55"/>
        <v>127.35415747874769</v>
      </c>
      <c r="AG54" s="398">
        <f t="shared" si="56"/>
        <v>127.35415747874769</v>
      </c>
      <c r="AH54" s="398">
        <f t="shared" si="57"/>
        <v>0</v>
      </c>
      <c r="AK54" s="17" t="s">
        <v>89</v>
      </c>
    </row>
    <row r="55" spans="1:44" x14ac:dyDescent="0.35">
      <c r="A55" s="17" t="s">
        <v>90</v>
      </c>
      <c r="B55" s="30">
        <v>0</v>
      </c>
      <c r="C55" s="30">
        <v>0</v>
      </c>
      <c r="D55" s="30">
        <v>0</v>
      </c>
      <c r="E55" s="24">
        <f t="shared" si="58"/>
        <v>0</v>
      </c>
      <c r="F55" s="24">
        <f t="shared" si="45"/>
        <v>0</v>
      </c>
      <c r="G55" s="24">
        <f t="shared" si="45"/>
        <v>0</v>
      </c>
      <c r="H55" s="24">
        <f t="shared" si="59"/>
        <v>0</v>
      </c>
      <c r="I55" s="24">
        <f t="shared" si="59"/>
        <v>0</v>
      </c>
      <c r="J55" s="24">
        <f t="shared" si="59"/>
        <v>0</v>
      </c>
      <c r="K55" s="24">
        <f>H55*(1+$D$5)</f>
        <v>0</v>
      </c>
      <c r="L55" s="24">
        <f t="shared" si="46"/>
        <v>0</v>
      </c>
      <c r="M55" s="24">
        <f t="shared" si="60"/>
        <v>0</v>
      </c>
      <c r="N55" s="25">
        <f t="shared" si="47"/>
        <v>0</v>
      </c>
      <c r="O55" s="25">
        <f t="shared" si="47"/>
        <v>0</v>
      </c>
      <c r="P55" s="303">
        <f t="shared" si="47"/>
        <v>0</v>
      </c>
      <c r="Q55" s="305">
        <f t="shared" si="48"/>
        <v>0</v>
      </c>
      <c r="R55" s="26">
        <f t="shared" si="48"/>
        <v>0</v>
      </c>
      <c r="S55" s="306">
        <f t="shared" si="48"/>
        <v>0</v>
      </c>
      <c r="T55" s="304">
        <f t="shared" si="49"/>
        <v>0</v>
      </c>
      <c r="U55" s="27">
        <f t="shared" si="49"/>
        <v>0</v>
      </c>
      <c r="V55" s="295">
        <f t="shared" si="49"/>
        <v>0</v>
      </c>
      <c r="W55" s="298">
        <f t="shared" si="50"/>
        <v>0</v>
      </c>
      <c r="X55" s="27">
        <f t="shared" si="50"/>
        <v>0</v>
      </c>
      <c r="Y55" s="299">
        <f t="shared" si="50"/>
        <v>0</v>
      </c>
      <c r="Z55" s="433">
        <f t="shared" si="51"/>
        <v>0</v>
      </c>
      <c r="AA55" s="30">
        <f t="shared" si="51"/>
        <v>0</v>
      </c>
      <c r="AB55" s="30">
        <f t="shared" si="51"/>
        <v>0</v>
      </c>
      <c r="AC55" s="298">
        <f t="shared" si="52"/>
        <v>0</v>
      </c>
      <c r="AD55" s="27">
        <f t="shared" si="53"/>
        <v>0</v>
      </c>
      <c r="AE55" s="299">
        <f t="shared" si="54"/>
        <v>0</v>
      </c>
      <c r="AF55" s="401">
        <f t="shared" si="55"/>
        <v>0</v>
      </c>
      <c r="AG55" s="398">
        <f t="shared" si="56"/>
        <v>0</v>
      </c>
      <c r="AH55" s="398">
        <f t="shared" si="57"/>
        <v>0</v>
      </c>
      <c r="AK55" s="17" t="s">
        <v>90</v>
      </c>
    </row>
    <row r="56" spans="1:44" x14ac:dyDescent="0.35">
      <c r="A56" s="17" t="s">
        <v>91</v>
      </c>
      <c r="B56" s="30">
        <v>78.87</v>
      </c>
      <c r="C56" s="30">
        <v>78.87</v>
      </c>
      <c r="D56" s="30">
        <v>0</v>
      </c>
      <c r="E56" s="24">
        <f t="shared" si="58"/>
        <v>80.400078000000008</v>
      </c>
      <c r="F56" s="24">
        <f t="shared" si="45"/>
        <v>80.400078000000008</v>
      </c>
      <c r="G56" s="24">
        <f t="shared" si="45"/>
        <v>0</v>
      </c>
      <c r="H56" s="24">
        <f t="shared" si="59"/>
        <v>83.342720854800007</v>
      </c>
      <c r="I56" s="24">
        <f t="shared" si="59"/>
        <v>83.342720854800007</v>
      </c>
      <c r="J56" s="24">
        <f t="shared" si="59"/>
        <v>0</v>
      </c>
      <c r="K56" s="24">
        <f>H56*(1+$D$5)-0.01</f>
        <v>88.975023056669968</v>
      </c>
      <c r="L56" s="24">
        <f>I56*(1+$D$5)-0.01</f>
        <v>88.975023056669968</v>
      </c>
      <c r="M56" s="24">
        <f t="shared" si="60"/>
        <v>0</v>
      </c>
      <c r="N56" s="25">
        <f t="shared" si="47"/>
        <v>94.091086882428499</v>
      </c>
      <c r="O56" s="25">
        <f t="shared" si="47"/>
        <v>94.091086882428499</v>
      </c>
      <c r="P56" s="303">
        <f t="shared" si="47"/>
        <v>0</v>
      </c>
      <c r="Q56" s="305">
        <f t="shared" si="48"/>
        <v>97.939412335919812</v>
      </c>
      <c r="R56" s="26">
        <f t="shared" si="48"/>
        <v>97.939412335919812</v>
      </c>
      <c r="S56" s="306">
        <f t="shared" si="48"/>
        <v>0</v>
      </c>
      <c r="T56" s="304">
        <f t="shared" si="49"/>
        <v>101.05388564820207</v>
      </c>
      <c r="U56" s="27">
        <f t="shared" si="49"/>
        <v>101.05388564820207</v>
      </c>
      <c r="V56" s="295">
        <f t="shared" si="49"/>
        <v>0</v>
      </c>
      <c r="W56" s="298">
        <f t="shared" si="50"/>
        <v>104.89393330283374</v>
      </c>
      <c r="X56" s="27">
        <f t="shared" si="50"/>
        <v>104.89393330283374</v>
      </c>
      <c r="Y56" s="299">
        <f t="shared" si="50"/>
        <v>0</v>
      </c>
      <c r="Z56" s="433">
        <f>W56*(1+$I$5)+0.01</f>
        <v>106.59272562900938</v>
      </c>
      <c r="AA56" s="30">
        <f>X56*(1+$I$5)+0.01</f>
        <v>106.59272562900938</v>
      </c>
      <c r="AB56" s="30">
        <f t="shared" si="51"/>
        <v>0</v>
      </c>
      <c r="AC56" s="298">
        <f t="shared" si="52"/>
        <v>112.5832368093597</v>
      </c>
      <c r="AD56" s="27">
        <f t="shared" si="53"/>
        <v>112.5832368093597</v>
      </c>
      <c r="AE56" s="299">
        <f t="shared" si="54"/>
        <v>0</v>
      </c>
      <c r="AF56" s="401">
        <f t="shared" si="55"/>
        <v>127.35415747874769</v>
      </c>
      <c r="AG56" s="398">
        <f t="shared" si="56"/>
        <v>127.35415747874769</v>
      </c>
      <c r="AH56" s="398">
        <f t="shared" si="57"/>
        <v>0</v>
      </c>
      <c r="AK56" s="17" t="s">
        <v>91</v>
      </c>
    </row>
    <row r="57" spans="1:44" ht="15" thickBot="1" x14ac:dyDescent="0.4">
      <c r="A57" s="17" t="s">
        <v>92</v>
      </c>
      <c r="B57" s="30"/>
      <c r="C57" s="30"/>
      <c r="D57" s="30"/>
      <c r="E57" s="24"/>
      <c r="F57" s="24"/>
      <c r="G57" s="24"/>
      <c r="H57" s="24"/>
      <c r="I57" s="24"/>
      <c r="J57" s="24"/>
      <c r="K57" s="24">
        <v>88.98</v>
      </c>
      <c r="L57" s="24">
        <v>88.98</v>
      </c>
      <c r="M57" s="24">
        <v>88.98</v>
      </c>
      <c r="N57" s="25">
        <f t="shared" si="47"/>
        <v>94.096350000000015</v>
      </c>
      <c r="O57" s="25">
        <f t="shared" si="47"/>
        <v>94.096350000000015</v>
      </c>
      <c r="P57" s="303">
        <f t="shared" si="47"/>
        <v>94.096350000000015</v>
      </c>
      <c r="Q57" s="307">
        <f t="shared" si="48"/>
        <v>97.944890715000014</v>
      </c>
      <c r="R57" s="308">
        <f t="shared" si="48"/>
        <v>97.944890715000014</v>
      </c>
      <c r="S57" s="309">
        <f t="shared" si="48"/>
        <v>97.944890715000014</v>
      </c>
      <c r="T57" s="304">
        <f>Q57*(1+$G$5)-0.01</f>
        <v>101.04953823973702</v>
      </c>
      <c r="U57" s="27">
        <f>R57*(1+$G$5)-0.01</f>
        <v>101.04953823973702</v>
      </c>
      <c r="V57" s="295">
        <f>S57*(1+$G$5)-0.01</f>
        <v>101.04953823973702</v>
      </c>
      <c r="W57" s="300">
        <f>T57*(1+$H$5)</f>
        <v>104.88942069284703</v>
      </c>
      <c r="X57" s="301">
        <f>U57*(1+$H$5)</f>
        <v>104.88942069284703</v>
      </c>
      <c r="Y57" s="302">
        <f>V57*(1+$H$5)</f>
        <v>104.88942069284703</v>
      </c>
      <c r="Z57" s="433">
        <f>W57*(1+$I$5)+0.01</f>
        <v>106.58814036600187</v>
      </c>
      <c r="AA57" s="30">
        <f>X57*(1+$I$5)+0.01</f>
        <v>106.58814036600187</v>
      </c>
      <c r="AB57" s="30">
        <f>Y57*(1+$I$5)+0.01</f>
        <v>106.58814036600187</v>
      </c>
      <c r="AC57" s="300">
        <f t="shared" si="52"/>
        <v>112.57839385457117</v>
      </c>
      <c r="AD57" s="301">
        <f t="shared" si="53"/>
        <v>112.57839385457117</v>
      </c>
      <c r="AE57" s="302">
        <f t="shared" si="54"/>
        <v>112.57839385457117</v>
      </c>
      <c r="AF57" s="401">
        <f t="shared" si="55"/>
        <v>127.34867912829091</v>
      </c>
      <c r="AG57" s="398">
        <f t="shared" si="56"/>
        <v>127.34867912829091</v>
      </c>
      <c r="AH57" s="398">
        <f t="shared" si="57"/>
        <v>127.34867912829091</v>
      </c>
      <c r="AK57" s="17" t="s">
        <v>92</v>
      </c>
    </row>
    <row r="59" spans="1:44" x14ac:dyDescent="0.35">
      <c r="A59" s="15" t="s">
        <v>101</v>
      </c>
    </row>
    <row r="61" spans="1:44" x14ac:dyDescent="0.35">
      <c r="A61" s="754" t="s">
        <v>80</v>
      </c>
      <c r="B61" s="751">
        <v>2013</v>
      </c>
      <c r="C61" s="751"/>
      <c r="D61" s="751"/>
      <c r="E61" s="751">
        <v>2014</v>
      </c>
      <c r="F61" s="751"/>
      <c r="G61" s="751"/>
      <c r="H61" s="751">
        <v>2015</v>
      </c>
      <c r="I61" s="751"/>
      <c r="J61" s="751"/>
      <c r="K61" s="751">
        <v>2016</v>
      </c>
      <c r="L61" s="751"/>
      <c r="M61" s="751"/>
      <c r="N61" s="751">
        <v>2017</v>
      </c>
      <c r="O61" s="751"/>
      <c r="P61" s="751"/>
      <c r="Q61" s="751">
        <v>2018</v>
      </c>
      <c r="R61" s="751"/>
      <c r="S61" s="751"/>
    </row>
    <row r="62" spans="1:44" ht="43.5" x14ac:dyDescent="0.35">
      <c r="A62" s="754"/>
      <c r="B62" s="22" t="s">
        <v>81</v>
      </c>
      <c r="C62" s="22" t="s">
        <v>82</v>
      </c>
      <c r="D62" s="22" t="s">
        <v>83</v>
      </c>
      <c r="E62" s="22" t="s">
        <v>81</v>
      </c>
      <c r="F62" s="22" t="s">
        <v>82</v>
      </c>
      <c r="G62" s="22" t="s">
        <v>83</v>
      </c>
      <c r="H62" s="22" t="s">
        <v>81</v>
      </c>
      <c r="I62" s="22" t="s">
        <v>82</v>
      </c>
      <c r="J62" s="22" t="s">
        <v>83</v>
      </c>
      <c r="K62" s="22" t="s">
        <v>81</v>
      </c>
      <c r="L62" s="22" t="s">
        <v>82</v>
      </c>
      <c r="M62" s="22" t="s">
        <v>83</v>
      </c>
      <c r="N62" s="22" t="s">
        <v>81</v>
      </c>
      <c r="O62" s="22" t="s">
        <v>82</v>
      </c>
      <c r="P62" s="22" t="s">
        <v>83</v>
      </c>
      <c r="Q62" s="22" t="s">
        <v>81</v>
      </c>
      <c r="R62" s="22" t="s">
        <v>82</v>
      </c>
      <c r="S62" s="22" t="s">
        <v>83</v>
      </c>
    </row>
    <row r="63" spans="1:44" x14ac:dyDescent="0.35">
      <c r="A63" s="17" t="s">
        <v>84</v>
      </c>
      <c r="B63" s="6" t="s">
        <v>102</v>
      </c>
      <c r="C63" s="6" t="s">
        <v>102</v>
      </c>
      <c r="D63" s="6">
        <v>0</v>
      </c>
      <c r="E63" s="31" t="s">
        <v>102</v>
      </c>
      <c r="F63" s="31" t="s">
        <v>102</v>
      </c>
      <c r="G63" s="31">
        <f t="shared" ref="G63:G70" si="61">D63*(1+$B$5)</f>
        <v>0</v>
      </c>
      <c r="H63" s="32" t="s">
        <v>102</v>
      </c>
      <c r="I63" s="31" t="s">
        <v>102</v>
      </c>
      <c r="J63" s="31">
        <f>G63*(1+$B$5)</f>
        <v>0</v>
      </c>
      <c r="K63" s="32" t="s">
        <v>102</v>
      </c>
      <c r="L63" s="31" t="s">
        <v>102</v>
      </c>
      <c r="M63" s="32">
        <f t="shared" ref="M63:M70" si="62">J63*(1+$D$5)</f>
        <v>0</v>
      </c>
      <c r="N63" s="33" t="s">
        <v>102</v>
      </c>
      <c r="O63" s="34" t="s">
        <v>102</v>
      </c>
      <c r="P63" s="33">
        <f>M63*(1+$E$5)</f>
        <v>0</v>
      </c>
      <c r="Q63" s="35" t="s">
        <v>102</v>
      </c>
      <c r="R63" s="12" t="s">
        <v>102</v>
      </c>
      <c r="S63" s="35">
        <f t="shared" ref="S63:S71" si="63">P63*(1+$F$5)</f>
        <v>0</v>
      </c>
    </row>
    <row r="64" spans="1:44" x14ac:dyDescent="0.35">
      <c r="A64" s="17" t="s">
        <v>85</v>
      </c>
      <c r="B64" s="6">
        <v>240</v>
      </c>
      <c r="C64" s="6" t="s">
        <v>102</v>
      </c>
      <c r="D64" s="6">
        <v>0</v>
      </c>
      <c r="E64" s="32">
        <f>B64*(1+$B$5)</f>
        <v>244.65600000000001</v>
      </c>
      <c r="F64" s="31" t="s">
        <v>102</v>
      </c>
      <c r="G64" s="31">
        <f t="shared" si="61"/>
        <v>0</v>
      </c>
      <c r="H64" s="32">
        <f>E64*(1+$C$5)</f>
        <v>253.6104096</v>
      </c>
      <c r="I64" s="31" t="s">
        <v>102</v>
      </c>
      <c r="J64" s="31">
        <f>G64*(1+$B$5)</f>
        <v>0</v>
      </c>
      <c r="K64" s="32">
        <f>H64*(1+$D$5)</f>
        <v>270.77983432991999</v>
      </c>
      <c r="L64" s="31" t="s">
        <v>102</v>
      </c>
      <c r="M64" s="32">
        <f t="shared" si="62"/>
        <v>0</v>
      </c>
      <c r="N64" s="33">
        <f>K64*(1+$E$5)</f>
        <v>286.34967480389042</v>
      </c>
      <c r="O64" s="34" t="s">
        <v>102</v>
      </c>
      <c r="P64" s="33">
        <f t="shared" ref="P64:P71" si="64">M64*(1+$E$5)</f>
        <v>0</v>
      </c>
      <c r="Q64" s="35">
        <f>N64*(1+$F$5)</f>
        <v>298.0613765033695</v>
      </c>
      <c r="R64" s="12" t="s">
        <v>102</v>
      </c>
      <c r="S64" s="35">
        <f t="shared" si="63"/>
        <v>0</v>
      </c>
    </row>
    <row r="65" spans="1:19" x14ac:dyDescent="0.35">
      <c r="A65" s="17" t="s">
        <v>86</v>
      </c>
      <c r="B65" s="6" t="s">
        <v>102</v>
      </c>
      <c r="C65" s="6" t="s">
        <v>102</v>
      </c>
      <c r="D65" s="6">
        <v>0</v>
      </c>
      <c r="E65" s="31" t="s">
        <v>102</v>
      </c>
      <c r="F65" s="31" t="s">
        <v>102</v>
      </c>
      <c r="G65" s="31">
        <f t="shared" si="61"/>
        <v>0</v>
      </c>
      <c r="H65" s="31" t="s">
        <v>102</v>
      </c>
      <c r="I65" s="31" t="s">
        <v>102</v>
      </c>
      <c r="J65" s="31">
        <f>G65*(1+$B$5)</f>
        <v>0</v>
      </c>
      <c r="K65" s="31" t="s">
        <v>102</v>
      </c>
      <c r="L65" s="31" t="s">
        <v>102</v>
      </c>
      <c r="M65" s="32">
        <f t="shared" si="62"/>
        <v>0</v>
      </c>
      <c r="N65" s="34" t="s">
        <v>102</v>
      </c>
      <c r="O65" s="34" t="s">
        <v>102</v>
      </c>
      <c r="P65" s="33">
        <f t="shared" si="64"/>
        <v>0</v>
      </c>
      <c r="Q65" s="12" t="s">
        <v>102</v>
      </c>
      <c r="R65" s="12" t="s">
        <v>102</v>
      </c>
      <c r="S65" s="35">
        <f t="shared" si="63"/>
        <v>0</v>
      </c>
    </row>
    <row r="66" spans="1:19" x14ac:dyDescent="0.35">
      <c r="A66" s="17" t="s">
        <v>87</v>
      </c>
      <c r="B66" s="6">
        <v>240</v>
      </c>
      <c r="C66" s="6" t="s">
        <v>102</v>
      </c>
      <c r="D66" s="6">
        <v>0</v>
      </c>
      <c r="E66" s="32">
        <f>B66*(1+$B$5)</f>
        <v>244.65600000000001</v>
      </c>
      <c r="F66" s="31" t="s">
        <v>102</v>
      </c>
      <c r="G66" s="31">
        <f t="shared" si="61"/>
        <v>0</v>
      </c>
      <c r="H66" s="32">
        <f>E66*(1+$C$5)</f>
        <v>253.6104096</v>
      </c>
      <c r="I66" s="31" t="s">
        <v>102</v>
      </c>
      <c r="J66" s="31">
        <f>G66*(1+$B$5)</f>
        <v>0</v>
      </c>
      <c r="K66" s="32">
        <f>H66*(1+$D$5)</f>
        <v>270.77983432991999</v>
      </c>
      <c r="L66" s="31" t="s">
        <v>102</v>
      </c>
      <c r="M66" s="32">
        <f t="shared" si="62"/>
        <v>0</v>
      </c>
      <c r="N66" s="33">
        <f>K66*(1+$E$5)</f>
        <v>286.34967480389042</v>
      </c>
      <c r="O66" s="34" t="s">
        <v>102</v>
      </c>
      <c r="P66" s="33">
        <f t="shared" si="64"/>
        <v>0</v>
      </c>
      <c r="Q66" s="35">
        <f>N66*(1+$F$5)</f>
        <v>298.0613765033695</v>
      </c>
      <c r="R66" s="12" t="s">
        <v>102</v>
      </c>
      <c r="S66" s="35">
        <f t="shared" si="63"/>
        <v>0</v>
      </c>
    </row>
    <row r="67" spans="1:19" x14ac:dyDescent="0.35">
      <c r="A67" s="17" t="s">
        <v>88</v>
      </c>
      <c r="B67" s="6">
        <v>240</v>
      </c>
      <c r="C67" s="6" t="s">
        <v>102</v>
      </c>
      <c r="D67" s="6">
        <v>240</v>
      </c>
      <c r="E67" s="32">
        <v>326.39999999999998</v>
      </c>
      <c r="F67" s="31" t="s">
        <v>102</v>
      </c>
      <c r="G67" s="32">
        <v>326.39999999999998</v>
      </c>
      <c r="H67" s="32">
        <f>E67*(1+$C$5)</f>
        <v>338.34623999999997</v>
      </c>
      <c r="I67" s="31" t="s">
        <v>102</v>
      </c>
      <c r="J67" s="32">
        <f>G67*(1+$C$5)</f>
        <v>338.34623999999997</v>
      </c>
      <c r="K67" s="32">
        <f>H67*(1+$D$5)</f>
        <v>361.25228044800002</v>
      </c>
      <c r="L67" s="31" t="s">
        <v>102</v>
      </c>
      <c r="M67" s="32">
        <f t="shared" si="62"/>
        <v>361.25228044800002</v>
      </c>
      <c r="N67" s="33">
        <f>K67*(1+$E$5)</f>
        <v>382.02428657376004</v>
      </c>
      <c r="O67" s="34" t="s">
        <v>102</v>
      </c>
      <c r="P67" s="33">
        <f t="shared" si="64"/>
        <v>382.02428657376004</v>
      </c>
      <c r="Q67" s="35">
        <f>N67*(1+$F$5)</f>
        <v>397.64907989462682</v>
      </c>
      <c r="R67" s="12" t="s">
        <v>102</v>
      </c>
      <c r="S67" s="35">
        <f t="shared" si="63"/>
        <v>397.64907989462682</v>
      </c>
    </row>
    <row r="68" spans="1:19" x14ac:dyDescent="0.35">
      <c r="A68" s="17" t="s">
        <v>89</v>
      </c>
      <c r="B68" s="6" t="s">
        <v>102</v>
      </c>
      <c r="C68" s="6" t="s">
        <v>102</v>
      </c>
      <c r="D68" s="6">
        <v>0</v>
      </c>
      <c r="E68" s="31" t="s">
        <v>102</v>
      </c>
      <c r="F68" s="31" t="s">
        <v>102</v>
      </c>
      <c r="G68" s="31">
        <f t="shared" si="61"/>
        <v>0</v>
      </c>
      <c r="H68" s="31" t="s">
        <v>102</v>
      </c>
      <c r="I68" s="31" t="s">
        <v>102</v>
      </c>
      <c r="J68" s="31">
        <f>G68*(1+$B$5)</f>
        <v>0</v>
      </c>
      <c r="K68" s="31" t="s">
        <v>102</v>
      </c>
      <c r="L68" s="31" t="s">
        <v>102</v>
      </c>
      <c r="M68" s="32">
        <f t="shared" si="62"/>
        <v>0</v>
      </c>
      <c r="N68" s="34" t="s">
        <v>102</v>
      </c>
      <c r="O68" s="34" t="s">
        <v>102</v>
      </c>
      <c r="P68" s="33">
        <f t="shared" si="64"/>
        <v>0</v>
      </c>
      <c r="Q68" s="12" t="s">
        <v>102</v>
      </c>
      <c r="R68" s="12" t="s">
        <v>102</v>
      </c>
      <c r="S68" s="35">
        <f t="shared" si="63"/>
        <v>0</v>
      </c>
    </row>
    <row r="69" spans="1:19" x14ac:dyDescent="0.35">
      <c r="A69" s="17" t="s">
        <v>90</v>
      </c>
      <c r="B69" s="6" t="s">
        <v>102</v>
      </c>
      <c r="C69" s="6" t="s">
        <v>102</v>
      </c>
      <c r="D69" s="6">
        <v>0</v>
      </c>
      <c r="E69" s="31" t="s">
        <v>102</v>
      </c>
      <c r="F69" s="31" t="s">
        <v>102</v>
      </c>
      <c r="G69" s="31">
        <f t="shared" si="61"/>
        <v>0</v>
      </c>
      <c r="H69" s="31" t="s">
        <v>102</v>
      </c>
      <c r="I69" s="31" t="s">
        <v>102</v>
      </c>
      <c r="J69" s="31">
        <f>G69*(1+$B$5)</f>
        <v>0</v>
      </c>
      <c r="K69" s="31" t="s">
        <v>102</v>
      </c>
      <c r="L69" s="31" t="s">
        <v>102</v>
      </c>
      <c r="M69" s="32">
        <f t="shared" si="62"/>
        <v>0</v>
      </c>
      <c r="N69" s="34" t="s">
        <v>102</v>
      </c>
      <c r="O69" s="34" t="s">
        <v>102</v>
      </c>
      <c r="P69" s="33">
        <f t="shared" si="64"/>
        <v>0</v>
      </c>
      <c r="Q69" s="12" t="s">
        <v>102</v>
      </c>
      <c r="R69" s="12" t="s">
        <v>102</v>
      </c>
      <c r="S69" s="35">
        <f t="shared" si="63"/>
        <v>0</v>
      </c>
    </row>
    <row r="70" spans="1:19" x14ac:dyDescent="0.35">
      <c r="A70" s="17" t="s">
        <v>91</v>
      </c>
      <c r="B70" s="6">
        <v>240</v>
      </c>
      <c r="C70" s="6" t="s">
        <v>102</v>
      </c>
      <c r="D70" s="6">
        <v>0</v>
      </c>
      <c r="E70" s="32">
        <f>B70*(1+$B$5)</f>
        <v>244.65600000000001</v>
      </c>
      <c r="F70" s="31" t="s">
        <v>102</v>
      </c>
      <c r="G70" s="31">
        <f t="shared" si="61"/>
        <v>0</v>
      </c>
      <c r="H70" s="32">
        <f>E70*(1+$C$5)</f>
        <v>253.6104096</v>
      </c>
      <c r="I70" s="31" t="s">
        <v>102</v>
      </c>
      <c r="J70" s="31">
        <f>G70*(1+$B$5)</f>
        <v>0</v>
      </c>
      <c r="K70" s="32">
        <f>H70*(1+$D$5)</f>
        <v>270.77983432991999</v>
      </c>
      <c r="L70" s="31" t="s">
        <v>102</v>
      </c>
      <c r="M70" s="32">
        <f t="shared" si="62"/>
        <v>0</v>
      </c>
      <c r="N70" s="33">
        <f>K70*(1+$E$5)</f>
        <v>286.34967480389042</v>
      </c>
      <c r="O70" s="34" t="s">
        <v>102</v>
      </c>
      <c r="P70" s="33">
        <f t="shared" si="64"/>
        <v>0</v>
      </c>
      <c r="Q70" s="35">
        <f>N70*(1+$F$5)</f>
        <v>298.0613765033695</v>
      </c>
      <c r="R70" s="12" t="s">
        <v>102</v>
      </c>
      <c r="S70" s="35">
        <f t="shared" si="63"/>
        <v>0</v>
      </c>
    </row>
    <row r="71" spans="1:19" x14ac:dyDescent="0.35">
      <c r="A71" s="17" t="s">
        <v>92</v>
      </c>
      <c r="B71" s="30"/>
      <c r="C71" s="30"/>
      <c r="D71" s="30"/>
      <c r="E71" s="24"/>
      <c r="F71" s="24"/>
      <c r="G71" s="24"/>
      <c r="H71" s="24"/>
      <c r="I71" s="24"/>
      <c r="J71" s="24"/>
      <c r="K71" s="32">
        <f>285*(1+D6)</f>
        <v>307.60049999999995</v>
      </c>
      <c r="L71" s="31" t="s">
        <v>102</v>
      </c>
      <c r="M71" s="32">
        <v>0</v>
      </c>
      <c r="N71" s="33">
        <f>K71*(1+$E$5)</f>
        <v>325.28752874999998</v>
      </c>
      <c r="O71" s="34" t="s">
        <v>102</v>
      </c>
      <c r="P71" s="33">
        <f t="shared" si="64"/>
        <v>0</v>
      </c>
      <c r="Q71" s="35">
        <f>N71*(1+$F$5)</f>
        <v>338.59178867587497</v>
      </c>
      <c r="R71" s="12" t="s">
        <v>102</v>
      </c>
      <c r="S71" s="35">
        <f t="shared" si="63"/>
        <v>0</v>
      </c>
    </row>
    <row r="73" spans="1:19" x14ac:dyDescent="0.35">
      <c r="A73" t="s">
        <v>103</v>
      </c>
    </row>
    <row r="76" spans="1:19" x14ac:dyDescent="0.35">
      <c r="A76" s="15" t="s">
        <v>104</v>
      </c>
    </row>
    <row r="78" spans="1:19" x14ac:dyDescent="0.35">
      <c r="A78" s="754" t="s">
        <v>80</v>
      </c>
      <c r="B78" s="751">
        <v>2013</v>
      </c>
      <c r="C78" s="751"/>
      <c r="D78" s="751"/>
      <c r="E78" s="751">
        <v>2014</v>
      </c>
      <c r="F78" s="751"/>
      <c r="G78" s="751"/>
      <c r="H78" s="751">
        <v>2015</v>
      </c>
      <c r="I78" s="751"/>
      <c r="J78" s="751"/>
      <c r="K78" s="751">
        <v>2016</v>
      </c>
      <c r="L78" s="751"/>
      <c r="M78" s="751"/>
      <c r="N78" s="751">
        <v>2017</v>
      </c>
      <c r="O78" s="751"/>
      <c r="P78" s="751"/>
      <c r="Q78" s="751">
        <v>2018</v>
      </c>
      <c r="R78" s="751"/>
      <c r="S78" s="751"/>
    </row>
    <row r="79" spans="1:19" ht="43.5" x14ac:dyDescent="0.35">
      <c r="A79" s="754"/>
      <c r="B79" s="22" t="s">
        <v>81</v>
      </c>
      <c r="C79" s="22" t="s">
        <v>82</v>
      </c>
      <c r="D79" s="22" t="s">
        <v>83</v>
      </c>
      <c r="E79" s="22" t="s">
        <v>81</v>
      </c>
      <c r="F79" s="22" t="s">
        <v>82</v>
      </c>
      <c r="G79" s="22" t="s">
        <v>83</v>
      </c>
      <c r="H79" s="22" t="s">
        <v>81</v>
      </c>
      <c r="I79" s="22" t="s">
        <v>82</v>
      </c>
      <c r="J79" s="22" t="s">
        <v>83</v>
      </c>
      <c r="K79" s="22" t="s">
        <v>81</v>
      </c>
      <c r="L79" s="22" t="s">
        <v>82</v>
      </c>
      <c r="M79" s="22" t="s">
        <v>83</v>
      </c>
      <c r="N79" s="22" t="s">
        <v>81</v>
      </c>
      <c r="O79" s="22" t="s">
        <v>82</v>
      </c>
      <c r="P79" s="22" t="s">
        <v>83</v>
      </c>
      <c r="Q79" s="22" t="s">
        <v>81</v>
      </c>
      <c r="R79" s="22" t="s">
        <v>82</v>
      </c>
      <c r="S79" s="22" t="s">
        <v>83</v>
      </c>
    </row>
    <row r="80" spans="1:19" x14ac:dyDescent="0.35">
      <c r="A80" s="17" t="s">
        <v>84</v>
      </c>
      <c r="B80" s="6" t="s">
        <v>102</v>
      </c>
      <c r="C80" s="6" t="s">
        <v>102</v>
      </c>
      <c r="D80" s="6">
        <v>0</v>
      </c>
      <c r="E80" s="31" t="s">
        <v>102</v>
      </c>
      <c r="F80" s="31" t="s">
        <v>102</v>
      </c>
      <c r="G80" s="31">
        <f t="shared" ref="G80:G87" si="65">D80*(1+$B$5)</f>
        <v>0</v>
      </c>
      <c r="H80" s="31" t="s">
        <v>102</v>
      </c>
      <c r="I80" s="31" t="s">
        <v>102</v>
      </c>
      <c r="J80" s="31">
        <f t="shared" ref="J80:J87" si="66">G80*(1+$B$5)</f>
        <v>0</v>
      </c>
      <c r="K80" s="31" t="s">
        <v>102</v>
      </c>
      <c r="L80" s="31" t="s">
        <v>102</v>
      </c>
      <c r="M80" s="32">
        <f t="shared" ref="M80:M87" si="67">J80*(1+$D$5)</f>
        <v>0</v>
      </c>
      <c r="N80" s="34" t="s">
        <v>102</v>
      </c>
      <c r="O80" s="34" t="s">
        <v>102</v>
      </c>
      <c r="P80" s="33">
        <f>M80*(1+$E$5)</f>
        <v>0</v>
      </c>
      <c r="Q80" s="34" t="s">
        <v>102</v>
      </c>
      <c r="R80" s="34" t="s">
        <v>102</v>
      </c>
      <c r="S80" s="33">
        <f t="shared" ref="S80:S88" si="68">P80*(1+$F$5)</f>
        <v>0</v>
      </c>
    </row>
    <row r="81" spans="1:19" x14ac:dyDescent="0.35">
      <c r="A81" s="17" t="s">
        <v>85</v>
      </c>
      <c r="B81" s="6">
        <v>400</v>
      </c>
      <c r="C81" s="6" t="s">
        <v>102</v>
      </c>
      <c r="D81" s="6">
        <v>0</v>
      </c>
      <c r="E81" s="31">
        <f>B81*(1+$B$5)</f>
        <v>407.76000000000005</v>
      </c>
      <c r="F81" s="31" t="s">
        <v>102</v>
      </c>
      <c r="G81" s="31">
        <f t="shared" si="65"/>
        <v>0</v>
      </c>
      <c r="H81" s="32">
        <f>E81*(1+$C$5)</f>
        <v>422.68401600000004</v>
      </c>
      <c r="I81" s="32" t="s">
        <v>102</v>
      </c>
      <c r="J81" s="31">
        <f t="shared" si="66"/>
        <v>0</v>
      </c>
      <c r="K81" s="32">
        <f>H81*(1+$D$5)</f>
        <v>451.2997238832001</v>
      </c>
      <c r="L81" s="32" t="s">
        <v>102</v>
      </c>
      <c r="M81" s="32">
        <f t="shared" si="67"/>
        <v>0</v>
      </c>
      <c r="N81" s="33">
        <f>K81*(1+$E$5)</f>
        <v>477.24945800648413</v>
      </c>
      <c r="O81" s="33" t="s">
        <v>102</v>
      </c>
      <c r="P81" s="33">
        <f t="shared" ref="P81:P88" si="69">M81*(1+$E$5)</f>
        <v>0</v>
      </c>
      <c r="Q81" s="33">
        <f>N81*(1+$F$5)</f>
        <v>496.76896083894928</v>
      </c>
      <c r="R81" s="33" t="s">
        <v>102</v>
      </c>
      <c r="S81" s="33">
        <f t="shared" si="68"/>
        <v>0</v>
      </c>
    </row>
    <row r="82" spans="1:19" x14ac:dyDescent="0.35">
      <c r="A82" s="17" t="s">
        <v>86</v>
      </c>
      <c r="B82" s="6" t="s">
        <v>102</v>
      </c>
      <c r="C82" s="6" t="s">
        <v>102</v>
      </c>
      <c r="D82" s="6">
        <v>0</v>
      </c>
      <c r="E82" s="31" t="s">
        <v>102</v>
      </c>
      <c r="F82" s="31" t="s">
        <v>102</v>
      </c>
      <c r="G82" s="31">
        <f t="shared" si="65"/>
        <v>0</v>
      </c>
      <c r="H82" s="32" t="s">
        <v>102</v>
      </c>
      <c r="I82" s="32" t="s">
        <v>102</v>
      </c>
      <c r="J82" s="31">
        <f t="shared" si="66"/>
        <v>0</v>
      </c>
      <c r="K82" s="32" t="s">
        <v>102</v>
      </c>
      <c r="L82" s="32" t="s">
        <v>102</v>
      </c>
      <c r="M82" s="32">
        <f t="shared" si="67"/>
        <v>0</v>
      </c>
      <c r="N82" s="33" t="s">
        <v>102</v>
      </c>
      <c r="O82" s="33" t="s">
        <v>102</v>
      </c>
      <c r="P82" s="33">
        <f t="shared" si="69"/>
        <v>0</v>
      </c>
      <c r="Q82" s="33" t="s">
        <v>102</v>
      </c>
      <c r="R82" s="33" t="s">
        <v>102</v>
      </c>
      <c r="S82" s="33">
        <f t="shared" si="68"/>
        <v>0</v>
      </c>
    </row>
    <row r="83" spans="1:19" x14ac:dyDescent="0.35">
      <c r="A83" s="17" t="s">
        <v>87</v>
      </c>
      <c r="B83" s="6">
        <v>400</v>
      </c>
      <c r="C83" s="6" t="s">
        <v>102</v>
      </c>
      <c r="D83" s="6">
        <v>0</v>
      </c>
      <c r="E83" s="31">
        <f>B83*(1+$B$5)</f>
        <v>407.76000000000005</v>
      </c>
      <c r="F83" s="31" t="s">
        <v>102</v>
      </c>
      <c r="G83" s="31">
        <f t="shared" si="65"/>
        <v>0</v>
      </c>
      <c r="H83" s="32">
        <f>E83*(1+$C$5)</f>
        <v>422.68401600000004</v>
      </c>
      <c r="I83" s="32" t="s">
        <v>102</v>
      </c>
      <c r="J83" s="31">
        <f t="shared" si="66"/>
        <v>0</v>
      </c>
      <c r="K83" s="32">
        <f>H83*(1+$D$5)</f>
        <v>451.2997238832001</v>
      </c>
      <c r="L83" s="32" t="s">
        <v>102</v>
      </c>
      <c r="M83" s="32">
        <f t="shared" si="67"/>
        <v>0</v>
      </c>
      <c r="N83" s="33">
        <f>K83*(1+$E$5)</f>
        <v>477.24945800648413</v>
      </c>
      <c r="O83" s="33" t="s">
        <v>102</v>
      </c>
      <c r="P83" s="33">
        <f t="shared" si="69"/>
        <v>0</v>
      </c>
      <c r="Q83" s="33">
        <f>N83*(1+$F$5)</f>
        <v>496.76896083894928</v>
      </c>
      <c r="R83" s="33" t="s">
        <v>102</v>
      </c>
      <c r="S83" s="33">
        <f t="shared" si="68"/>
        <v>0</v>
      </c>
    </row>
    <row r="84" spans="1:19" x14ac:dyDescent="0.35">
      <c r="A84" s="17" t="s">
        <v>88</v>
      </c>
      <c r="B84" s="6">
        <v>400</v>
      </c>
      <c r="C84" s="6" t="s">
        <v>102</v>
      </c>
      <c r="D84" s="6">
        <v>400</v>
      </c>
      <c r="E84" s="31">
        <f>B84*(1+$B$5)</f>
        <v>407.76000000000005</v>
      </c>
      <c r="F84" s="31" t="s">
        <v>102</v>
      </c>
      <c r="G84" s="31">
        <f t="shared" si="65"/>
        <v>407.76000000000005</v>
      </c>
      <c r="H84" s="32">
        <f>E84*(1+$C$5)</f>
        <v>422.68401600000004</v>
      </c>
      <c r="I84" s="32" t="s">
        <v>102</v>
      </c>
      <c r="J84" s="32">
        <f>G84*(1+$C$5)</f>
        <v>422.68401600000004</v>
      </c>
      <c r="K84" s="32">
        <f>H84*(1+$D$5)</f>
        <v>451.2997238832001</v>
      </c>
      <c r="L84" s="32" t="s">
        <v>102</v>
      </c>
      <c r="M84" s="32">
        <f t="shared" si="67"/>
        <v>451.2997238832001</v>
      </c>
      <c r="N84" s="33">
        <f>K84*(1+$E$5)</f>
        <v>477.24945800648413</v>
      </c>
      <c r="O84" s="33" t="s">
        <v>102</v>
      </c>
      <c r="P84" s="33">
        <f t="shared" si="69"/>
        <v>477.24945800648413</v>
      </c>
      <c r="Q84" s="33">
        <f>N84*(1+$F$5)</f>
        <v>496.76896083894928</v>
      </c>
      <c r="R84" s="33" t="s">
        <v>102</v>
      </c>
      <c r="S84" s="33">
        <f t="shared" si="68"/>
        <v>496.76896083894928</v>
      </c>
    </row>
    <row r="85" spans="1:19" x14ac:dyDescent="0.35">
      <c r="A85" s="17" t="s">
        <v>89</v>
      </c>
      <c r="B85" s="6" t="s">
        <v>102</v>
      </c>
      <c r="C85" s="6" t="s">
        <v>102</v>
      </c>
      <c r="D85" s="6">
        <v>0</v>
      </c>
      <c r="E85" s="31" t="s">
        <v>102</v>
      </c>
      <c r="F85" s="31" t="s">
        <v>102</v>
      </c>
      <c r="G85" s="31">
        <f t="shared" si="65"/>
        <v>0</v>
      </c>
      <c r="H85" s="32" t="s">
        <v>102</v>
      </c>
      <c r="I85" s="32" t="s">
        <v>102</v>
      </c>
      <c r="J85" s="31">
        <f t="shared" si="66"/>
        <v>0</v>
      </c>
      <c r="K85" s="32" t="s">
        <v>102</v>
      </c>
      <c r="L85" s="32" t="s">
        <v>102</v>
      </c>
      <c r="M85" s="32">
        <f t="shared" si="67"/>
        <v>0</v>
      </c>
      <c r="N85" s="33" t="s">
        <v>102</v>
      </c>
      <c r="O85" s="33" t="s">
        <v>102</v>
      </c>
      <c r="P85" s="33">
        <f t="shared" si="69"/>
        <v>0</v>
      </c>
      <c r="Q85" s="33" t="s">
        <v>102</v>
      </c>
      <c r="R85" s="33" t="s">
        <v>102</v>
      </c>
      <c r="S85" s="33">
        <f t="shared" si="68"/>
        <v>0</v>
      </c>
    </row>
    <row r="86" spans="1:19" x14ac:dyDescent="0.35">
      <c r="A86" s="17" t="s">
        <v>90</v>
      </c>
      <c r="B86" s="6" t="s">
        <v>102</v>
      </c>
      <c r="C86" s="6" t="s">
        <v>102</v>
      </c>
      <c r="D86" s="6">
        <v>0</v>
      </c>
      <c r="E86" s="31" t="s">
        <v>102</v>
      </c>
      <c r="F86" s="31" t="s">
        <v>102</v>
      </c>
      <c r="G86" s="31">
        <f t="shared" si="65"/>
        <v>0</v>
      </c>
      <c r="H86" s="32" t="s">
        <v>102</v>
      </c>
      <c r="I86" s="32" t="s">
        <v>102</v>
      </c>
      <c r="J86" s="31">
        <f t="shared" si="66"/>
        <v>0</v>
      </c>
      <c r="K86" s="32" t="s">
        <v>102</v>
      </c>
      <c r="L86" s="32" t="s">
        <v>102</v>
      </c>
      <c r="M86" s="32">
        <f t="shared" si="67"/>
        <v>0</v>
      </c>
      <c r="N86" s="33" t="s">
        <v>102</v>
      </c>
      <c r="O86" s="33" t="s">
        <v>102</v>
      </c>
      <c r="P86" s="33">
        <f t="shared" si="69"/>
        <v>0</v>
      </c>
      <c r="Q86" s="33" t="s">
        <v>102</v>
      </c>
      <c r="R86" s="33" t="s">
        <v>102</v>
      </c>
      <c r="S86" s="33">
        <f t="shared" si="68"/>
        <v>0</v>
      </c>
    </row>
    <row r="87" spans="1:19" x14ac:dyDescent="0.35">
      <c r="A87" s="17" t="s">
        <v>91</v>
      </c>
      <c r="B87" s="6">
        <v>400</v>
      </c>
      <c r="C87" s="6" t="s">
        <v>102</v>
      </c>
      <c r="D87" s="6">
        <v>0</v>
      </c>
      <c r="E87" s="31">
        <f>B87*(1+$B$5)</f>
        <v>407.76000000000005</v>
      </c>
      <c r="F87" s="31" t="s">
        <v>102</v>
      </c>
      <c r="G87" s="31">
        <f t="shared" si="65"/>
        <v>0</v>
      </c>
      <c r="H87" s="32">
        <f>E87*(1+$C$5)</f>
        <v>422.68401600000004</v>
      </c>
      <c r="I87" s="32" t="s">
        <v>102</v>
      </c>
      <c r="J87" s="31">
        <f t="shared" si="66"/>
        <v>0</v>
      </c>
      <c r="K87" s="32">
        <f>H87*(1+$D$5)</f>
        <v>451.2997238832001</v>
      </c>
      <c r="L87" s="32" t="s">
        <v>102</v>
      </c>
      <c r="M87" s="32">
        <f t="shared" si="67"/>
        <v>0</v>
      </c>
      <c r="N87" s="33">
        <f>K87*(1+$E$5)</f>
        <v>477.24945800648413</v>
      </c>
      <c r="O87" s="33" t="s">
        <v>102</v>
      </c>
      <c r="P87" s="33">
        <f t="shared" si="69"/>
        <v>0</v>
      </c>
      <c r="Q87" s="33">
        <f>N87*(1+$F$5)</f>
        <v>496.76896083894928</v>
      </c>
      <c r="R87" s="33" t="s">
        <v>102</v>
      </c>
      <c r="S87" s="33">
        <f t="shared" si="68"/>
        <v>0</v>
      </c>
    </row>
    <row r="88" spans="1:19" x14ac:dyDescent="0.35">
      <c r="A88" s="17" t="s">
        <v>92</v>
      </c>
      <c r="B88" s="30"/>
      <c r="C88" s="30"/>
      <c r="D88" s="30"/>
      <c r="E88" s="24"/>
      <c r="F88" s="24"/>
      <c r="G88" s="24"/>
      <c r="H88" s="24"/>
      <c r="I88" s="24"/>
      <c r="J88" s="24"/>
      <c r="K88" s="32">
        <v>543.25</v>
      </c>
      <c r="L88" s="31" t="s">
        <v>102</v>
      </c>
      <c r="M88" s="32">
        <v>0</v>
      </c>
      <c r="N88" s="33">
        <f>K88*(1+$E$5)</f>
        <v>574.48687500000005</v>
      </c>
      <c r="O88" s="34" t="s">
        <v>102</v>
      </c>
      <c r="P88" s="33">
        <f t="shared" si="69"/>
        <v>0</v>
      </c>
      <c r="Q88" s="33">
        <f>N88*(1+$F$5)</f>
        <v>597.98338818750005</v>
      </c>
      <c r="R88" s="34" t="s">
        <v>102</v>
      </c>
      <c r="S88" s="33">
        <f t="shared" si="68"/>
        <v>0</v>
      </c>
    </row>
    <row r="90" spans="1:19" x14ac:dyDescent="0.35">
      <c r="A90" t="s">
        <v>105</v>
      </c>
    </row>
    <row r="163" spans="9:15" x14ac:dyDescent="0.35">
      <c r="M163" s="332"/>
      <c r="O163" s="282"/>
    </row>
    <row r="164" spans="9:15" x14ac:dyDescent="0.35">
      <c r="O164" s="282"/>
    </row>
    <row r="165" spans="9:15" x14ac:dyDescent="0.35">
      <c r="J165" t="s">
        <v>227</v>
      </c>
      <c r="K165" t="s">
        <v>491</v>
      </c>
      <c r="L165" t="s">
        <v>225</v>
      </c>
      <c r="M165" s="332"/>
      <c r="O165" s="282"/>
    </row>
    <row r="166" spans="9:15" x14ac:dyDescent="0.35">
      <c r="I166" t="s">
        <v>492</v>
      </c>
      <c r="J166">
        <v>5500</v>
      </c>
      <c r="K166" s="522">
        <v>0.95</v>
      </c>
      <c r="L166">
        <f>+J166*K166</f>
        <v>5225</v>
      </c>
      <c r="M166" t="s">
        <v>107</v>
      </c>
    </row>
    <row r="167" spans="9:15" x14ac:dyDescent="0.35">
      <c r="I167" t="s">
        <v>263</v>
      </c>
    </row>
  </sheetData>
  <mergeCells count="12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25:A27"/>
    <mergeCell ref="B25:F25"/>
    <mergeCell ref="G25:K25"/>
    <mergeCell ref="L25:P25"/>
    <mergeCell ref="Q25:U25"/>
    <mergeCell ref="V25:Z25"/>
    <mergeCell ref="P26:P27"/>
    <mergeCell ref="Q26:R26"/>
    <mergeCell ref="S26:T26"/>
    <mergeCell ref="U26:U27"/>
    <mergeCell ref="V26:W26"/>
    <mergeCell ref="X26:Y26"/>
    <mergeCell ref="Z26:Z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C11:AE11"/>
    <mergeCell ref="AF11:AH11"/>
    <mergeCell ref="AC47:AE47"/>
    <mergeCell ref="AP37:AQ37"/>
    <mergeCell ref="AR37:AS37"/>
    <mergeCell ref="AT37:AT38"/>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 ref="AZ25:BD25"/>
    <mergeCell ref="AZ26:BA26"/>
    <mergeCell ref="BB26:BC26"/>
    <mergeCell ref="BD26:BD27"/>
    <mergeCell ref="AZ36:BD36"/>
    <mergeCell ref="AZ37:BA37"/>
    <mergeCell ref="BB37:BC37"/>
    <mergeCell ref="BD37:BD38"/>
    <mergeCell ref="AF47:AH47"/>
    <mergeCell ref="AU25:AY25"/>
    <mergeCell ref="AU26:AV26"/>
    <mergeCell ref="AW26:AX26"/>
    <mergeCell ref="AY26:AY27"/>
    <mergeCell ref="AU36:AY36"/>
    <mergeCell ref="AU37:AV37"/>
    <mergeCell ref="AW37:AX37"/>
    <mergeCell ref="AY37:AY38"/>
  </mergeCells>
  <pageMargins left="0.7" right="0.7" top="0.75" bottom="0.75" header="0.3" footer="0.3"/>
  <pageSetup orientation="portrait" r:id="rId1"/>
  <ignoredErrors>
    <ignoredError sqref="Z49 Z51 Z53 Z55" formula="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0000"/>
  </sheetPr>
  <dimension ref="A1:P41"/>
  <sheetViews>
    <sheetView showGridLines="0" zoomScale="80" zoomScaleNormal="80" workbookViewId="0">
      <selection activeCell="C6" sqref="C6"/>
    </sheetView>
  </sheetViews>
  <sheetFormatPr baseColWidth="10" defaultColWidth="54.1796875" defaultRowHeight="14.5" x14ac:dyDescent="0.35"/>
  <cols>
    <col min="1" max="1" width="50.81640625" customWidth="1"/>
    <col min="2" max="2" width="14.81640625" customWidth="1"/>
    <col min="3" max="4" width="13.81640625" customWidth="1"/>
    <col min="5" max="8" width="15.1796875" customWidth="1"/>
    <col min="9" max="10" width="17.54296875" customWidth="1"/>
    <col min="11" max="11" width="11.81640625" customWidth="1"/>
    <col min="12" max="12" width="10.1796875" customWidth="1"/>
    <col min="13" max="13" width="10.453125" customWidth="1"/>
    <col min="14" max="14" width="19.1796875" customWidth="1"/>
    <col min="15" max="15" width="10.1796875" customWidth="1"/>
  </cols>
  <sheetData>
    <row r="1" spans="1:16" ht="34" customHeight="1" x14ac:dyDescent="0.35">
      <c r="A1" s="757" t="s">
        <v>383</v>
      </c>
      <c r="B1" s="758"/>
      <c r="C1" s="758"/>
      <c r="D1" s="758"/>
      <c r="E1" s="758"/>
      <c r="F1" s="371"/>
      <c r="G1" s="371"/>
      <c r="H1" s="371"/>
      <c r="I1" s="43"/>
      <c r="J1" s="43"/>
    </row>
    <row r="2" spans="1:16" ht="17.5" x14ac:dyDescent="0.35">
      <c r="A2" s="759" t="s">
        <v>122</v>
      </c>
      <c r="B2" s="760"/>
      <c r="C2" s="760"/>
      <c r="D2" s="760"/>
      <c r="E2" s="760"/>
      <c r="F2" s="38"/>
      <c r="G2" s="38"/>
      <c r="H2" s="38"/>
      <c r="I2" s="524" t="s">
        <v>495</v>
      </c>
      <c r="J2" s="43"/>
    </row>
    <row r="3" spans="1:16" ht="42" x14ac:dyDescent="0.35">
      <c r="A3" s="761" t="s">
        <v>123</v>
      </c>
      <c r="B3" s="764" t="s">
        <v>138</v>
      </c>
      <c r="C3" s="764" t="s">
        <v>139</v>
      </c>
      <c r="D3" s="44" t="s">
        <v>140</v>
      </c>
      <c r="E3" s="44" t="s">
        <v>140</v>
      </c>
      <c r="F3" s="44" t="s">
        <v>140</v>
      </c>
      <c r="G3" s="44" t="s">
        <v>140</v>
      </c>
      <c r="H3" s="44" t="s">
        <v>140</v>
      </c>
      <c r="I3" s="44" t="s">
        <v>140</v>
      </c>
      <c r="J3" s="44" t="s">
        <v>140</v>
      </c>
      <c r="L3" s="346"/>
    </row>
    <row r="4" spans="1:16" x14ac:dyDescent="0.35">
      <c r="A4" s="762"/>
      <c r="B4" s="765"/>
      <c r="C4" s="766"/>
      <c r="D4" s="481">
        <v>0.02</v>
      </c>
      <c r="E4" s="481">
        <v>0.04</v>
      </c>
      <c r="F4" s="482">
        <v>0.05</v>
      </c>
      <c r="G4" s="482">
        <v>0.06</v>
      </c>
      <c r="H4" s="482">
        <v>7.0000000000000007E-2</v>
      </c>
      <c r="I4" s="482">
        <v>0.08</v>
      </c>
      <c r="J4" s="483">
        <v>0.1</v>
      </c>
    </row>
    <row r="5" spans="1:16" ht="15" thickBot="1" x14ac:dyDescent="0.4">
      <c r="A5" s="763"/>
      <c r="B5" s="45"/>
      <c r="C5" s="39"/>
      <c r="D5" s="474"/>
      <c r="E5" s="474"/>
      <c r="F5" s="474"/>
      <c r="G5" s="474"/>
      <c r="H5" s="474"/>
      <c r="I5" s="474"/>
      <c r="J5" s="475"/>
    </row>
    <row r="6" spans="1:16" ht="27.75" customHeight="1" thickTop="1" x14ac:dyDescent="0.35">
      <c r="A6" s="470" t="s">
        <v>125</v>
      </c>
      <c r="B6" s="484">
        <f>+'Calculo IP ZDF'!E24</f>
        <v>14373</v>
      </c>
      <c r="C6" s="484">
        <f>+'Calculo IP ZDF'!B24</f>
        <v>9914.16</v>
      </c>
      <c r="D6" s="534"/>
      <c r="E6" s="375"/>
      <c r="F6" s="375"/>
      <c r="G6" s="425"/>
      <c r="H6" s="425"/>
      <c r="I6" s="375"/>
      <c r="J6" s="476"/>
      <c r="L6" s="279" t="s">
        <v>425</v>
      </c>
      <c r="M6" s="282"/>
      <c r="N6" s="349" t="s">
        <v>445</v>
      </c>
      <c r="O6" s="357">
        <v>0.06</v>
      </c>
    </row>
    <row r="7" spans="1:16" ht="28" x14ac:dyDescent="0.35">
      <c r="A7" s="471" t="s">
        <v>141</v>
      </c>
      <c r="B7" s="47"/>
      <c r="C7" s="48"/>
      <c r="D7" s="468">
        <f>+C6*0.98</f>
        <v>9715.8768</v>
      </c>
      <c r="E7" s="468">
        <f>+C6*0.96</f>
        <v>9517.5936000000002</v>
      </c>
      <c r="F7" s="468">
        <f>+ROUND(C6*0.95,2)</f>
        <v>9418.4500000000007</v>
      </c>
      <c r="G7" s="468">
        <f>+ROUND(C6*0.94,2)</f>
        <v>9319.31</v>
      </c>
      <c r="H7" s="468">
        <f>+ROUND(C6*0.94,2)</f>
        <v>9319.31</v>
      </c>
      <c r="I7" s="468">
        <f>+$C$6*0.92</f>
        <v>9121.0272000000004</v>
      </c>
      <c r="J7" s="468">
        <f>+$C$6*0.9</f>
        <v>8922.7440000000006</v>
      </c>
      <c r="L7" s="347">
        <f>C6*0.96</f>
        <v>9517.5936000000002</v>
      </c>
      <c r="M7" s="314">
        <f>+E7-L7</f>
        <v>0</v>
      </c>
      <c r="N7" s="350">
        <f>+C6*(1-O6)</f>
        <v>9319.3103999999985</v>
      </c>
      <c r="O7" s="351">
        <f>+N7-I7</f>
        <v>198.28319999999803</v>
      </c>
      <c r="P7">
        <f>5023.9*0.94</f>
        <v>4722.4659999999994</v>
      </c>
    </row>
    <row r="8" spans="1:16" ht="22" customHeight="1" x14ac:dyDescent="0.35">
      <c r="A8" s="471" t="s">
        <v>142</v>
      </c>
      <c r="B8" s="47"/>
      <c r="C8" s="48"/>
      <c r="D8" s="468">
        <f>+B6*2%</f>
        <v>287.45999999999998</v>
      </c>
      <c r="E8" s="468">
        <f>+B6*4%</f>
        <v>574.91999999999996</v>
      </c>
      <c r="F8" s="468">
        <f>+B6*5%</f>
        <v>718.65000000000009</v>
      </c>
      <c r="G8" s="468">
        <f>+$B$6*6%</f>
        <v>862.38</v>
      </c>
      <c r="H8" s="468">
        <f>+$B$6*7%</f>
        <v>1006.1100000000001</v>
      </c>
      <c r="I8" s="468">
        <f>+$B$6*8%</f>
        <v>1149.8399999999999</v>
      </c>
      <c r="J8" s="468">
        <f>+$B$6*10%</f>
        <v>1437.3000000000002</v>
      </c>
      <c r="K8">
        <f>+B6*0.07</f>
        <v>1006.1100000000001</v>
      </c>
      <c r="L8" s="347">
        <f>+B6*4%</f>
        <v>574.91999999999996</v>
      </c>
      <c r="M8" s="314">
        <f>+E8-L8</f>
        <v>0</v>
      </c>
      <c r="N8" s="350">
        <f>+B6*O6</f>
        <v>862.38</v>
      </c>
      <c r="O8" s="351">
        <f>+N8-I8</f>
        <v>-287.45999999999992</v>
      </c>
      <c r="P8">
        <f>10101.25*0.06</f>
        <v>606.07499999999993</v>
      </c>
    </row>
    <row r="9" spans="1:16" ht="28" x14ac:dyDescent="0.35">
      <c r="A9" s="471" t="s">
        <v>143</v>
      </c>
      <c r="B9" s="47"/>
      <c r="C9" s="48"/>
      <c r="D9" s="487">
        <f t="shared" ref="D9:J9" si="0">+D7+D8</f>
        <v>10003.336799999999</v>
      </c>
      <c r="E9" s="487">
        <f t="shared" si="0"/>
        <v>10092.5136</v>
      </c>
      <c r="F9" s="487">
        <f>+F7+F8</f>
        <v>10137.1</v>
      </c>
      <c r="G9" s="487">
        <f t="shared" si="0"/>
        <v>10181.689999999999</v>
      </c>
      <c r="H9" s="487">
        <f t="shared" si="0"/>
        <v>10325.42</v>
      </c>
      <c r="I9" s="487">
        <f t="shared" si="0"/>
        <v>10270.867200000001</v>
      </c>
      <c r="J9" s="487">
        <f t="shared" si="0"/>
        <v>10360.044000000002</v>
      </c>
      <c r="L9" s="348">
        <f>+L7+L8</f>
        <v>10092.5136</v>
      </c>
      <c r="M9" s="314">
        <f>+E9-L9</f>
        <v>0</v>
      </c>
      <c r="N9" s="354">
        <f>+N7+N8</f>
        <v>10181.690399999998</v>
      </c>
      <c r="O9" s="355">
        <f>+N9-I9</f>
        <v>-89.176800000002913</v>
      </c>
      <c r="P9">
        <f>+P7+P8</f>
        <v>5328.5409999999993</v>
      </c>
    </row>
    <row r="10" spans="1:16" ht="19.399999999999999" customHeight="1" x14ac:dyDescent="0.35">
      <c r="A10" s="472" t="s">
        <v>128</v>
      </c>
      <c r="B10" s="47"/>
      <c r="C10" s="700">
        <v>663.16</v>
      </c>
      <c r="D10" s="468">
        <f>+C10*0.98</f>
        <v>649.89679999999998</v>
      </c>
      <c r="E10" s="468">
        <f>+C10*0.96</f>
        <v>636.6336</v>
      </c>
      <c r="F10" s="468">
        <f>+C10*0.95</f>
        <v>630.00199999999995</v>
      </c>
      <c r="G10" s="468">
        <f>+C10*0.94</f>
        <v>623.3703999999999</v>
      </c>
      <c r="H10" s="468">
        <f>+D10*0.93</f>
        <v>604.40402400000005</v>
      </c>
      <c r="I10" s="468">
        <f>+C10*0.92</f>
        <v>610.10720000000003</v>
      </c>
      <c r="J10" s="468">
        <f>+C10*0.9</f>
        <v>596.84399999999994</v>
      </c>
      <c r="K10" s="37"/>
      <c r="L10" s="353">
        <f>+C10*0.96</f>
        <v>636.6336</v>
      </c>
      <c r="M10" s="314">
        <f>+L10-E10</f>
        <v>0</v>
      </c>
      <c r="N10" s="356">
        <f>+C10*(1-O6)</f>
        <v>623.3703999999999</v>
      </c>
      <c r="O10" s="355">
        <f>+I10-N10</f>
        <v>-13.26319999999987</v>
      </c>
    </row>
    <row r="11" spans="1:16" ht="19.399999999999999" customHeight="1" x14ac:dyDescent="0.35">
      <c r="A11" s="471" t="s">
        <v>129</v>
      </c>
      <c r="B11" s="47"/>
      <c r="C11" s="465" t="s">
        <v>130</v>
      </c>
      <c r="D11" s="536"/>
      <c r="E11" s="468" t="s">
        <v>130</v>
      </c>
      <c r="F11" s="468"/>
      <c r="G11" s="468"/>
      <c r="H11" s="468"/>
      <c r="I11" s="41"/>
      <c r="J11" s="477"/>
      <c r="K11" s="37"/>
      <c r="L11" s="282"/>
      <c r="M11" s="282"/>
      <c r="N11" s="356"/>
      <c r="O11" s="356"/>
    </row>
    <row r="12" spans="1:16" ht="19.399999999999999" customHeight="1" x14ac:dyDescent="0.35">
      <c r="A12" s="473" t="s">
        <v>131</v>
      </c>
      <c r="B12" s="47"/>
      <c r="C12" s="700">
        <v>169</v>
      </c>
      <c r="D12" s="468">
        <f>+C12*0.98</f>
        <v>165.62</v>
      </c>
      <c r="E12" s="468">
        <f>+C12*0.96</f>
        <v>162.23999999999998</v>
      </c>
      <c r="F12" s="468">
        <f>+C12*0.95</f>
        <v>160.54999999999998</v>
      </c>
      <c r="G12" s="468">
        <f>+C12*0.94</f>
        <v>158.85999999999999</v>
      </c>
      <c r="H12" s="468">
        <f>+D12*0.93</f>
        <v>154.0266</v>
      </c>
      <c r="I12" s="468">
        <f>+E12*0.92</f>
        <v>149.26079999999999</v>
      </c>
      <c r="J12" s="468">
        <f>+F12*0.9</f>
        <v>144.49499999999998</v>
      </c>
      <c r="K12" s="37"/>
      <c r="L12" s="282">
        <f>+C12*0.96</f>
        <v>162.23999999999998</v>
      </c>
      <c r="M12" s="314">
        <f>+E12-L12</f>
        <v>0</v>
      </c>
      <c r="N12" s="356">
        <f>+C12*(1-O6)</f>
        <v>158.85999999999999</v>
      </c>
      <c r="O12" s="355">
        <f>+I12-N12</f>
        <v>-9.5991999999999962</v>
      </c>
    </row>
    <row r="13" spans="1:16" ht="19.399999999999999" customHeight="1" x14ac:dyDescent="0.35">
      <c r="A13" s="471" t="s">
        <v>126</v>
      </c>
      <c r="B13" s="47"/>
      <c r="C13" s="469"/>
      <c r="D13" s="535"/>
      <c r="E13" s="468"/>
      <c r="F13" s="468"/>
      <c r="G13" s="468"/>
      <c r="H13" s="468"/>
      <c r="I13" s="41"/>
      <c r="J13" s="477"/>
      <c r="K13" s="37"/>
    </row>
    <row r="14" spans="1:16" ht="28" hidden="1" x14ac:dyDescent="0.35">
      <c r="A14" s="46" t="s">
        <v>144</v>
      </c>
      <c r="B14" s="47"/>
      <c r="C14" s="48"/>
      <c r="D14" s="262"/>
      <c r="E14" s="62" t="s">
        <v>127</v>
      </c>
      <c r="F14" s="62"/>
      <c r="G14" s="62"/>
      <c r="H14" s="62"/>
      <c r="I14" s="62"/>
      <c r="J14" s="478"/>
      <c r="K14" s="352">
        <f>+E12/C12</f>
        <v>0.95999999999999985</v>
      </c>
    </row>
    <row r="15" spans="1:16" ht="28" hidden="1" x14ac:dyDescent="0.35">
      <c r="A15" s="46" t="s">
        <v>145</v>
      </c>
      <c r="B15" s="47"/>
      <c r="C15" s="467"/>
      <c r="D15" s="537"/>
      <c r="E15" s="62" t="s">
        <v>132</v>
      </c>
      <c r="F15" s="62"/>
      <c r="G15" s="62"/>
      <c r="H15" s="62"/>
      <c r="I15" s="62"/>
      <c r="J15" s="478"/>
      <c r="K15" s="37"/>
    </row>
    <row r="16" spans="1:16" hidden="1" x14ac:dyDescent="0.35">
      <c r="A16" s="46" t="s">
        <v>230</v>
      </c>
      <c r="B16" s="47"/>
      <c r="C16" s="48"/>
      <c r="D16" s="262"/>
      <c r="E16" s="62">
        <v>0</v>
      </c>
      <c r="F16" s="62"/>
      <c r="G16" s="62"/>
      <c r="H16" s="62"/>
      <c r="I16" s="62"/>
      <c r="J16" s="478"/>
      <c r="K16" s="310"/>
    </row>
    <row r="17" spans="1:11" hidden="1" x14ac:dyDescent="0.35">
      <c r="A17" s="46" t="s">
        <v>146</v>
      </c>
      <c r="B17" s="47"/>
      <c r="C17" s="48" t="s">
        <v>133</v>
      </c>
      <c r="D17" s="262"/>
      <c r="E17" s="62" t="s">
        <v>133</v>
      </c>
      <c r="F17" s="62"/>
      <c r="G17" s="62"/>
      <c r="H17" s="62"/>
      <c r="I17" s="62"/>
      <c r="J17" s="478"/>
      <c r="K17" s="37"/>
    </row>
    <row r="18" spans="1:11" hidden="1" x14ac:dyDescent="0.35">
      <c r="A18" s="46" t="s">
        <v>134</v>
      </c>
      <c r="B18" s="47"/>
      <c r="C18" s="48"/>
      <c r="D18" s="262"/>
      <c r="E18" s="62" t="s">
        <v>427</v>
      </c>
      <c r="F18" s="62"/>
      <c r="G18" s="62"/>
      <c r="H18" s="62"/>
      <c r="I18" s="62"/>
      <c r="J18" s="478"/>
      <c r="K18" s="37"/>
    </row>
    <row r="19" spans="1:11" hidden="1" x14ac:dyDescent="0.35">
      <c r="A19" s="46" t="s">
        <v>147</v>
      </c>
      <c r="B19" s="47"/>
      <c r="C19" s="48" t="s">
        <v>148</v>
      </c>
      <c r="D19" s="262"/>
      <c r="E19" s="62" t="s">
        <v>135</v>
      </c>
      <c r="F19" s="62"/>
      <c r="G19" s="62"/>
      <c r="H19" s="62"/>
      <c r="I19" s="62"/>
      <c r="J19" s="478"/>
      <c r="K19" s="37"/>
    </row>
    <row r="20" spans="1:11" ht="28" hidden="1" x14ac:dyDescent="0.35">
      <c r="A20" s="46" t="s">
        <v>149</v>
      </c>
      <c r="B20" s="47"/>
      <c r="C20" s="48" t="s">
        <v>148</v>
      </c>
      <c r="D20" s="262"/>
      <c r="E20" s="62" t="s">
        <v>133</v>
      </c>
      <c r="F20" s="62"/>
      <c r="G20" s="62"/>
      <c r="H20" s="62"/>
      <c r="I20" s="62"/>
      <c r="J20" s="478"/>
      <c r="K20" s="37"/>
    </row>
    <row r="21" spans="1:11" hidden="1" x14ac:dyDescent="0.35">
      <c r="A21" s="46" t="s">
        <v>150</v>
      </c>
      <c r="B21" s="47"/>
      <c r="C21" s="40" t="s">
        <v>148</v>
      </c>
      <c r="D21" s="261"/>
      <c r="E21" s="62" t="s">
        <v>135</v>
      </c>
      <c r="F21" s="62"/>
      <c r="G21" s="62"/>
      <c r="H21" s="62"/>
      <c r="I21" s="62"/>
      <c r="J21" s="478"/>
      <c r="K21" s="37"/>
    </row>
    <row r="22" spans="1:11" hidden="1" x14ac:dyDescent="0.35">
      <c r="A22" s="46" t="s">
        <v>151</v>
      </c>
      <c r="B22" s="47"/>
      <c r="C22" s="48" t="s">
        <v>148</v>
      </c>
      <c r="D22" s="262"/>
      <c r="E22" s="62" t="s">
        <v>152</v>
      </c>
      <c r="F22" s="62"/>
      <c r="G22" s="62"/>
      <c r="H22" s="62"/>
      <c r="I22" s="62" t="s">
        <v>152</v>
      </c>
      <c r="J22" s="478"/>
      <c r="K22" s="37"/>
    </row>
    <row r="23" spans="1:11" hidden="1" x14ac:dyDescent="0.35">
      <c r="A23" s="46" t="s">
        <v>136</v>
      </c>
      <c r="B23" s="47"/>
      <c r="C23" s="48" t="s">
        <v>148</v>
      </c>
      <c r="D23" s="262"/>
      <c r="E23" s="49" t="s">
        <v>135</v>
      </c>
      <c r="F23" s="49"/>
      <c r="G23" s="382"/>
      <c r="H23" s="382"/>
      <c r="I23" s="49" t="s">
        <v>135</v>
      </c>
      <c r="J23" s="479"/>
      <c r="K23" s="37"/>
    </row>
    <row r="24" spans="1:11" ht="28.5" hidden="1" thickBot="1" x14ac:dyDescent="0.4">
      <c r="A24" s="50" t="s">
        <v>153</v>
      </c>
      <c r="B24" s="51"/>
      <c r="C24" s="52" t="s">
        <v>148</v>
      </c>
      <c r="D24" s="263"/>
      <c r="E24" s="53" t="s">
        <v>133</v>
      </c>
      <c r="F24" s="53"/>
      <c r="G24" s="53"/>
      <c r="H24" s="53"/>
      <c r="I24" s="53" t="s">
        <v>133</v>
      </c>
      <c r="J24" s="480"/>
      <c r="K24" s="37"/>
    </row>
    <row r="25" spans="1:11" x14ac:dyDescent="0.35">
      <c r="A25" s="54"/>
      <c r="B25" s="54"/>
      <c r="C25" s="55"/>
      <c r="D25" s="55"/>
      <c r="E25" s="56"/>
      <c r="F25" s="56"/>
      <c r="G25" s="56"/>
      <c r="H25" s="56"/>
      <c r="I25" s="54"/>
      <c r="J25" s="54"/>
    </row>
    <row r="26" spans="1:11" x14ac:dyDescent="0.35">
      <c r="A26" s="756"/>
      <c r="B26" s="756"/>
      <c r="C26" s="756"/>
      <c r="D26" s="756"/>
      <c r="E26" s="756"/>
      <c r="F26" s="58"/>
      <c r="G26" s="58"/>
      <c r="H26" s="58"/>
      <c r="I26" s="57"/>
      <c r="J26" s="57"/>
    </row>
    <row r="27" spans="1:11" x14ac:dyDescent="0.35">
      <c r="A27" s="58"/>
      <c r="B27" s="58"/>
      <c r="C27" s="58"/>
      <c r="D27" s="58"/>
      <c r="E27" s="58"/>
      <c r="F27" s="58"/>
      <c r="G27" s="58"/>
      <c r="H27" s="58"/>
      <c r="I27" s="57"/>
      <c r="J27" s="57"/>
    </row>
    <row r="28" spans="1:11" x14ac:dyDescent="0.35">
      <c r="A28" s="756"/>
      <c r="B28" s="756"/>
      <c r="C28" s="756"/>
      <c r="D28" s="756"/>
      <c r="E28" s="756"/>
      <c r="F28" s="58"/>
      <c r="G28" s="58"/>
      <c r="H28" s="58"/>
      <c r="I28" s="57"/>
      <c r="J28" s="57"/>
    </row>
    <row r="29" spans="1:11" x14ac:dyDescent="0.35">
      <c r="A29" s="59"/>
      <c r="B29" s="59"/>
      <c r="C29" s="60"/>
      <c r="D29" s="60"/>
      <c r="E29" s="60"/>
      <c r="F29" s="60"/>
      <c r="G29" s="60"/>
      <c r="H29" s="60"/>
      <c r="I29" s="57"/>
      <c r="J29" s="57"/>
    </row>
    <row r="30" spans="1:11" x14ac:dyDescent="0.35">
      <c r="A30" s="756"/>
      <c r="B30" s="756"/>
      <c r="C30" s="756"/>
      <c r="D30" s="756"/>
      <c r="E30" s="756"/>
      <c r="F30" s="58"/>
      <c r="G30" s="58"/>
      <c r="H30" s="58"/>
      <c r="I30" s="57"/>
      <c r="J30" s="57"/>
    </row>
    <row r="31" spans="1:11" x14ac:dyDescent="0.35">
      <c r="A31" s="59"/>
      <c r="B31" s="59"/>
      <c r="C31" s="60"/>
      <c r="D31" s="60"/>
      <c r="E31" s="60"/>
      <c r="F31" s="60"/>
      <c r="G31" s="60"/>
      <c r="H31" s="60"/>
      <c r="I31" s="57"/>
      <c r="J31" s="57"/>
    </row>
    <row r="32" spans="1:11" x14ac:dyDescent="0.35">
      <c r="A32" s="767"/>
      <c r="B32" s="767"/>
      <c r="C32" s="767"/>
      <c r="D32" s="767"/>
      <c r="E32" s="767"/>
      <c r="F32" s="42"/>
      <c r="G32" s="42"/>
      <c r="H32" s="42"/>
      <c r="I32" s="61"/>
      <c r="J32" s="61"/>
    </row>
    <row r="33" spans="1:10" x14ac:dyDescent="0.35">
      <c r="A33" s="59"/>
      <c r="B33" s="59"/>
      <c r="C33" s="60"/>
      <c r="D33" s="60"/>
      <c r="E33" s="60"/>
      <c r="F33" s="60"/>
      <c r="G33" s="60"/>
      <c r="H33" s="60"/>
      <c r="I33" s="57"/>
      <c r="J33" s="57"/>
    </row>
    <row r="34" spans="1:10" x14ac:dyDescent="0.35">
      <c r="A34" s="756"/>
      <c r="B34" s="756"/>
      <c r="C34" s="756"/>
      <c r="D34" s="756"/>
      <c r="E34" s="756"/>
      <c r="F34" s="58"/>
      <c r="G34" s="58"/>
      <c r="H34" s="58"/>
      <c r="I34" s="57"/>
      <c r="J34" s="57"/>
    </row>
    <row r="35" spans="1:10" x14ac:dyDescent="0.35">
      <c r="A35" s="58"/>
      <c r="B35" s="58"/>
      <c r="C35" s="58"/>
      <c r="D35" s="58"/>
      <c r="E35" s="58"/>
      <c r="F35" s="58"/>
      <c r="G35" s="58"/>
      <c r="H35" s="58"/>
      <c r="I35" s="57"/>
      <c r="J35" s="57"/>
    </row>
    <row r="36" spans="1:10" x14ac:dyDescent="0.35">
      <c r="A36" s="767"/>
      <c r="B36" s="767"/>
      <c r="C36" s="767"/>
      <c r="D36" s="767"/>
      <c r="E36" s="767"/>
      <c r="F36" s="767"/>
      <c r="G36" s="767"/>
      <c r="H36" s="767"/>
      <c r="I36" s="767"/>
      <c r="J36" s="42"/>
    </row>
    <row r="37" spans="1:10" x14ac:dyDescent="0.35">
      <c r="A37" s="767"/>
      <c r="B37" s="767"/>
      <c r="C37" s="767"/>
      <c r="D37" s="767"/>
      <c r="E37" s="767"/>
      <c r="F37" s="42"/>
      <c r="G37" s="42"/>
      <c r="H37" s="42"/>
      <c r="I37" s="42"/>
      <c r="J37" s="42"/>
    </row>
    <row r="38" spans="1:10" x14ac:dyDescent="0.35">
      <c r="A38" s="767"/>
      <c r="B38" s="767"/>
      <c r="C38" s="767"/>
      <c r="D38" s="767"/>
      <c r="E38" s="767"/>
      <c r="F38" s="42"/>
      <c r="G38" s="42"/>
      <c r="H38" s="42"/>
      <c r="I38" s="42"/>
      <c r="J38" s="42"/>
    </row>
    <row r="39" spans="1:10" x14ac:dyDescent="0.35">
      <c r="A39" s="767"/>
      <c r="B39" s="767"/>
      <c r="C39" s="767"/>
      <c r="D39" s="767"/>
      <c r="E39" s="767"/>
      <c r="F39" s="42"/>
      <c r="G39" s="42"/>
      <c r="H39" s="42"/>
      <c r="I39" s="54"/>
      <c r="J39" s="54"/>
    </row>
    <row r="40" spans="1:10" x14ac:dyDescent="0.35">
      <c r="A40" s="36"/>
      <c r="B40" s="36"/>
      <c r="C40" s="36"/>
      <c r="D40" s="36"/>
      <c r="E40" s="36"/>
      <c r="F40" s="36"/>
      <c r="G40" s="36"/>
      <c r="H40" s="36"/>
      <c r="I40" s="54"/>
      <c r="J40" s="54"/>
    </row>
    <row r="41" spans="1:10" x14ac:dyDescent="0.35">
      <c r="A41" s="768"/>
      <c r="B41" s="768"/>
      <c r="C41" s="768"/>
      <c r="D41" s="768"/>
      <c r="E41" s="768"/>
      <c r="F41" s="370"/>
      <c r="G41" s="370"/>
      <c r="H41" s="370"/>
      <c r="I41" s="54"/>
      <c r="J41" s="54"/>
    </row>
  </sheetData>
  <mergeCells count="15">
    <mergeCell ref="A38:E38"/>
    <mergeCell ref="A39:E39"/>
    <mergeCell ref="A41:E41"/>
    <mergeCell ref="A28:E28"/>
    <mergeCell ref="A30:E30"/>
    <mergeCell ref="A32:E32"/>
    <mergeCell ref="A34:E34"/>
    <mergeCell ref="A36:I36"/>
    <mergeCell ref="A37:E37"/>
    <mergeCell ref="A26:E26"/>
    <mergeCell ref="A1:E1"/>
    <mergeCell ref="A2:E2"/>
    <mergeCell ref="A3:A5"/>
    <mergeCell ref="B3:B4"/>
    <mergeCell ref="C3:C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0000"/>
  </sheetPr>
  <dimension ref="A1:T25"/>
  <sheetViews>
    <sheetView zoomScale="85" zoomScaleNormal="85" workbookViewId="0">
      <selection activeCell="A32" sqref="A32"/>
    </sheetView>
  </sheetViews>
  <sheetFormatPr baseColWidth="10" defaultColWidth="11.1796875" defaultRowHeight="13" x14ac:dyDescent="0.3"/>
  <cols>
    <col min="1" max="1" width="48.1796875" style="63" customWidth="1"/>
    <col min="2" max="2" width="21" style="63" customWidth="1"/>
    <col min="3" max="5" width="14.54296875" style="63" customWidth="1"/>
    <col min="6" max="6" width="13.453125" style="63" customWidth="1"/>
    <col min="7" max="8" width="14.1796875" style="63" customWidth="1"/>
    <col min="9" max="11" width="14.54296875" style="63" customWidth="1"/>
    <col min="12" max="12" width="11.1796875" style="63"/>
    <col min="13" max="13" width="12.81640625" style="63" customWidth="1"/>
    <col min="14" max="14" width="11.1796875" style="63"/>
    <col min="15" max="15" width="5.81640625" style="63" customWidth="1"/>
    <col min="16" max="16" width="10.81640625" style="63" customWidth="1"/>
    <col min="17" max="17" width="11.1796875" style="63" customWidth="1"/>
    <col min="18" max="18" width="7.1796875" style="63" customWidth="1"/>
    <col min="19" max="19" width="14.453125" style="63" customWidth="1"/>
    <col min="20" max="16384" width="11.1796875" style="63"/>
  </cols>
  <sheetData>
    <row r="1" spans="1:20" ht="34.5" customHeight="1" thickTop="1" x14ac:dyDescent="0.3">
      <c r="A1" s="769" t="s">
        <v>440</v>
      </c>
      <c r="B1" s="770"/>
      <c r="C1" s="770"/>
      <c r="D1" s="770"/>
      <c r="E1" s="770"/>
      <c r="F1" s="770"/>
      <c r="G1" s="770"/>
      <c r="H1" s="770"/>
      <c r="I1" s="770"/>
      <c r="J1" s="428"/>
    </row>
    <row r="2" spans="1:20" x14ac:dyDescent="0.3">
      <c r="A2" s="771" t="s">
        <v>122</v>
      </c>
      <c r="B2" s="772"/>
      <c r="C2" s="772"/>
      <c r="D2" s="772"/>
      <c r="E2" s="772"/>
      <c r="F2" s="772"/>
      <c r="G2" s="772"/>
      <c r="H2" s="772"/>
      <c r="I2" s="772"/>
      <c r="J2" s="428"/>
      <c r="K2" s="63" t="s">
        <v>495</v>
      </c>
    </row>
    <row r="3" spans="1:20" ht="39.65" customHeight="1" x14ac:dyDescent="0.3">
      <c r="A3" s="773" t="s">
        <v>123</v>
      </c>
      <c r="B3" s="64" t="s">
        <v>154</v>
      </c>
      <c r="C3" s="776" t="s">
        <v>493</v>
      </c>
      <c r="D3" s="776" t="s">
        <v>494</v>
      </c>
      <c r="E3" s="65" t="s">
        <v>370</v>
      </c>
      <c r="F3" s="65" t="s">
        <v>457</v>
      </c>
      <c r="G3" s="65" t="s">
        <v>444</v>
      </c>
      <c r="H3" s="65" t="s">
        <v>505</v>
      </c>
      <c r="I3" s="65" t="s">
        <v>374</v>
      </c>
      <c r="J3" s="65" t="s">
        <v>460</v>
      </c>
      <c r="K3" s="65" t="s">
        <v>395</v>
      </c>
      <c r="M3" s="63">
        <f>+B6*0.1</f>
        <v>1634.9370000000001</v>
      </c>
    </row>
    <row r="4" spans="1:20" ht="19.75" customHeight="1" x14ac:dyDescent="0.3">
      <c r="A4" s="774"/>
      <c r="B4" s="66">
        <v>1</v>
      </c>
      <c r="C4" s="777"/>
      <c r="D4" s="777"/>
      <c r="E4" s="67">
        <v>0.02</v>
      </c>
      <c r="F4" s="67">
        <v>0.03</v>
      </c>
      <c r="G4" s="67">
        <v>0.05</v>
      </c>
      <c r="H4" s="67">
        <v>0.08</v>
      </c>
      <c r="I4" s="67">
        <v>0.1</v>
      </c>
      <c r="J4" s="67">
        <v>0.11</v>
      </c>
      <c r="K4" s="67">
        <v>0.12</v>
      </c>
    </row>
    <row r="5" spans="1:20" ht="13.5" thickBot="1" x14ac:dyDescent="0.35">
      <c r="A5" s="775"/>
      <c r="B5" s="68" t="s">
        <v>510</v>
      </c>
      <c r="C5" s="68" t="str">
        <f>+B5</f>
        <v>Ecopetrol</v>
      </c>
      <c r="D5" s="68" t="str">
        <f>+C5</f>
        <v>Ecopetrol</v>
      </c>
      <c r="E5" s="69" t="str">
        <f>+B5</f>
        <v>Ecopetrol</v>
      </c>
      <c r="F5" s="69" t="str">
        <f>+C5</f>
        <v>Ecopetrol</v>
      </c>
      <c r="G5" s="69" t="str">
        <f>+D5</f>
        <v>Ecopetrol</v>
      </c>
      <c r="H5" s="69" t="str">
        <f>+E5</f>
        <v>Ecopetrol</v>
      </c>
      <c r="I5" s="69" t="str">
        <f>+B5</f>
        <v>Ecopetrol</v>
      </c>
      <c r="J5" s="69" t="str">
        <f>+C5</f>
        <v>Ecopetrol</v>
      </c>
      <c r="K5" s="69" t="str">
        <f>+C5</f>
        <v>Ecopetrol</v>
      </c>
    </row>
    <row r="6" spans="1:20" ht="19" customHeight="1" thickTop="1" x14ac:dyDescent="0.3">
      <c r="A6" s="70" t="s">
        <v>125</v>
      </c>
      <c r="B6" s="485">
        <f>+'Calculo IP ZDF'!D24</f>
        <v>16349.37</v>
      </c>
      <c r="C6" s="486">
        <f>+'Calculo IP ZDF'!C24</f>
        <v>4773.05</v>
      </c>
      <c r="D6" s="486">
        <f>+C6</f>
        <v>4773.05</v>
      </c>
      <c r="E6" s="376"/>
      <c r="F6" s="377"/>
      <c r="G6" s="377"/>
      <c r="H6" s="377"/>
      <c r="I6" s="376"/>
      <c r="J6" s="376"/>
      <c r="K6" s="376"/>
      <c r="M6" s="283" t="s">
        <v>436</v>
      </c>
      <c r="N6" s="358">
        <v>0.1</v>
      </c>
      <c r="P6" s="361" t="s">
        <v>445</v>
      </c>
      <c r="Q6" s="362">
        <v>0.05</v>
      </c>
      <c r="S6" s="361" t="s">
        <v>437</v>
      </c>
      <c r="T6" s="362">
        <v>0.12</v>
      </c>
    </row>
    <row r="7" spans="1:20" ht="23.15" customHeight="1" x14ac:dyDescent="0.3">
      <c r="A7" s="71" t="s">
        <v>156</v>
      </c>
      <c r="B7" s="378"/>
      <c r="C7" s="379"/>
      <c r="D7" s="379"/>
      <c r="E7" s="462">
        <f>+ROUND(D6*0.98,2)</f>
        <v>4677.59</v>
      </c>
      <c r="F7" s="462">
        <f>+C6*97%</f>
        <v>4629.8585000000003</v>
      </c>
      <c r="G7" s="462">
        <f>+D6*0.95</f>
        <v>4534.3975</v>
      </c>
      <c r="H7" s="462">
        <f>+ROUND(D6*0.92,2)</f>
        <v>4391.21</v>
      </c>
      <c r="I7" s="462">
        <f>+C6*0.9</f>
        <v>4295.7449999999999</v>
      </c>
      <c r="J7" s="462">
        <f>+C6*0.89</f>
        <v>4248.0145000000002</v>
      </c>
      <c r="K7" s="462">
        <f>+C6*0.88</f>
        <v>4200.2840000000006</v>
      </c>
      <c r="L7" s="292"/>
      <c r="M7" s="359">
        <f>+D6*(1-N6)</f>
        <v>4295.7449999999999</v>
      </c>
      <c r="N7" s="360">
        <f>+M7-I7</f>
        <v>0</v>
      </c>
      <c r="P7" s="363">
        <f>+C6*(1-Q6)</f>
        <v>4534.3975</v>
      </c>
      <c r="Q7" s="364">
        <f>+P7-G7</f>
        <v>0</v>
      </c>
      <c r="S7" s="363">
        <f>+C6*(1-T6)</f>
        <v>4200.2840000000006</v>
      </c>
      <c r="T7" s="364">
        <f>+S7-K7</f>
        <v>0</v>
      </c>
    </row>
    <row r="8" spans="1:20" ht="23.15" customHeight="1" x14ac:dyDescent="0.3">
      <c r="A8" s="71" t="s">
        <v>157</v>
      </c>
      <c r="B8" s="379"/>
      <c r="C8" s="379"/>
      <c r="D8" s="379"/>
      <c r="E8" s="462">
        <f>+B6*0.02</f>
        <v>326.98740000000004</v>
      </c>
      <c r="F8" s="462">
        <f>+B6*3%</f>
        <v>490.48110000000003</v>
      </c>
      <c r="G8" s="462">
        <f>+$B$6*0.05</f>
        <v>817.46850000000006</v>
      </c>
      <c r="H8" s="462">
        <f>+$B$6*0.08</f>
        <v>1307.9496000000001</v>
      </c>
      <c r="I8" s="462">
        <f>+B6*0.1</f>
        <v>1634.9370000000001</v>
      </c>
      <c r="J8" s="462">
        <f>+B6*0.11</f>
        <v>1798.4307000000001</v>
      </c>
      <c r="K8" s="462">
        <f>+B6*0.12</f>
        <v>1961.9244000000001</v>
      </c>
      <c r="L8" s="292"/>
      <c r="M8" s="360">
        <f>+B6*N6</f>
        <v>1634.9370000000001</v>
      </c>
      <c r="N8" s="360">
        <f>+M8-I8</f>
        <v>0</v>
      </c>
      <c r="P8" s="364">
        <f>+B6*Q6</f>
        <v>817.46850000000006</v>
      </c>
      <c r="Q8" s="364">
        <f>+P8-G8</f>
        <v>0</v>
      </c>
      <c r="S8" s="364">
        <f>+B6*T6</f>
        <v>1961.9244000000001</v>
      </c>
      <c r="T8" s="364">
        <f>+S8-K8</f>
        <v>0</v>
      </c>
    </row>
    <row r="9" spans="1:20" ht="23.15" customHeight="1" x14ac:dyDescent="0.3">
      <c r="A9" s="71" t="s">
        <v>158</v>
      </c>
      <c r="B9" s="379"/>
      <c r="C9" s="379"/>
      <c r="D9" s="379"/>
      <c r="E9" s="466">
        <f t="shared" ref="E9:K9" si="0">+E7+E8</f>
        <v>5004.5774000000001</v>
      </c>
      <c r="F9" s="466">
        <f t="shared" si="0"/>
        <v>5120.3396000000002</v>
      </c>
      <c r="G9" s="466">
        <f t="shared" si="0"/>
        <v>5351.866</v>
      </c>
      <c r="H9" s="466">
        <f t="shared" si="0"/>
        <v>5699.1596</v>
      </c>
      <c r="I9" s="466">
        <f t="shared" si="0"/>
        <v>5930.6819999999998</v>
      </c>
      <c r="J9" s="466">
        <f t="shared" si="0"/>
        <v>6046.4452000000001</v>
      </c>
      <c r="K9" s="466">
        <f t="shared" si="0"/>
        <v>6162.2084000000004</v>
      </c>
      <c r="L9" s="292"/>
      <c r="M9" s="360">
        <f>+M7+M8</f>
        <v>5930.6819999999998</v>
      </c>
      <c r="N9" s="360">
        <f>+M9-I9</f>
        <v>0</v>
      </c>
      <c r="P9" s="364">
        <f>+P7+P8</f>
        <v>5351.866</v>
      </c>
      <c r="Q9" s="364">
        <f>+P9-G9</f>
        <v>0</v>
      </c>
      <c r="S9" s="364">
        <f>+S7+S8</f>
        <v>6162.2084000000004</v>
      </c>
      <c r="T9" s="364">
        <f>+S9-K9</f>
        <v>0</v>
      </c>
    </row>
    <row r="10" spans="1:20" ht="23.15" customHeight="1" x14ac:dyDescent="0.3">
      <c r="A10" s="157" t="s">
        <v>128</v>
      </c>
      <c r="B10" s="379"/>
      <c r="C10" s="701">
        <v>634.74</v>
      </c>
      <c r="D10" s="701">
        <f>+C10</f>
        <v>634.74</v>
      </c>
      <c r="E10" s="462">
        <f>+C10*0.98</f>
        <v>622.04520000000002</v>
      </c>
      <c r="F10" s="462">
        <f>+C10*0.97</f>
        <v>615.69780000000003</v>
      </c>
      <c r="G10" s="462">
        <f>+$C$10*0.95</f>
        <v>603.00299999999993</v>
      </c>
      <c r="H10" s="462">
        <f>+$C$10*0.92</f>
        <v>583.96080000000006</v>
      </c>
      <c r="I10" s="462">
        <f>+C10*0.9</f>
        <v>571.26600000000008</v>
      </c>
      <c r="J10" s="462">
        <f>+C10*0.89</f>
        <v>564.91859999999997</v>
      </c>
      <c r="K10" s="462">
        <f>+C10*0.88</f>
        <v>558.57119999999998</v>
      </c>
      <c r="M10" s="283">
        <f>+C10*0.9</f>
        <v>571.26600000000008</v>
      </c>
      <c r="N10" s="360">
        <f>+M10-I10</f>
        <v>0</v>
      </c>
      <c r="P10" s="284">
        <f>+C10*(1-Q6)</f>
        <v>603.00299999999993</v>
      </c>
      <c r="Q10" s="365">
        <f>+P10-G10</f>
        <v>0</v>
      </c>
      <c r="S10" s="374">
        <f>+C10*(1-T6)</f>
        <v>558.57119999999998</v>
      </c>
      <c r="T10" s="284"/>
    </row>
    <row r="11" spans="1:20" ht="23.15" customHeight="1" x14ac:dyDescent="0.3">
      <c r="A11" s="71" t="s">
        <v>129</v>
      </c>
      <c r="B11" s="379"/>
      <c r="C11" s="459" t="s">
        <v>130</v>
      </c>
      <c r="D11" s="459" t="s">
        <v>130</v>
      </c>
      <c r="E11" s="462" t="s">
        <v>130</v>
      </c>
      <c r="F11" s="462" t="s">
        <v>130</v>
      </c>
      <c r="G11" s="462" t="s">
        <v>130</v>
      </c>
      <c r="H11" s="462"/>
      <c r="I11" s="462" t="s">
        <v>130</v>
      </c>
      <c r="J11" s="462" t="s">
        <v>130</v>
      </c>
      <c r="K11" s="462" t="s">
        <v>130</v>
      </c>
      <c r="M11" s="283"/>
      <c r="N11" s="283"/>
      <c r="P11" s="284"/>
      <c r="Q11" s="284"/>
      <c r="S11" s="284"/>
      <c r="T11" s="284"/>
    </row>
    <row r="12" spans="1:20" ht="23.15" customHeight="1" x14ac:dyDescent="0.3">
      <c r="A12" s="158" t="s">
        <v>131</v>
      </c>
      <c r="B12" s="379"/>
      <c r="C12" s="701">
        <v>191</v>
      </c>
      <c r="D12" s="701">
        <f>+C12</f>
        <v>191</v>
      </c>
      <c r="E12" s="462">
        <f>+C12*0.98</f>
        <v>187.18</v>
      </c>
      <c r="F12" s="462">
        <f>+D12*0.97</f>
        <v>185.26999999999998</v>
      </c>
      <c r="G12" s="462">
        <f>+$D$12*0.95</f>
        <v>181.45</v>
      </c>
      <c r="H12" s="462">
        <f>+$D$12*0.92</f>
        <v>175.72</v>
      </c>
      <c r="I12" s="462">
        <f>+D12*0.9</f>
        <v>171.9</v>
      </c>
      <c r="J12" s="462">
        <f>+D12*0.89</f>
        <v>169.99</v>
      </c>
      <c r="K12" s="462">
        <f>+D12*0.88</f>
        <v>168.08</v>
      </c>
      <c r="L12" s="63">
        <f>+D12*0.89</f>
        <v>169.99</v>
      </c>
      <c r="M12" s="283">
        <f>+C12*(1-N6)</f>
        <v>171.9</v>
      </c>
      <c r="N12" s="360">
        <f>+I12-M12</f>
        <v>0</v>
      </c>
      <c r="P12" s="284">
        <f>+C12*(1-Q6)</f>
        <v>181.45</v>
      </c>
      <c r="Q12" s="365">
        <f>+G12-P12</f>
        <v>0</v>
      </c>
      <c r="S12" s="284">
        <f>+D12*(1-T6)</f>
        <v>168.08</v>
      </c>
      <c r="T12" s="365">
        <f>+K12-S12</f>
        <v>0</v>
      </c>
    </row>
    <row r="13" spans="1:20" ht="23.15" customHeight="1" x14ac:dyDescent="0.3">
      <c r="A13" s="71" t="s">
        <v>126</v>
      </c>
      <c r="B13" s="379"/>
      <c r="C13" s="459">
        <f>ROUND(8.3842,2)*1.03*1.03</f>
        <v>8.8903420000000022</v>
      </c>
      <c r="D13" s="459">
        <f>+C13</f>
        <v>8.8903420000000022</v>
      </c>
      <c r="E13" s="462">
        <f>+D13</f>
        <v>8.8903420000000022</v>
      </c>
      <c r="F13" s="462">
        <f>+E13</f>
        <v>8.8903420000000022</v>
      </c>
      <c r="G13" s="462">
        <f>+F13</f>
        <v>8.8903420000000022</v>
      </c>
      <c r="H13" s="462">
        <f>+G13</f>
        <v>8.8903420000000022</v>
      </c>
      <c r="I13" s="462">
        <f>+F13</f>
        <v>8.8903420000000022</v>
      </c>
      <c r="J13" s="462">
        <v>8.6314000000000011</v>
      </c>
      <c r="K13" s="462">
        <f>+I13</f>
        <v>8.8903420000000022</v>
      </c>
      <c r="M13" s="283"/>
      <c r="N13" s="283"/>
      <c r="P13" s="284"/>
      <c r="Q13" s="284"/>
      <c r="S13" s="284"/>
      <c r="T13" s="284"/>
    </row>
    <row r="14" spans="1:20" ht="23.15" customHeight="1" x14ac:dyDescent="0.3">
      <c r="A14" s="71" t="s">
        <v>159</v>
      </c>
      <c r="B14" s="459"/>
      <c r="C14" s="459" t="s">
        <v>127</v>
      </c>
      <c r="D14" s="459" t="s">
        <v>127</v>
      </c>
      <c r="E14" s="462" t="s">
        <v>127</v>
      </c>
      <c r="F14" s="462"/>
      <c r="G14" s="462"/>
      <c r="H14" s="462"/>
      <c r="I14" s="462" t="s">
        <v>127</v>
      </c>
      <c r="J14" s="462"/>
      <c r="K14" s="462" t="s">
        <v>127</v>
      </c>
      <c r="M14" s="283"/>
      <c r="N14" s="283"/>
      <c r="P14" s="284"/>
      <c r="Q14" s="284"/>
      <c r="S14" s="284"/>
      <c r="T14" s="284"/>
    </row>
    <row r="15" spans="1:20" ht="21.65" customHeight="1" x14ac:dyDescent="0.3">
      <c r="A15" s="71" t="s">
        <v>160</v>
      </c>
      <c r="B15" s="459" t="s">
        <v>148</v>
      </c>
      <c r="C15" s="459"/>
      <c r="D15" s="459"/>
      <c r="E15" s="462" t="s">
        <v>132</v>
      </c>
      <c r="F15" s="462"/>
      <c r="G15" s="462"/>
      <c r="H15" s="462"/>
      <c r="I15" s="462" t="s">
        <v>132</v>
      </c>
      <c r="J15" s="462"/>
      <c r="K15" s="462" t="s">
        <v>132</v>
      </c>
      <c r="M15" s="283"/>
      <c r="N15" s="283"/>
      <c r="P15" s="284"/>
      <c r="Q15" s="284"/>
      <c r="S15" s="284"/>
      <c r="T15" s="284"/>
    </row>
    <row r="16" spans="1:20" ht="21.65" hidden="1" customHeight="1" x14ac:dyDescent="0.3">
      <c r="A16" s="73" t="s">
        <v>230</v>
      </c>
      <c r="B16" s="459"/>
      <c r="C16" s="459"/>
      <c r="D16" s="459"/>
      <c r="E16" s="462"/>
      <c r="F16" s="462"/>
      <c r="G16" s="462"/>
      <c r="H16" s="462"/>
      <c r="I16" s="462"/>
      <c r="J16" s="462"/>
      <c r="K16" s="462"/>
      <c r="M16" s="283"/>
      <c r="N16" s="283"/>
      <c r="P16" s="284"/>
      <c r="Q16" s="284"/>
      <c r="S16" s="284"/>
      <c r="T16" s="284"/>
    </row>
    <row r="17" spans="1:12" ht="21.65" hidden="1" customHeight="1" x14ac:dyDescent="0.3">
      <c r="A17" s="71" t="s">
        <v>146</v>
      </c>
      <c r="B17" s="72"/>
      <c r="C17" s="72"/>
      <c r="D17" s="72"/>
      <c r="E17" s="462"/>
      <c r="F17" s="462"/>
      <c r="G17" s="462"/>
      <c r="H17" s="462"/>
      <c r="I17" s="462"/>
      <c r="J17" s="462"/>
      <c r="K17" s="462"/>
    </row>
    <row r="18" spans="1:12" ht="21.65" hidden="1" customHeight="1" x14ac:dyDescent="0.3">
      <c r="A18" s="71" t="s">
        <v>147</v>
      </c>
      <c r="B18" s="74"/>
      <c r="C18" s="75"/>
      <c r="D18" s="75"/>
      <c r="E18" s="463" t="s">
        <v>148</v>
      </c>
      <c r="F18" s="463"/>
      <c r="G18" s="464"/>
      <c r="H18" s="464"/>
      <c r="I18" s="465" t="s">
        <v>135</v>
      </c>
      <c r="J18" s="465"/>
      <c r="K18" s="465" t="s">
        <v>135</v>
      </c>
    </row>
    <row r="19" spans="1:12" ht="21.65" hidden="1" customHeight="1" x14ac:dyDescent="0.3">
      <c r="A19" s="71" t="s">
        <v>149</v>
      </c>
      <c r="B19" s="74"/>
      <c r="C19" s="74"/>
      <c r="D19" s="74"/>
      <c r="E19" s="463" t="s">
        <v>148</v>
      </c>
      <c r="F19" s="463"/>
      <c r="G19" s="463"/>
      <c r="H19" s="463"/>
      <c r="I19" s="463" t="s">
        <v>133</v>
      </c>
      <c r="J19" s="463"/>
      <c r="K19" s="463" t="s">
        <v>133</v>
      </c>
    </row>
    <row r="20" spans="1:12" ht="21.65" hidden="1" customHeight="1" x14ac:dyDescent="0.3">
      <c r="A20" s="71" t="s">
        <v>150</v>
      </c>
      <c r="B20" s="74"/>
      <c r="C20" s="74"/>
      <c r="D20" s="74"/>
      <c r="E20" s="463" t="s">
        <v>148</v>
      </c>
      <c r="F20" s="463"/>
      <c r="G20" s="463"/>
      <c r="H20" s="463"/>
      <c r="I20" s="462" t="s">
        <v>135</v>
      </c>
      <c r="J20" s="462"/>
      <c r="K20" s="462" t="s">
        <v>135</v>
      </c>
    </row>
    <row r="21" spans="1:12" ht="21.65" hidden="1" customHeight="1" x14ac:dyDescent="0.3">
      <c r="A21" s="71" t="s">
        <v>161</v>
      </c>
      <c r="B21" s="74"/>
      <c r="C21" s="74"/>
      <c r="D21" s="74"/>
      <c r="E21" s="463" t="s">
        <v>148</v>
      </c>
      <c r="F21" s="463"/>
      <c r="G21" s="463"/>
      <c r="H21" s="463"/>
      <c r="I21" s="462" t="s">
        <v>135</v>
      </c>
      <c r="J21" s="462"/>
      <c r="K21" s="462" t="s">
        <v>135</v>
      </c>
    </row>
    <row r="22" spans="1:12" ht="21.65" customHeight="1" x14ac:dyDescent="0.3">
      <c r="A22" s="76" t="s">
        <v>134</v>
      </c>
      <c r="B22" s="72"/>
      <c r="C22" s="72"/>
      <c r="D22" s="72"/>
      <c r="E22" s="462"/>
      <c r="F22" s="462"/>
      <c r="G22" s="462"/>
      <c r="H22" s="462"/>
      <c r="I22" s="462"/>
      <c r="J22" s="462"/>
      <c r="K22" s="462">
        <v>301</v>
      </c>
    </row>
    <row r="23" spans="1:12" ht="26.5" thickBot="1" x14ac:dyDescent="0.35">
      <c r="A23" s="77" t="s">
        <v>153</v>
      </c>
      <c r="B23" s="78"/>
      <c r="C23" s="78"/>
      <c r="D23" s="78"/>
      <c r="E23" s="460" t="s">
        <v>148</v>
      </c>
      <c r="F23" s="461"/>
      <c r="G23" s="461"/>
      <c r="H23" s="461"/>
      <c r="I23" s="460"/>
      <c r="J23" s="460"/>
      <c r="K23" s="460" t="s">
        <v>133</v>
      </c>
    </row>
    <row r="24" spans="1:12" ht="13.5" thickTop="1" x14ac:dyDescent="0.3"/>
    <row r="25" spans="1:12" x14ac:dyDescent="0.3">
      <c r="E25" s="523"/>
      <c r="F25" s="523"/>
      <c r="G25" s="523"/>
      <c r="H25" s="523"/>
      <c r="I25" s="523"/>
      <c r="J25" s="523"/>
      <c r="K25" s="523"/>
      <c r="L25" s="523"/>
    </row>
  </sheetData>
  <mergeCells count="5">
    <mergeCell ref="A1:I1"/>
    <mergeCell ref="A2:I2"/>
    <mergeCell ref="A3:A5"/>
    <mergeCell ref="C3:C4"/>
    <mergeCell ref="D3:D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R46"/>
  <sheetViews>
    <sheetView showGridLines="0" topLeftCell="A11" zoomScale="85" zoomScaleNormal="85" workbookViewId="0">
      <selection activeCell="R24" sqref="R24"/>
    </sheetView>
  </sheetViews>
  <sheetFormatPr baseColWidth="10" defaultRowHeight="14.5" x14ac:dyDescent="0.35"/>
  <cols>
    <col min="2" max="2" width="49.453125" customWidth="1"/>
    <col min="3" max="3" width="16" customWidth="1"/>
    <col min="4" max="4" width="12.453125" hidden="1" customWidth="1"/>
    <col min="5" max="5" width="12.54296875" customWidth="1"/>
    <col min="6" max="6" width="14.7265625" hidden="1" customWidth="1"/>
    <col min="7" max="7" width="12.81640625" hidden="1" customWidth="1"/>
    <col min="8" max="9" width="14.1796875" customWidth="1"/>
    <col min="10" max="10" width="14.1796875" hidden="1" customWidth="1"/>
    <col min="11" max="11" width="14.1796875" customWidth="1"/>
    <col min="12" max="12" width="13.1796875" customWidth="1"/>
    <col min="13" max="13" width="11.7265625" hidden="1" customWidth="1"/>
    <col min="14" max="14" width="9.26953125" hidden="1" customWidth="1"/>
    <col min="15" max="15" width="11" hidden="1" customWidth="1"/>
    <col min="16" max="16" width="14.453125" customWidth="1"/>
    <col min="17" max="17" width="15.54296875" customWidth="1"/>
  </cols>
  <sheetData>
    <row r="1" spans="1:18" x14ac:dyDescent="0.35">
      <c r="A1" s="79"/>
      <c r="B1" s="103" t="s">
        <v>515</v>
      </c>
      <c r="C1" s="280" t="str">
        <f>+B1</f>
        <v>Vigencia: 04 de Noviembre de 2023; 00:00 horas</v>
      </c>
      <c r="D1" s="280"/>
      <c r="E1" s="280"/>
      <c r="F1" s="103"/>
      <c r="G1" s="103"/>
      <c r="H1" s="103"/>
      <c r="I1" s="79"/>
      <c r="J1" s="79"/>
      <c r="K1" s="79"/>
      <c r="L1" s="79"/>
      <c r="M1" s="79"/>
      <c r="N1" s="79"/>
      <c r="O1" s="79"/>
    </row>
    <row r="2" spans="1:18" ht="15" thickBot="1" x14ac:dyDescent="0.4">
      <c r="A2" s="79" t="s">
        <v>162</v>
      </c>
      <c r="B2" s="104"/>
      <c r="C2" s="104"/>
      <c r="D2" s="709"/>
      <c r="E2" s="704"/>
      <c r="F2" s="331"/>
      <c r="G2" s="331"/>
      <c r="H2" s="331"/>
      <c r="I2" s="104"/>
      <c r="J2" s="331"/>
      <c r="K2" s="331"/>
      <c r="L2" s="703"/>
      <c r="M2" s="104"/>
      <c r="N2" s="104"/>
      <c r="O2" s="104"/>
    </row>
    <row r="3" spans="1:18" ht="15" customHeight="1" thickTop="1" x14ac:dyDescent="0.35">
      <c r="A3" s="105"/>
      <c r="B3" s="106" t="s">
        <v>202</v>
      </c>
      <c r="C3" s="784" t="s">
        <v>163</v>
      </c>
      <c r="D3" s="785"/>
      <c r="E3" s="785"/>
      <c r="F3" s="785"/>
      <c r="G3" s="785"/>
      <c r="H3" s="785"/>
      <c r="I3" s="785"/>
      <c r="J3" s="785"/>
      <c r="K3" s="786"/>
      <c r="L3" s="796" t="s">
        <v>203</v>
      </c>
      <c r="M3" s="797"/>
      <c r="N3" s="797"/>
      <c r="O3" s="797"/>
      <c r="P3" s="797"/>
    </row>
    <row r="4" spans="1:18" ht="26" x14ac:dyDescent="0.35">
      <c r="A4" s="107"/>
      <c r="B4" s="447" t="s">
        <v>472</v>
      </c>
      <c r="C4" s="787"/>
      <c r="D4" s="788"/>
      <c r="E4" s="788"/>
      <c r="F4" s="788"/>
      <c r="G4" s="788"/>
      <c r="H4" s="788"/>
      <c r="I4" s="788"/>
      <c r="J4" s="788"/>
      <c r="K4" s="789"/>
      <c r="L4" s="798"/>
      <c r="M4" s="799"/>
      <c r="N4" s="799"/>
      <c r="O4" s="799"/>
      <c r="P4" s="799"/>
      <c r="R4" s="15"/>
    </row>
    <row r="5" spans="1:18" ht="26" x14ac:dyDescent="0.35">
      <c r="A5" s="790" t="s">
        <v>164</v>
      </c>
      <c r="B5" s="792" t="s">
        <v>165</v>
      </c>
      <c r="C5" s="780" t="s">
        <v>223</v>
      </c>
      <c r="D5" s="108" t="s">
        <v>96</v>
      </c>
      <c r="E5" s="108" t="s">
        <v>96</v>
      </c>
      <c r="F5" s="108" t="s">
        <v>96</v>
      </c>
      <c r="G5" s="108" t="s">
        <v>96</v>
      </c>
      <c r="H5" s="794" t="s">
        <v>467</v>
      </c>
      <c r="I5" s="108" t="s">
        <v>371</v>
      </c>
      <c r="J5" s="160" t="s">
        <v>505</v>
      </c>
      <c r="K5" s="160" t="s">
        <v>374</v>
      </c>
      <c r="L5" s="81" t="s">
        <v>509</v>
      </c>
      <c r="M5" s="81" t="s">
        <v>96</v>
      </c>
      <c r="N5" s="108" t="s">
        <v>96</v>
      </c>
      <c r="O5" s="334" t="str">
        <f>+J5</f>
        <v>Biodiesel B8</v>
      </c>
      <c r="P5" s="334" t="s">
        <v>374</v>
      </c>
    </row>
    <row r="6" spans="1:18" ht="26" x14ac:dyDescent="0.35">
      <c r="A6" s="790"/>
      <c r="B6" s="792"/>
      <c r="C6" s="781"/>
      <c r="D6" s="333" t="s">
        <v>500</v>
      </c>
      <c r="E6" s="333" t="s">
        <v>483</v>
      </c>
      <c r="F6" s="333" t="s">
        <v>447</v>
      </c>
      <c r="G6" s="333" t="s">
        <v>458</v>
      </c>
      <c r="H6" s="795"/>
      <c r="I6" s="124">
        <v>0.02</v>
      </c>
      <c r="J6" s="458">
        <v>0.08</v>
      </c>
      <c r="K6" s="458">
        <v>0.1</v>
      </c>
      <c r="L6" s="109">
        <v>0.04</v>
      </c>
      <c r="M6" s="539" t="str">
        <f>+F6</f>
        <v>Oxigenada 5%</v>
      </c>
      <c r="N6" s="366" t="str">
        <f>+E6</f>
        <v>Oxigenada 4%</v>
      </c>
      <c r="O6" s="109">
        <f>+J6</f>
        <v>0.08</v>
      </c>
      <c r="P6" s="109">
        <v>0.1</v>
      </c>
    </row>
    <row r="7" spans="1:18" x14ac:dyDescent="0.35">
      <c r="A7" s="791"/>
      <c r="B7" s="793"/>
      <c r="C7" s="81" t="s">
        <v>166</v>
      </c>
      <c r="D7" s="108" t="s">
        <v>166</v>
      </c>
      <c r="E7" s="108" t="s">
        <v>166</v>
      </c>
      <c r="F7" s="108" t="s">
        <v>166</v>
      </c>
      <c r="G7" s="108" t="s">
        <v>166</v>
      </c>
      <c r="H7" s="108" t="s">
        <v>166</v>
      </c>
      <c r="I7" s="108" t="s">
        <v>166</v>
      </c>
      <c r="J7" s="160" t="s">
        <v>166</v>
      </c>
      <c r="K7" s="160" t="s">
        <v>166</v>
      </c>
      <c r="L7" s="81" t="s">
        <v>166</v>
      </c>
      <c r="M7" s="81" t="s">
        <v>166</v>
      </c>
      <c r="N7" s="81" t="s">
        <v>166</v>
      </c>
      <c r="O7" s="334" t="s">
        <v>166</v>
      </c>
      <c r="P7" s="334" t="s">
        <v>166</v>
      </c>
    </row>
    <row r="8" spans="1:18" x14ac:dyDescent="0.35">
      <c r="A8" s="82" t="s">
        <v>167</v>
      </c>
      <c r="B8" s="88" t="s">
        <v>168</v>
      </c>
      <c r="C8" s="84">
        <f>+'Calculo IP ZDF'!B28</f>
        <v>9914.16</v>
      </c>
      <c r="D8" s="86">
        <f>+'Calculo IP ZDF'!G28</f>
        <v>10003.336799999999</v>
      </c>
      <c r="E8" s="86">
        <f>+'Calculo IP ZDF'!H28</f>
        <v>10092.5136</v>
      </c>
      <c r="F8" s="110">
        <f>+'Calculo IP ZDF'!I28</f>
        <v>10137.1</v>
      </c>
      <c r="G8" s="110">
        <f>+'Calculo IP ZDF'!J28</f>
        <v>10181.689999999999</v>
      </c>
      <c r="H8" s="110">
        <f>+'Calculo IP ZDF'!C28</f>
        <v>4548.239345</v>
      </c>
      <c r="I8" s="110">
        <f>+'Calculo IP ZDF'!F28</f>
        <v>4784.26</v>
      </c>
      <c r="J8" s="154">
        <f>+'Calculo IP ZDF'!N28</f>
        <v>5492.3297973999997</v>
      </c>
      <c r="K8" s="154">
        <f>+'Calculo IP ZDF'!M28</f>
        <v>5728.3524105000006</v>
      </c>
      <c r="L8" s="84">
        <f>+'GAS CTE'!E9</f>
        <v>10092.5136</v>
      </c>
      <c r="M8" s="84">
        <f>+'GAS CTE'!F9</f>
        <v>10137.1</v>
      </c>
      <c r="N8" s="92">
        <f>+'GAS CTE'!E9</f>
        <v>10092.5136</v>
      </c>
      <c r="O8" s="110">
        <f>+BIODIESEL!H9</f>
        <v>5699.1596</v>
      </c>
      <c r="P8" s="154">
        <f>+BIODIESEL!I9</f>
        <v>5930.6819999999998</v>
      </c>
    </row>
    <row r="9" spans="1:18" x14ac:dyDescent="0.35">
      <c r="A9" s="82" t="s">
        <v>169</v>
      </c>
      <c r="B9" s="88" t="s">
        <v>170</v>
      </c>
      <c r="C9" s="92" t="s">
        <v>171</v>
      </c>
      <c r="D9" s="111" t="s">
        <v>171</v>
      </c>
      <c r="E9" s="111" t="s">
        <v>171</v>
      </c>
      <c r="F9" s="111" t="s">
        <v>171</v>
      </c>
      <c r="G9" s="111" t="s">
        <v>171</v>
      </c>
      <c r="H9" s="111" t="s">
        <v>171</v>
      </c>
      <c r="I9" s="111" t="s">
        <v>171</v>
      </c>
      <c r="J9" s="162" t="s">
        <v>171</v>
      </c>
      <c r="K9" s="162" t="s">
        <v>171</v>
      </c>
      <c r="L9" s="92">
        <f>+'GAS CTE'!E10</f>
        <v>636.6336</v>
      </c>
      <c r="M9" s="92">
        <f>+'GAS CTE'!F10</f>
        <v>630.00199999999995</v>
      </c>
      <c r="N9" s="92">
        <f>+'GAS CTE'!E10</f>
        <v>636.6336</v>
      </c>
      <c r="O9" s="111">
        <f>+BIODIESEL!H10</f>
        <v>583.96080000000006</v>
      </c>
      <c r="P9" s="162">
        <f>+BIODIESEL!I10</f>
        <v>571.26600000000008</v>
      </c>
    </row>
    <row r="10" spans="1:18" x14ac:dyDescent="0.35">
      <c r="A10" s="82"/>
      <c r="B10" s="88" t="s">
        <v>129</v>
      </c>
      <c r="C10" s="92" t="s">
        <v>171</v>
      </c>
      <c r="D10" s="111" t="s">
        <v>171</v>
      </c>
      <c r="E10" s="111" t="s">
        <v>171</v>
      </c>
      <c r="F10" s="111" t="s">
        <v>171</v>
      </c>
      <c r="G10" s="111" t="s">
        <v>171</v>
      </c>
      <c r="H10" s="111" t="s">
        <v>171</v>
      </c>
      <c r="I10" s="111" t="s">
        <v>171</v>
      </c>
      <c r="J10" s="162" t="s">
        <v>171</v>
      </c>
      <c r="K10" s="162" t="s">
        <v>171</v>
      </c>
      <c r="L10" s="92" t="s">
        <v>130</v>
      </c>
      <c r="M10" s="92" t="s">
        <v>130</v>
      </c>
      <c r="N10" s="92" t="s">
        <v>130</v>
      </c>
      <c r="O10" s="111" t="str">
        <f>+M10</f>
        <v>(3)</v>
      </c>
      <c r="P10" s="162" t="str">
        <f>+N10</f>
        <v>(3)</v>
      </c>
    </row>
    <row r="11" spans="1:18" x14ac:dyDescent="0.35">
      <c r="A11" s="82"/>
      <c r="B11" s="88" t="s">
        <v>131</v>
      </c>
      <c r="C11" s="111" t="s">
        <v>201</v>
      </c>
      <c r="D11" s="111" t="s">
        <v>201</v>
      </c>
      <c r="E11" s="111" t="s">
        <v>201</v>
      </c>
      <c r="F11" s="111" t="str">
        <f>+C11</f>
        <v>(4)</v>
      </c>
      <c r="G11" s="111" t="str">
        <f t="shared" ref="G11:H14" si="0">+F11</f>
        <v>(4)</v>
      </c>
      <c r="H11" s="111" t="str">
        <f t="shared" si="0"/>
        <v>(4)</v>
      </c>
      <c r="I11" s="111" t="str">
        <f>+C11</f>
        <v>(4)</v>
      </c>
      <c r="J11" s="162" t="str">
        <f>+C11</f>
        <v>(4)</v>
      </c>
      <c r="K11" s="162" t="str">
        <f>+D11</f>
        <v>(4)</v>
      </c>
      <c r="L11" s="92" t="s">
        <v>201</v>
      </c>
      <c r="M11" s="92" t="str">
        <f>+F11</f>
        <v>(4)</v>
      </c>
      <c r="N11" s="92" t="str">
        <f>+G11</f>
        <v>(4)</v>
      </c>
      <c r="O11" s="111" t="str">
        <f>+J11</f>
        <v>(4)</v>
      </c>
      <c r="P11" s="162" t="str">
        <f>+M11</f>
        <v>(4)</v>
      </c>
    </row>
    <row r="12" spans="1:18" x14ac:dyDescent="0.35">
      <c r="A12" s="82" t="s">
        <v>172</v>
      </c>
      <c r="B12" s="88" t="s">
        <v>293</v>
      </c>
      <c r="C12" s="426" t="s">
        <v>200</v>
      </c>
      <c r="D12" s="113" t="s">
        <v>200</v>
      </c>
      <c r="E12" s="426" t="s">
        <v>200</v>
      </c>
      <c r="F12" s="113" t="str">
        <f>+C12</f>
        <v>(2)</v>
      </c>
      <c r="G12" s="426" t="str">
        <f t="shared" si="0"/>
        <v>(2)</v>
      </c>
      <c r="H12" s="426" t="str">
        <f t="shared" si="0"/>
        <v>(2)</v>
      </c>
      <c r="I12" s="113" t="str">
        <f>+C12</f>
        <v>(2)</v>
      </c>
      <c r="J12" s="538" t="str">
        <f>+C12</f>
        <v>(2)</v>
      </c>
      <c r="K12" s="538" t="str">
        <f>+D12</f>
        <v>(2)</v>
      </c>
      <c r="L12" s="112" t="s">
        <v>200</v>
      </c>
      <c r="M12" s="112" t="str">
        <f>+C12</f>
        <v>(2)</v>
      </c>
      <c r="N12" s="427" t="str">
        <f>+F12</f>
        <v>(2)</v>
      </c>
      <c r="O12" s="113" t="str">
        <f>+C12</f>
        <v>(2)</v>
      </c>
      <c r="P12" s="538" t="str">
        <f>+D12</f>
        <v>(2)</v>
      </c>
    </row>
    <row r="13" spans="1:18" x14ac:dyDescent="0.35">
      <c r="A13" s="82" t="s">
        <v>174</v>
      </c>
      <c r="B13" s="88" t="s">
        <v>175</v>
      </c>
      <c r="C13" s="110">
        <f>+RUBROS!AF13</f>
        <v>26.583233136281329</v>
      </c>
      <c r="D13" s="110">
        <f>+C13</f>
        <v>26.583233136281329</v>
      </c>
      <c r="E13" s="110">
        <f>+RUBROS!AG13</f>
        <v>26.583233136281329</v>
      </c>
      <c r="F13" s="110">
        <f>+C13</f>
        <v>26.583233136281329</v>
      </c>
      <c r="G13" s="110">
        <f t="shared" si="0"/>
        <v>26.583233136281329</v>
      </c>
      <c r="H13" s="110">
        <f>+$E$13</f>
        <v>26.583233136281329</v>
      </c>
      <c r="I13" s="110">
        <f>+C13</f>
        <v>26.583233136281329</v>
      </c>
      <c r="J13" s="154">
        <f>+C13</f>
        <v>26.583233136281329</v>
      </c>
      <c r="K13" s="154">
        <f>+H13</f>
        <v>26.583233136281329</v>
      </c>
      <c r="L13" s="84">
        <f>+RUBROS!AG13</f>
        <v>26.583233136281329</v>
      </c>
      <c r="M13" s="84">
        <f>+RUBROS!AG13</f>
        <v>26.583233136281329</v>
      </c>
      <c r="N13" s="84">
        <f>+RUBROS!AG13</f>
        <v>26.583233136281329</v>
      </c>
      <c r="O13" s="110">
        <f>+M13</f>
        <v>26.583233136281329</v>
      </c>
      <c r="P13" s="154">
        <f>+M13</f>
        <v>26.583233136281329</v>
      </c>
    </row>
    <row r="14" spans="1:18" x14ac:dyDescent="0.35">
      <c r="A14" s="82" t="s">
        <v>178</v>
      </c>
      <c r="B14" s="88" t="s">
        <v>179</v>
      </c>
      <c r="C14" s="110">
        <f>+RUBROS!AZ39</f>
        <v>13.716213893883657</v>
      </c>
      <c r="D14" s="110">
        <f>+C14</f>
        <v>13.716213893883657</v>
      </c>
      <c r="E14" s="110">
        <f>+RUBROS!BA39</f>
        <v>13.716213893883657</v>
      </c>
      <c r="F14" s="110">
        <f>+C14</f>
        <v>13.716213893883657</v>
      </c>
      <c r="G14" s="110">
        <f t="shared" si="0"/>
        <v>13.716213893883657</v>
      </c>
      <c r="H14" s="110">
        <f>+RUBROS!BA39</f>
        <v>13.716213893883657</v>
      </c>
      <c r="I14" s="110">
        <f>+C14</f>
        <v>13.716213893883657</v>
      </c>
      <c r="J14" s="154">
        <f>+C14</f>
        <v>13.716213893883657</v>
      </c>
      <c r="K14" s="154">
        <f>+H14</f>
        <v>13.716213893883657</v>
      </c>
      <c r="L14" s="84">
        <f>+C14</f>
        <v>13.716213893883657</v>
      </c>
      <c r="M14" s="84">
        <f>+C14</f>
        <v>13.716213893883657</v>
      </c>
      <c r="N14" s="84">
        <f>+M14</f>
        <v>13.716213893883657</v>
      </c>
      <c r="O14" s="110">
        <f>+C14</f>
        <v>13.716213893883657</v>
      </c>
      <c r="P14" s="154">
        <f>+D14</f>
        <v>13.716213893883657</v>
      </c>
    </row>
    <row r="15" spans="1:18" hidden="1" x14ac:dyDescent="0.35">
      <c r="A15" s="82"/>
      <c r="B15" s="88" t="s">
        <v>180</v>
      </c>
      <c r="C15" s="84"/>
      <c r="D15" s="84"/>
      <c r="E15" s="84"/>
      <c r="F15" s="110"/>
      <c r="G15" s="110"/>
      <c r="H15" s="110"/>
      <c r="I15" s="110"/>
      <c r="J15" s="154"/>
      <c r="K15" s="133"/>
      <c r="L15" s="84"/>
      <c r="M15" s="84"/>
      <c r="N15" s="133"/>
      <c r="O15" s="110"/>
      <c r="P15" s="154"/>
      <c r="Q15" s="291" t="s">
        <v>390</v>
      </c>
    </row>
    <row r="16" spans="1:18" x14ac:dyDescent="0.35">
      <c r="A16" s="89" t="s">
        <v>181</v>
      </c>
      <c r="B16" s="115" t="s">
        <v>182</v>
      </c>
      <c r="C16" s="116">
        <f>SUM(C8:C15)</f>
        <v>9954.4594470301654</v>
      </c>
      <c r="D16" s="116">
        <f>SUM(D8:D15)</f>
        <v>10043.636247030165</v>
      </c>
      <c r="E16" s="116">
        <f>SUM(E8:E15)</f>
        <v>10132.813047030166</v>
      </c>
      <c r="F16" s="116">
        <f t="shared" ref="F16:O16" si="1">SUM(F8:F15)</f>
        <v>10177.399447030166</v>
      </c>
      <c r="G16" s="116">
        <f t="shared" si="1"/>
        <v>10221.989447030164</v>
      </c>
      <c r="H16" s="116">
        <f t="shared" si="1"/>
        <v>4588.5387920301655</v>
      </c>
      <c r="I16" s="116">
        <f t="shared" si="1"/>
        <v>4824.5594470301658</v>
      </c>
      <c r="J16" s="155">
        <f t="shared" si="1"/>
        <v>5532.6292444301653</v>
      </c>
      <c r="K16" s="155">
        <f t="shared" si="1"/>
        <v>5768.6518575301661</v>
      </c>
      <c r="L16" s="90">
        <f t="shared" si="1"/>
        <v>10769.446647030165</v>
      </c>
      <c r="M16" s="90">
        <f t="shared" si="1"/>
        <v>10807.401447030166</v>
      </c>
      <c r="N16" s="90">
        <f t="shared" si="1"/>
        <v>10769.446647030165</v>
      </c>
      <c r="O16" s="116">
        <f t="shared" si="1"/>
        <v>6323.4198470301653</v>
      </c>
      <c r="P16" s="155">
        <f t="shared" ref="P16" si="2">SUM(P8:P15)</f>
        <v>6542.2474470301659</v>
      </c>
    </row>
    <row r="17" spans="1:17" ht="16.399999999999999" customHeight="1" x14ac:dyDescent="0.35">
      <c r="A17" s="82" t="s">
        <v>204</v>
      </c>
      <c r="B17" s="88" t="s">
        <v>205</v>
      </c>
      <c r="C17" s="110" t="str">
        <f>I17</f>
        <v>**</v>
      </c>
      <c r="D17" s="110" t="s">
        <v>212</v>
      </c>
      <c r="E17" s="110" t="str">
        <f>J17</f>
        <v>**</v>
      </c>
      <c r="F17" s="110" t="str">
        <f t="shared" ref="F17:F20" si="3">J17</f>
        <v>**</v>
      </c>
      <c r="G17" s="110" t="str">
        <f>M17</f>
        <v>**</v>
      </c>
      <c r="H17" s="110" t="s">
        <v>212</v>
      </c>
      <c r="I17" s="110" t="str">
        <f>+A35</f>
        <v>**</v>
      </c>
      <c r="J17" s="154" t="str">
        <f>+I17</f>
        <v>**</v>
      </c>
      <c r="K17" s="154" t="str">
        <f>+J17</f>
        <v>**</v>
      </c>
      <c r="L17" s="84" t="str">
        <f t="shared" ref="L17:M20" si="4">+I17</f>
        <v>**</v>
      </c>
      <c r="M17" s="84" t="str">
        <f t="shared" si="4"/>
        <v>**</v>
      </c>
      <c r="N17" s="84" t="str">
        <f>+M17</f>
        <v>**</v>
      </c>
      <c r="O17" s="110" t="str">
        <f>+J17</f>
        <v>**</v>
      </c>
      <c r="P17" s="154" t="str">
        <f>+M17</f>
        <v>**</v>
      </c>
    </row>
    <row r="18" spans="1:17" ht="16.399999999999999" customHeight="1" x14ac:dyDescent="0.35">
      <c r="A18" s="82" t="s">
        <v>183</v>
      </c>
      <c r="B18" s="88" t="s">
        <v>206</v>
      </c>
      <c r="C18" s="110" t="str">
        <f>I18</f>
        <v>***</v>
      </c>
      <c r="D18" s="110" t="s">
        <v>214</v>
      </c>
      <c r="E18" s="110" t="str">
        <f>J18</f>
        <v>***</v>
      </c>
      <c r="F18" s="110" t="str">
        <f t="shared" si="3"/>
        <v>***</v>
      </c>
      <c r="G18" s="110" t="str">
        <f>M18</f>
        <v>***</v>
      </c>
      <c r="H18" s="110" t="s">
        <v>214</v>
      </c>
      <c r="I18" s="110" t="str">
        <f>+A36</f>
        <v>***</v>
      </c>
      <c r="J18" s="154" t="str">
        <f t="shared" ref="J18:K20" si="5">+I18</f>
        <v>***</v>
      </c>
      <c r="K18" s="154" t="str">
        <f t="shared" si="5"/>
        <v>***</v>
      </c>
      <c r="L18" s="84" t="str">
        <f t="shared" si="4"/>
        <v>***</v>
      </c>
      <c r="M18" s="84" t="str">
        <f t="shared" si="4"/>
        <v>***</v>
      </c>
      <c r="N18" s="84" t="str">
        <f t="shared" ref="N18:N20" si="6">+M18</f>
        <v>***</v>
      </c>
      <c r="O18" s="110" t="str">
        <f>+J18</f>
        <v>***</v>
      </c>
      <c r="P18" s="154" t="str">
        <f>+M18</f>
        <v>***</v>
      </c>
    </row>
    <row r="19" spans="1:17" ht="16.399999999999999" customHeight="1" x14ac:dyDescent="0.35">
      <c r="A19" s="82" t="s">
        <v>207</v>
      </c>
      <c r="B19" s="88" t="s">
        <v>208</v>
      </c>
      <c r="C19" s="114" t="s">
        <v>216</v>
      </c>
      <c r="D19" s="114" t="s">
        <v>216</v>
      </c>
      <c r="E19" s="114" t="s">
        <v>216</v>
      </c>
      <c r="F19" s="114" t="str">
        <f t="shared" si="3"/>
        <v>****</v>
      </c>
      <c r="G19" s="114" t="str">
        <f>M19</f>
        <v>****</v>
      </c>
      <c r="H19" s="114" t="s">
        <v>216</v>
      </c>
      <c r="I19" s="114" t="str">
        <f>+A37</f>
        <v>****</v>
      </c>
      <c r="J19" s="148" t="str">
        <f t="shared" si="5"/>
        <v>****</v>
      </c>
      <c r="K19" s="148" t="str">
        <f t="shared" si="5"/>
        <v>****</v>
      </c>
      <c r="L19" s="84" t="str">
        <f t="shared" si="4"/>
        <v>****</v>
      </c>
      <c r="M19" s="84" t="str">
        <f t="shared" si="4"/>
        <v>****</v>
      </c>
      <c r="N19" s="84" t="str">
        <f t="shared" si="6"/>
        <v>****</v>
      </c>
      <c r="O19" s="114" t="str">
        <f>+J19</f>
        <v>****</v>
      </c>
      <c r="P19" s="148" t="str">
        <f>+M19</f>
        <v>****</v>
      </c>
    </row>
    <row r="20" spans="1:17" ht="16.399999999999999" customHeight="1" x14ac:dyDescent="0.35">
      <c r="A20" s="82" t="s">
        <v>187</v>
      </c>
      <c r="B20" s="88" t="s">
        <v>134</v>
      </c>
      <c r="C20" s="110" t="str">
        <f>I20</f>
        <v>*****</v>
      </c>
      <c r="D20" s="110" t="s">
        <v>218</v>
      </c>
      <c r="E20" s="110" t="str">
        <f>J20</f>
        <v>*****</v>
      </c>
      <c r="F20" s="110" t="str">
        <f t="shared" si="3"/>
        <v>*****</v>
      </c>
      <c r="G20" s="110" t="str">
        <f>M20</f>
        <v>*****</v>
      </c>
      <c r="H20" s="110" t="s">
        <v>218</v>
      </c>
      <c r="I20" s="110" t="str">
        <f>+A38</f>
        <v>*****</v>
      </c>
      <c r="J20" s="154" t="str">
        <f t="shared" si="5"/>
        <v>*****</v>
      </c>
      <c r="K20" s="154" t="str">
        <f t="shared" si="5"/>
        <v>*****</v>
      </c>
      <c r="L20" s="84" t="str">
        <f t="shared" si="4"/>
        <v>*****</v>
      </c>
      <c r="M20" s="84" t="str">
        <f t="shared" si="4"/>
        <v>*****</v>
      </c>
      <c r="N20" s="84" t="str">
        <f t="shared" si="6"/>
        <v>*****</v>
      </c>
      <c r="O20" s="110" t="str">
        <f>+J20</f>
        <v>*****</v>
      </c>
      <c r="P20" s="154" t="str">
        <f>+M20</f>
        <v>*****</v>
      </c>
    </row>
    <row r="21" spans="1:17" ht="16.399999999999999" customHeight="1" x14ac:dyDescent="0.35">
      <c r="A21" s="89" t="s">
        <v>189</v>
      </c>
      <c r="B21" s="115" t="s">
        <v>209</v>
      </c>
      <c r="C21" s="116">
        <f t="shared" ref="C21:O21" si="7">+C16</f>
        <v>9954.4594470301654</v>
      </c>
      <c r="D21" s="116">
        <f t="shared" si="7"/>
        <v>10043.636247030165</v>
      </c>
      <c r="E21" s="116">
        <f t="shared" ref="E21" si="8">+E16</f>
        <v>10132.813047030166</v>
      </c>
      <c r="F21" s="116">
        <f t="shared" si="7"/>
        <v>10177.399447030166</v>
      </c>
      <c r="G21" s="116">
        <f t="shared" ref="G21:H21" si="9">+G16</f>
        <v>10221.989447030164</v>
      </c>
      <c r="H21" s="116">
        <f t="shared" si="9"/>
        <v>4588.5387920301655</v>
      </c>
      <c r="I21" s="116">
        <f t="shared" si="7"/>
        <v>4824.5594470301658</v>
      </c>
      <c r="J21" s="155">
        <f t="shared" si="7"/>
        <v>5532.6292444301653</v>
      </c>
      <c r="K21" s="155">
        <f t="shared" ref="K21:L21" si="10">+K16</f>
        <v>5768.6518575301661</v>
      </c>
      <c r="L21" s="90">
        <f t="shared" si="10"/>
        <v>10769.446647030165</v>
      </c>
      <c r="M21" s="90">
        <f t="shared" si="7"/>
        <v>10807.401447030166</v>
      </c>
      <c r="N21" s="90">
        <f t="shared" ref="N21" si="11">+N16</f>
        <v>10769.446647030165</v>
      </c>
      <c r="O21" s="116">
        <f t="shared" si="7"/>
        <v>6323.4198470301653</v>
      </c>
      <c r="P21" s="155">
        <f t="shared" ref="P21" si="12">+P16</f>
        <v>6542.2474470301659</v>
      </c>
    </row>
    <row r="22" spans="1:17" ht="16.399999999999999" customHeight="1" x14ac:dyDescent="0.35">
      <c r="A22" s="82" t="s">
        <v>191</v>
      </c>
      <c r="B22" s="88" t="s">
        <v>150</v>
      </c>
      <c r="C22" s="110" t="str">
        <f>I22</f>
        <v>***</v>
      </c>
      <c r="D22" s="110" t="str">
        <f t="shared" ref="D22:F24" si="13">H22</f>
        <v>***</v>
      </c>
      <c r="E22" s="110" t="str">
        <f>J22</f>
        <v>***</v>
      </c>
      <c r="F22" s="110" t="str">
        <f t="shared" si="13"/>
        <v>***</v>
      </c>
      <c r="G22" s="110" t="str">
        <f>M22</f>
        <v>***</v>
      </c>
      <c r="H22" s="110" t="str">
        <f>N22</f>
        <v>***</v>
      </c>
      <c r="I22" s="110" t="str">
        <f>+I18</f>
        <v>***</v>
      </c>
      <c r="J22" s="154" t="str">
        <f t="shared" ref="J22:K24" si="14">+I22</f>
        <v>***</v>
      </c>
      <c r="K22" s="154" t="str">
        <f t="shared" si="14"/>
        <v>***</v>
      </c>
      <c r="L22" s="84" t="s">
        <v>214</v>
      </c>
      <c r="M22" s="84" t="str">
        <f>+M18</f>
        <v>***</v>
      </c>
      <c r="N22" s="84" t="str">
        <f>+N18</f>
        <v>***</v>
      </c>
      <c r="O22" s="110" t="str">
        <f>+O18</f>
        <v>***</v>
      </c>
      <c r="P22" s="154" t="str">
        <f>+P18</f>
        <v>***</v>
      </c>
    </row>
    <row r="23" spans="1:17" ht="16.399999999999999" customHeight="1" x14ac:dyDescent="0.35">
      <c r="A23" s="82" t="s">
        <v>192</v>
      </c>
      <c r="B23" s="83" t="s">
        <v>193</v>
      </c>
      <c r="C23" s="114" t="s">
        <v>219</v>
      </c>
      <c r="D23" s="114" t="str">
        <f>+C23</f>
        <v>******</v>
      </c>
      <c r="E23" s="114" t="s">
        <v>219</v>
      </c>
      <c r="F23" s="114" t="str">
        <f>+C23</f>
        <v>******</v>
      </c>
      <c r="G23" s="114" t="str">
        <f>+F23</f>
        <v>******</v>
      </c>
      <c r="H23" s="114" t="str">
        <f>+G23</f>
        <v>******</v>
      </c>
      <c r="I23" s="114" t="s">
        <v>194</v>
      </c>
      <c r="J23" s="148" t="str">
        <f t="shared" si="14"/>
        <v>N.A</v>
      </c>
      <c r="K23" s="148" t="str">
        <f t="shared" si="14"/>
        <v>N.A</v>
      </c>
      <c r="L23" s="117" t="s">
        <v>219</v>
      </c>
      <c r="M23" s="117" t="str">
        <f>+C23</f>
        <v>******</v>
      </c>
      <c r="N23" s="117" t="str">
        <f>+F23</f>
        <v>******</v>
      </c>
      <c r="O23" s="114" t="s">
        <v>194</v>
      </c>
      <c r="P23" s="148" t="s">
        <v>194</v>
      </c>
    </row>
    <row r="24" spans="1:17" ht="16.399999999999999" customHeight="1" x14ac:dyDescent="0.35">
      <c r="A24" s="82" t="s">
        <v>195</v>
      </c>
      <c r="B24" s="88" t="s">
        <v>196</v>
      </c>
      <c r="C24" s="114" t="str">
        <f>I24</f>
        <v>*******</v>
      </c>
      <c r="D24" s="114" t="str">
        <f t="shared" si="13"/>
        <v>*******</v>
      </c>
      <c r="E24" s="114" t="str">
        <f>J24</f>
        <v>*******</v>
      </c>
      <c r="F24" s="114" t="str">
        <f t="shared" si="13"/>
        <v>*******</v>
      </c>
      <c r="G24" s="114" t="str">
        <f>M24</f>
        <v>*******</v>
      </c>
      <c r="H24" s="114" t="str">
        <f>N24</f>
        <v>*******</v>
      </c>
      <c r="I24" s="114" t="str">
        <f>+A40</f>
        <v>*******</v>
      </c>
      <c r="J24" s="148" t="str">
        <f t="shared" si="14"/>
        <v>*******</v>
      </c>
      <c r="K24" s="148" t="str">
        <f t="shared" si="14"/>
        <v>*******</v>
      </c>
      <c r="L24" s="117" t="s">
        <v>221</v>
      </c>
      <c r="M24" s="117" t="str">
        <f>+J24</f>
        <v>*******</v>
      </c>
      <c r="N24" s="117" t="str">
        <f>+M24</f>
        <v>*******</v>
      </c>
      <c r="O24" s="114" t="str">
        <f>+J24</f>
        <v>*******</v>
      </c>
      <c r="P24" s="148" t="str">
        <f>+M24</f>
        <v>*******</v>
      </c>
    </row>
    <row r="25" spans="1:17" ht="16.399999999999999" customHeight="1" thickBot="1" x14ac:dyDescent="0.4">
      <c r="A25" s="93" t="s">
        <v>197</v>
      </c>
      <c r="B25" s="94" t="s">
        <v>198</v>
      </c>
      <c r="C25" s="95"/>
      <c r="D25" s="97"/>
      <c r="E25" s="97"/>
      <c r="F25" s="118"/>
      <c r="G25" s="118"/>
      <c r="H25" s="118"/>
      <c r="I25" s="118"/>
      <c r="J25" s="156"/>
      <c r="K25" s="142"/>
      <c r="L25" s="95"/>
      <c r="M25" s="95"/>
      <c r="N25" s="142"/>
      <c r="O25" s="118"/>
      <c r="P25" s="156"/>
    </row>
    <row r="26" spans="1:17" ht="15" thickTop="1" x14ac:dyDescent="0.35">
      <c r="A26" s="98"/>
      <c r="B26" s="99"/>
      <c r="C26" s="99"/>
      <c r="D26" s="99"/>
      <c r="E26" s="99"/>
      <c r="F26" s="99"/>
      <c r="G26" s="99"/>
      <c r="H26" s="99"/>
      <c r="I26" s="100"/>
      <c r="J26" s="100"/>
      <c r="K26" s="100"/>
      <c r="L26" s="100"/>
      <c r="M26" s="100"/>
      <c r="N26" s="100"/>
      <c r="O26" s="100"/>
    </row>
    <row r="27" spans="1:17" x14ac:dyDescent="0.35">
      <c r="A27" s="101"/>
      <c r="B27" s="119" t="s">
        <v>210</v>
      </c>
      <c r="C27" s="119"/>
      <c r="D27" s="119"/>
      <c r="E27" s="119"/>
      <c r="F27" s="119"/>
      <c r="G27" s="119"/>
      <c r="H27" s="119"/>
      <c r="I27" s="119"/>
      <c r="J27" s="119"/>
      <c r="K27" s="119"/>
      <c r="L27" s="119"/>
      <c r="M27" s="119"/>
      <c r="N27" s="119"/>
      <c r="O27" s="119"/>
    </row>
    <row r="28" spans="1:17" x14ac:dyDescent="0.35">
      <c r="A28" s="101" t="s">
        <v>148</v>
      </c>
      <c r="B28" s="779"/>
      <c r="C28" s="779"/>
      <c r="D28" s="779"/>
      <c r="E28" s="779"/>
      <c r="F28" s="779"/>
      <c r="G28" s="779"/>
      <c r="H28" s="779"/>
      <c r="I28" s="779"/>
      <c r="J28" s="779"/>
      <c r="K28" s="779"/>
      <c r="L28" s="779"/>
      <c r="M28" s="779"/>
      <c r="N28" s="779"/>
      <c r="O28" s="779"/>
    </row>
    <row r="29" spans="1:17" ht="39.25" customHeight="1" x14ac:dyDescent="0.35">
      <c r="A29" s="121" t="s">
        <v>173</v>
      </c>
      <c r="B29" s="779" t="s">
        <v>473</v>
      </c>
      <c r="C29" s="779"/>
      <c r="D29" s="779"/>
      <c r="E29" s="779"/>
      <c r="F29" s="779"/>
      <c r="G29" s="779"/>
      <c r="H29" s="779"/>
      <c r="I29" s="779"/>
      <c r="J29" s="779"/>
      <c r="K29" s="779"/>
      <c r="L29" s="779"/>
      <c r="M29" s="779"/>
      <c r="N29" s="779"/>
      <c r="O29" s="779"/>
    </row>
    <row r="30" spans="1:17" ht="28.5" customHeight="1" x14ac:dyDescent="0.35">
      <c r="A30" s="122" t="s">
        <v>200</v>
      </c>
      <c r="B30" s="778" t="s">
        <v>251</v>
      </c>
      <c r="C30" s="778"/>
      <c r="D30" s="778"/>
      <c r="E30" s="778"/>
      <c r="F30" s="778"/>
      <c r="G30" s="778"/>
      <c r="H30" s="778"/>
      <c r="I30" s="778"/>
      <c r="J30" s="778"/>
      <c r="K30" s="778"/>
      <c r="L30" s="778"/>
      <c r="M30" s="778"/>
      <c r="N30" s="778"/>
      <c r="O30" s="778"/>
      <c r="P30" s="778"/>
      <c r="Q30" s="778"/>
    </row>
    <row r="31" spans="1:17" ht="58.75" customHeight="1" x14ac:dyDescent="0.35">
      <c r="A31" s="122" t="s">
        <v>130</v>
      </c>
      <c r="B31" s="778" t="s">
        <v>307</v>
      </c>
      <c r="C31" s="778"/>
      <c r="D31" s="778"/>
      <c r="E31" s="778"/>
      <c r="F31" s="778"/>
      <c r="G31" s="778"/>
      <c r="H31" s="778"/>
      <c r="I31" s="778"/>
      <c r="J31" s="778"/>
      <c r="K31" s="778"/>
      <c r="L31" s="778"/>
      <c r="M31" s="778"/>
      <c r="N31" s="778"/>
      <c r="O31" s="778"/>
    </row>
    <row r="32" spans="1:17" ht="61.5" customHeight="1" x14ac:dyDescent="0.35">
      <c r="A32" s="122" t="s">
        <v>201</v>
      </c>
      <c r="B32" s="782" t="s">
        <v>375</v>
      </c>
      <c r="C32" s="783"/>
      <c r="D32" s="783"/>
      <c r="E32" s="783"/>
      <c r="F32" s="783"/>
      <c r="G32" s="783"/>
      <c r="H32" s="783"/>
      <c r="I32" s="783"/>
      <c r="J32" s="783"/>
      <c r="K32" s="783"/>
      <c r="L32" s="783"/>
      <c r="M32" s="783"/>
      <c r="N32" s="783"/>
      <c r="O32" s="783"/>
    </row>
    <row r="33" spans="1:15" ht="40" customHeight="1" x14ac:dyDescent="0.35">
      <c r="A33" s="101"/>
      <c r="B33" s="779" t="s">
        <v>462</v>
      </c>
      <c r="C33" s="779"/>
      <c r="D33" s="779"/>
      <c r="E33" s="779"/>
      <c r="F33" s="779"/>
      <c r="G33" s="779"/>
      <c r="H33" s="779"/>
      <c r="I33" s="779"/>
      <c r="J33" s="779"/>
      <c r="K33" s="779"/>
      <c r="L33" s="779"/>
      <c r="M33" s="779"/>
      <c r="N33" s="779"/>
      <c r="O33" s="779"/>
    </row>
    <row r="34" spans="1:15" x14ac:dyDescent="0.35">
      <c r="A34" s="101" t="s">
        <v>102</v>
      </c>
      <c r="B34" s="779" t="s">
        <v>211</v>
      </c>
      <c r="C34" s="779"/>
      <c r="D34" s="779"/>
      <c r="E34" s="779"/>
      <c r="F34" s="779"/>
      <c r="G34" s="779"/>
      <c r="H34" s="779"/>
      <c r="I34" s="779"/>
      <c r="J34" s="779"/>
      <c r="K34" s="779"/>
      <c r="L34" s="779"/>
      <c r="M34" s="779"/>
      <c r="N34" s="779"/>
      <c r="O34" s="779"/>
    </row>
    <row r="35" spans="1:15" ht="29.25" customHeight="1" x14ac:dyDescent="0.35">
      <c r="A35" s="101" t="s">
        <v>212</v>
      </c>
      <c r="B35" s="778" t="s">
        <v>213</v>
      </c>
      <c r="C35" s="778"/>
      <c r="D35" s="778"/>
      <c r="E35" s="778"/>
      <c r="F35" s="778"/>
      <c r="G35" s="778"/>
      <c r="H35" s="778"/>
      <c r="I35" s="778"/>
      <c r="J35" s="778"/>
      <c r="K35" s="778"/>
      <c r="L35" s="778"/>
      <c r="M35" s="778"/>
      <c r="N35" s="778"/>
      <c r="O35" s="778"/>
    </row>
    <row r="36" spans="1:15" x14ac:dyDescent="0.35">
      <c r="A36" s="101" t="s">
        <v>214</v>
      </c>
      <c r="B36" s="779" t="s">
        <v>215</v>
      </c>
      <c r="C36" s="779"/>
      <c r="D36" s="779"/>
      <c r="E36" s="779"/>
      <c r="F36" s="779"/>
      <c r="G36" s="779"/>
      <c r="H36" s="779"/>
      <c r="I36" s="779"/>
      <c r="J36" s="779"/>
      <c r="K36" s="779"/>
      <c r="L36" s="779"/>
      <c r="M36" s="779"/>
      <c r="N36" s="779"/>
      <c r="O36" s="779"/>
    </row>
    <row r="37" spans="1:15" ht="43.5" customHeight="1" x14ac:dyDescent="0.35">
      <c r="A37" s="120" t="s">
        <v>216</v>
      </c>
      <c r="B37" s="778" t="s">
        <v>217</v>
      </c>
      <c r="C37" s="778"/>
      <c r="D37" s="778"/>
      <c r="E37" s="778"/>
      <c r="F37" s="778"/>
      <c r="G37" s="778"/>
      <c r="H37" s="778"/>
      <c r="I37" s="778"/>
      <c r="J37" s="778"/>
      <c r="K37" s="778"/>
      <c r="L37" s="778"/>
      <c r="M37" s="778"/>
      <c r="N37" s="778"/>
      <c r="O37" s="778"/>
    </row>
    <row r="38" spans="1:15" x14ac:dyDescent="0.35">
      <c r="A38" s="120" t="s">
        <v>218</v>
      </c>
      <c r="B38" s="779" t="s">
        <v>426</v>
      </c>
      <c r="C38" s="779"/>
      <c r="D38" s="779"/>
      <c r="E38" s="779"/>
      <c r="F38" s="779"/>
      <c r="G38" s="779"/>
      <c r="H38" s="779"/>
      <c r="I38" s="779"/>
      <c r="J38" s="779"/>
      <c r="K38" s="779"/>
      <c r="L38" s="779"/>
      <c r="M38" s="779"/>
      <c r="N38" s="779"/>
      <c r="O38" s="779"/>
    </row>
    <row r="39" spans="1:15" x14ac:dyDescent="0.35">
      <c r="A39" s="101" t="s">
        <v>219</v>
      </c>
      <c r="B39" s="779" t="s">
        <v>220</v>
      </c>
      <c r="C39" s="779"/>
      <c r="D39" s="779"/>
      <c r="E39" s="779"/>
      <c r="F39" s="779"/>
      <c r="G39" s="779"/>
      <c r="H39" s="779"/>
      <c r="I39" s="779"/>
      <c r="J39" s="779"/>
      <c r="K39" s="779"/>
      <c r="L39" s="779"/>
      <c r="M39" s="779"/>
      <c r="N39" s="779"/>
      <c r="O39" s="779"/>
    </row>
    <row r="40" spans="1:15" ht="30.25" customHeight="1" x14ac:dyDescent="0.35">
      <c r="A40" s="101" t="s">
        <v>221</v>
      </c>
      <c r="B40" s="778" t="s">
        <v>222</v>
      </c>
      <c r="C40" s="778"/>
      <c r="D40" s="778"/>
      <c r="E40" s="778"/>
      <c r="F40" s="778"/>
      <c r="G40" s="778"/>
      <c r="H40" s="778"/>
      <c r="I40" s="778"/>
      <c r="J40" s="778"/>
      <c r="K40" s="778"/>
      <c r="L40" s="778"/>
      <c r="M40" s="778"/>
      <c r="N40" s="778"/>
      <c r="O40" s="778"/>
    </row>
    <row r="41" spans="1:15" x14ac:dyDescent="0.35">
      <c r="A41" s="79"/>
      <c r="B41" s="79"/>
      <c r="C41" s="79"/>
      <c r="D41" s="79"/>
      <c r="E41" s="79"/>
      <c r="F41" s="79"/>
      <c r="G41" s="79"/>
      <c r="H41" s="79"/>
      <c r="I41" s="79"/>
      <c r="J41" s="79"/>
      <c r="K41" s="79"/>
      <c r="L41" s="79"/>
      <c r="M41" s="79"/>
      <c r="N41" s="79"/>
      <c r="O41" s="79"/>
    </row>
    <row r="42" spans="1:15" x14ac:dyDescent="0.35">
      <c r="A42" s="121" t="s">
        <v>173</v>
      </c>
      <c r="B42" s="779" t="s">
        <v>418</v>
      </c>
      <c r="C42" s="779"/>
      <c r="D42" s="779"/>
      <c r="E42" s="779"/>
      <c r="F42" s="779"/>
      <c r="G42" s="779"/>
      <c r="H42" s="779"/>
      <c r="I42" s="779"/>
      <c r="J42" s="779"/>
      <c r="K42" s="779"/>
      <c r="L42" s="779"/>
      <c r="M42" s="779"/>
      <c r="N42" s="779"/>
      <c r="O42" s="779"/>
    </row>
    <row r="43" spans="1:15" hidden="1" x14ac:dyDescent="0.35">
      <c r="A43" s="122" t="s">
        <v>130</v>
      </c>
      <c r="B43" s="123" t="s">
        <v>199</v>
      </c>
      <c r="C43" s="79"/>
      <c r="D43" s="79"/>
      <c r="E43" s="79"/>
      <c r="F43" s="79"/>
      <c r="G43" s="79"/>
      <c r="H43" s="79"/>
      <c r="I43" s="79"/>
      <c r="J43" s="79"/>
      <c r="K43" s="79"/>
      <c r="L43" s="79"/>
      <c r="M43" s="79"/>
      <c r="N43" s="79"/>
      <c r="O43" s="79"/>
    </row>
    <row r="44" spans="1:15" ht="39.75" hidden="1" customHeight="1" x14ac:dyDescent="0.35">
      <c r="A44" s="122" t="s">
        <v>201</v>
      </c>
      <c r="B44" s="778" t="s">
        <v>224</v>
      </c>
      <c r="C44" s="778"/>
      <c r="D44" s="778"/>
      <c r="E44" s="778"/>
      <c r="F44" s="778"/>
      <c r="G44" s="778"/>
      <c r="H44" s="778"/>
      <c r="I44" s="778"/>
      <c r="J44" s="778"/>
      <c r="K44" s="778"/>
      <c r="L44" s="778"/>
      <c r="M44" s="778"/>
      <c r="N44" s="778"/>
      <c r="O44" s="778"/>
    </row>
    <row r="45" spans="1:15" x14ac:dyDescent="0.35">
      <c r="A45" s="122"/>
      <c r="B45" s="779" t="s">
        <v>148</v>
      </c>
      <c r="C45" s="779"/>
      <c r="D45" s="779"/>
      <c r="E45" s="779"/>
      <c r="F45" s="779"/>
      <c r="G45" s="779"/>
      <c r="H45" s="779"/>
      <c r="I45" s="779"/>
      <c r="J45" s="779"/>
      <c r="K45" s="779"/>
      <c r="L45" s="779"/>
      <c r="M45" s="779"/>
      <c r="N45" s="779"/>
      <c r="O45" s="779"/>
    </row>
    <row r="46" spans="1:15" ht="100.5" customHeight="1" x14ac:dyDescent="0.35">
      <c r="A46" s="800" t="s">
        <v>446</v>
      </c>
      <c r="B46" s="801"/>
      <c r="C46" s="801"/>
      <c r="D46" s="801"/>
      <c r="E46" s="801"/>
      <c r="F46" s="801"/>
      <c r="G46" s="801"/>
      <c r="H46" s="801"/>
      <c r="I46" s="801"/>
      <c r="J46" s="801"/>
      <c r="K46" s="801"/>
      <c r="L46" s="801"/>
      <c r="M46" s="801"/>
      <c r="N46" s="801"/>
      <c r="O46" s="801"/>
    </row>
  </sheetData>
  <sheetProtection algorithmName="SHA-512" hashValue="CfHk1FZS3+ZrE/9J94Hk7VpA8k/lK7G/vUXIDF2Tzsurjsy6WTpKe723+CFQsYh5ruhewXntY0Al1BNbLYXQfw==" saltValue="YMxKmOxU9CngJRdUKNj0bw==" spinCount="100000" sheet="1" objects="1" scenarios="1"/>
  <mergeCells count="24">
    <mergeCell ref="B42:O42"/>
    <mergeCell ref="B44:O44"/>
    <mergeCell ref="B45:O45"/>
    <mergeCell ref="A46:O46"/>
    <mergeCell ref="B35:O35"/>
    <mergeCell ref="B36:O36"/>
    <mergeCell ref="B37:O37"/>
    <mergeCell ref="B38:O38"/>
    <mergeCell ref="B39:O39"/>
    <mergeCell ref="B40:O40"/>
    <mergeCell ref="C3:K4"/>
    <mergeCell ref="A5:A7"/>
    <mergeCell ref="B5:B7"/>
    <mergeCell ref="B28:O28"/>
    <mergeCell ref="H5:H6"/>
    <mergeCell ref="L3:P4"/>
    <mergeCell ref="P30:Q30"/>
    <mergeCell ref="B34:O34"/>
    <mergeCell ref="C5:C6"/>
    <mergeCell ref="B32:O32"/>
    <mergeCell ref="B33:O33"/>
    <mergeCell ref="B29:O29"/>
    <mergeCell ref="B31:O31"/>
    <mergeCell ref="B30:O30"/>
  </mergeCells>
  <hyperlinks>
    <hyperlink ref="B27" location="AMAZONAS!A46" display="Ver Nota Informativa" xr:uid="{00000000-0004-0000-0800-000000000000}"/>
  </hyperlinks>
  <pageMargins left="0.7" right="0.7" top="0.75" bottom="0.75" header="0.3" footer="0.3"/>
  <pageSetup orientation="portrait" r:id="rId1"/>
  <ignoredErrors>
    <ignoredError sqref="O10:O12 I12 A30:A31 A42:A44 F12 M10:M12 C12" numberStoredAsText="1"/>
    <ignoredError sqref="O13:O14 O16:O23 F13:F14 F16:F23 M16:M23 M14 C17:C23 I13:J14 I16:J2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T42"/>
  <sheetViews>
    <sheetView showGridLines="0" zoomScale="85" zoomScaleNormal="85" workbookViewId="0">
      <selection activeCell="B1" sqref="B1"/>
    </sheetView>
  </sheetViews>
  <sheetFormatPr baseColWidth="10" defaultRowHeight="14.5" x14ac:dyDescent="0.35"/>
  <cols>
    <col min="2" max="2" width="44.81640625" customWidth="1"/>
    <col min="3" max="3" width="12.1796875" customWidth="1"/>
    <col min="4" max="4" width="12.54296875" hidden="1" customWidth="1"/>
    <col min="5" max="5" width="12.7265625" customWidth="1"/>
    <col min="6" max="6" width="13.1796875" hidden="1" customWidth="1"/>
    <col min="7" max="7" width="9.81640625" hidden="1" customWidth="1"/>
    <col min="8" max="8" width="13" customWidth="1"/>
    <col min="9" max="9" width="13.453125" hidden="1" customWidth="1"/>
    <col min="10" max="10" width="12.54296875" hidden="1" customWidth="1"/>
    <col min="11" max="11" width="12.54296875" customWidth="1"/>
    <col min="12" max="12" width="12.26953125" customWidth="1"/>
    <col min="13" max="13" width="11.81640625" hidden="1" customWidth="1"/>
    <col min="14" max="14" width="15.7265625" hidden="1" customWidth="1"/>
    <col min="15" max="15" width="11.26953125" hidden="1" customWidth="1"/>
    <col min="16" max="16" width="12.81640625" hidden="1" customWidth="1"/>
  </cols>
  <sheetData>
    <row r="1" spans="1:17" x14ac:dyDescent="0.35">
      <c r="A1" s="79"/>
      <c r="B1" s="79" t="str">
        <f>+AMAZONAS!C1</f>
        <v>Vigencia: 04 de Noviembre de 2023; 00:00 horas</v>
      </c>
      <c r="J1" s="125"/>
      <c r="K1" s="125"/>
      <c r="L1" s="125"/>
    </row>
    <row r="2" spans="1:17" ht="15" thickBot="1" x14ac:dyDescent="0.4">
      <c r="A2" s="79" t="s">
        <v>162</v>
      </c>
      <c r="B2" s="79"/>
      <c r="D2" s="710"/>
      <c r="E2" s="705"/>
      <c r="L2" s="395"/>
    </row>
    <row r="3" spans="1:17" ht="16" customHeight="1" thickTop="1" x14ac:dyDescent="0.35">
      <c r="A3" s="128"/>
      <c r="B3" s="129" t="s">
        <v>231</v>
      </c>
      <c r="C3" s="808" t="s">
        <v>163</v>
      </c>
      <c r="D3" s="809"/>
      <c r="E3" s="809"/>
      <c r="F3" s="809"/>
      <c r="G3" s="809"/>
      <c r="H3" s="809"/>
      <c r="I3" s="809"/>
      <c r="J3" s="809"/>
      <c r="K3" s="809"/>
      <c r="L3" s="802" t="s">
        <v>232</v>
      </c>
      <c r="M3" s="803"/>
      <c r="N3" s="803"/>
      <c r="O3" s="803"/>
      <c r="P3" s="803"/>
      <c r="Q3" s="804"/>
    </row>
    <row r="4" spans="1:17" ht="32.15" customHeight="1" x14ac:dyDescent="0.35">
      <c r="A4" s="80"/>
      <c r="B4" s="447" t="s">
        <v>471</v>
      </c>
      <c r="C4" s="810"/>
      <c r="D4" s="811"/>
      <c r="E4" s="811"/>
      <c r="F4" s="811"/>
      <c r="G4" s="811"/>
      <c r="H4" s="811"/>
      <c r="I4" s="811"/>
      <c r="J4" s="811"/>
      <c r="K4" s="811"/>
      <c r="L4" s="805"/>
      <c r="M4" s="806"/>
      <c r="N4" s="806"/>
      <c r="O4" s="806"/>
      <c r="P4" s="806"/>
      <c r="Q4" s="807"/>
    </row>
    <row r="5" spans="1:17" ht="30.65" customHeight="1" x14ac:dyDescent="0.35">
      <c r="A5" s="790" t="s">
        <v>164</v>
      </c>
      <c r="B5" s="792" t="s">
        <v>165</v>
      </c>
      <c r="C5" s="780" t="s">
        <v>223</v>
      </c>
      <c r="D5" s="108" t="s">
        <v>501</v>
      </c>
      <c r="E5" s="108" t="s">
        <v>484</v>
      </c>
      <c r="F5" s="108" t="s">
        <v>481</v>
      </c>
      <c r="G5" s="108" t="s">
        <v>480</v>
      </c>
      <c r="H5" s="108" t="s">
        <v>370</v>
      </c>
      <c r="I5" s="108" t="s">
        <v>444</v>
      </c>
      <c r="J5" s="108" t="s">
        <v>505</v>
      </c>
      <c r="K5" s="160" t="s">
        <v>374</v>
      </c>
      <c r="L5" s="606" t="s">
        <v>484</v>
      </c>
      <c r="M5" s="607" t="s">
        <v>481</v>
      </c>
      <c r="N5" s="607" t="s">
        <v>480</v>
      </c>
      <c r="O5" s="607" t="str">
        <f>+I5</f>
        <v>Biodiesel B5</v>
      </c>
      <c r="P5" s="607" t="s">
        <v>505</v>
      </c>
      <c r="Q5" s="608" t="s">
        <v>374</v>
      </c>
    </row>
    <row r="6" spans="1:17" ht="21" customHeight="1" x14ac:dyDescent="0.35">
      <c r="A6" s="790"/>
      <c r="B6" s="792"/>
      <c r="C6" s="781"/>
      <c r="D6" s="124">
        <v>0.02</v>
      </c>
      <c r="E6" s="124">
        <v>0.04</v>
      </c>
      <c r="F6" s="124">
        <v>0.05</v>
      </c>
      <c r="G6" s="452">
        <v>0.1</v>
      </c>
      <c r="H6" s="124">
        <v>0.02</v>
      </c>
      <c r="I6" s="124">
        <v>0.05</v>
      </c>
      <c r="J6" s="265">
        <v>0.08</v>
      </c>
      <c r="K6" s="604">
        <v>0.1</v>
      </c>
      <c r="L6" s="639" t="s">
        <v>483</v>
      </c>
      <c r="M6" s="647">
        <v>0.05</v>
      </c>
      <c r="N6" s="611">
        <v>0.1</v>
      </c>
      <c r="O6" s="611">
        <f>+I6</f>
        <v>0.05</v>
      </c>
      <c r="P6" s="647">
        <v>0.08</v>
      </c>
      <c r="Q6" s="648">
        <v>0.1</v>
      </c>
    </row>
    <row r="7" spans="1:17" x14ac:dyDescent="0.35">
      <c r="A7" s="791"/>
      <c r="B7" s="793"/>
      <c r="C7" s="81" t="s">
        <v>166</v>
      </c>
      <c r="D7" s="108" t="s">
        <v>166</v>
      </c>
      <c r="E7" s="108" t="s">
        <v>166</v>
      </c>
      <c r="F7" s="108" t="s">
        <v>166</v>
      </c>
      <c r="G7" s="108" t="s">
        <v>166</v>
      </c>
      <c r="H7" s="108" t="s">
        <v>166</v>
      </c>
      <c r="I7" s="108" t="s">
        <v>166</v>
      </c>
      <c r="J7" s="108" t="s">
        <v>166</v>
      </c>
      <c r="K7" s="160" t="s">
        <v>166</v>
      </c>
      <c r="L7" s="606" t="s">
        <v>166</v>
      </c>
      <c r="M7" s="607" t="s">
        <v>166</v>
      </c>
      <c r="N7" s="607" t="s">
        <v>166</v>
      </c>
      <c r="O7" s="607" t="s">
        <v>166</v>
      </c>
      <c r="P7" s="607" t="s">
        <v>166</v>
      </c>
      <c r="Q7" s="608" t="s">
        <v>166</v>
      </c>
    </row>
    <row r="8" spans="1:17" x14ac:dyDescent="0.35">
      <c r="A8" s="82" t="s">
        <v>167</v>
      </c>
      <c r="B8" s="88" t="s">
        <v>168</v>
      </c>
      <c r="C8" s="144">
        <f>+'Calculo IP ZDF'!B29</f>
        <v>9914.16</v>
      </c>
      <c r="D8" s="144">
        <f>+'Calculo IP ZDF'!G29</f>
        <v>10003.336799999999</v>
      </c>
      <c r="E8" s="148">
        <f>+'Calculo IP ZDF'!H29</f>
        <v>10092.5136</v>
      </c>
      <c r="F8" s="148">
        <f>+'Calculo IP ZDF'!I29</f>
        <v>10137.101999999999</v>
      </c>
      <c r="G8" s="130">
        <f>+'Calculo IP ZDF'!K29</f>
        <v>10360.044000000002</v>
      </c>
      <c r="H8" s="130">
        <f>+'Calculo IP ZDF'!F29</f>
        <v>3659.7695625000001</v>
      </c>
      <c r="I8" s="150">
        <f>+'Calculo IP ZDF'!S29</f>
        <v>4048.2267187500001</v>
      </c>
      <c r="J8" s="130">
        <f>+'Calculo IP ZDF'!N29</f>
        <v>4436.6838750000006</v>
      </c>
      <c r="K8" s="646">
        <f>+'Calculo IP ZDF'!M29</f>
        <v>4695.6553125</v>
      </c>
      <c r="L8" s="618">
        <f>+'GAS CTE'!E9</f>
        <v>10092.5136</v>
      </c>
      <c r="M8" s="621">
        <f>+'GAS CTE'!F9</f>
        <v>10137.1</v>
      </c>
      <c r="N8" s="649">
        <f>+'GAS CTE'!J9</f>
        <v>10360.044000000002</v>
      </c>
      <c r="O8" s="616">
        <f>+BIODIESEL!G9</f>
        <v>5351.866</v>
      </c>
      <c r="P8" s="621">
        <f>+BIODIESEL!H9</f>
        <v>5699.1596</v>
      </c>
      <c r="Q8" s="622">
        <f>+BIODIESEL!I9</f>
        <v>5930.6819999999998</v>
      </c>
    </row>
    <row r="9" spans="1:17" ht="26" x14ac:dyDescent="0.35">
      <c r="A9" s="82" t="s">
        <v>169</v>
      </c>
      <c r="B9" s="88" t="s">
        <v>465</v>
      </c>
      <c r="C9" s="131" t="str">
        <f t="shared" ref="C9:C12" si="0">+F9</f>
        <v>------------------</v>
      </c>
      <c r="D9" s="530" t="s">
        <v>171</v>
      </c>
      <c r="E9" s="530" t="s">
        <v>171</v>
      </c>
      <c r="F9" s="530" t="s">
        <v>171</v>
      </c>
      <c r="G9" s="530" t="s">
        <v>171</v>
      </c>
      <c r="H9" s="530" t="s">
        <v>171</v>
      </c>
      <c r="I9" s="132" t="s">
        <v>171</v>
      </c>
      <c r="J9" s="530" t="s">
        <v>171</v>
      </c>
      <c r="K9" s="439" t="s">
        <v>171</v>
      </c>
      <c r="L9" s="618">
        <f>+'GAS CTE'!E10</f>
        <v>636.6336</v>
      </c>
      <c r="M9" s="621">
        <f>+'GAS CTE'!F10</f>
        <v>630.00199999999995</v>
      </c>
      <c r="N9" s="649">
        <f>+'GAS CTE'!J10</f>
        <v>596.84399999999994</v>
      </c>
      <c r="O9" s="650">
        <f>+BIODIESEL!G10</f>
        <v>603.00299999999993</v>
      </c>
      <c r="P9" s="621" t="s">
        <v>171</v>
      </c>
      <c r="Q9" s="622" t="s">
        <v>171</v>
      </c>
    </row>
    <row r="10" spans="1:17" ht="26" x14ac:dyDescent="0.35">
      <c r="A10" s="82"/>
      <c r="B10" s="88" t="s">
        <v>129</v>
      </c>
      <c r="C10" s="131" t="str">
        <f>+F10</f>
        <v>------------------</v>
      </c>
      <c r="D10" s="530" t="s">
        <v>171</v>
      </c>
      <c r="E10" s="530" t="s">
        <v>171</v>
      </c>
      <c r="F10" s="530" t="s">
        <v>171</v>
      </c>
      <c r="G10" s="530" t="s">
        <v>171</v>
      </c>
      <c r="H10" s="530" t="s">
        <v>171</v>
      </c>
      <c r="I10" s="132" t="s">
        <v>171</v>
      </c>
      <c r="J10" s="530" t="s">
        <v>171</v>
      </c>
      <c r="K10" s="439" t="s">
        <v>171</v>
      </c>
      <c r="L10" s="618" t="s">
        <v>130</v>
      </c>
      <c r="M10" s="621" t="s">
        <v>130</v>
      </c>
      <c r="N10" s="649" t="s">
        <v>130</v>
      </c>
      <c r="O10" s="650" t="str">
        <f>+BIODIESEL!I11</f>
        <v>(3)</v>
      </c>
      <c r="P10" s="621" t="s">
        <v>171</v>
      </c>
      <c r="Q10" s="622" t="s">
        <v>171</v>
      </c>
    </row>
    <row r="11" spans="1:17" x14ac:dyDescent="0.35">
      <c r="A11" s="82"/>
      <c r="B11" s="88" t="s">
        <v>131</v>
      </c>
      <c r="C11" s="131">
        <f>+'GAS CTE'!C12</f>
        <v>169</v>
      </c>
      <c r="D11" s="530">
        <f>+'GAS CTE'!D12</f>
        <v>165.62</v>
      </c>
      <c r="E11" s="530">
        <f>+'GAS CTE'!E12</f>
        <v>162.23999999999998</v>
      </c>
      <c r="F11" s="530">
        <f>+'GAS CTE'!F12</f>
        <v>160.54999999999998</v>
      </c>
      <c r="G11" s="407">
        <f>+'GAS CTE'!J12</f>
        <v>144.49499999999998</v>
      </c>
      <c r="H11" s="407">
        <f>+BIODIESEL!E12</f>
        <v>187.18</v>
      </c>
      <c r="I11" s="132">
        <f>+BIODIESEL!G12</f>
        <v>181.45</v>
      </c>
      <c r="J11" s="407">
        <f>+BIODIESEL!H12</f>
        <v>175.72</v>
      </c>
      <c r="K11" s="439">
        <f>+BIODIESEL!I12</f>
        <v>171.9</v>
      </c>
      <c r="L11" s="618">
        <f>+E11</f>
        <v>162.23999999999998</v>
      </c>
      <c r="M11" s="621">
        <f>+F11</f>
        <v>160.54999999999998</v>
      </c>
      <c r="N11" s="649">
        <f>+G11</f>
        <v>144.49499999999998</v>
      </c>
      <c r="O11" s="621">
        <f>+BIODIESEL!G12</f>
        <v>181.45</v>
      </c>
      <c r="P11" s="621">
        <f>+BIODIESEL!H12</f>
        <v>175.72</v>
      </c>
      <c r="Q11" s="622">
        <f>+BIODIESEL!I12</f>
        <v>171.9</v>
      </c>
    </row>
    <row r="12" spans="1:17" x14ac:dyDescent="0.35">
      <c r="A12" s="82" t="s">
        <v>172</v>
      </c>
      <c r="B12" s="88" t="s">
        <v>293</v>
      </c>
      <c r="C12" s="131" t="str">
        <f t="shared" si="0"/>
        <v>(2)</v>
      </c>
      <c r="D12" s="131" t="s">
        <v>200</v>
      </c>
      <c r="E12" s="131" t="str">
        <f>+C12</f>
        <v>(2)</v>
      </c>
      <c r="F12" s="114" t="s">
        <v>200</v>
      </c>
      <c r="G12" s="114" t="s">
        <v>200</v>
      </c>
      <c r="H12" s="114" t="s">
        <v>200</v>
      </c>
      <c r="I12" s="86" t="s">
        <v>200</v>
      </c>
      <c r="J12" s="114" t="s">
        <v>200</v>
      </c>
      <c r="K12" s="133" t="s">
        <v>200</v>
      </c>
      <c r="L12" s="618" t="str">
        <f>+I12</f>
        <v>(2)</v>
      </c>
      <c r="M12" s="621" t="str">
        <f>+J12</f>
        <v>(2)</v>
      </c>
      <c r="N12" s="649" t="s">
        <v>200</v>
      </c>
      <c r="O12" s="616" t="s">
        <v>200</v>
      </c>
      <c r="P12" s="621" t="s">
        <v>200</v>
      </c>
      <c r="Q12" s="622" t="s">
        <v>200</v>
      </c>
    </row>
    <row r="13" spans="1:17" x14ac:dyDescent="0.35">
      <c r="A13" s="82" t="s">
        <v>174</v>
      </c>
      <c r="B13" s="88" t="s">
        <v>175</v>
      </c>
      <c r="C13" s="131">
        <f>+RUBROS!AF14</f>
        <v>12.29256217662561</v>
      </c>
      <c r="D13" s="131">
        <f>+C13</f>
        <v>12.29256217662561</v>
      </c>
      <c r="E13" s="131">
        <f>+C13</f>
        <v>12.29256217662561</v>
      </c>
      <c r="F13" s="114">
        <f>+C13</f>
        <v>12.29256217662561</v>
      </c>
      <c r="G13" s="140">
        <f>+C13</f>
        <v>12.29256217662561</v>
      </c>
      <c r="H13" s="140">
        <f>+C13</f>
        <v>12.29256217662561</v>
      </c>
      <c r="I13" s="86">
        <f>+F13</f>
        <v>12.29256217662561</v>
      </c>
      <c r="J13" s="140">
        <f>+I13</f>
        <v>12.29256217662561</v>
      </c>
      <c r="K13" s="133">
        <f>+H13</f>
        <v>12.29256217662561</v>
      </c>
      <c r="L13" s="618">
        <f>+RUBROS!$AG$14</f>
        <v>26.583233136281329</v>
      </c>
      <c r="M13" s="621">
        <f>+RUBROS!$AG$14</f>
        <v>26.583233136281329</v>
      </c>
      <c r="N13" s="649">
        <f>+RUBROS!$AD$14</f>
        <v>23.500029293035123</v>
      </c>
      <c r="O13" s="616">
        <f>+M13</f>
        <v>26.583233136281329</v>
      </c>
      <c r="P13" s="621">
        <f>+O13</f>
        <v>26.583233136281329</v>
      </c>
      <c r="Q13" s="622">
        <f>+P13</f>
        <v>26.583233136281329</v>
      </c>
    </row>
    <row r="14" spans="1:17" x14ac:dyDescent="0.35">
      <c r="A14" s="82" t="s">
        <v>176</v>
      </c>
      <c r="B14" s="88" t="s">
        <v>177</v>
      </c>
      <c r="C14" s="131">
        <f>+RUBROS!AF50</f>
        <v>127.35415747874769</v>
      </c>
      <c r="D14" s="131">
        <f>+C14</f>
        <v>127.35415747874769</v>
      </c>
      <c r="E14" s="131">
        <f>+C14</f>
        <v>127.35415747874769</v>
      </c>
      <c r="F14" s="114">
        <f>+C14</f>
        <v>127.35415747874769</v>
      </c>
      <c r="G14" s="140">
        <f>+C14</f>
        <v>127.35415747874769</v>
      </c>
      <c r="H14" s="140">
        <f>+C14</f>
        <v>127.35415747874769</v>
      </c>
      <c r="I14" s="86">
        <f>+C14</f>
        <v>127.35415747874769</v>
      </c>
      <c r="J14" s="140">
        <f>+C14</f>
        <v>127.35415747874769</v>
      </c>
      <c r="K14" s="133">
        <f>+H14</f>
        <v>127.35415747874769</v>
      </c>
      <c r="L14" s="618">
        <f>+RUBROS!$AG$50</f>
        <v>127.35415747874769</v>
      </c>
      <c r="M14" s="621">
        <f>+RUBROS!$AG$50</f>
        <v>127.35415747874769</v>
      </c>
      <c r="N14" s="649">
        <f>+RUBROS!$AD$50</f>
        <v>112.5832368093597</v>
      </c>
      <c r="O14" s="616">
        <f>+M14</f>
        <v>127.35415747874769</v>
      </c>
      <c r="P14" s="621">
        <f>+J14</f>
        <v>127.35415747874769</v>
      </c>
      <c r="Q14" s="622">
        <f>+P14</f>
        <v>127.35415747874769</v>
      </c>
    </row>
    <row r="15" spans="1:17" x14ac:dyDescent="0.35">
      <c r="A15" s="82" t="s">
        <v>178</v>
      </c>
      <c r="B15" s="88" t="s">
        <v>179</v>
      </c>
      <c r="C15" s="131">
        <f>+RUBROS!AZ28</f>
        <v>13.726213893883656</v>
      </c>
      <c r="D15" s="131">
        <f>+C15</f>
        <v>13.726213893883656</v>
      </c>
      <c r="E15" s="131">
        <f>+C15</f>
        <v>13.726213893883656</v>
      </c>
      <c r="F15" s="114">
        <f>+C15</f>
        <v>13.726213893883656</v>
      </c>
      <c r="G15" s="140">
        <f>+C15</f>
        <v>13.726213893883656</v>
      </c>
      <c r="H15" s="133">
        <f>+C15</f>
        <v>13.726213893883656</v>
      </c>
      <c r="I15" s="133">
        <f>+C15</f>
        <v>13.726213893883656</v>
      </c>
      <c r="J15" s="133">
        <f>+C15</f>
        <v>13.726213893883656</v>
      </c>
      <c r="K15" s="133">
        <f>+H15</f>
        <v>13.726213893883656</v>
      </c>
      <c r="L15" s="618">
        <f>+C15</f>
        <v>13.726213893883656</v>
      </c>
      <c r="M15" s="621">
        <f>+C15</f>
        <v>13.726213893883656</v>
      </c>
      <c r="N15" s="649">
        <f>+G15</f>
        <v>13.726213893883656</v>
      </c>
      <c r="O15" s="616">
        <f>+M15</f>
        <v>13.726213893883656</v>
      </c>
      <c r="P15" s="621">
        <f>+J15</f>
        <v>13.726213893883656</v>
      </c>
      <c r="Q15" s="622">
        <f>+P15</f>
        <v>13.726213893883656</v>
      </c>
    </row>
    <row r="16" spans="1:17" hidden="1" x14ac:dyDescent="0.35">
      <c r="A16" s="82"/>
      <c r="B16" s="88" t="s">
        <v>180</v>
      </c>
      <c r="C16" s="131"/>
      <c r="D16" s="402"/>
      <c r="E16" s="402"/>
      <c r="F16" s="225"/>
      <c r="G16" s="135"/>
      <c r="H16" s="135"/>
      <c r="I16" s="135"/>
      <c r="J16" s="135"/>
      <c r="K16" s="135"/>
      <c r="L16" s="651"/>
      <c r="M16" s="621"/>
      <c r="N16" s="621"/>
      <c r="O16" s="616"/>
      <c r="P16" s="649"/>
      <c r="Q16" s="652"/>
    </row>
    <row r="17" spans="1:20" x14ac:dyDescent="0.35">
      <c r="A17" s="89" t="s">
        <v>181</v>
      </c>
      <c r="B17" s="115" t="s">
        <v>182</v>
      </c>
      <c r="C17" s="136">
        <f t="shared" ref="C17:O17" si="1">SUM(C8:C16)</f>
        <v>10236.532933549257</v>
      </c>
      <c r="D17" s="136">
        <f t="shared" si="1"/>
        <v>10322.329733549257</v>
      </c>
      <c r="E17" s="136">
        <f t="shared" si="1"/>
        <v>10408.126533549257</v>
      </c>
      <c r="F17" s="226">
        <f t="shared" si="1"/>
        <v>10451.024933549255</v>
      </c>
      <c r="G17" s="226">
        <f t="shared" si="1"/>
        <v>10657.91193354926</v>
      </c>
      <c r="H17" s="226">
        <f t="shared" si="1"/>
        <v>4000.3224960492571</v>
      </c>
      <c r="I17" s="137">
        <f t="shared" si="1"/>
        <v>4383.0496522992571</v>
      </c>
      <c r="J17" s="226">
        <f t="shared" si="1"/>
        <v>4765.776808549258</v>
      </c>
      <c r="K17" s="137">
        <f t="shared" ref="K17" si="2">SUM(K8:K16)</f>
        <v>5020.9282460492568</v>
      </c>
      <c r="L17" s="627">
        <f t="shared" si="1"/>
        <v>11059.050804508912</v>
      </c>
      <c r="M17" s="632">
        <f t="shared" si="1"/>
        <v>11095.315604508913</v>
      </c>
      <c r="N17" s="632">
        <f t="shared" si="1"/>
        <v>11251.19247999628</v>
      </c>
      <c r="O17" s="632">
        <f t="shared" si="1"/>
        <v>6303.982604508913</v>
      </c>
      <c r="P17" s="632">
        <f t="shared" ref="P17:Q17" si="3">SUM(P8:P16)</f>
        <v>6042.5432045089137</v>
      </c>
      <c r="Q17" s="633">
        <f t="shared" si="3"/>
        <v>6270.2456045089129</v>
      </c>
    </row>
    <row r="18" spans="1:20" x14ac:dyDescent="0.35">
      <c r="A18" s="82" t="s">
        <v>183</v>
      </c>
      <c r="B18" s="88" t="s">
        <v>184</v>
      </c>
      <c r="C18" s="131" t="s">
        <v>214</v>
      </c>
      <c r="D18" s="131" t="s">
        <v>214</v>
      </c>
      <c r="E18" s="131" t="s">
        <v>214</v>
      </c>
      <c r="F18" s="227" t="str">
        <f>+C18</f>
        <v>***</v>
      </c>
      <c r="G18" s="227" t="str">
        <f>+F18</f>
        <v>***</v>
      </c>
      <c r="H18" s="227" t="str">
        <f>+G18</f>
        <v>***</v>
      </c>
      <c r="I18" s="139" t="str">
        <f>+C18</f>
        <v>***</v>
      </c>
      <c r="J18" s="227" t="str">
        <f>+C18</f>
        <v>***</v>
      </c>
      <c r="K18" s="404" t="str">
        <f>+D18</f>
        <v>***</v>
      </c>
      <c r="L18" s="613" t="str">
        <f t="shared" ref="L18:N19" si="4">+N18</f>
        <v>***</v>
      </c>
      <c r="M18" s="616" t="str">
        <f t="shared" si="4"/>
        <v>***</v>
      </c>
      <c r="N18" s="616" t="str">
        <f t="shared" si="4"/>
        <v>***</v>
      </c>
      <c r="O18" s="616" t="s">
        <v>214</v>
      </c>
      <c r="P18" s="621" t="str">
        <f>+J18</f>
        <v>***</v>
      </c>
      <c r="Q18" s="622" t="str">
        <f>+L18</f>
        <v>***</v>
      </c>
    </row>
    <row r="19" spans="1:20" x14ac:dyDescent="0.35">
      <c r="A19" s="82" t="s">
        <v>185</v>
      </c>
      <c r="B19" s="88" t="s">
        <v>186</v>
      </c>
      <c r="C19" s="131" t="str">
        <f>+F19</f>
        <v>**</v>
      </c>
      <c r="D19" s="131" t="str">
        <f>+G19</f>
        <v>**</v>
      </c>
      <c r="E19" s="131" t="str">
        <f>+G19</f>
        <v>**</v>
      </c>
      <c r="F19" s="114" t="s">
        <v>212</v>
      </c>
      <c r="G19" s="114" t="s">
        <v>212</v>
      </c>
      <c r="H19" s="114" t="s">
        <v>212</v>
      </c>
      <c r="I19" s="140" t="s">
        <v>212</v>
      </c>
      <c r="J19" s="114" t="s">
        <v>212</v>
      </c>
      <c r="K19" s="130" t="s">
        <v>212</v>
      </c>
      <c r="L19" s="613" t="str">
        <f t="shared" si="4"/>
        <v>**</v>
      </c>
      <c r="M19" s="616" t="str">
        <f t="shared" si="4"/>
        <v>**</v>
      </c>
      <c r="N19" s="616" t="str">
        <f t="shared" si="4"/>
        <v>**</v>
      </c>
      <c r="O19" s="621" t="s">
        <v>212</v>
      </c>
      <c r="P19" s="621" t="s">
        <v>212</v>
      </c>
      <c r="Q19" s="622" t="s">
        <v>212</v>
      </c>
    </row>
    <row r="20" spans="1:20" x14ac:dyDescent="0.35">
      <c r="A20" s="82" t="s">
        <v>187</v>
      </c>
      <c r="B20" s="88" t="s">
        <v>188</v>
      </c>
      <c r="C20" s="131" t="str">
        <f>+F20</f>
        <v>****</v>
      </c>
      <c r="D20" s="131" t="str">
        <f>+G20</f>
        <v>****</v>
      </c>
      <c r="E20" s="131" t="str">
        <f>+G20</f>
        <v>****</v>
      </c>
      <c r="F20" s="110" t="s">
        <v>216</v>
      </c>
      <c r="G20" s="110" t="s">
        <v>216</v>
      </c>
      <c r="H20" s="110" t="s">
        <v>216</v>
      </c>
      <c r="I20" s="86" t="str">
        <f>+F20</f>
        <v>****</v>
      </c>
      <c r="J20" s="110" t="str">
        <f>+I20</f>
        <v>****</v>
      </c>
      <c r="K20" s="133" t="str">
        <f>+J20</f>
        <v>****</v>
      </c>
      <c r="L20" s="613" t="str">
        <f>+I20</f>
        <v>****</v>
      </c>
      <c r="M20" s="616" t="str">
        <f>+J20</f>
        <v>****</v>
      </c>
      <c r="N20" s="616" t="str">
        <f>+M20</f>
        <v>****</v>
      </c>
      <c r="O20" s="616" t="str">
        <f>+J20</f>
        <v>****</v>
      </c>
      <c r="P20" s="621" t="str">
        <f>+O20</f>
        <v>****</v>
      </c>
      <c r="Q20" s="622" t="str">
        <f>+P20</f>
        <v>****</v>
      </c>
    </row>
    <row r="21" spans="1:20" x14ac:dyDescent="0.35">
      <c r="A21" s="89" t="s">
        <v>189</v>
      </c>
      <c r="B21" s="115" t="s">
        <v>190</v>
      </c>
      <c r="C21" s="136">
        <f t="shared" ref="C21:O21" si="5">+C17</f>
        <v>10236.532933549257</v>
      </c>
      <c r="D21" s="136">
        <f t="shared" ref="D21" si="6">+D17</f>
        <v>10322.329733549257</v>
      </c>
      <c r="E21" s="136">
        <f t="shared" ref="E21" si="7">+E17</f>
        <v>10408.126533549257</v>
      </c>
      <c r="F21" s="228">
        <f t="shared" si="5"/>
        <v>10451.024933549255</v>
      </c>
      <c r="G21" s="228">
        <f t="shared" ref="G21:H21" si="8">+G17</f>
        <v>10657.91193354926</v>
      </c>
      <c r="H21" s="228">
        <f t="shared" si="8"/>
        <v>4000.3224960492571</v>
      </c>
      <c r="I21" s="136">
        <f t="shared" si="5"/>
        <v>4383.0496522992571</v>
      </c>
      <c r="J21" s="228">
        <f t="shared" si="5"/>
        <v>4765.776808549258</v>
      </c>
      <c r="K21" s="136">
        <f t="shared" ref="K21" si="9">+K17</f>
        <v>5020.9282460492568</v>
      </c>
      <c r="L21" s="643">
        <f t="shared" ref="L21" si="10">+L17</f>
        <v>11059.050804508912</v>
      </c>
      <c r="M21" s="644">
        <f t="shared" si="5"/>
        <v>11095.315604508913</v>
      </c>
      <c r="N21" s="644">
        <f t="shared" ref="N21" si="11">+N17</f>
        <v>11251.19247999628</v>
      </c>
      <c r="O21" s="644">
        <f t="shared" si="5"/>
        <v>6303.982604508913</v>
      </c>
      <c r="P21" s="644">
        <f t="shared" ref="P21:Q21" si="12">+P17</f>
        <v>6042.5432045089137</v>
      </c>
      <c r="Q21" s="645">
        <f t="shared" si="12"/>
        <v>6270.2456045089129</v>
      </c>
    </row>
    <row r="22" spans="1:20" x14ac:dyDescent="0.35">
      <c r="A22" s="82" t="s">
        <v>191</v>
      </c>
      <c r="B22" s="88" t="s">
        <v>150</v>
      </c>
      <c r="C22" s="131" t="s">
        <v>214</v>
      </c>
      <c r="D22" s="131" t="s">
        <v>214</v>
      </c>
      <c r="E22" s="131" t="s">
        <v>214</v>
      </c>
      <c r="F22" s="110" t="str">
        <f>+C22</f>
        <v>***</v>
      </c>
      <c r="G22" s="110" t="str">
        <f>+F22</f>
        <v>***</v>
      </c>
      <c r="H22" s="110" t="str">
        <f>+G22</f>
        <v>***</v>
      </c>
      <c r="I22" s="86" t="str">
        <f>+F22</f>
        <v>***</v>
      </c>
      <c r="J22" s="110" t="str">
        <f>+I22</f>
        <v>***</v>
      </c>
      <c r="K22" s="133" t="str">
        <f>+J22</f>
        <v>***</v>
      </c>
      <c r="L22" s="613" t="str">
        <f>+N22</f>
        <v>***</v>
      </c>
      <c r="M22" s="616" t="str">
        <f>+O22</f>
        <v>***</v>
      </c>
      <c r="N22" s="616" t="str">
        <f>+P22</f>
        <v>***</v>
      </c>
      <c r="O22" s="616" t="s">
        <v>214</v>
      </c>
      <c r="P22" s="621" t="str">
        <f>+O22</f>
        <v>***</v>
      </c>
      <c r="Q22" s="622" t="str">
        <f>+P22</f>
        <v>***</v>
      </c>
    </row>
    <row r="23" spans="1:20" x14ac:dyDescent="0.35">
      <c r="A23" s="82" t="s">
        <v>192</v>
      </c>
      <c r="B23" s="83" t="s">
        <v>193</v>
      </c>
      <c r="C23" s="131" t="str">
        <f>+F23</f>
        <v>*****</v>
      </c>
      <c r="D23" s="131" t="str">
        <f>+G23</f>
        <v>*****</v>
      </c>
      <c r="E23" s="131" t="str">
        <f>+G23</f>
        <v>*****</v>
      </c>
      <c r="F23" s="110" t="s">
        <v>218</v>
      </c>
      <c r="G23" s="110" t="s">
        <v>218</v>
      </c>
      <c r="H23" s="110" t="s">
        <v>218</v>
      </c>
      <c r="I23" s="86" t="s">
        <v>236</v>
      </c>
      <c r="J23" s="110" t="s">
        <v>194</v>
      </c>
      <c r="K23" s="133" t="s">
        <v>194</v>
      </c>
      <c r="L23" s="613" t="str">
        <f>+E23</f>
        <v>*****</v>
      </c>
      <c r="M23" s="616" t="str">
        <f>+F23</f>
        <v>*****</v>
      </c>
      <c r="N23" s="616" t="str">
        <f>+G23</f>
        <v>*****</v>
      </c>
      <c r="O23" s="616" t="s">
        <v>237</v>
      </c>
      <c r="P23" s="621" t="s">
        <v>194</v>
      </c>
      <c r="Q23" s="622" t="s">
        <v>194</v>
      </c>
    </row>
    <row r="24" spans="1:20" x14ac:dyDescent="0.35">
      <c r="A24" s="82" t="s">
        <v>195</v>
      </c>
      <c r="B24" s="88" t="s">
        <v>196</v>
      </c>
      <c r="C24" s="131" t="str">
        <f>+F24</f>
        <v>******</v>
      </c>
      <c r="D24" s="131" t="str">
        <f>+G24</f>
        <v>******</v>
      </c>
      <c r="E24" s="131" t="str">
        <f>+G24</f>
        <v>******</v>
      </c>
      <c r="F24" s="140" t="s">
        <v>219</v>
      </c>
      <c r="G24" s="140" t="s">
        <v>219</v>
      </c>
      <c r="H24" s="140" t="s">
        <v>219</v>
      </c>
      <c r="I24" s="140" t="str">
        <f>+F24</f>
        <v>******</v>
      </c>
      <c r="J24" s="140" t="str">
        <f>+I24</f>
        <v>******</v>
      </c>
      <c r="K24" s="130" t="str">
        <f>+J24</f>
        <v>******</v>
      </c>
      <c r="L24" s="613" t="str">
        <f>+I24</f>
        <v>******</v>
      </c>
      <c r="M24" s="616" t="str">
        <f>+J24</f>
        <v>******</v>
      </c>
      <c r="N24" s="616" t="str">
        <f>+M24</f>
        <v>******</v>
      </c>
      <c r="O24" s="621" t="str">
        <f>+M24</f>
        <v>******</v>
      </c>
      <c r="P24" s="621" t="str">
        <f>+O24</f>
        <v>******</v>
      </c>
      <c r="Q24" s="622" t="str">
        <f>+P24</f>
        <v>******</v>
      </c>
    </row>
    <row r="25" spans="1:20" ht="15" thickBot="1" x14ac:dyDescent="0.4">
      <c r="A25" s="93" t="s">
        <v>197</v>
      </c>
      <c r="B25" s="94" t="s">
        <v>198</v>
      </c>
      <c r="C25" s="141"/>
      <c r="D25" s="141"/>
      <c r="E25" s="141"/>
      <c r="F25" s="97"/>
      <c r="G25" s="142"/>
      <c r="H25" s="142"/>
      <c r="I25" s="142"/>
      <c r="J25" s="142"/>
      <c r="K25" s="142"/>
      <c r="L25" s="635"/>
      <c r="M25" s="636"/>
      <c r="N25" s="636"/>
      <c r="O25" s="636"/>
      <c r="P25" s="636"/>
      <c r="Q25" s="637"/>
    </row>
    <row r="26" spans="1:20" ht="15" thickTop="1" x14ac:dyDescent="0.35">
      <c r="P26" s="127"/>
    </row>
    <row r="27" spans="1:20" x14ac:dyDescent="0.35">
      <c r="A27" s="101"/>
      <c r="B27" s="119" t="s">
        <v>210</v>
      </c>
      <c r="C27" s="145"/>
      <c r="D27" s="145"/>
      <c r="E27" s="145"/>
      <c r="F27" s="145"/>
      <c r="G27" s="145"/>
      <c r="H27" s="145"/>
      <c r="I27" s="145"/>
      <c r="J27" s="145"/>
      <c r="K27" s="145"/>
      <c r="L27" s="145"/>
      <c r="M27" s="127"/>
      <c r="N27" s="127"/>
      <c r="O27" s="127"/>
      <c r="P27" s="127"/>
      <c r="Q27" s="127"/>
      <c r="R27" s="127"/>
      <c r="S27" s="127"/>
      <c r="T27" s="127"/>
    </row>
    <row r="28" spans="1:20" x14ac:dyDescent="0.35">
      <c r="A28" s="101"/>
      <c r="B28" s="119"/>
      <c r="C28" s="145"/>
      <c r="D28" s="145"/>
      <c r="E28" s="145"/>
      <c r="F28" s="145"/>
      <c r="G28" s="145"/>
      <c r="H28" s="145"/>
      <c r="I28" s="145"/>
      <c r="J28" s="145"/>
      <c r="K28" s="145"/>
      <c r="L28" s="145"/>
      <c r="M28" s="127"/>
      <c r="N28" s="127"/>
      <c r="O28" s="127"/>
      <c r="P28" s="127"/>
      <c r="Q28" s="127"/>
      <c r="R28" s="127"/>
      <c r="S28" s="127"/>
      <c r="T28" s="127"/>
    </row>
    <row r="29" spans="1:20" ht="27" customHeight="1" x14ac:dyDescent="0.35">
      <c r="A29" s="101" t="s">
        <v>173</v>
      </c>
      <c r="B29" s="783" t="str">
        <f>+AMAZONAS!B29</f>
        <v>De acuerdo con lo establecido en la Resoluccion 91349 de 2014 del MME para combustible de origen nacional o importado a ser distribuido en zonas de frontera, aplica la tarifa de marcación o remarcación vigente a la fecha según corresponda</v>
      </c>
      <c r="C29" s="783"/>
      <c r="D29" s="783"/>
      <c r="E29" s="783"/>
      <c r="F29" s="783"/>
      <c r="G29" s="783"/>
      <c r="H29" s="783"/>
      <c r="I29" s="783"/>
      <c r="J29" s="783"/>
      <c r="K29" s="783"/>
      <c r="L29" s="783"/>
      <c r="M29" s="783"/>
      <c r="N29" s="783"/>
      <c r="O29" s="783"/>
      <c r="P29" s="783"/>
      <c r="Q29" s="146"/>
      <c r="R29" s="146"/>
      <c r="S29" s="146"/>
      <c r="T29" s="146"/>
    </row>
    <row r="30" spans="1:20" ht="25.5" customHeight="1" x14ac:dyDescent="0.35">
      <c r="A30" s="101" t="s">
        <v>200</v>
      </c>
      <c r="B30" s="783" t="s">
        <v>251</v>
      </c>
      <c r="C30" s="783"/>
      <c r="D30" s="783"/>
      <c r="E30" s="783"/>
      <c r="F30" s="783"/>
      <c r="G30" s="783"/>
      <c r="H30" s="783"/>
      <c r="I30" s="783"/>
      <c r="J30" s="783"/>
      <c r="K30" s="783"/>
      <c r="L30" s="783"/>
      <c r="M30" s="783"/>
      <c r="N30" s="783"/>
      <c r="O30" s="783"/>
      <c r="P30" s="783"/>
      <c r="Q30" s="127"/>
      <c r="R30" s="127"/>
      <c r="S30" s="127"/>
      <c r="T30" s="127"/>
    </row>
    <row r="31" spans="1:20" ht="52" customHeight="1" x14ac:dyDescent="0.35">
      <c r="A31" s="101" t="s">
        <v>130</v>
      </c>
      <c r="B31" s="783" t="s">
        <v>307</v>
      </c>
      <c r="C31" s="783"/>
      <c r="D31" s="783"/>
      <c r="E31" s="783"/>
      <c r="F31" s="783"/>
      <c r="G31" s="783"/>
      <c r="H31" s="783"/>
      <c r="I31" s="783"/>
      <c r="J31" s="783"/>
      <c r="K31" s="783"/>
      <c r="L31" s="783"/>
      <c r="M31" s="783"/>
      <c r="N31" s="783"/>
      <c r="O31" s="783"/>
      <c r="P31" s="783"/>
      <c r="Q31" s="127"/>
      <c r="R31" s="127"/>
      <c r="S31" s="127"/>
      <c r="T31" s="127"/>
    </row>
    <row r="32" spans="1:20" x14ac:dyDescent="0.35">
      <c r="A32" s="101"/>
      <c r="B32" s="119"/>
      <c r="C32" s="145"/>
      <c r="D32" s="145"/>
      <c r="E32" s="145"/>
      <c r="F32" s="145"/>
      <c r="G32" s="145"/>
      <c r="H32" s="145"/>
      <c r="I32" s="145"/>
      <c r="J32" s="145"/>
      <c r="K32" s="145"/>
      <c r="L32" s="145"/>
      <c r="M32" s="127"/>
      <c r="N32" s="127"/>
      <c r="O32" s="127"/>
      <c r="P32" s="127"/>
      <c r="Q32" s="127"/>
      <c r="R32" s="127"/>
      <c r="S32" s="127"/>
      <c r="T32" s="127"/>
    </row>
    <row r="33" spans="1:20" ht="21.25" customHeight="1" x14ac:dyDescent="0.35">
      <c r="A33" s="101"/>
      <c r="B33" s="783"/>
      <c r="C33" s="783"/>
      <c r="D33" s="783"/>
      <c r="E33" s="783"/>
      <c r="F33" s="783"/>
      <c r="G33" s="783"/>
      <c r="H33" s="783"/>
      <c r="I33" s="783"/>
      <c r="J33" s="783"/>
      <c r="K33" s="783"/>
      <c r="L33" s="783"/>
      <c r="M33" s="783"/>
      <c r="N33" s="783"/>
      <c r="O33" s="783"/>
      <c r="P33" s="783"/>
      <c r="Q33" s="127"/>
      <c r="R33" s="127"/>
      <c r="S33" s="127"/>
      <c r="T33" s="127"/>
    </row>
    <row r="34" spans="1:20" ht="15" customHeight="1" x14ac:dyDescent="0.35">
      <c r="A34" s="120" t="s">
        <v>102</v>
      </c>
      <c r="B34" s="779" t="s">
        <v>211</v>
      </c>
      <c r="C34" s="779"/>
      <c r="D34" s="779"/>
      <c r="E34" s="779"/>
      <c r="F34" s="779"/>
      <c r="G34" s="779"/>
      <c r="H34" s="779"/>
      <c r="I34" s="779"/>
      <c r="J34" s="779"/>
      <c r="K34" s="779"/>
      <c r="L34" s="779"/>
      <c r="M34" s="779"/>
      <c r="N34" s="779"/>
      <c r="O34" s="779"/>
      <c r="P34" s="779"/>
      <c r="Q34" s="127"/>
      <c r="R34" s="127"/>
      <c r="S34" s="127"/>
      <c r="T34" s="127"/>
    </row>
    <row r="35" spans="1:20" ht="15" customHeight="1" x14ac:dyDescent="0.35">
      <c r="A35" s="120" t="s">
        <v>212</v>
      </c>
      <c r="B35" s="783" t="s">
        <v>240</v>
      </c>
      <c r="C35" s="783"/>
      <c r="D35" s="783"/>
      <c r="E35" s="783"/>
      <c r="F35" s="783"/>
      <c r="G35" s="783"/>
      <c r="H35" s="783"/>
      <c r="I35" s="783"/>
      <c r="J35" s="783"/>
      <c r="K35" s="783"/>
      <c r="L35" s="783"/>
      <c r="M35" s="783"/>
      <c r="N35" s="783"/>
      <c r="O35" s="783"/>
      <c r="P35" s="783"/>
      <c r="Q35" s="127"/>
      <c r="R35" s="127"/>
      <c r="S35" s="127"/>
      <c r="T35" s="127"/>
    </row>
    <row r="36" spans="1:20" ht="15" customHeight="1" x14ac:dyDescent="0.35">
      <c r="A36" s="101" t="s">
        <v>214</v>
      </c>
      <c r="B36" s="783" t="s">
        <v>215</v>
      </c>
      <c r="C36" s="783"/>
      <c r="D36" s="783"/>
      <c r="E36" s="783"/>
      <c r="F36" s="783"/>
      <c r="G36" s="783"/>
      <c r="H36" s="783"/>
      <c r="I36" s="783"/>
      <c r="J36" s="783"/>
      <c r="K36" s="783"/>
      <c r="L36" s="783"/>
      <c r="M36" s="783"/>
      <c r="N36" s="783"/>
      <c r="O36" s="783"/>
      <c r="P36" s="101"/>
      <c r="Q36" s="779"/>
      <c r="R36" s="779"/>
      <c r="S36" s="779"/>
      <c r="T36" s="779"/>
    </row>
    <row r="37" spans="1:20" ht="19.75" customHeight="1" x14ac:dyDescent="0.35">
      <c r="A37" s="101" t="s">
        <v>216</v>
      </c>
      <c r="B37" s="779" t="s">
        <v>426</v>
      </c>
      <c r="C37" s="779"/>
      <c r="D37" s="779"/>
      <c r="E37" s="779"/>
      <c r="F37" s="779"/>
      <c r="G37" s="779"/>
      <c r="H37" s="779"/>
      <c r="I37" s="779"/>
      <c r="J37" s="779"/>
      <c r="K37" s="779"/>
      <c r="L37" s="779"/>
      <c r="M37" s="779"/>
      <c r="N37" s="779"/>
      <c r="O37" s="779"/>
      <c r="P37" s="101"/>
      <c r="Q37" s="102"/>
      <c r="R37" s="102"/>
      <c r="S37" s="102"/>
      <c r="T37" s="102"/>
    </row>
    <row r="38" spans="1:20" ht="24" customHeight="1" x14ac:dyDescent="0.35">
      <c r="A38" s="120" t="s">
        <v>218</v>
      </c>
      <c r="B38" s="783" t="s">
        <v>220</v>
      </c>
      <c r="C38" s="783"/>
      <c r="D38" s="783"/>
      <c r="E38" s="783"/>
      <c r="F38" s="783"/>
      <c r="G38" s="783"/>
      <c r="H38" s="783"/>
      <c r="I38" s="783"/>
      <c r="J38" s="783"/>
      <c r="K38" s="783"/>
      <c r="L38" s="783"/>
      <c r="M38" s="783"/>
      <c r="N38" s="783"/>
      <c r="O38" s="783"/>
      <c r="P38" s="783"/>
      <c r="Q38" s="127"/>
      <c r="R38" s="127"/>
      <c r="S38" s="127"/>
      <c r="T38" s="127"/>
    </row>
    <row r="39" spans="1:20" ht="26.5" customHeight="1" x14ac:dyDescent="0.35">
      <c r="A39" s="120" t="s">
        <v>219</v>
      </c>
      <c r="B39" s="783" t="s">
        <v>238</v>
      </c>
      <c r="C39" s="783"/>
      <c r="D39" s="783"/>
      <c r="E39" s="783"/>
      <c r="F39" s="783"/>
      <c r="G39" s="783"/>
      <c r="H39" s="783"/>
      <c r="I39" s="783"/>
      <c r="J39" s="783"/>
      <c r="K39" s="783"/>
      <c r="L39" s="783"/>
      <c r="M39" s="783"/>
      <c r="N39" s="783"/>
      <c r="O39" s="783"/>
      <c r="P39" s="783"/>
      <c r="Q39" s="127"/>
      <c r="R39" s="127"/>
      <c r="S39" s="127"/>
      <c r="T39" s="127"/>
    </row>
    <row r="40" spans="1:20" ht="27.25" customHeight="1" x14ac:dyDescent="0.35">
      <c r="A40" s="120"/>
      <c r="B40" s="779" t="s">
        <v>428</v>
      </c>
      <c r="C40" s="779"/>
      <c r="D40" s="779"/>
      <c r="E40" s="779"/>
      <c r="F40" s="779"/>
      <c r="G40" s="779"/>
      <c r="H40" s="779"/>
      <c r="I40" s="779"/>
      <c r="J40" s="779"/>
      <c r="K40" s="779"/>
      <c r="L40" s="779"/>
      <c r="M40" s="779"/>
      <c r="N40" s="779"/>
      <c r="O40" s="779"/>
      <c r="P40" s="779"/>
      <c r="Q40" s="127"/>
      <c r="R40" s="127"/>
      <c r="S40" s="127"/>
      <c r="T40" s="127"/>
    </row>
    <row r="42" spans="1:20" ht="88" customHeight="1" x14ac:dyDescent="0.35">
      <c r="A42" s="801" t="s">
        <v>137</v>
      </c>
      <c r="B42" s="801"/>
      <c r="C42" s="801"/>
      <c r="D42" s="801"/>
      <c r="E42" s="801"/>
      <c r="F42" s="801"/>
      <c r="G42" s="801"/>
      <c r="H42" s="801"/>
      <c r="I42" s="801"/>
      <c r="J42" s="801"/>
      <c r="K42" s="801"/>
      <c r="L42" s="801"/>
      <c r="M42" s="801"/>
      <c r="N42" s="801"/>
      <c r="O42" s="801"/>
      <c r="P42" s="801"/>
    </row>
  </sheetData>
  <sheetProtection algorithmName="SHA-512" hashValue="A3EYm6rz8fS/Zch5330FOz8fo/Y6pFOtXuVrlK5G71tKf0pmdnVsx3o+djCsvXz7PJKx1rXeYPwKofhGOjDPQQ==" saltValue="RT+cLgKfMgJ9SEn3GOFqmQ==" spinCount="100000" sheet="1" objects="1" scenarios="1"/>
  <mergeCells count="18">
    <mergeCell ref="L3:Q4"/>
    <mergeCell ref="C3:K4"/>
    <mergeCell ref="A5:A7"/>
    <mergeCell ref="B5:B7"/>
    <mergeCell ref="C5:C6"/>
    <mergeCell ref="A42:P42"/>
    <mergeCell ref="B34:P34"/>
    <mergeCell ref="B35:P35"/>
    <mergeCell ref="B38:P38"/>
    <mergeCell ref="B39:P39"/>
    <mergeCell ref="B36:O36"/>
    <mergeCell ref="B40:P40"/>
    <mergeCell ref="B37:O37"/>
    <mergeCell ref="B30:P30"/>
    <mergeCell ref="B33:P33"/>
    <mergeCell ref="B31:P31"/>
    <mergeCell ref="B29:P29"/>
    <mergeCell ref="Q36:T36"/>
  </mergeCells>
  <hyperlinks>
    <hyperlink ref="B27" location="ARAUCA!A42" display="Ver Nota Informativa" xr:uid="{00000000-0004-0000-0900-000000000000}"/>
  </hyperlinks>
  <pageMargins left="0.7" right="0.7" top="0.75" bottom="0.75" header="0.3" footer="0.3"/>
  <pageSetup orientation="portrait" r:id="rId1"/>
  <ignoredErrors>
    <ignoredError sqref="O22:O25 C11:C12 F22:F25 M22:M25 C17:C25 I22:J25" formula="1"/>
    <ignoredError sqref="O12:O15 O17:O21 F17:F21 F12:F15 M17:M21 M15 M12 I12:J15 I17:J21" numberStoredAsText="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Y41"/>
  <sheetViews>
    <sheetView showGridLines="0" zoomScale="90" zoomScaleNormal="90" workbookViewId="0">
      <selection activeCell="L13" sqref="L13"/>
    </sheetView>
  </sheetViews>
  <sheetFormatPr baseColWidth="10" defaultRowHeight="14.5" x14ac:dyDescent="0.35"/>
  <cols>
    <col min="1" max="1" width="6.1796875" customWidth="1"/>
    <col min="2" max="2" width="46" customWidth="1"/>
    <col min="3" max="3" width="12.81640625" customWidth="1"/>
    <col min="4" max="4" width="10.81640625" hidden="1" customWidth="1"/>
    <col min="5" max="5" width="10.7265625" customWidth="1"/>
    <col min="6" max="6" width="10.453125" hidden="1" customWidth="1"/>
    <col min="7" max="7" width="10.7265625" hidden="1" customWidth="1"/>
    <col min="8" max="8" width="11.54296875" customWidth="1"/>
    <col min="9" max="9" width="11" hidden="1" customWidth="1"/>
    <col min="10" max="10" width="11.453125" customWidth="1"/>
    <col min="11" max="11" width="14.453125" hidden="1" customWidth="1"/>
    <col min="12" max="12" width="14" customWidth="1"/>
    <col min="13" max="13" width="13.26953125" hidden="1" customWidth="1"/>
    <col min="14" max="14" width="14.1796875" hidden="1" customWidth="1"/>
    <col min="15" max="15" width="13.54296875" hidden="1" customWidth="1"/>
    <col min="16" max="16" width="11.81640625" customWidth="1"/>
    <col min="17" max="17" width="15.26953125" hidden="1" customWidth="1"/>
    <col min="18" max="18" width="14.1796875" customWidth="1"/>
    <col min="19" max="19" width="0" hidden="1" customWidth="1"/>
  </cols>
  <sheetData>
    <row r="1" spans="1:19" x14ac:dyDescent="0.35">
      <c r="A1" s="79"/>
      <c r="B1" s="79" t="str">
        <f>+AMAZONAS!C1</f>
        <v>Vigencia: 04 de Noviembre de 2023; 00:00 horas</v>
      </c>
      <c r="C1" s="79"/>
      <c r="D1" s="79"/>
      <c r="E1" s="79"/>
      <c r="F1" s="79"/>
      <c r="G1" s="79"/>
      <c r="H1" s="79"/>
      <c r="I1" s="79"/>
      <c r="J1" s="79"/>
      <c r="K1" s="79"/>
      <c r="L1" s="79"/>
      <c r="M1" s="79"/>
      <c r="N1" s="79"/>
      <c r="O1" s="79"/>
      <c r="P1" s="79"/>
      <c r="Q1" s="79"/>
    </row>
    <row r="2" spans="1:19" ht="15" thickBot="1" x14ac:dyDescent="0.4">
      <c r="A2" s="152" t="s">
        <v>162</v>
      </c>
      <c r="B2" s="153"/>
      <c r="C2" s="153"/>
      <c r="D2" s="711"/>
      <c r="E2" s="706"/>
      <c r="F2" s="153"/>
      <c r="G2" s="153"/>
      <c r="H2" s="153"/>
      <c r="I2" s="153"/>
      <c r="J2" s="153"/>
      <c r="K2" s="153"/>
      <c r="L2" s="706"/>
      <c r="M2" s="153"/>
      <c r="N2" s="153"/>
      <c r="O2" s="153"/>
      <c r="P2" s="153"/>
      <c r="Q2" s="153"/>
    </row>
    <row r="3" spans="1:19" ht="16" customHeight="1" thickTop="1" x14ac:dyDescent="0.35">
      <c r="A3" s="128"/>
      <c r="B3" s="106" t="s">
        <v>241</v>
      </c>
      <c r="C3" s="812" t="s">
        <v>163</v>
      </c>
      <c r="D3" s="813"/>
      <c r="E3" s="813"/>
      <c r="F3" s="813"/>
      <c r="G3" s="813"/>
      <c r="H3" s="813"/>
      <c r="I3" s="813"/>
      <c r="J3" s="813"/>
      <c r="K3" s="813"/>
      <c r="L3" s="814" t="s">
        <v>232</v>
      </c>
      <c r="M3" s="815"/>
      <c r="N3" s="815"/>
      <c r="O3" s="815"/>
      <c r="P3" s="815"/>
      <c r="Q3" s="816"/>
    </row>
    <row r="4" spans="1:19" ht="26" x14ac:dyDescent="0.35">
      <c r="A4" s="80"/>
      <c r="B4" s="447" t="s">
        <v>471</v>
      </c>
      <c r="C4" s="808"/>
      <c r="D4" s="809"/>
      <c r="E4" s="809"/>
      <c r="F4" s="809"/>
      <c r="G4" s="809"/>
      <c r="H4" s="809"/>
      <c r="I4" s="809"/>
      <c r="J4" s="809"/>
      <c r="K4" s="809"/>
      <c r="L4" s="817"/>
      <c r="M4" s="818"/>
      <c r="N4" s="818"/>
      <c r="O4" s="818"/>
      <c r="P4" s="818"/>
      <c r="Q4" s="819"/>
    </row>
    <row r="5" spans="1:19" ht="27.75" customHeight="1" x14ac:dyDescent="0.35">
      <c r="A5" s="790" t="s">
        <v>164</v>
      </c>
      <c r="B5" s="792" t="s">
        <v>165</v>
      </c>
      <c r="C5" s="780" t="s">
        <v>223</v>
      </c>
      <c r="D5" s="108" t="s">
        <v>96</v>
      </c>
      <c r="E5" s="108" t="s">
        <v>96</v>
      </c>
      <c r="F5" s="108" t="s">
        <v>96</v>
      </c>
      <c r="G5" s="108" t="s">
        <v>96</v>
      </c>
      <c r="H5" s="108" t="s">
        <v>370</v>
      </c>
      <c r="I5" s="108" t="s">
        <v>505</v>
      </c>
      <c r="J5" s="108" t="s">
        <v>374</v>
      </c>
      <c r="K5" s="160" t="s">
        <v>460</v>
      </c>
      <c r="L5" s="606" t="str">
        <f>+E5</f>
        <v>Gasolina Corriente</v>
      </c>
      <c r="M5" s="607" t="s">
        <v>96</v>
      </c>
      <c r="N5" s="607" t="s">
        <v>96</v>
      </c>
      <c r="O5" s="607" t="str">
        <f>+I5</f>
        <v>Biodiesel B8</v>
      </c>
      <c r="P5" s="607" t="s">
        <v>374</v>
      </c>
      <c r="Q5" s="608" t="str">
        <f>+K5</f>
        <v>Biodiesel B11</v>
      </c>
    </row>
    <row r="6" spans="1:19" x14ac:dyDescent="0.35">
      <c r="A6" s="790"/>
      <c r="B6" s="792"/>
      <c r="C6" s="781"/>
      <c r="D6" s="540">
        <v>0.02</v>
      </c>
      <c r="E6" s="333" t="s">
        <v>503</v>
      </c>
      <c r="F6" s="333" t="s">
        <v>454</v>
      </c>
      <c r="G6" s="333" t="s">
        <v>459</v>
      </c>
      <c r="H6" s="124">
        <v>0.02</v>
      </c>
      <c r="I6" s="265">
        <v>0.08</v>
      </c>
      <c r="J6" s="265">
        <v>0.1</v>
      </c>
      <c r="K6" s="604">
        <v>0.11</v>
      </c>
      <c r="L6" s="606" t="str">
        <f>+E6</f>
        <v>4%</v>
      </c>
      <c r="M6" s="610" t="str">
        <f>+F6</f>
        <v>Oxigena 5%</v>
      </c>
      <c r="N6" s="610" t="str">
        <f>+G6</f>
        <v>Oxigena 6%</v>
      </c>
      <c r="O6" s="647">
        <f>+I6</f>
        <v>0.08</v>
      </c>
      <c r="P6" s="647">
        <v>0.1</v>
      </c>
      <c r="Q6" s="612">
        <f>+K6</f>
        <v>0.11</v>
      </c>
    </row>
    <row r="7" spans="1:19" x14ac:dyDescent="0.35">
      <c r="A7" s="791"/>
      <c r="B7" s="793"/>
      <c r="C7" s="81" t="s">
        <v>166</v>
      </c>
      <c r="D7" s="108" t="s">
        <v>166</v>
      </c>
      <c r="E7" s="108" t="s">
        <v>166</v>
      </c>
      <c r="F7" s="108" t="s">
        <v>166</v>
      </c>
      <c r="G7" s="108" t="s">
        <v>166</v>
      </c>
      <c r="H7" s="108" t="s">
        <v>166</v>
      </c>
      <c r="I7" s="108" t="s">
        <v>166</v>
      </c>
      <c r="J7" s="108" t="s">
        <v>166</v>
      </c>
      <c r="K7" s="160" t="s">
        <v>166</v>
      </c>
      <c r="L7" s="606" t="str">
        <f>+E7</f>
        <v>$/Galón</v>
      </c>
      <c r="M7" s="607" t="s">
        <v>166</v>
      </c>
      <c r="N7" s="607" t="s">
        <v>166</v>
      </c>
      <c r="O7" s="607" t="s">
        <v>166</v>
      </c>
      <c r="P7" s="607" t="s">
        <v>166</v>
      </c>
      <c r="Q7" s="608" t="s">
        <v>166</v>
      </c>
    </row>
    <row r="8" spans="1:19" x14ac:dyDescent="0.35">
      <c r="A8" s="82" t="s">
        <v>167</v>
      </c>
      <c r="B8" s="88" t="s">
        <v>168</v>
      </c>
      <c r="C8" s="144">
        <f>+'Calculo IP ZDF'!B30</f>
        <v>9914.16</v>
      </c>
      <c r="D8" s="144">
        <f>+'Calculo IP ZDF'!G30</f>
        <v>10003.336799999999</v>
      </c>
      <c r="E8" s="148">
        <f>+'Calculo IP ZDF'!H30</f>
        <v>10092.5136</v>
      </c>
      <c r="F8" s="148">
        <f>+'Calculo IP ZDF'!I30</f>
        <v>10137.1</v>
      </c>
      <c r="G8" s="148">
        <f>+'Calculo IP ZDF'!J30</f>
        <v>10181.689999999999</v>
      </c>
      <c r="H8" s="150">
        <f>+'Calculo IP ZDF'!F30</f>
        <v>4792.6816183000001</v>
      </c>
      <c r="I8" s="148">
        <f>+'Calculo IP ZDF'!N30</f>
        <v>5500.2339682000002</v>
      </c>
      <c r="J8" s="148">
        <f>+'Calculo IP ZDF'!M30</f>
        <v>5736.0847514999996</v>
      </c>
      <c r="K8" s="130">
        <f>+'Calculo IP ZDF'!L30</f>
        <v>5854.0101431499997</v>
      </c>
      <c r="L8" s="618">
        <f>+'GAS CTE'!E9</f>
        <v>10092.5136</v>
      </c>
      <c r="M8" s="621">
        <f>+'GAS CTE'!F9</f>
        <v>10137.1</v>
      </c>
      <c r="N8" s="621">
        <f>+'GAS CTE'!G9</f>
        <v>10181.689999999999</v>
      </c>
      <c r="O8" s="621">
        <f>+BIODIESEL!H9</f>
        <v>5699.1596</v>
      </c>
      <c r="P8" s="621">
        <f>+BIODIESEL!I9</f>
        <v>5930.6819999999998</v>
      </c>
      <c r="Q8" s="622">
        <f>+BIODIESEL!J9</f>
        <v>6046.4452000000001</v>
      </c>
    </row>
    <row r="9" spans="1:19" ht="20.5" customHeight="1" x14ac:dyDescent="0.35">
      <c r="A9" s="82" t="s">
        <v>169</v>
      </c>
      <c r="B9" s="88" t="s">
        <v>170</v>
      </c>
      <c r="C9" s="131" t="str">
        <f t="shared" ref="C9:C13" si="0">+F9</f>
        <v>------------------</v>
      </c>
      <c r="D9" s="132" t="s">
        <v>171</v>
      </c>
      <c r="E9" s="132" t="s">
        <v>171</v>
      </c>
      <c r="F9" s="132" t="s">
        <v>171</v>
      </c>
      <c r="G9" s="407" t="s">
        <v>171</v>
      </c>
      <c r="H9" s="407" t="s">
        <v>171</v>
      </c>
      <c r="I9" s="132" t="s">
        <v>171</v>
      </c>
      <c r="J9" s="132" t="s">
        <v>171</v>
      </c>
      <c r="K9" s="148" t="s">
        <v>171</v>
      </c>
      <c r="L9" s="618">
        <f>+'GAS CTE'!E10</f>
        <v>636.6336</v>
      </c>
      <c r="M9" s="621">
        <f>+'GAS CTE'!F10</f>
        <v>630.00199999999995</v>
      </c>
      <c r="N9" s="621">
        <f>+'GAS CTE'!G10</f>
        <v>623.3703999999999</v>
      </c>
      <c r="O9" s="621">
        <f>+BIODIESEL!H10</f>
        <v>583.96080000000006</v>
      </c>
      <c r="P9" s="621">
        <f>+BIODIESEL!I10</f>
        <v>571.26600000000008</v>
      </c>
      <c r="Q9" s="622">
        <f>+BIODIESEL!J10</f>
        <v>564.91859999999997</v>
      </c>
    </row>
    <row r="10" spans="1:19" ht="15.65" customHeight="1" x14ac:dyDescent="0.35">
      <c r="A10" s="82"/>
      <c r="B10" s="88" t="s">
        <v>129</v>
      </c>
      <c r="C10" s="131" t="str">
        <f>+F10</f>
        <v>------------------</v>
      </c>
      <c r="D10" s="132" t="s">
        <v>171</v>
      </c>
      <c r="E10" s="132" t="s">
        <v>171</v>
      </c>
      <c r="F10" s="132" t="s">
        <v>171</v>
      </c>
      <c r="G10" s="407" t="s">
        <v>171</v>
      </c>
      <c r="H10" s="407" t="s">
        <v>171</v>
      </c>
      <c r="I10" s="132" t="s">
        <v>171</v>
      </c>
      <c r="J10" s="132" t="s">
        <v>171</v>
      </c>
      <c r="K10" s="148" t="s">
        <v>171</v>
      </c>
      <c r="L10" s="618" t="s">
        <v>130</v>
      </c>
      <c r="M10" s="621" t="s">
        <v>130</v>
      </c>
      <c r="N10" s="621" t="str">
        <f>+M10</f>
        <v>(3)</v>
      </c>
      <c r="O10" s="621" t="str">
        <f>+BIODIESEL!I11</f>
        <v>(3)</v>
      </c>
      <c r="P10" s="621" t="str">
        <f>+BIODIESEL!J11</f>
        <v>(3)</v>
      </c>
      <c r="Q10" s="622" t="str">
        <f>+BIODIESEL!I11</f>
        <v>(3)</v>
      </c>
    </row>
    <row r="11" spans="1:19" x14ac:dyDescent="0.35">
      <c r="A11" s="82"/>
      <c r="B11" s="88" t="s">
        <v>131</v>
      </c>
      <c r="C11" s="131">
        <f>+'GAS CTE'!C12</f>
        <v>169</v>
      </c>
      <c r="D11" s="132">
        <f>+'GAS CTE'!D12</f>
        <v>165.62</v>
      </c>
      <c r="E11" s="132">
        <f>+'GAS CTE'!E12</f>
        <v>162.23999999999998</v>
      </c>
      <c r="F11" s="132">
        <f>+'GAS CTE'!F12</f>
        <v>160.54999999999998</v>
      </c>
      <c r="G11" s="407">
        <f>+'GAS CTE'!G12</f>
        <v>158.85999999999999</v>
      </c>
      <c r="H11" s="407">
        <f>+BIODIESEL!E12</f>
        <v>187.18</v>
      </c>
      <c r="I11" s="132">
        <f>+BIODIESEL!H12</f>
        <v>175.72</v>
      </c>
      <c r="J11" s="132">
        <f>+BIODIESEL!I12</f>
        <v>171.9</v>
      </c>
      <c r="K11" s="148">
        <f>+BIODIESEL!J12</f>
        <v>169.99</v>
      </c>
      <c r="L11" s="618">
        <f>+'GAS CTE'!E12</f>
        <v>162.23999999999998</v>
      </c>
      <c r="M11" s="621">
        <f>+'GAS CTE'!F12</f>
        <v>160.54999999999998</v>
      </c>
      <c r="N11" s="621">
        <f>+'GAS CTE'!G12</f>
        <v>158.85999999999999</v>
      </c>
      <c r="O11" s="621">
        <f>+I11</f>
        <v>175.72</v>
      </c>
      <c r="P11" s="621">
        <f>+BIODIESEL!I12</f>
        <v>171.9</v>
      </c>
      <c r="Q11" s="622">
        <f>+BIODIESEL!J12</f>
        <v>169.99</v>
      </c>
      <c r="S11" s="288" t="s">
        <v>386</v>
      </c>
    </row>
    <row r="12" spans="1:19" x14ac:dyDescent="0.35">
      <c r="A12" s="82" t="s">
        <v>172</v>
      </c>
      <c r="B12" s="88" t="s">
        <v>233</v>
      </c>
      <c r="C12" s="131" t="str">
        <f t="shared" si="0"/>
        <v>(2)</v>
      </c>
      <c r="D12" s="86" t="s">
        <v>200</v>
      </c>
      <c r="E12" s="86" t="s">
        <v>200</v>
      </c>
      <c r="F12" s="86" t="s">
        <v>200</v>
      </c>
      <c r="G12" s="140" t="s">
        <v>200</v>
      </c>
      <c r="H12" s="140" t="s">
        <v>200</v>
      </c>
      <c r="I12" s="86" t="s">
        <v>200</v>
      </c>
      <c r="J12" s="86" t="s">
        <v>200</v>
      </c>
      <c r="K12" s="148" t="s">
        <v>200</v>
      </c>
      <c r="L12" s="618" t="s">
        <v>200</v>
      </c>
      <c r="M12" s="621" t="str">
        <f>+K12</f>
        <v>(2)</v>
      </c>
      <c r="N12" s="621" t="str">
        <f>+M12</f>
        <v>(2)</v>
      </c>
      <c r="O12" s="621" t="s">
        <v>200</v>
      </c>
      <c r="P12" s="621" t="s">
        <v>200</v>
      </c>
      <c r="Q12" s="622" t="s">
        <v>200</v>
      </c>
    </row>
    <row r="13" spans="1:19" x14ac:dyDescent="0.35">
      <c r="A13" s="82" t="s">
        <v>234</v>
      </c>
      <c r="B13" s="88" t="s">
        <v>235</v>
      </c>
      <c r="C13" s="131" t="str">
        <f t="shared" si="0"/>
        <v>N.A.</v>
      </c>
      <c r="D13" s="86" t="s">
        <v>236</v>
      </c>
      <c r="E13" s="86" t="s">
        <v>236</v>
      </c>
      <c r="F13" s="86" t="s">
        <v>236</v>
      </c>
      <c r="G13" s="140" t="s">
        <v>236</v>
      </c>
      <c r="H13" s="407" t="s">
        <v>201</v>
      </c>
      <c r="I13" s="86" t="str">
        <f>+H13</f>
        <v>(4)</v>
      </c>
      <c r="J13" s="86" t="str">
        <f>+I13</f>
        <v>(4)</v>
      </c>
      <c r="K13" s="148" t="str">
        <f>+H13</f>
        <v>(4)</v>
      </c>
      <c r="L13" s="618" t="s">
        <v>236</v>
      </c>
      <c r="M13" s="621" t="s">
        <v>236</v>
      </c>
      <c r="N13" s="621" t="s">
        <v>236</v>
      </c>
      <c r="O13" s="621" t="s">
        <v>201</v>
      </c>
      <c r="P13" s="621" t="s">
        <v>201</v>
      </c>
      <c r="Q13" s="622" t="str">
        <f>+K13</f>
        <v>(4)</v>
      </c>
    </row>
    <row r="14" spans="1:19" x14ac:dyDescent="0.35">
      <c r="A14" s="82" t="s">
        <v>174</v>
      </c>
      <c r="B14" s="88" t="s">
        <v>175</v>
      </c>
      <c r="C14" s="131">
        <f>+RUBROS!AF15</f>
        <v>26.583233136281329</v>
      </c>
      <c r="D14" s="131">
        <f>+C14</f>
        <v>26.583233136281329</v>
      </c>
      <c r="E14" s="86">
        <f>+C14</f>
        <v>26.583233136281329</v>
      </c>
      <c r="F14" s="86">
        <f>+C14</f>
        <v>26.583233136281329</v>
      </c>
      <c r="G14" s="140">
        <f>+F14</f>
        <v>26.583233136281329</v>
      </c>
      <c r="H14" s="140">
        <f>+RUBROS!AF15</f>
        <v>26.583233136281329</v>
      </c>
      <c r="I14" s="86">
        <f>+H14</f>
        <v>26.583233136281329</v>
      </c>
      <c r="J14" s="86">
        <f>+I14</f>
        <v>26.583233136281329</v>
      </c>
      <c r="K14" s="148">
        <f>+H14</f>
        <v>26.583233136281329</v>
      </c>
      <c r="L14" s="618">
        <f>+E14</f>
        <v>26.583233136281329</v>
      </c>
      <c r="M14" s="621">
        <f>+RUBROS!AG14</f>
        <v>26.583233136281329</v>
      </c>
      <c r="N14" s="621">
        <f>+RUBROS!AD14</f>
        <v>23.500029293035123</v>
      </c>
      <c r="O14" s="621">
        <f>+H14</f>
        <v>26.583233136281329</v>
      </c>
      <c r="P14" s="621">
        <f>+H14</f>
        <v>26.583233136281329</v>
      </c>
      <c r="Q14" s="622">
        <f>+H14</f>
        <v>26.583233136281329</v>
      </c>
      <c r="S14" s="288" t="s">
        <v>386</v>
      </c>
    </row>
    <row r="15" spans="1:19" x14ac:dyDescent="0.35">
      <c r="A15" s="82" t="s">
        <v>178</v>
      </c>
      <c r="B15" s="88" t="s">
        <v>179</v>
      </c>
      <c r="C15" s="131">
        <f>+RUBROS!AZ29</f>
        <v>13.726213893883656</v>
      </c>
      <c r="D15" s="131">
        <f>+C15</f>
        <v>13.726213893883656</v>
      </c>
      <c r="E15" s="86">
        <f>+C15</f>
        <v>13.726213893883656</v>
      </c>
      <c r="F15" s="86">
        <f>+C15</f>
        <v>13.726213893883656</v>
      </c>
      <c r="G15" s="86">
        <f>+F15</f>
        <v>13.726213893883656</v>
      </c>
      <c r="H15" s="133">
        <f>+RUBROS!AZ29</f>
        <v>13.726213893883656</v>
      </c>
      <c r="I15" s="86">
        <f>+C15</f>
        <v>13.726213893883656</v>
      </c>
      <c r="J15" s="86">
        <f>+H15</f>
        <v>13.726213893883656</v>
      </c>
      <c r="K15" s="154">
        <f>+C15</f>
        <v>13.726213893883656</v>
      </c>
      <c r="L15" s="618">
        <f>+E15</f>
        <v>13.726213893883656</v>
      </c>
      <c r="M15" s="621">
        <f>+C15</f>
        <v>13.726213893883656</v>
      </c>
      <c r="N15" s="621">
        <f>+M15</f>
        <v>13.726213893883656</v>
      </c>
      <c r="O15" s="621">
        <f>+H15</f>
        <v>13.726213893883656</v>
      </c>
      <c r="P15" s="621">
        <f>+H15</f>
        <v>13.726213893883656</v>
      </c>
      <c r="Q15" s="617">
        <f>+H15</f>
        <v>13.726213893883656</v>
      </c>
      <c r="S15" s="288" t="s">
        <v>385</v>
      </c>
    </row>
    <row r="16" spans="1:19" ht="20.25" hidden="1" customHeight="1" x14ac:dyDescent="0.35">
      <c r="A16" s="82"/>
      <c r="B16" s="88" t="s">
        <v>180</v>
      </c>
      <c r="C16" s="131"/>
      <c r="D16" s="402"/>
      <c r="E16" s="402"/>
      <c r="F16" s="134"/>
      <c r="G16" s="135"/>
      <c r="H16" s="135"/>
      <c r="I16" s="402"/>
      <c r="J16" s="402"/>
      <c r="K16" s="154"/>
      <c r="L16" s="613"/>
      <c r="M16" s="621"/>
      <c r="N16" s="621"/>
      <c r="O16" s="621"/>
      <c r="P16" s="621"/>
      <c r="Q16" s="617"/>
    </row>
    <row r="17" spans="1:25" x14ac:dyDescent="0.35">
      <c r="A17" s="89" t="s">
        <v>181</v>
      </c>
      <c r="B17" s="115" t="s">
        <v>182</v>
      </c>
      <c r="C17" s="136">
        <f t="shared" ref="C17:Q17" si="1">SUM(C8:C16)</f>
        <v>10123.469447030166</v>
      </c>
      <c r="D17" s="136">
        <f t="shared" ref="D17" si="2">SUM(D8:D16)</f>
        <v>10209.266247030166</v>
      </c>
      <c r="E17" s="136">
        <f t="shared" si="1"/>
        <v>10295.063047030166</v>
      </c>
      <c r="F17" s="137">
        <f t="shared" si="1"/>
        <v>10337.959447030165</v>
      </c>
      <c r="G17" s="137">
        <f t="shared" si="1"/>
        <v>10380.859447030165</v>
      </c>
      <c r="H17" s="137">
        <f t="shared" si="1"/>
        <v>5020.1710653301661</v>
      </c>
      <c r="I17" s="136">
        <f t="shared" si="1"/>
        <v>5716.2634152301662</v>
      </c>
      <c r="J17" s="136">
        <f t="shared" ref="J17" si="3">SUM(J8:J16)</f>
        <v>5948.294198530165</v>
      </c>
      <c r="K17" s="138">
        <f t="shared" si="1"/>
        <v>6064.3095901801653</v>
      </c>
      <c r="L17" s="627">
        <f t="shared" si="1"/>
        <v>10931.696647030165</v>
      </c>
      <c r="M17" s="632">
        <f t="shared" si="1"/>
        <v>10967.961447030166</v>
      </c>
      <c r="N17" s="632">
        <f t="shared" si="1"/>
        <v>11001.146643186918</v>
      </c>
      <c r="O17" s="632">
        <f t="shared" si="1"/>
        <v>6499.1498470301658</v>
      </c>
      <c r="P17" s="632">
        <f t="shared" ref="P17" si="4">SUM(P8:P16)</f>
        <v>6714.1574470301657</v>
      </c>
      <c r="Q17" s="633">
        <f t="shared" si="1"/>
        <v>6821.6632470301656</v>
      </c>
    </row>
    <row r="18" spans="1:25" x14ac:dyDescent="0.35">
      <c r="A18" s="82" t="s">
        <v>183</v>
      </c>
      <c r="B18" s="88" t="s">
        <v>184</v>
      </c>
      <c r="C18" s="131" t="s">
        <v>214</v>
      </c>
      <c r="D18" s="131" t="s">
        <v>214</v>
      </c>
      <c r="E18" s="131" t="s">
        <v>214</v>
      </c>
      <c r="F18" s="139" t="str">
        <f>+C18</f>
        <v>***</v>
      </c>
      <c r="G18" s="139" t="str">
        <f>+F18</f>
        <v>***</v>
      </c>
      <c r="H18" s="139" t="str">
        <f>+C18</f>
        <v>***</v>
      </c>
      <c r="I18" s="131" t="s">
        <v>214</v>
      </c>
      <c r="J18" s="131" t="s">
        <v>214</v>
      </c>
      <c r="K18" s="154" t="str">
        <f>+C18</f>
        <v>***</v>
      </c>
      <c r="L18" s="613" t="str">
        <f>+O18</f>
        <v>***</v>
      </c>
      <c r="M18" s="616" t="str">
        <f>+Q18</f>
        <v>***</v>
      </c>
      <c r="N18" s="616" t="str">
        <f>+M18</f>
        <v>***</v>
      </c>
      <c r="O18" s="616" t="s">
        <v>214</v>
      </c>
      <c r="P18" s="616" t="s">
        <v>214</v>
      </c>
      <c r="Q18" s="617" t="s">
        <v>214</v>
      </c>
    </row>
    <row r="19" spans="1:25" x14ac:dyDescent="0.35">
      <c r="A19" s="82" t="s">
        <v>185</v>
      </c>
      <c r="B19" s="88" t="s">
        <v>186</v>
      </c>
      <c r="C19" s="131" t="str">
        <f>+F19</f>
        <v>**</v>
      </c>
      <c r="D19" s="131" t="str">
        <f>+F19</f>
        <v>**</v>
      </c>
      <c r="E19" s="131" t="str">
        <f>+G19</f>
        <v>**</v>
      </c>
      <c r="F19" s="140" t="s">
        <v>212</v>
      </c>
      <c r="G19" s="140" t="s">
        <v>212</v>
      </c>
      <c r="H19" s="140" t="s">
        <v>212</v>
      </c>
      <c r="I19" s="131" t="s">
        <v>212</v>
      </c>
      <c r="J19" s="131" t="s">
        <v>212</v>
      </c>
      <c r="K19" s="154" t="s">
        <v>212</v>
      </c>
      <c r="L19" s="613" t="str">
        <f>+O19</f>
        <v>**</v>
      </c>
      <c r="M19" s="616" t="str">
        <f>+Q19</f>
        <v>**</v>
      </c>
      <c r="N19" s="616" t="str">
        <f>+M19</f>
        <v>**</v>
      </c>
      <c r="O19" s="616" t="s">
        <v>212</v>
      </c>
      <c r="P19" s="616" t="s">
        <v>212</v>
      </c>
      <c r="Q19" s="617" t="s">
        <v>212</v>
      </c>
    </row>
    <row r="20" spans="1:25" x14ac:dyDescent="0.35">
      <c r="A20" s="82" t="s">
        <v>187</v>
      </c>
      <c r="B20" s="88" t="s">
        <v>188</v>
      </c>
      <c r="C20" s="131" t="str">
        <f>+F20</f>
        <v>****</v>
      </c>
      <c r="D20" s="131" t="str">
        <f>+F20</f>
        <v>****</v>
      </c>
      <c r="E20" s="131" t="str">
        <f>+G20</f>
        <v>****</v>
      </c>
      <c r="F20" s="86" t="s">
        <v>216</v>
      </c>
      <c r="G20" s="86" t="s">
        <v>216</v>
      </c>
      <c r="H20" s="86" t="str">
        <f>+F20</f>
        <v>****</v>
      </c>
      <c r="I20" s="131" t="s">
        <v>216</v>
      </c>
      <c r="J20" s="131" t="s">
        <v>216</v>
      </c>
      <c r="K20" s="154" t="str">
        <f>+H20</f>
        <v>****</v>
      </c>
      <c r="L20" s="613" t="str">
        <f>+I20</f>
        <v>****</v>
      </c>
      <c r="M20" s="616" t="str">
        <f>+K20</f>
        <v>****</v>
      </c>
      <c r="N20" s="616" t="str">
        <f>+M20</f>
        <v>****</v>
      </c>
      <c r="O20" s="616" t="s">
        <v>216</v>
      </c>
      <c r="P20" s="616" t="s">
        <v>216</v>
      </c>
      <c r="Q20" s="617" t="str">
        <f>+K20</f>
        <v>****</v>
      </c>
    </row>
    <row r="21" spans="1:25" x14ac:dyDescent="0.35">
      <c r="A21" s="89" t="s">
        <v>189</v>
      </c>
      <c r="B21" s="115" t="s">
        <v>190</v>
      </c>
      <c r="C21" s="136">
        <f t="shared" ref="C21:Q21" si="5">+C17</f>
        <v>10123.469447030166</v>
      </c>
      <c r="D21" s="136">
        <f t="shared" ref="D21" si="6">+D17</f>
        <v>10209.266247030166</v>
      </c>
      <c r="E21" s="136">
        <f t="shared" si="5"/>
        <v>10295.063047030166</v>
      </c>
      <c r="F21" s="136">
        <f t="shared" si="5"/>
        <v>10337.959447030165</v>
      </c>
      <c r="G21" s="136">
        <f t="shared" ref="G21" si="7">+G17</f>
        <v>10380.859447030165</v>
      </c>
      <c r="H21" s="136">
        <f t="shared" si="5"/>
        <v>5020.1710653301661</v>
      </c>
      <c r="I21" s="136">
        <f t="shared" si="5"/>
        <v>5716.2634152301662</v>
      </c>
      <c r="J21" s="136">
        <f t="shared" ref="J21" si="8">+J17</f>
        <v>5948.294198530165</v>
      </c>
      <c r="K21" s="136">
        <f t="shared" si="5"/>
        <v>6064.3095901801653</v>
      </c>
      <c r="L21" s="643">
        <f t="shared" ref="L21" si="9">+L17</f>
        <v>10931.696647030165</v>
      </c>
      <c r="M21" s="644">
        <f t="shared" si="5"/>
        <v>10967.961447030166</v>
      </c>
      <c r="N21" s="644">
        <f t="shared" ref="N21" si="10">+N17</f>
        <v>11001.146643186918</v>
      </c>
      <c r="O21" s="644">
        <f t="shared" si="5"/>
        <v>6499.1498470301658</v>
      </c>
      <c r="P21" s="644">
        <f t="shared" ref="P21" si="11">+P17</f>
        <v>6714.1574470301657</v>
      </c>
      <c r="Q21" s="645">
        <f t="shared" si="5"/>
        <v>6821.6632470301656</v>
      </c>
    </row>
    <row r="22" spans="1:25" x14ac:dyDescent="0.35">
      <c r="A22" s="82" t="s">
        <v>191</v>
      </c>
      <c r="B22" s="88" t="s">
        <v>150</v>
      </c>
      <c r="C22" s="131" t="s">
        <v>214</v>
      </c>
      <c r="D22" s="131" t="s">
        <v>214</v>
      </c>
      <c r="E22" s="131" t="s">
        <v>214</v>
      </c>
      <c r="F22" s="86" t="str">
        <f>+C22</f>
        <v>***</v>
      </c>
      <c r="G22" s="86" t="str">
        <f>+F22</f>
        <v>***</v>
      </c>
      <c r="H22" s="86" t="str">
        <f>+F22</f>
        <v>***</v>
      </c>
      <c r="I22" s="131" t="s">
        <v>214</v>
      </c>
      <c r="J22" s="131" t="s">
        <v>214</v>
      </c>
      <c r="K22" s="154" t="str">
        <f>+H22</f>
        <v>***</v>
      </c>
      <c r="L22" s="613" t="str">
        <f>+O22</f>
        <v>***</v>
      </c>
      <c r="M22" s="616" t="str">
        <f>+Q22</f>
        <v>***</v>
      </c>
      <c r="N22" s="616">
        <f>+R22</f>
        <v>0</v>
      </c>
      <c r="O22" s="616" t="s">
        <v>214</v>
      </c>
      <c r="P22" s="616" t="s">
        <v>214</v>
      </c>
      <c r="Q22" s="617" t="s">
        <v>214</v>
      </c>
    </row>
    <row r="23" spans="1:25" x14ac:dyDescent="0.35">
      <c r="A23" s="82" t="s">
        <v>192</v>
      </c>
      <c r="B23" s="83" t="s">
        <v>193</v>
      </c>
      <c r="C23" s="131" t="str">
        <f>+F23</f>
        <v>*****</v>
      </c>
      <c r="D23" s="131" t="str">
        <f>+F23</f>
        <v>*****</v>
      </c>
      <c r="E23" s="131" t="str">
        <f>+G23</f>
        <v>*****</v>
      </c>
      <c r="F23" s="86" t="s">
        <v>218</v>
      </c>
      <c r="G23" s="86" t="s">
        <v>218</v>
      </c>
      <c r="H23" s="86" t="s">
        <v>236</v>
      </c>
      <c r="I23" s="131" t="s">
        <v>194</v>
      </c>
      <c r="J23" s="131" t="s">
        <v>194</v>
      </c>
      <c r="K23" s="154" t="s">
        <v>194</v>
      </c>
      <c r="L23" s="613" t="str">
        <f>+E23</f>
        <v>*****</v>
      </c>
      <c r="M23" s="616" t="str">
        <f>+F23</f>
        <v>*****</v>
      </c>
      <c r="N23" s="616" t="str">
        <f>+G23</f>
        <v>*****</v>
      </c>
      <c r="O23" s="616" t="s">
        <v>237</v>
      </c>
      <c r="P23" s="616" t="s">
        <v>237</v>
      </c>
      <c r="Q23" s="617" t="s">
        <v>237</v>
      </c>
    </row>
    <row r="24" spans="1:25" x14ac:dyDescent="0.35">
      <c r="A24" s="82" t="s">
        <v>195</v>
      </c>
      <c r="B24" s="88" t="s">
        <v>196</v>
      </c>
      <c r="C24" s="131" t="str">
        <f>+F24</f>
        <v>******</v>
      </c>
      <c r="D24" s="131" t="str">
        <f>+F24</f>
        <v>******</v>
      </c>
      <c r="E24" s="131" t="str">
        <f>+G24</f>
        <v>******</v>
      </c>
      <c r="F24" s="140" t="s">
        <v>219</v>
      </c>
      <c r="G24" s="140" t="s">
        <v>219</v>
      </c>
      <c r="H24" s="140" t="str">
        <f>+F24</f>
        <v>******</v>
      </c>
      <c r="I24" s="131" t="s">
        <v>219</v>
      </c>
      <c r="J24" s="131" t="s">
        <v>219</v>
      </c>
      <c r="K24" s="148" t="str">
        <f>+H24</f>
        <v>******</v>
      </c>
      <c r="L24" s="613" t="str">
        <f>+I24</f>
        <v>******</v>
      </c>
      <c r="M24" s="616" t="str">
        <f>+K24</f>
        <v>******</v>
      </c>
      <c r="N24" s="616" t="str">
        <f>+M24</f>
        <v>******</v>
      </c>
      <c r="O24" s="616" t="s">
        <v>219</v>
      </c>
      <c r="P24" s="616" t="s">
        <v>219</v>
      </c>
      <c r="Q24" s="622" t="str">
        <f>+M24</f>
        <v>******</v>
      </c>
    </row>
    <row r="25" spans="1:25" ht="15" thickBot="1" x14ac:dyDescent="0.4">
      <c r="A25" s="93" t="s">
        <v>197</v>
      </c>
      <c r="B25" s="94" t="s">
        <v>198</v>
      </c>
      <c r="C25" s="141"/>
      <c r="D25" s="141"/>
      <c r="E25" s="141"/>
      <c r="F25" s="97"/>
      <c r="G25" s="142"/>
      <c r="H25" s="142"/>
      <c r="I25" s="142"/>
      <c r="J25" s="142"/>
      <c r="K25" s="156"/>
      <c r="L25" s="635"/>
      <c r="M25" s="636"/>
      <c r="N25" s="636"/>
      <c r="O25" s="636"/>
      <c r="P25" s="636"/>
      <c r="Q25" s="637"/>
    </row>
    <row r="26" spans="1:25" ht="15" thickTop="1" x14ac:dyDescent="0.35"/>
    <row r="27" spans="1:25" x14ac:dyDescent="0.35">
      <c r="A27" s="101"/>
      <c r="B27" s="119" t="s">
        <v>210</v>
      </c>
      <c r="C27" s="145"/>
      <c r="D27" s="145"/>
      <c r="E27" s="145"/>
      <c r="F27" s="145"/>
      <c r="G27" s="145"/>
      <c r="H27" s="145"/>
      <c r="I27" s="145"/>
      <c r="J27" s="145"/>
      <c r="K27" s="145"/>
      <c r="L27" s="145"/>
      <c r="M27" s="127"/>
      <c r="N27" s="127"/>
      <c r="O27" s="127"/>
      <c r="P27" s="127"/>
      <c r="Q27" s="127"/>
      <c r="R27" s="127"/>
      <c r="S27" s="127"/>
      <c r="T27" s="127"/>
      <c r="U27" s="127"/>
      <c r="V27" s="127"/>
      <c r="W27" s="127"/>
      <c r="X27" s="127"/>
      <c r="Y27" s="127"/>
    </row>
    <row r="28" spans="1:25" x14ac:dyDescent="0.35">
      <c r="A28" s="101"/>
      <c r="B28" s="119"/>
      <c r="C28" s="145"/>
      <c r="D28" s="145"/>
      <c r="E28" s="145"/>
      <c r="F28" s="145"/>
      <c r="G28" s="145"/>
      <c r="H28" s="145"/>
      <c r="I28" s="145"/>
      <c r="J28" s="145"/>
      <c r="K28" s="145"/>
      <c r="L28" s="145"/>
      <c r="M28" s="127"/>
      <c r="N28" s="127"/>
      <c r="O28" s="127"/>
      <c r="P28" s="127"/>
      <c r="Q28" s="127"/>
      <c r="R28" s="127"/>
      <c r="S28" s="127"/>
      <c r="T28" s="127"/>
      <c r="U28" s="127"/>
      <c r="V28" s="127"/>
      <c r="W28" s="127"/>
      <c r="X28" s="127"/>
      <c r="Y28" s="127"/>
    </row>
    <row r="29" spans="1:25" ht="30.65" customHeight="1" x14ac:dyDescent="0.35">
      <c r="A29" s="101" t="s">
        <v>173</v>
      </c>
      <c r="B29" s="783" t="str">
        <f>+ARAUCA!B29</f>
        <v>De acuerdo con lo establecido en la Resoluccion 91349 de 2014 del MME para combustible de origen nacional o importado a ser distribuido en zonas de frontera, aplica la tarifa de marcación o remarcación vigente a la fecha según corresponda</v>
      </c>
      <c r="C29" s="783"/>
      <c r="D29" s="783"/>
      <c r="E29" s="783"/>
      <c r="F29" s="783"/>
      <c r="G29" s="783"/>
      <c r="H29" s="783"/>
      <c r="I29" s="783"/>
      <c r="J29" s="783"/>
      <c r="K29" s="783"/>
      <c r="L29" s="783"/>
      <c r="M29" s="783"/>
      <c r="N29" s="783"/>
      <c r="O29" s="783"/>
      <c r="P29" s="783"/>
      <c r="Q29" s="783"/>
      <c r="R29" s="783"/>
      <c r="S29" s="783"/>
      <c r="T29" s="146"/>
      <c r="U29" s="146"/>
      <c r="V29" s="146"/>
      <c r="W29" s="146"/>
      <c r="X29" s="146"/>
      <c r="Y29" s="146"/>
    </row>
    <row r="30" spans="1:25" x14ac:dyDescent="0.35">
      <c r="A30" s="101" t="s">
        <v>200</v>
      </c>
      <c r="B30" s="102" t="s">
        <v>199</v>
      </c>
      <c r="C30" s="145"/>
      <c r="D30" s="145"/>
      <c r="E30" s="145"/>
      <c r="F30" s="145"/>
      <c r="G30" s="145"/>
      <c r="H30" s="145"/>
      <c r="I30" s="145"/>
      <c r="J30" s="145"/>
      <c r="K30" s="145"/>
      <c r="L30" s="145"/>
      <c r="M30" s="127"/>
      <c r="N30" s="127"/>
      <c r="O30" s="127"/>
      <c r="P30" s="127"/>
      <c r="Q30" s="127"/>
      <c r="R30" s="127"/>
      <c r="S30" s="127"/>
      <c r="T30" s="127"/>
      <c r="U30" s="127"/>
      <c r="V30" s="127"/>
      <c r="W30" s="127"/>
      <c r="X30" s="127"/>
      <c r="Y30" s="127"/>
    </row>
    <row r="31" spans="1:25" ht="53.5" customHeight="1" x14ac:dyDescent="0.35">
      <c r="A31" s="101" t="s">
        <v>130</v>
      </c>
      <c r="B31" s="783" t="s">
        <v>307</v>
      </c>
      <c r="C31" s="783"/>
      <c r="D31" s="783"/>
      <c r="E31" s="783"/>
      <c r="F31" s="783"/>
      <c r="G31" s="783"/>
      <c r="H31" s="783"/>
      <c r="I31" s="783"/>
      <c r="J31" s="783"/>
      <c r="K31" s="783"/>
      <c r="L31" s="783"/>
      <c r="M31" s="783"/>
      <c r="N31" s="783"/>
      <c r="O31" s="783"/>
      <c r="P31" s="783"/>
      <c r="Q31" s="783"/>
      <c r="R31" s="783"/>
      <c r="S31" s="783"/>
      <c r="T31" s="127"/>
      <c r="U31" s="127"/>
      <c r="V31" s="127"/>
      <c r="W31" s="127"/>
      <c r="X31" s="127"/>
      <c r="Y31" s="127"/>
    </row>
    <row r="32" spans="1:25" ht="24.75" customHeight="1" x14ac:dyDescent="0.35">
      <c r="A32" s="101" t="s">
        <v>201</v>
      </c>
      <c r="B32" s="783" t="s">
        <v>239</v>
      </c>
      <c r="C32" s="783"/>
      <c r="D32" s="783"/>
      <c r="E32" s="783"/>
      <c r="F32" s="783"/>
      <c r="G32" s="783"/>
      <c r="H32" s="783"/>
      <c r="I32" s="783"/>
      <c r="J32" s="783"/>
      <c r="K32" s="783"/>
      <c r="L32" s="783"/>
      <c r="M32" s="783"/>
      <c r="N32" s="783"/>
      <c r="O32" s="783"/>
      <c r="P32" s="783"/>
      <c r="Q32" s="783"/>
      <c r="R32" s="783"/>
      <c r="S32" s="783"/>
      <c r="T32" s="127"/>
      <c r="U32" s="127"/>
      <c r="V32" s="127"/>
      <c r="W32" s="127"/>
      <c r="X32" s="127"/>
      <c r="Y32" s="127"/>
    </row>
    <row r="33" spans="1:25" ht="41.5" customHeight="1" x14ac:dyDescent="0.35">
      <c r="A33" s="101"/>
      <c r="B33" s="783" t="s">
        <v>462</v>
      </c>
      <c r="C33" s="783"/>
      <c r="D33" s="783"/>
      <c r="E33" s="783"/>
      <c r="F33" s="783"/>
      <c r="G33" s="783"/>
      <c r="H33" s="783"/>
      <c r="I33" s="783"/>
      <c r="J33" s="783"/>
      <c r="K33" s="783"/>
      <c r="L33" s="783"/>
      <c r="M33" s="783"/>
      <c r="N33" s="783"/>
      <c r="O33" s="783"/>
      <c r="P33" s="783"/>
      <c r="Q33" s="783"/>
      <c r="R33" s="783"/>
      <c r="S33" s="127"/>
      <c r="T33" s="127"/>
      <c r="U33" s="127"/>
      <c r="V33" s="127"/>
      <c r="W33" s="127"/>
      <c r="X33" s="127"/>
      <c r="Y33" s="127"/>
    </row>
    <row r="34" spans="1:25" x14ac:dyDescent="0.35">
      <c r="A34" s="120" t="s">
        <v>102</v>
      </c>
      <c r="B34" s="779" t="s">
        <v>211</v>
      </c>
      <c r="C34" s="779"/>
      <c r="D34" s="779"/>
      <c r="E34" s="779"/>
      <c r="F34" s="779"/>
      <c r="G34" s="779"/>
      <c r="H34" s="779"/>
      <c r="I34" s="779"/>
      <c r="J34" s="779"/>
      <c r="K34" s="779"/>
      <c r="L34" s="779"/>
      <c r="M34" s="779"/>
      <c r="N34" s="779"/>
      <c r="O34" s="779"/>
      <c r="P34" s="779"/>
      <c r="Q34" s="779"/>
      <c r="R34" s="779"/>
      <c r="S34" s="779"/>
      <c r="T34" s="127"/>
      <c r="U34" s="127"/>
      <c r="V34" s="127"/>
      <c r="W34" s="127"/>
      <c r="X34" s="127"/>
      <c r="Y34" s="127"/>
    </row>
    <row r="35" spans="1:25" x14ac:dyDescent="0.35">
      <c r="A35" s="120" t="s">
        <v>212</v>
      </c>
      <c r="B35" s="783" t="s">
        <v>243</v>
      </c>
      <c r="C35" s="783"/>
      <c r="D35" s="783"/>
      <c r="E35" s="783"/>
      <c r="F35" s="783"/>
      <c r="G35" s="783"/>
      <c r="H35" s="783"/>
      <c r="I35" s="783"/>
      <c r="J35" s="783"/>
      <c r="K35" s="783"/>
      <c r="L35" s="783"/>
      <c r="M35" s="783"/>
      <c r="N35" s="783"/>
      <c r="O35" s="783"/>
      <c r="P35" s="783"/>
      <c r="Q35" s="783"/>
      <c r="R35" s="783"/>
      <c r="S35" s="783"/>
      <c r="T35" s="127"/>
      <c r="U35" s="127"/>
      <c r="V35" s="127"/>
      <c r="W35" s="127"/>
      <c r="X35" s="127"/>
      <c r="Y35" s="127"/>
    </row>
    <row r="36" spans="1:25" x14ac:dyDescent="0.35">
      <c r="A36" s="101" t="s">
        <v>214</v>
      </c>
      <c r="B36" s="783" t="s">
        <v>215</v>
      </c>
      <c r="C36" s="783"/>
      <c r="D36" s="783"/>
      <c r="E36" s="783"/>
      <c r="F36" s="783"/>
      <c r="G36" s="783"/>
      <c r="H36" s="783"/>
      <c r="I36" s="783"/>
      <c r="J36" s="783"/>
      <c r="K36" s="783"/>
      <c r="L36" s="783"/>
      <c r="M36" s="783"/>
      <c r="N36" s="783"/>
      <c r="O36" s="783"/>
      <c r="P36" s="783"/>
      <c r="Q36" s="783"/>
      <c r="R36" s="101"/>
      <c r="S36" s="779"/>
      <c r="T36" s="779"/>
      <c r="U36" s="779"/>
      <c r="V36" s="779"/>
      <c r="W36" s="779"/>
      <c r="X36" s="779"/>
      <c r="Y36" s="779"/>
    </row>
    <row r="37" spans="1:25" x14ac:dyDescent="0.35">
      <c r="A37" s="101" t="s">
        <v>216</v>
      </c>
      <c r="B37" s="779" t="s">
        <v>426</v>
      </c>
      <c r="C37" s="779"/>
      <c r="D37" s="779"/>
      <c r="E37" s="779"/>
      <c r="F37" s="779"/>
      <c r="G37" s="779"/>
      <c r="H37" s="779"/>
      <c r="I37" s="779"/>
      <c r="J37" s="779"/>
      <c r="K37" s="779"/>
      <c r="L37" s="779"/>
      <c r="M37" s="779"/>
      <c r="N37" s="779"/>
      <c r="O37" s="779"/>
      <c r="P37" s="779"/>
      <c r="Q37" s="779"/>
      <c r="R37" s="101"/>
      <c r="S37" s="102"/>
      <c r="T37" s="102"/>
      <c r="U37" s="102"/>
      <c r="V37" s="102"/>
      <c r="W37" s="102"/>
      <c r="X37" s="102"/>
      <c r="Y37" s="102"/>
    </row>
    <row r="38" spans="1:25" x14ac:dyDescent="0.35">
      <c r="A38" s="120" t="s">
        <v>218</v>
      </c>
      <c r="B38" s="783" t="s">
        <v>220</v>
      </c>
      <c r="C38" s="783"/>
      <c r="D38" s="783"/>
      <c r="E38" s="783"/>
      <c r="F38" s="783"/>
      <c r="G38" s="783"/>
      <c r="H38" s="783"/>
      <c r="I38" s="783"/>
      <c r="J38" s="783"/>
      <c r="K38" s="783"/>
      <c r="L38" s="783"/>
      <c r="M38" s="783"/>
      <c r="N38" s="783"/>
      <c r="O38" s="783"/>
      <c r="P38" s="783"/>
      <c r="Q38" s="783"/>
      <c r="R38" s="783"/>
      <c r="S38" s="783"/>
      <c r="T38" s="127"/>
      <c r="U38" s="127"/>
      <c r="V38" s="127"/>
      <c r="W38" s="127"/>
      <c r="X38" s="127"/>
      <c r="Y38" s="127"/>
    </row>
    <row r="39" spans="1:25" ht="28.5" customHeight="1" x14ac:dyDescent="0.35">
      <c r="A39" s="120" t="s">
        <v>219</v>
      </c>
      <c r="B39" s="783" t="s">
        <v>238</v>
      </c>
      <c r="C39" s="783"/>
      <c r="D39" s="783"/>
      <c r="E39" s="783"/>
      <c r="F39" s="783"/>
      <c r="G39" s="783"/>
      <c r="H39" s="783"/>
      <c r="I39" s="783"/>
      <c r="J39" s="783"/>
      <c r="K39" s="783"/>
      <c r="L39" s="783"/>
      <c r="M39" s="783"/>
      <c r="N39" s="783"/>
      <c r="O39" s="783"/>
      <c r="P39" s="783"/>
      <c r="Q39" s="783"/>
      <c r="R39" s="783"/>
      <c r="S39" s="783"/>
      <c r="T39" s="127"/>
      <c r="U39" s="127"/>
      <c r="V39" s="127"/>
      <c r="W39" s="127"/>
      <c r="X39" s="127"/>
      <c r="Y39" s="127"/>
    </row>
    <row r="41" spans="1:25" ht="92.25" customHeight="1" x14ac:dyDescent="0.35">
      <c r="A41" s="801" t="s">
        <v>137</v>
      </c>
      <c r="B41" s="801"/>
      <c r="C41" s="801"/>
      <c r="D41" s="801"/>
      <c r="E41" s="801"/>
      <c r="F41" s="801"/>
      <c r="G41" s="801"/>
      <c r="H41" s="801"/>
      <c r="I41" s="801"/>
      <c r="J41" s="801"/>
      <c r="K41" s="801"/>
      <c r="L41" s="801"/>
      <c r="M41" s="801"/>
      <c r="N41" s="801"/>
      <c r="O41" s="801"/>
      <c r="P41" s="801"/>
      <c r="Q41" s="801"/>
      <c r="R41" s="801"/>
      <c r="S41" s="801"/>
    </row>
  </sheetData>
  <sheetProtection algorithmName="SHA-512" hashValue="kgkibiC/hxdkpQLHzfVP2UOyu3a4bY8J6dVOtH90pneYEU8NfF9ejo8CggqeyM8jg1+cIGHiBU4Glr72GXgIPA==" saltValue="6q7u0ZT/gAHECqslBjprJQ==" spinCount="100000" sheet="1" objects="1" scenarios="1"/>
  <mergeCells count="17">
    <mergeCell ref="A41:S41"/>
    <mergeCell ref="B36:Q36"/>
    <mergeCell ref="S36:Y36"/>
    <mergeCell ref="B37:Q37"/>
    <mergeCell ref="B38:S38"/>
    <mergeCell ref="B39:S39"/>
    <mergeCell ref="B29:S29"/>
    <mergeCell ref="B31:S31"/>
    <mergeCell ref="B32:S32"/>
    <mergeCell ref="B34:S34"/>
    <mergeCell ref="B35:S35"/>
    <mergeCell ref="B33:R33"/>
    <mergeCell ref="A5:A7"/>
    <mergeCell ref="B5:B7"/>
    <mergeCell ref="C3:K4"/>
    <mergeCell ref="C5:C6"/>
    <mergeCell ref="L3:Q4"/>
  </mergeCells>
  <hyperlinks>
    <hyperlink ref="B27" location="BOYACA!A41" display="Ver Nota Informativa" xr:uid="{00000000-0004-0000-0A00-000000000000}"/>
  </hyperlinks>
  <pageMargins left="0.7" right="0.7" top="0.75" bottom="0.75" header="0.3" footer="0.3"/>
  <ignoredErrors>
    <ignoredError sqref="C11 C12:C13 C17:C24 H11" formula="1"/>
    <ignoredError sqref="Q12:Q13 Q17:Q24 F17:F24 F12:F15 M17:M24 M15 M12:M13 H17:H24 H12:H13 K12:K15 K17:K24" numberStoredAsText="1" formula="1"/>
    <ignoredError sqref="Q25:R25 R16:R24 F25 M25 H25 K25" numberStoredAsText="1"/>
  </ignoredErrors>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vt:i4>
      </vt:variant>
    </vt:vector>
  </HeadingPairs>
  <TitlesOfParts>
    <vt:vector size="22" baseType="lpstr">
      <vt:lpstr>Tma</vt:lpstr>
      <vt:lpstr>SP</vt:lpstr>
      <vt:lpstr>Calculo IP ZDF</vt:lpstr>
      <vt:lpstr>RUBROS</vt:lpstr>
      <vt:lpstr>GAS CTE</vt:lpstr>
      <vt:lpstr>BIODIESEL</vt:lpstr>
      <vt:lpstr>AMAZONAS</vt:lpstr>
      <vt:lpstr>ARAUCA</vt:lpstr>
      <vt:lpstr>BOYACA</vt:lpstr>
      <vt:lpstr>CESAR</vt:lpstr>
      <vt:lpstr>CHOCO</vt:lpstr>
      <vt:lpstr>NARIÑO</vt:lpstr>
      <vt:lpstr>GUAINIA</vt:lpstr>
      <vt:lpstr>LA GUAJIRA</vt:lpstr>
      <vt:lpstr>NORTE SANTANDER</vt:lpstr>
      <vt:lpstr>PUTUMAYO</vt:lpstr>
      <vt:lpstr>VAUPES</vt:lpstr>
      <vt:lpstr>VICHADA</vt:lpstr>
      <vt:lpstr>BI ECP </vt:lpstr>
      <vt:lpstr>BI REFICAR</vt:lpstr>
      <vt:lpstr>ELECTROCOMBUSTIBLE</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Helbert Martinez Puerto</cp:lastModifiedBy>
  <dcterms:created xsi:type="dcterms:W3CDTF">2019-03-31T15:51:33Z</dcterms:created>
  <dcterms:modified xsi:type="dcterms:W3CDTF">2024-01-26T16:06:52Z</dcterms:modified>
</cp:coreProperties>
</file>