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Y:\GRE_PUBLICACIONES\HISTORICOS 2025\"/>
    </mc:Choice>
  </mc:AlternateContent>
  <xr:revisionPtr revIDLastSave="0" documentId="8_{82298FFC-08B3-4C26-9E51-8A0FF31D4F6B}" xr6:coauthVersionLast="47" xr6:coauthVersionMax="47" xr10:uidLastSave="{00000000-0000-0000-0000-000000000000}"/>
  <bookViews>
    <workbookView xWindow="-120" yWindow="-120" windowWidth="29040" windowHeight="15720" tabRatio="938" firstSheet="3" activeTab="3" xr2:uid="{00000000-000D-0000-FFFF-FFFF00000000}"/>
  </bookViews>
  <sheets>
    <sheet name="Resoluciones, leyes" sheetId="122" state="hidden" r:id="rId1"/>
    <sheet name="TARIFAS DE TRANSPORTE" sheetId="61" state="hidden" r:id="rId2"/>
    <sheet name="Fechas" sheetId="188" state="hidden" r:id="rId3"/>
    <sheet name="COMBUSTIBLES " sheetId="1" r:id="rId4"/>
    <sheet name="GASOLINA CORRIENTE " sheetId="46" r:id="rId5"/>
    <sheet name="GASOLINA EXTRA" sheetId="116" r:id="rId6"/>
    <sheet name="BIODIESEL" sheetId="95" r:id="rId7"/>
    <sheet name="SAN-ANDRES + GENERACION" sheetId="4" r:id="rId8"/>
    <sheet name="DIESEL MARINO" sheetId="121" r:id="rId9"/>
    <sheet name="GCINI 31 Ag al 02 de Sep" sheetId="178" state="hidden" r:id="rId10"/>
    <sheet name="GCINI 03 al 09 de Sep" sheetId="181" state="hidden" r:id="rId11"/>
    <sheet name="GCINI 10 al 16 de Sep" sheetId="182" state="hidden" r:id="rId12"/>
    <sheet name="GCINI 17 al 23 de Sep" sheetId="184" state="hidden" r:id="rId13"/>
    <sheet name="GCINI 24 al 30 de Sep" sheetId="187" state="hidden" r:id="rId14"/>
    <sheet name="GR. CONSU. 31 Agost 02 de sep" sheetId="179" state="hidden" r:id="rId15"/>
    <sheet name="GR. CONSU. 03 al 09 de Sep" sheetId="180" state="hidden" r:id="rId16"/>
    <sheet name="GR. CONSU. 10 al 16 de Sep" sheetId="183" state="hidden" r:id="rId17"/>
    <sheet name="GR. CONSU. 17 al 23 de Sep" sheetId="185" state="hidden" r:id="rId18"/>
    <sheet name="GR. CONSU. 24 al 30 de Sep" sheetId="186" state="hidden" r:id="rId19"/>
    <sheet name="GCINI 31 DIC al 07 de Ene 2025" sheetId="223" r:id="rId20"/>
    <sheet name="GCINI 08 al 13 de ENERO 2025" sheetId="225" r:id="rId21"/>
    <sheet name="GCINI  14 al 20 de ENERO 2025" sheetId="226" r:id="rId22"/>
    <sheet name="GCINI  21 al 27 de ENERO 2025" sheetId="228" r:id="rId23"/>
    <sheet name="GCINI  28 al 31 de ENERO 2025" sheetId="231" r:id="rId24"/>
    <sheet name="GR. Cons 31 DiC 06 ENE 2025" sheetId="222" r:id="rId25"/>
    <sheet name="GR. Cons 07 al 13 ENE 2025" sheetId="224" r:id="rId26"/>
    <sheet name="GR. Cons 14 al 20 ENE 2025 " sheetId="227" r:id="rId27"/>
    <sheet name="GR. Cons 21 al 27 ENE 2025" sheetId="229" r:id="rId28"/>
    <sheet name="GR. Cons 28 al 31 ENE" sheetId="232" r:id="rId29"/>
    <sheet name="BI ECOPETROL" sheetId="130" state="hidden" r:id="rId30"/>
    <sheet name="BI RCSA" sheetId="1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A" localSheetId="6">#REF!</definedName>
    <definedName name="\A" localSheetId="3">#REF!</definedName>
    <definedName name="\A" localSheetId="8">#REF!</definedName>
    <definedName name="\A" localSheetId="4">#REF!</definedName>
    <definedName name="\A">#REF!</definedName>
    <definedName name="\L" localSheetId="6">#REF!</definedName>
    <definedName name="\L" localSheetId="3">#REF!</definedName>
    <definedName name="\L" localSheetId="8">#REF!</definedName>
    <definedName name="\L" localSheetId="4">#REF!</definedName>
    <definedName name="\L">#REF!</definedName>
    <definedName name="\P" localSheetId="6">#REF!</definedName>
    <definedName name="\P" localSheetId="3">#REF!</definedName>
    <definedName name="\P" localSheetId="8">#REF!</definedName>
    <definedName name="\P" localSheetId="4">#REF!</definedName>
    <definedName name="\P">#REF!</definedName>
    <definedName name="_xlnm._FilterDatabase" localSheetId="29" hidden="1">'BI ECOPETROL'!$A$1:$V$98</definedName>
    <definedName name="_xlnm._FilterDatabase" localSheetId="30" hidden="1">'BI RCSA'!$A$1:$V$45</definedName>
    <definedName name="_xlnm._FilterDatabase" localSheetId="3" hidden="1">'COMBUSTIBLES '!$A$1:$K$21</definedName>
    <definedName name="_xlnm._FilterDatabase" localSheetId="2" hidden="1">Fechas!$A$1:$B$854</definedName>
    <definedName name="_xlnm._FilterDatabase" localSheetId="21" hidden="1">'GCINI  14 al 20 de ENERO 2025'!$A$1:$A$9</definedName>
    <definedName name="_xlnm._FilterDatabase" localSheetId="22" hidden="1">'GCINI  21 al 27 de ENERO 2025'!$A$1:$A$9</definedName>
    <definedName name="_xlnm._FilterDatabase" localSheetId="23" hidden="1">'GCINI  28 al 31 de ENERO 2025'!$A$1:$A$9</definedName>
    <definedName name="_xlnm._FilterDatabase" localSheetId="10" hidden="1">'GCINI 03 al 09 de Sep'!$A$1:$A$9</definedName>
    <definedName name="_xlnm._FilterDatabase" localSheetId="20" hidden="1">'GCINI 08 al 13 de ENERO 2025'!$A$1:$A$9</definedName>
    <definedName name="_xlnm._FilterDatabase" localSheetId="11" hidden="1">'GCINI 10 al 16 de Sep'!$A$1:$A$9</definedName>
    <definedName name="_xlnm._FilterDatabase" localSheetId="12" hidden="1">'GCINI 17 al 23 de Sep'!$A$1:$A$9</definedName>
    <definedName name="_xlnm._FilterDatabase" localSheetId="13" hidden="1">'GCINI 24 al 30 de Sep'!$A$1:$A$9</definedName>
    <definedName name="_xlnm._FilterDatabase" localSheetId="9" hidden="1">'GCINI 31 Ag al 02 de Sep'!$A$1:$A$9</definedName>
    <definedName name="_xlnm._FilterDatabase" localSheetId="19" hidden="1">'GCINI 31 DIC al 07 de Ene 2025'!$A$1:$A$9</definedName>
    <definedName name="_xlnm._FilterDatabase" localSheetId="25" hidden="1">'GR. Cons 07 al 13 ENE 2025'!$A$1:$A$10</definedName>
    <definedName name="_xlnm._FilterDatabase" localSheetId="26" hidden="1">'GR. Cons 14 al 20 ENE 2025 '!$A$1:$A$10</definedName>
    <definedName name="_xlnm._FilterDatabase" localSheetId="27" hidden="1">'GR. Cons 21 al 27 ENE 2025'!$A$1:$A$10</definedName>
    <definedName name="_xlnm._FilterDatabase" localSheetId="28" hidden="1">'GR. Cons 28 al 31 ENE'!$A$1:$A$10</definedName>
    <definedName name="_xlnm._FilterDatabase" localSheetId="24" hidden="1">'GR. Cons 31 DiC 06 ENE 2025'!$A$1:$A$10</definedName>
    <definedName name="_xlnm._FilterDatabase" localSheetId="15" hidden="1">'GR. CONSU. 03 al 09 de Sep'!$A$1:$A$10</definedName>
    <definedName name="_xlnm._FilterDatabase" localSheetId="16" hidden="1">'GR. CONSU. 10 al 16 de Sep'!$A$1:$A$10</definedName>
    <definedName name="_xlnm._FilterDatabase" localSheetId="17" hidden="1">'GR. CONSU. 17 al 23 de Sep'!$A$1:$A$10</definedName>
    <definedName name="_xlnm._FilterDatabase" localSheetId="18" hidden="1">'GR. CONSU. 24 al 30 de Sep'!$A$1:$A$10</definedName>
    <definedName name="_xlnm._FilterDatabase" localSheetId="14" hidden="1">'GR. CONSU. 31 Agost 02 de sep'!$A$1:$A$10</definedName>
    <definedName name="_xlnm._FilterDatabase" localSheetId="1" hidden="1">'TARIFAS DE TRANSPORTE'!$A$1:$B$9</definedName>
    <definedName name="A_IMPRESIÓN_IM" localSheetId="6">#REF!</definedName>
    <definedName name="A_IMPRESIÓN_IM" localSheetId="3">#REF!</definedName>
    <definedName name="A_IMPRESIÓN_IM" localSheetId="8">#REF!</definedName>
    <definedName name="A_IMPRESIÓN_IM" localSheetId="4">#REF!</definedName>
    <definedName name="A_IMPRESIÓN_IM">#REF!</definedName>
    <definedName name="ADI" localSheetId="6">#REF!</definedName>
    <definedName name="ADI" localSheetId="3">#REF!</definedName>
    <definedName name="ADI" localSheetId="8">#REF!</definedName>
    <definedName name="ADI" localSheetId="4">#REF!</definedName>
    <definedName name="ADI">#REF!</definedName>
    <definedName name="_xlnm.Print_Area" localSheetId="6">BIODIESEL!$A$4:$D$24</definedName>
    <definedName name="_xlnm.Print_Area" localSheetId="3">'COMBUSTIBLES '!$A$2:$G$21</definedName>
    <definedName name="_xlnm.Print_Area" localSheetId="8">'DIESEL MARINO'!$C$25:$H$44</definedName>
    <definedName name="_xlnm.Print_Area" localSheetId="4">'GASOLINA CORRIENTE '!$A$2:$C$25</definedName>
    <definedName name="_xlnm.Print_Area" localSheetId="21">'GCINI  14 al 20 de ENERO 2025'!$A$1:$G$18</definedName>
    <definedName name="_xlnm.Print_Area" localSheetId="22">'GCINI  21 al 27 de ENERO 2025'!$A$1:$G$18</definedName>
    <definedName name="_xlnm.Print_Area" localSheetId="23">'GCINI  28 al 31 de ENERO 2025'!$A$1:$G$18</definedName>
    <definedName name="_xlnm.Print_Area" localSheetId="10">'GCINI 03 al 09 de Sep'!$A$1:$G$18</definedName>
    <definedName name="_xlnm.Print_Area" localSheetId="20">'GCINI 08 al 13 de ENERO 2025'!$A$1:$G$18</definedName>
    <definedName name="_xlnm.Print_Area" localSheetId="11">'GCINI 10 al 16 de Sep'!$A$1:$G$18</definedName>
    <definedName name="_xlnm.Print_Area" localSheetId="12">'GCINI 17 al 23 de Sep'!$A$1:$G$18</definedName>
    <definedName name="_xlnm.Print_Area" localSheetId="13">'GCINI 24 al 30 de Sep'!$A$1:$G$18</definedName>
    <definedName name="_xlnm.Print_Area" localSheetId="9">'GCINI 31 Ag al 02 de Sep'!$A$1:$K$18</definedName>
    <definedName name="_xlnm.Print_Area" localSheetId="19">'GCINI 31 DIC al 07 de Ene 2025'!$A$1:$G$18</definedName>
    <definedName name="_xlnm.Print_Area" localSheetId="25">'GR. Cons 07 al 13 ENE 2025'!$A$1:$E$14</definedName>
    <definedName name="_xlnm.Print_Area" localSheetId="26">'GR. Cons 14 al 20 ENE 2025 '!$A$1:$E$14</definedName>
    <definedName name="_xlnm.Print_Area" localSheetId="27">'GR. Cons 21 al 27 ENE 2025'!$A$1:$E$14</definedName>
    <definedName name="_xlnm.Print_Area" localSheetId="28">'GR. Cons 28 al 31 ENE'!$A$1:$E$14</definedName>
    <definedName name="_xlnm.Print_Area" localSheetId="24">'GR. Cons 31 DiC 06 ENE 2025'!$A$1:$E$14</definedName>
    <definedName name="_xlnm.Print_Area" localSheetId="15">'GR. CONSU. 03 al 09 de Sep'!$A$1:$E$14</definedName>
    <definedName name="_xlnm.Print_Area" localSheetId="16">'GR. CONSU. 10 al 16 de Sep'!$A$1:$E$14</definedName>
    <definedName name="_xlnm.Print_Area" localSheetId="17">'GR. CONSU. 17 al 23 de Sep'!$A$1:$E$14</definedName>
    <definedName name="_xlnm.Print_Area" localSheetId="18">'GR. CONSU. 24 al 30 de Sep'!$A$1:$E$14</definedName>
    <definedName name="_xlnm.Print_Area" localSheetId="14">'GR. CONSU. 31 Agost 02 de sep'!$A$1:$E$14</definedName>
    <definedName name="_xlnm.Print_Area" localSheetId="7">'SAN-ANDRES + GENERACION'!$B$1:$G$32</definedName>
    <definedName name="_xlnm.Print_Area" localSheetId="1">'TARIFAS DE TRANSPORTE'!$A$1:$C$34</definedName>
    <definedName name="base" localSheetId="8">#REF!</definedName>
    <definedName name="base">#REF!</definedName>
    <definedName name="base_VaR" localSheetId="8">#REF!</definedName>
    <definedName name="base_VaR">#REF!</definedName>
    <definedName name="CONTADO" localSheetId="8">#REF!</definedName>
    <definedName name="CONTADO">#REF!</definedName>
    <definedName name="CREDITO" localSheetId="8">#REF!</definedName>
    <definedName name="CREDITO">#REF!</definedName>
    <definedName name="DAT" localSheetId="6">#REF!</definedName>
    <definedName name="DAT" localSheetId="3">#REF!</definedName>
    <definedName name="DAT" localSheetId="8">#REF!</definedName>
    <definedName name="DAT" localSheetId="4">#REF!</definedName>
    <definedName name="DAT">#REF!</definedName>
    <definedName name="E_03" localSheetId="8">#REF!</definedName>
    <definedName name="E_03">#REF!</definedName>
    <definedName name="ERR" localSheetId="6">[1]TARIF2002!#REF!</definedName>
    <definedName name="ERR" localSheetId="8">[2]TARIF2002!#REF!</definedName>
    <definedName name="ERR" localSheetId="4">[1]TARIF2002!#REF!</definedName>
    <definedName name="ERR">[2]TARIF2002!#REF!</definedName>
    <definedName name="ERROR" localSheetId="6">#REF!</definedName>
    <definedName name="ERROR" localSheetId="8">#REF!</definedName>
    <definedName name="ERROR" localSheetId="4">#REF!</definedName>
    <definedName name="ERROR">#REF!</definedName>
    <definedName name="ERROR1" localSheetId="6">#REF!</definedName>
    <definedName name="ERROR1" localSheetId="8">#REF!</definedName>
    <definedName name="ERROR1" localSheetId="4">#REF!</definedName>
    <definedName name="ERROR1">#REF!</definedName>
    <definedName name="ERROR2" localSheetId="6">#REF!</definedName>
    <definedName name="ERROR2" localSheetId="8">#REF!</definedName>
    <definedName name="ERROR2" localSheetId="4">#REF!</definedName>
    <definedName name="ERROR2">#REF!</definedName>
    <definedName name="ERROR3" localSheetId="6">[1]TARIF2002!#REF!</definedName>
    <definedName name="ERROR3" localSheetId="8">[2]TARIF2002!#REF!</definedName>
    <definedName name="ERROR3" localSheetId="4">[1]TARIF2002!#REF!</definedName>
    <definedName name="ERROR3">[2]TARIF2002!#REF!</definedName>
    <definedName name="ERROR5" localSheetId="6">[1]TARIF2002!#REF!</definedName>
    <definedName name="ERROR5" localSheetId="8">[2]TARIF2002!#REF!</definedName>
    <definedName name="ERROR5" localSheetId="4">[1]TARIF2002!#REF!</definedName>
    <definedName name="ERROR5">[2]TARIF2002!#REF!</definedName>
    <definedName name="j" localSheetId="6">#REF!</definedName>
    <definedName name="j" localSheetId="8">#REF!</definedName>
    <definedName name="j" localSheetId="4">#REF!</definedName>
    <definedName name="j">#REF!</definedName>
    <definedName name="JA" localSheetId="8">#REF!</definedName>
    <definedName name="JA">#REF!</definedName>
    <definedName name="MATRIZRICS" localSheetId="6">'[3]RICS NUEVA HOJA DIARIA'!$A$1:$AB$42</definedName>
    <definedName name="MATRIZRICS" localSheetId="4">'[3]RICS NUEVA HOJA DIARIA'!$A$1:$AB$42</definedName>
    <definedName name="MATRIZRICS">'[4]RICS NUEVA HOJA DIARIA'!$A$1:$AB$42</definedName>
    <definedName name="MES" localSheetId="6">#REF!</definedName>
    <definedName name="MES" localSheetId="3">#REF!</definedName>
    <definedName name="MES" localSheetId="8">#REF!</definedName>
    <definedName name="MES" localSheetId="4">#REF!</definedName>
    <definedName name="MES">#REF!</definedName>
    <definedName name="Q" localSheetId="6">[5]TARIF2002!#REF!</definedName>
    <definedName name="Q" localSheetId="8">[6]TARIF2002!#REF!</definedName>
    <definedName name="Q" localSheetId="4">[5]TARIF2002!#REF!</definedName>
    <definedName name="Q">[6]TARIF2002!#REF!</definedName>
    <definedName name="QE" localSheetId="6">[7]TARIF2002!#REF!</definedName>
    <definedName name="QE" localSheetId="3">[8]TARIF2002!#REF!</definedName>
    <definedName name="QE" localSheetId="8">[2]TARIF2002!#REF!</definedName>
    <definedName name="QE" localSheetId="4">[7]TARIF2002!#REF!</definedName>
    <definedName name="QE">[2]TARIF2002!#REF!</definedName>
    <definedName name="QE_TE" localSheetId="6">[7]TARIF2002!#REF!</definedName>
    <definedName name="QE_TE" localSheetId="3">[8]TARIF2002!#REF!</definedName>
    <definedName name="QE_TE" localSheetId="8">[2]TARIF2002!#REF!</definedName>
    <definedName name="QE_TE" localSheetId="4">[7]TARIF2002!#REF!</definedName>
    <definedName name="QE_TE">[2]TARIF2002!#REF!</definedName>
    <definedName name="QI" localSheetId="6">[7]TARIF2002!#REF!</definedName>
    <definedName name="QI" localSheetId="3">[8]TARIF2002!#REF!</definedName>
    <definedName name="QI" localSheetId="8">[2]TARIF2002!#REF!</definedName>
    <definedName name="QI" localSheetId="4">[7]TARIF2002!#REF!</definedName>
    <definedName name="QI">[2]TARIF2002!#REF!</definedName>
    <definedName name="QI_TI" localSheetId="6">[7]TARIF2002!#REF!</definedName>
    <definedName name="QI_TI" localSheetId="3">[8]TARIF2002!#REF!</definedName>
    <definedName name="QI_TI" localSheetId="8">[2]TARIF2002!#REF!</definedName>
    <definedName name="QI_TI" localSheetId="4">[7]TARIF2002!#REF!</definedName>
    <definedName name="QI_TI">[2]TARIF2002!#REF!</definedName>
    <definedName name="QN" localSheetId="6">[7]TARIF2002!#REF!</definedName>
    <definedName name="QN" localSheetId="3">[8]TARIF2002!#REF!</definedName>
    <definedName name="QN" localSheetId="8">[2]TARIF2002!#REF!</definedName>
    <definedName name="QN" localSheetId="4">[7]TARIF2002!#REF!</definedName>
    <definedName name="QN">[2]TARIF2002!#REF!</definedName>
    <definedName name="QN_QI" localSheetId="6">[7]TARIF2002!#REF!</definedName>
    <definedName name="QN_QI" localSheetId="3">[8]TARIF2002!#REF!</definedName>
    <definedName name="QN_QI" localSheetId="8">[2]TARIF2002!#REF!</definedName>
    <definedName name="QN_QI" localSheetId="4">[7]TARIF2002!#REF!</definedName>
    <definedName name="QN_QI">[2]TARIF2002!#REF!</definedName>
    <definedName name="QNS" localSheetId="6">[5]TARIF2002!#REF!</definedName>
    <definedName name="QNS" localSheetId="8">[6]TARIF2002!#REF!</definedName>
    <definedName name="QNS" localSheetId="4">[5]TARIF2002!#REF!</definedName>
    <definedName name="QNS">[6]TARIF2002!#REF!</definedName>
    <definedName name="REG" localSheetId="6">#REF!</definedName>
    <definedName name="REG" localSheetId="3">#REF!</definedName>
    <definedName name="REG" localSheetId="8">#REF!</definedName>
    <definedName name="REG" localSheetId="4">#REF!</definedName>
    <definedName name="REG">#REF!</definedName>
    <definedName name="REGULAR" localSheetId="6">#REF!</definedName>
    <definedName name="REGULAR" localSheetId="3">#REF!</definedName>
    <definedName name="REGULAR" localSheetId="8">#REF!</definedName>
    <definedName name="REGULAR" localSheetId="4">#REF!</definedName>
    <definedName name="REGULAR">#REF!</definedName>
    <definedName name="SOL" localSheetId="6">#REF!</definedName>
    <definedName name="SOL" localSheetId="3">#REF!</definedName>
    <definedName name="SOL" localSheetId="8">#REF!</definedName>
    <definedName name="SOL" localSheetId="4">#REF!</definedName>
    <definedName name="SOL">#REF!</definedName>
    <definedName name="TABLE" localSheetId="6">BIODIESEL!$A$2:$A$24</definedName>
    <definedName name="TABLE" localSheetId="3">'COMBUSTIBLES '!$A$2:$G$21</definedName>
    <definedName name="TABLE" localSheetId="4">'GASOLINA CORRIENTE '!$A$2:$C$23</definedName>
    <definedName name="TE" localSheetId="6">[7]TARIF2002!#REF!</definedName>
    <definedName name="TE" localSheetId="3">[8]TARIF2002!#REF!</definedName>
    <definedName name="TE" localSheetId="8">[2]TARIF2002!#REF!</definedName>
    <definedName name="TE" localSheetId="4">[7]TARIF2002!#REF!</definedName>
    <definedName name="TE">[2]TARIF2002!#REF!</definedName>
    <definedName name="TI" localSheetId="6">[7]TARIF2002!#REF!</definedName>
    <definedName name="TI" localSheetId="3">[8]TARIF2002!#REF!</definedName>
    <definedName name="TI" localSheetId="8">[2]TARIF2002!#REF!</definedName>
    <definedName name="TI" localSheetId="4">[7]TARIF2002!#REF!</definedName>
    <definedName name="TI">[2]TARIF2002!#REF!</definedName>
    <definedName name="TITU" localSheetId="6">#REF!</definedName>
    <definedName name="TITU" localSheetId="3">#REF!</definedName>
    <definedName name="TITU" localSheetId="8">#REF!</definedName>
    <definedName name="TITU" localSheetId="4">#REF!</definedName>
    <definedName name="TITU">#REF!</definedName>
    <definedName name="TOT" localSheetId="6">#REF!</definedName>
    <definedName name="TOT" localSheetId="3">#REF!</definedName>
    <definedName name="TOT" localSheetId="8">#REF!</definedName>
    <definedName name="TOT" localSheetId="4">#REF!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6" i="232" l="1"/>
  <c r="B35" i="232"/>
  <c r="A35" i="232"/>
  <c r="B34" i="232"/>
  <c r="B33" i="232"/>
  <c r="B32" i="232"/>
  <c r="A32" i="232"/>
  <c r="P13" i="232"/>
  <c r="O13" i="232"/>
  <c r="N13" i="232"/>
  <c r="M13" i="232"/>
  <c r="AV12" i="232"/>
  <c r="E12" i="232"/>
  <c r="C12" i="232"/>
  <c r="D12" i="232" s="1"/>
  <c r="B12" i="232"/>
  <c r="AV11" i="232"/>
  <c r="AQ11" i="232"/>
  <c r="D11" i="232"/>
  <c r="B11" i="232"/>
  <c r="AQ9" i="232" s="1"/>
  <c r="AV10" i="232"/>
  <c r="B10" i="232"/>
  <c r="AV9" i="232"/>
  <c r="E9" i="232"/>
  <c r="C9" i="232"/>
  <c r="D8" i="232"/>
  <c r="E8" i="232" s="1"/>
  <c r="B8" i="232"/>
  <c r="A36" i="232" s="1"/>
  <c r="AV5" i="232"/>
  <c r="B5" i="232"/>
  <c r="AW3" i="232" s="1"/>
  <c r="AW4" i="232"/>
  <c r="AV4" i="232"/>
  <c r="AQ4" i="232"/>
  <c r="AV3" i="232"/>
  <c r="AV2" i="232"/>
  <c r="AQ2" i="232"/>
  <c r="E18" i="231"/>
  <c r="H18" i="231" s="1"/>
  <c r="K18" i="231" s="1"/>
  <c r="D18" i="231"/>
  <c r="G18" i="231" s="1"/>
  <c r="J18" i="231" s="1"/>
  <c r="C18" i="231"/>
  <c r="B18" i="231"/>
  <c r="AV17" i="231"/>
  <c r="AU17" i="231"/>
  <c r="AV16" i="231"/>
  <c r="AU16" i="231"/>
  <c r="AV15" i="231"/>
  <c r="AU15" i="231"/>
  <c r="K15" i="231"/>
  <c r="J15" i="231"/>
  <c r="H15" i="231"/>
  <c r="I15" i="231" s="1"/>
  <c r="G15" i="231"/>
  <c r="F15" i="231"/>
  <c r="D15" i="231"/>
  <c r="E15" i="231" s="1"/>
  <c r="B15" i="231"/>
  <c r="C15" i="231" s="1"/>
  <c r="K13" i="231"/>
  <c r="J13" i="231"/>
  <c r="I13" i="231"/>
  <c r="H13" i="231"/>
  <c r="G13" i="231"/>
  <c r="F13" i="231"/>
  <c r="E13" i="231"/>
  <c r="D13" i="231"/>
  <c r="C13" i="231"/>
  <c r="B13" i="231"/>
  <c r="A13" i="231"/>
  <c r="AV11" i="231"/>
  <c r="AU11" i="231"/>
  <c r="V11" i="231"/>
  <c r="U11" i="231"/>
  <c r="T11" i="231"/>
  <c r="S11" i="231"/>
  <c r="AV10" i="231"/>
  <c r="AU10" i="231"/>
  <c r="I10" i="231"/>
  <c r="H10" i="231"/>
  <c r="G10" i="231"/>
  <c r="D10" i="231"/>
  <c r="E10" i="231" s="1"/>
  <c r="C10" i="231"/>
  <c r="AV9" i="231"/>
  <c r="AU9" i="231"/>
  <c r="AP9" i="231"/>
  <c r="H9" i="231"/>
  <c r="F9" i="231"/>
  <c r="B9" i="231"/>
  <c r="AV8" i="231"/>
  <c r="AU8" i="231"/>
  <c r="AP8" i="231"/>
  <c r="K8" i="231"/>
  <c r="G8" i="231"/>
  <c r="AP11" i="231" s="1"/>
  <c r="E8" i="231"/>
  <c r="AP10" i="231" s="1"/>
  <c r="C8" i="231"/>
  <c r="AP17" i="231" s="1"/>
  <c r="B8" i="231"/>
  <c r="J8" i="231" s="1"/>
  <c r="AV7" i="231"/>
  <c r="AU7" i="231"/>
  <c r="J7" i="231"/>
  <c r="A40" i="231" s="1"/>
  <c r="I7" i="231"/>
  <c r="I9" i="231" s="1"/>
  <c r="G7" i="231"/>
  <c r="G9" i="231" s="1"/>
  <c r="D7" i="231"/>
  <c r="E7" i="231" s="1"/>
  <c r="A36" i="231" s="1"/>
  <c r="C7" i="231"/>
  <c r="AP16" i="231" s="1"/>
  <c r="AV6" i="231"/>
  <c r="AU6" i="231"/>
  <c r="AV5" i="231"/>
  <c r="AU5" i="231"/>
  <c r="AP5" i="231"/>
  <c r="AV4" i="231"/>
  <c r="AU4" i="231"/>
  <c r="AV3" i="231"/>
  <c r="AU3" i="231"/>
  <c r="AV2" i="231"/>
  <c r="AU2" i="231"/>
  <c r="AP2" i="231"/>
  <c r="B36" i="229"/>
  <c r="B35" i="229"/>
  <c r="A35" i="229"/>
  <c r="B34" i="229"/>
  <c r="B33" i="229"/>
  <c r="B32" i="229"/>
  <c r="A32" i="229"/>
  <c r="P13" i="229"/>
  <c r="O13" i="229"/>
  <c r="N13" i="229"/>
  <c r="M13" i="229"/>
  <c r="AV12" i="229"/>
  <c r="E12" i="229"/>
  <c r="C12" i="229"/>
  <c r="D12" i="229" s="1"/>
  <c r="B12" i="229"/>
  <c r="AV11" i="229"/>
  <c r="AQ11" i="229"/>
  <c r="D11" i="229"/>
  <c r="B11" i="229"/>
  <c r="AQ9" i="229" s="1"/>
  <c r="AV10" i="229"/>
  <c r="B10" i="229"/>
  <c r="AV9" i="229"/>
  <c r="E9" i="229"/>
  <c r="C9" i="229"/>
  <c r="D8" i="229"/>
  <c r="E8" i="229" s="1"/>
  <c r="B8" i="229"/>
  <c r="A36" i="229" s="1"/>
  <c r="AV5" i="229"/>
  <c r="B5" i="229"/>
  <c r="AW3" i="229" s="1"/>
  <c r="AV4" i="229"/>
  <c r="AQ4" i="229"/>
  <c r="AV3" i="229"/>
  <c r="AV2" i="229"/>
  <c r="AQ2" i="229"/>
  <c r="D7" i="228"/>
  <c r="E18" i="228"/>
  <c r="H18" i="228" s="1"/>
  <c r="K18" i="228" s="1"/>
  <c r="D18" i="228"/>
  <c r="G18" i="228" s="1"/>
  <c r="J18" i="228" s="1"/>
  <c r="C18" i="228"/>
  <c r="B18" i="228"/>
  <c r="AV17" i="228"/>
  <c r="AU17" i="228"/>
  <c r="AV16" i="228"/>
  <c r="AU16" i="228"/>
  <c r="AV15" i="228"/>
  <c r="AU15" i="228"/>
  <c r="K15" i="228"/>
  <c r="J15" i="228"/>
  <c r="H15" i="228"/>
  <c r="I15" i="228" s="1"/>
  <c r="G15" i="228"/>
  <c r="F15" i="228"/>
  <c r="E15" i="228"/>
  <c r="D15" i="228"/>
  <c r="B15" i="228"/>
  <c r="C15" i="228" s="1"/>
  <c r="K13" i="228"/>
  <c r="J13" i="228"/>
  <c r="I13" i="228"/>
  <c r="H13" i="228"/>
  <c r="G13" i="228"/>
  <c r="F13" i="228"/>
  <c r="E13" i="228"/>
  <c r="D13" i="228"/>
  <c r="C13" i="228"/>
  <c r="B13" i="228"/>
  <c r="A13" i="228"/>
  <c r="AV11" i="228"/>
  <c r="AU11" i="228"/>
  <c r="V11" i="228"/>
  <c r="U11" i="228"/>
  <c r="T11" i="228"/>
  <c r="S11" i="228"/>
  <c r="AV10" i="228"/>
  <c r="AU10" i="228"/>
  <c r="AP10" i="228"/>
  <c r="I10" i="228"/>
  <c r="H10" i="228"/>
  <c r="G10" i="228"/>
  <c r="D10" i="228"/>
  <c r="E10" i="228" s="1"/>
  <c r="AV9" i="228"/>
  <c r="AU9" i="228"/>
  <c r="AP9" i="228"/>
  <c r="K9" i="228"/>
  <c r="H9" i="228"/>
  <c r="F9" i="228"/>
  <c r="D9" i="228"/>
  <c r="B9" i="228"/>
  <c r="AV8" i="228"/>
  <c r="AU8" i="228"/>
  <c r="AP8" i="228"/>
  <c r="K8" i="228"/>
  <c r="G8" i="228"/>
  <c r="AP11" i="228" s="1"/>
  <c r="E8" i="228"/>
  <c r="E9" i="228" s="1"/>
  <c r="C8" i="228"/>
  <c r="AP17" i="228" s="1"/>
  <c r="B8" i="228"/>
  <c r="J8" i="228" s="1"/>
  <c r="AV7" i="228"/>
  <c r="AU7" i="228"/>
  <c r="AP7" i="228"/>
  <c r="K7" i="228"/>
  <c r="J7" i="228"/>
  <c r="J9" i="228" s="1"/>
  <c r="I7" i="228"/>
  <c r="AP3" i="228" s="1"/>
  <c r="G7" i="228"/>
  <c r="A38" i="228" s="1"/>
  <c r="E7" i="228"/>
  <c r="A36" i="228" s="1"/>
  <c r="C7" i="228"/>
  <c r="AP16" i="228" s="1"/>
  <c r="AV6" i="228"/>
  <c r="AU6" i="228"/>
  <c r="AV5" i="228"/>
  <c r="AU5" i="228"/>
  <c r="AP5" i="228"/>
  <c r="AV4" i="228"/>
  <c r="AU4" i="228"/>
  <c r="AP4" i="228"/>
  <c r="AV3" i="228"/>
  <c r="AU3" i="228"/>
  <c r="AV2" i="228"/>
  <c r="AU2" i="228"/>
  <c r="AP2" i="228"/>
  <c r="B5" i="227"/>
  <c r="AW2" i="227"/>
  <c r="B36" i="227"/>
  <c r="B35" i="227"/>
  <c r="A35" i="227"/>
  <c r="B34" i="227"/>
  <c r="B33" i="227"/>
  <c r="B32" i="227"/>
  <c r="A32" i="227"/>
  <c r="P13" i="227"/>
  <c r="O13" i="227"/>
  <c r="N13" i="227"/>
  <c r="M13" i="227"/>
  <c r="AW12" i="227"/>
  <c r="AV12" i="227"/>
  <c r="E12" i="227"/>
  <c r="C12" i="227"/>
  <c r="D12" i="227" s="1"/>
  <c r="B12" i="227"/>
  <c r="AV11" i="227"/>
  <c r="AQ11" i="227"/>
  <c r="D11" i="227"/>
  <c r="AQ2" i="227" s="1"/>
  <c r="B11" i="227"/>
  <c r="AQ9" i="227" s="1"/>
  <c r="AW10" i="227"/>
  <c r="AV10" i="227"/>
  <c r="B10" i="227"/>
  <c r="AW9" i="227"/>
  <c r="AV9" i="227"/>
  <c r="E9" i="227"/>
  <c r="C9" i="227"/>
  <c r="D8" i="227"/>
  <c r="E8" i="227" s="1"/>
  <c r="B8" i="227"/>
  <c r="A36" i="227" s="1"/>
  <c r="AV5" i="227"/>
  <c r="AV4" i="227"/>
  <c r="AQ4" i="227"/>
  <c r="AW3" i="227"/>
  <c r="AV3" i="227"/>
  <c r="AV2" i="227"/>
  <c r="E18" i="226"/>
  <c r="H18" i="226" s="1"/>
  <c r="K18" i="226" s="1"/>
  <c r="D18" i="226"/>
  <c r="G18" i="226" s="1"/>
  <c r="J18" i="226" s="1"/>
  <c r="AV17" i="226"/>
  <c r="AU17" i="226"/>
  <c r="AV16" i="226"/>
  <c r="AU16" i="226"/>
  <c r="AV15" i="226"/>
  <c r="AU15" i="226"/>
  <c r="K15" i="226"/>
  <c r="J15" i="226"/>
  <c r="H15" i="226"/>
  <c r="I15" i="226" s="1"/>
  <c r="G15" i="226"/>
  <c r="F15" i="226"/>
  <c r="D15" i="226"/>
  <c r="E15" i="226" s="1"/>
  <c r="B15" i="226"/>
  <c r="C15" i="226" s="1"/>
  <c r="K13" i="226"/>
  <c r="J13" i="226"/>
  <c r="I13" i="226"/>
  <c r="H13" i="226"/>
  <c r="G13" i="226"/>
  <c r="F13" i="226"/>
  <c r="E13" i="226"/>
  <c r="D13" i="226"/>
  <c r="C13" i="226"/>
  <c r="B13" i="226"/>
  <c r="A13" i="226"/>
  <c r="AV11" i="226"/>
  <c r="AU11" i="226"/>
  <c r="V11" i="226"/>
  <c r="U11" i="226"/>
  <c r="T11" i="226"/>
  <c r="S11" i="226"/>
  <c r="AV10" i="226"/>
  <c r="AU10" i="226"/>
  <c r="I10" i="226"/>
  <c r="H10" i="226"/>
  <c r="G10" i="226"/>
  <c r="D10" i="226"/>
  <c r="E10" i="226" s="1"/>
  <c r="AV9" i="226"/>
  <c r="AU9" i="226"/>
  <c r="AP9" i="226"/>
  <c r="J9" i="226"/>
  <c r="H9" i="226"/>
  <c r="G9" i="226"/>
  <c r="F9" i="226"/>
  <c r="D9" i="226"/>
  <c r="B9" i="226"/>
  <c r="AV8" i="226"/>
  <c r="AU8" i="226"/>
  <c r="K8" i="226"/>
  <c r="G8" i="226"/>
  <c r="AP8" i="226" s="1"/>
  <c r="E8" i="226"/>
  <c r="AP10" i="226" s="1"/>
  <c r="C8" i="226"/>
  <c r="AP17" i="226" s="1"/>
  <c r="B8" i="226"/>
  <c r="J8" i="226" s="1"/>
  <c r="AV7" i="226"/>
  <c r="AU7" i="226"/>
  <c r="AP7" i="226"/>
  <c r="K7" i="226"/>
  <c r="K9" i="226" s="1"/>
  <c r="J7" i="226"/>
  <c r="A40" i="226" s="1"/>
  <c r="I7" i="226"/>
  <c r="I9" i="226" s="1"/>
  <c r="G7" i="226"/>
  <c r="A38" i="226" s="1"/>
  <c r="E7" i="226"/>
  <c r="A36" i="226" s="1"/>
  <c r="C7" i="226"/>
  <c r="AP16" i="226" s="1"/>
  <c r="AV6" i="226"/>
  <c r="AU6" i="226"/>
  <c r="AV5" i="226"/>
  <c r="AU5" i="226"/>
  <c r="AP5" i="226"/>
  <c r="AV4" i="226"/>
  <c r="AU4" i="226"/>
  <c r="AP4" i="226"/>
  <c r="AV3" i="226"/>
  <c r="AU3" i="226"/>
  <c r="AV2" i="226"/>
  <c r="AU2" i="226"/>
  <c r="AP2" i="226"/>
  <c r="F18" i="225"/>
  <c r="I18" i="225" s="1"/>
  <c r="E18" i="225"/>
  <c r="H18" i="225" s="1"/>
  <c r="K18" i="225" s="1"/>
  <c r="D18" i="225"/>
  <c r="G18" i="225" s="1"/>
  <c r="J18" i="225" s="1"/>
  <c r="AV17" i="225"/>
  <c r="AU17" i="225"/>
  <c r="AV16" i="225"/>
  <c r="AU16" i="225"/>
  <c r="AV15" i="225"/>
  <c r="AU15" i="225"/>
  <c r="K15" i="225"/>
  <c r="J15" i="225"/>
  <c r="H15" i="225"/>
  <c r="I15" i="225" s="1"/>
  <c r="G15" i="225"/>
  <c r="F15" i="225"/>
  <c r="E15" i="225"/>
  <c r="D15" i="225"/>
  <c r="B15" i="225"/>
  <c r="C15" i="225" s="1"/>
  <c r="K13" i="225"/>
  <c r="J13" i="225"/>
  <c r="I13" i="225"/>
  <c r="H13" i="225"/>
  <c r="G13" i="225"/>
  <c r="F13" i="225"/>
  <c r="E13" i="225"/>
  <c r="D13" i="225"/>
  <c r="C13" i="225"/>
  <c r="B13" i="225"/>
  <c r="A13" i="225"/>
  <c r="AV11" i="225"/>
  <c r="AU11" i="225"/>
  <c r="V11" i="225"/>
  <c r="U11" i="225"/>
  <c r="T11" i="225"/>
  <c r="S11" i="225"/>
  <c r="AV10" i="225"/>
  <c r="AU10" i="225"/>
  <c r="I10" i="225"/>
  <c r="H10" i="225"/>
  <c r="G10" i="225"/>
  <c r="D10" i="225"/>
  <c r="E10" i="225" s="1"/>
  <c r="AV9" i="225"/>
  <c r="AU9" i="225"/>
  <c r="AP9" i="225"/>
  <c r="H9" i="225"/>
  <c r="F9" i="225"/>
  <c r="D9" i="225"/>
  <c r="B9" i="225"/>
  <c r="AV8" i="225"/>
  <c r="AU8" i="225"/>
  <c r="G8" i="225"/>
  <c r="AP8" i="225" s="1"/>
  <c r="E8" i="225"/>
  <c r="AP10" i="225" s="1"/>
  <c r="C8" i="225"/>
  <c r="AP17" i="225" s="1"/>
  <c r="B8" i="225"/>
  <c r="K8" i="225" s="1"/>
  <c r="AV7" i="225"/>
  <c r="AU7" i="225"/>
  <c r="AP7" i="225"/>
  <c r="J7" i="225"/>
  <c r="J9" i="225" s="1"/>
  <c r="I7" i="225"/>
  <c r="AP3" i="225" s="1"/>
  <c r="G7" i="225"/>
  <c r="A38" i="225" s="1"/>
  <c r="E7" i="225"/>
  <c r="E9" i="225" s="1"/>
  <c r="C7" i="225"/>
  <c r="AP16" i="225" s="1"/>
  <c r="AV6" i="225"/>
  <c r="AU6" i="225"/>
  <c r="AV5" i="225"/>
  <c r="AU5" i="225"/>
  <c r="AP5" i="225"/>
  <c r="AV4" i="225"/>
  <c r="AU4" i="225"/>
  <c r="AP4" i="225"/>
  <c r="AV3" i="225"/>
  <c r="AU3" i="225"/>
  <c r="AV2" i="225"/>
  <c r="AU2" i="225"/>
  <c r="AP2" i="225"/>
  <c r="D11" i="224"/>
  <c r="AQ2" i="224" s="1"/>
  <c r="B11" i="224"/>
  <c r="AQ9" i="224" s="1"/>
  <c r="D8" i="224"/>
  <c r="AQ5" i="224" s="1"/>
  <c r="B8" i="224"/>
  <c r="A36" i="224" s="1"/>
  <c r="B36" i="224"/>
  <c r="B35" i="224"/>
  <c r="A35" i="224"/>
  <c r="B34" i="224"/>
  <c r="B33" i="224"/>
  <c r="B32" i="224"/>
  <c r="A32" i="224"/>
  <c r="P13" i="224"/>
  <c r="O13" i="224"/>
  <c r="N13" i="224"/>
  <c r="M13" i="224"/>
  <c r="AW12" i="224"/>
  <c r="AV12" i="224"/>
  <c r="E12" i="224"/>
  <c r="B12" i="224"/>
  <c r="C12" i="224" s="1"/>
  <c r="D12" i="224" s="1"/>
  <c r="AW11" i="224"/>
  <c r="AV11" i="224"/>
  <c r="AW10" i="224"/>
  <c r="AV10" i="224"/>
  <c r="AW9" i="224"/>
  <c r="AV9" i="224"/>
  <c r="E9" i="224"/>
  <c r="C9" i="224"/>
  <c r="AQ11" i="224" s="1"/>
  <c r="AW5" i="224"/>
  <c r="AV5" i="224"/>
  <c r="AW4" i="224"/>
  <c r="AV4" i="224"/>
  <c r="AW3" i="224"/>
  <c r="AV3" i="224"/>
  <c r="AW2" i="224"/>
  <c r="AV2" i="224"/>
  <c r="C8" i="4"/>
  <c r="E18" i="223"/>
  <c r="H18" i="223" s="1"/>
  <c r="K18" i="223" s="1"/>
  <c r="D18" i="223"/>
  <c r="G18" i="223" s="1"/>
  <c r="J18" i="223" s="1"/>
  <c r="C18" i="223"/>
  <c r="B18" i="223"/>
  <c r="AV17" i="223"/>
  <c r="AU17" i="223"/>
  <c r="AV16" i="223"/>
  <c r="AU16" i="223"/>
  <c r="AV15" i="223"/>
  <c r="AU15" i="223"/>
  <c r="K15" i="223"/>
  <c r="J15" i="223"/>
  <c r="H15" i="223"/>
  <c r="I15" i="223" s="1"/>
  <c r="G15" i="223"/>
  <c r="F15" i="223"/>
  <c r="E15" i="223"/>
  <c r="D15" i="223"/>
  <c r="B15" i="223"/>
  <c r="C15" i="223" s="1"/>
  <c r="K13" i="223"/>
  <c r="J13" i="223"/>
  <c r="I13" i="223"/>
  <c r="H13" i="223"/>
  <c r="G13" i="223"/>
  <c r="F13" i="223"/>
  <c r="E13" i="223"/>
  <c r="D13" i="223"/>
  <c r="C13" i="223"/>
  <c r="B13" i="223"/>
  <c r="A13" i="223"/>
  <c r="AV11" i="223"/>
  <c r="AU11" i="223"/>
  <c r="V11" i="223"/>
  <c r="U11" i="223"/>
  <c r="T11" i="223"/>
  <c r="S11" i="223"/>
  <c r="AV10" i="223"/>
  <c r="AU10" i="223"/>
  <c r="D10" i="223"/>
  <c r="E10" i="223" s="1"/>
  <c r="AV9" i="223"/>
  <c r="AU9" i="223"/>
  <c r="AP9" i="223"/>
  <c r="H9" i="223"/>
  <c r="G9" i="223"/>
  <c r="F9" i="223"/>
  <c r="D9" i="223"/>
  <c r="B9" i="223"/>
  <c r="AV8" i="223"/>
  <c r="AU8" i="223"/>
  <c r="AP8" i="223"/>
  <c r="G8" i="223"/>
  <c r="AP11" i="223" s="1"/>
  <c r="E8" i="223"/>
  <c r="AP10" i="223" s="1"/>
  <c r="C8" i="223"/>
  <c r="AP17" i="223" s="1"/>
  <c r="B8" i="223"/>
  <c r="K8" i="223" s="1"/>
  <c r="AV7" i="223"/>
  <c r="AU7" i="223"/>
  <c r="AP7" i="223"/>
  <c r="J7" i="223"/>
  <c r="J9" i="223" s="1"/>
  <c r="I7" i="223"/>
  <c r="AP3" i="223" s="1"/>
  <c r="G7" i="223"/>
  <c r="A38" i="223" s="1"/>
  <c r="E7" i="223"/>
  <c r="A36" i="223" s="1"/>
  <c r="C7" i="223"/>
  <c r="AP16" i="223" s="1"/>
  <c r="AV6" i="223"/>
  <c r="AU6" i="223"/>
  <c r="AV5" i="223"/>
  <c r="AU5" i="223"/>
  <c r="AP5" i="223"/>
  <c r="AV4" i="223"/>
  <c r="AU4" i="223"/>
  <c r="AP4" i="223"/>
  <c r="AV3" i="223"/>
  <c r="AU3" i="223"/>
  <c r="AV2" i="223"/>
  <c r="AU2" i="223"/>
  <c r="AP2" i="223"/>
  <c r="B36" i="222"/>
  <c r="A36" i="222"/>
  <c r="B35" i="222"/>
  <c r="A35" i="222"/>
  <c r="B34" i="222"/>
  <c r="B33" i="222"/>
  <c r="B32" i="222"/>
  <c r="A32" i="222"/>
  <c r="A39" i="222" s="1"/>
  <c r="B39" i="222" s="1"/>
  <c r="P13" i="222"/>
  <c r="O13" i="222"/>
  <c r="N13" i="222"/>
  <c r="M13" i="222"/>
  <c r="AW12" i="222"/>
  <c r="AV12" i="222"/>
  <c r="AQ12" i="222"/>
  <c r="B12" i="222"/>
  <c r="C12" i="222" s="1"/>
  <c r="D12" i="222" s="1"/>
  <c r="AW11" i="222"/>
  <c r="AV11" i="222"/>
  <c r="AW10" i="222"/>
  <c r="AV10" i="222"/>
  <c r="AQ10" i="222"/>
  <c r="E10" i="222"/>
  <c r="D10" i="222"/>
  <c r="B10" i="222"/>
  <c r="AW9" i="222"/>
  <c r="AV9" i="222"/>
  <c r="AQ9" i="222"/>
  <c r="E9" i="222"/>
  <c r="AQ4" i="222" s="1"/>
  <c r="C9" i="222"/>
  <c r="AQ11" i="222" s="1"/>
  <c r="E8" i="222"/>
  <c r="A34" i="222" s="1"/>
  <c r="C8" i="222"/>
  <c r="A33" i="222" s="1"/>
  <c r="AW5" i="222"/>
  <c r="AV5" i="222"/>
  <c r="AQ5" i="222"/>
  <c r="AW4" i="222"/>
  <c r="AV4" i="222"/>
  <c r="AW3" i="222"/>
  <c r="AV3" i="222"/>
  <c r="AW2" i="222"/>
  <c r="AV2" i="222"/>
  <c r="AQ2" i="222"/>
  <c r="D10" i="232" l="1"/>
  <c r="AW5" i="232"/>
  <c r="AQ3" i="232"/>
  <c r="E10" i="232"/>
  <c r="AW9" i="232"/>
  <c r="AW11" i="232"/>
  <c r="AQ5" i="232"/>
  <c r="A34" i="232"/>
  <c r="AW2" i="232"/>
  <c r="C8" i="232"/>
  <c r="AQ10" i="232"/>
  <c r="AQ12" i="232"/>
  <c r="AW10" i="232"/>
  <c r="AW12" i="232"/>
  <c r="AP4" i="231"/>
  <c r="K7" i="231"/>
  <c r="K9" i="231" s="1"/>
  <c r="AP7" i="231"/>
  <c r="J9" i="231"/>
  <c r="F10" i="231"/>
  <c r="B10" i="231"/>
  <c r="C9" i="231"/>
  <c r="A37" i="231"/>
  <c r="AP6" i="231"/>
  <c r="D9" i="231"/>
  <c r="E9" i="231"/>
  <c r="A38" i="231"/>
  <c r="AP15" i="231"/>
  <c r="F18" i="231"/>
  <c r="I18" i="231" s="1"/>
  <c r="A39" i="231"/>
  <c r="AP3" i="231"/>
  <c r="AW4" i="229"/>
  <c r="AQ3" i="229"/>
  <c r="E10" i="229"/>
  <c r="AQ5" i="229"/>
  <c r="AW9" i="229"/>
  <c r="AW11" i="229"/>
  <c r="AW5" i="229"/>
  <c r="D10" i="229"/>
  <c r="A34" i="229"/>
  <c r="AW2" i="229"/>
  <c r="C8" i="229"/>
  <c r="AQ10" i="229"/>
  <c r="AQ12" i="229"/>
  <c r="AW10" i="229"/>
  <c r="AW12" i="229"/>
  <c r="G9" i="228"/>
  <c r="F10" i="228"/>
  <c r="B10" i="228"/>
  <c r="C9" i="228"/>
  <c r="A37" i="228"/>
  <c r="A43" i="228" s="1"/>
  <c r="B43" i="228" s="1"/>
  <c r="C10" i="228"/>
  <c r="AP6" i="228"/>
  <c r="AP15" i="228"/>
  <c r="F18" i="228"/>
  <c r="I18" i="228" s="1"/>
  <c r="A39" i="228"/>
  <c r="I9" i="228"/>
  <c r="A40" i="228"/>
  <c r="AW11" i="227"/>
  <c r="AW4" i="227"/>
  <c r="AW5" i="227"/>
  <c r="AQ3" i="227"/>
  <c r="E10" i="227"/>
  <c r="AQ5" i="227"/>
  <c r="D10" i="227"/>
  <c r="A34" i="227"/>
  <c r="C8" i="227"/>
  <c r="AQ10" i="227"/>
  <c r="AQ12" i="227"/>
  <c r="AP3" i="226"/>
  <c r="F10" i="226"/>
  <c r="B10" i="226"/>
  <c r="C9" i="226"/>
  <c r="B18" i="226"/>
  <c r="A37" i="226"/>
  <c r="A43" i="226" s="1"/>
  <c r="B43" i="226" s="1"/>
  <c r="C10" i="226"/>
  <c r="C18" i="226"/>
  <c r="AP6" i="226"/>
  <c r="E9" i="226"/>
  <c r="AP11" i="226"/>
  <c r="AP15" i="226"/>
  <c r="F18" i="226"/>
  <c r="I18" i="226" s="1"/>
  <c r="A39" i="226"/>
  <c r="AP6" i="225"/>
  <c r="A36" i="225"/>
  <c r="K7" i="225"/>
  <c r="K9" i="225" s="1"/>
  <c r="F10" i="225"/>
  <c r="B10" i="225"/>
  <c r="C9" i="225"/>
  <c r="B18" i="225"/>
  <c r="A37" i="225"/>
  <c r="A43" i="225" s="1"/>
  <c r="B43" i="225" s="1"/>
  <c r="C10" i="225"/>
  <c r="C18" i="225"/>
  <c r="AP11" i="225"/>
  <c r="AP15" i="225"/>
  <c r="G9" i="225"/>
  <c r="A39" i="225"/>
  <c r="J8" i="225"/>
  <c r="I9" i="225"/>
  <c r="A40" i="225"/>
  <c r="E8" i="224"/>
  <c r="A34" i="224" s="1"/>
  <c r="C8" i="224"/>
  <c r="C10" i="224" s="1"/>
  <c r="D10" i="224"/>
  <c r="AQ12" i="224"/>
  <c r="AQ10" i="224"/>
  <c r="B10" i="224"/>
  <c r="E10" i="224"/>
  <c r="AQ3" i="224"/>
  <c r="A39" i="224"/>
  <c r="B39" i="224" s="1"/>
  <c r="A33" i="224"/>
  <c r="AQ4" i="224"/>
  <c r="C10" i="223"/>
  <c r="C9" i="223"/>
  <c r="K7" i="223"/>
  <c r="K9" i="223" s="1"/>
  <c r="A37" i="223"/>
  <c r="B10" i="223"/>
  <c r="F10" i="223"/>
  <c r="AP6" i="223"/>
  <c r="E9" i="223"/>
  <c r="AP15" i="223"/>
  <c r="F18" i="223"/>
  <c r="I18" i="223" s="1"/>
  <c r="A39" i="223"/>
  <c r="J8" i="223"/>
  <c r="I9" i="223"/>
  <c r="A40" i="223"/>
  <c r="A43" i="223" s="1"/>
  <c r="B43" i="223" s="1"/>
  <c r="AQ3" i="222"/>
  <c r="C10" i="222"/>
  <c r="C10" i="232" l="1"/>
  <c r="A33" i="232"/>
  <c r="A39" i="232" s="1"/>
  <c r="B39" i="232" s="1"/>
  <c r="A43" i="231"/>
  <c r="B43" i="231" s="1"/>
  <c r="E6" i="231" s="1"/>
  <c r="A33" i="229"/>
  <c r="A39" i="229" s="1"/>
  <c r="B39" i="229" s="1"/>
  <c r="C10" i="229"/>
  <c r="G6" i="228"/>
  <c r="E6" i="228"/>
  <c r="C6" i="228"/>
  <c r="D6" i="228"/>
  <c r="B36" i="228" s="1"/>
  <c r="H6" i="228"/>
  <c r="B6" i="228"/>
  <c r="B37" i="228" s="1"/>
  <c r="I6" i="228"/>
  <c r="B39" i="228" s="1"/>
  <c r="K6" i="228"/>
  <c r="F6" i="228"/>
  <c r="B38" i="228" s="1"/>
  <c r="J6" i="228"/>
  <c r="B40" i="228" s="1"/>
  <c r="A33" i="227"/>
  <c r="A39" i="227" s="1"/>
  <c r="B39" i="227" s="1"/>
  <c r="C10" i="227"/>
  <c r="G6" i="226"/>
  <c r="F6" i="226"/>
  <c r="B38" i="226" s="1"/>
  <c r="E6" i="226"/>
  <c r="B6" i="226"/>
  <c r="B37" i="226" s="1"/>
  <c r="D6" i="226"/>
  <c r="B36" i="226" s="1"/>
  <c r="C6" i="226"/>
  <c r="K6" i="226"/>
  <c r="H6" i="226"/>
  <c r="I6" i="226"/>
  <c r="B39" i="226" s="1"/>
  <c r="J6" i="226"/>
  <c r="B40" i="226" s="1"/>
  <c r="G6" i="225"/>
  <c r="F6" i="225"/>
  <c r="B38" i="225" s="1"/>
  <c r="C6" i="225"/>
  <c r="E6" i="225"/>
  <c r="D6" i="225"/>
  <c r="B36" i="225" s="1"/>
  <c r="H6" i="225"/>
  <c r="B6" i="225"/>
  <c r="B37" i="225" s="1"/>
  <c r="K6" i="225"/>
  <c r="J6" i="225"/>
  <c r="B40" i="225" s="1"/>
  <c r="I6" i="225"/>
  <c r="B39" i="225" s="1"/>
  <c r="G6" i="223"/>
  <c r="F6" i="223"/>
  <c r="B38" i="223" s="1"/>
  <c r="H6" i="223"/>
  <c r="E6" i="223"/>
  <c r="C6" i="223"/>
  <c r="B6" i="223"/>
  <c r="B37" i="223" s="1"/>
  <c r="K6" i="223"/>
  <c r="J6" i="223"/>
  <c r="B40" i="223" s="1"/>
  <c r="D6" i="223"/>
  <c r="B36" i="223" s="1"/>
  <c r="I6" i="223"/>
  <c r="B39" i="223" s="1"/>
  <c r="G6" i="231" l="1"/>
  <c r="F6" i="231"/>
  <c r="B38" i="231" s="1"/>
  <c r="H6" i="231"/>
  <c r="J6" i="231"/>
  <c r="B40" i="231" s="1"/>
  <c r="K6" i="231"/>
  <c r="B6" i="231"/>
  <c r="B37" i="231" s="1"/>
  <c r="I6" i="231"/>
  <c r="B39" i="231" s="1"/>
  <c r="D6" i="231"/>
  <c r="B36" i="231" s="1"/>
  <c r="C6" i="231"/>
  <c r="C7" i="116"/>
  <c r="P38" i="130" l="1"/>
  <c r="U37" i="131"/>
  <c r="V3" i="131"/>
  <c r="V4" i="131" s="1"/>
  <c r="V5" i="131" s="1"/>
  <c r="V6" i="131" s="1"/>
  <c r="V7" i="131" s="1"/>
  <c r="V8" i="131" s="1"/>
  <c r="V9" i="131" s="1"/>
  <c r="V10" i="131" s="1"/>
  <c r="V11" i="131" s="1"/>
  <c r="V12" i="131" s="1"/>
  <c r="V13" i="131" s="1"/>
  <c r="V14" i="131" s="1"/>
  <c r="V15" i="131" s="1"/>
  <c r="V16" i="131" s="1"/>
  <c r="V17" i="131" s="1"/>
  <c r="U2" i="131"/>
  <c r="V98" i="130"/>
  <c r="V97" i="130"/>
  <c r="V96" i="130"/>
  <c r="V95" i="130"/>
  <c r="V94" i="130"/>
  <c r="V93" i="130"/>
  <c r="V92" i="130"/>
  <c r="V91" i="130"/>
  <c r="V90" i="130"/>
  <c r="V89" i="130"/>
  <c r="V88" i="130"/>
  <c r="V87" i="130"/>
  <c r="V86" i="130"/>
  <c r="V85" i="130"/>
  <c r="V84" i="130"/>
  <c r="P62" i="130"/>
  <c r="U2" i="130"/>
  <c r="U94" i="130" s="1"/>
  <c r="A54" i="1"/>
  <c r="A2" i="1" s="1"/>
  <c r="AV17" i="187"/>
  <c r="AU17" i="187"/>
  <c r="AV16" i="187"/>
  <c r="AU16" i="187"/>
  <c r="AP16" i="187"/>
  <c r="AV15" i="187"/>
  <c r="AU15" i="187"/>
  <c r="AP15" i="187"/>
  <c r="AV17" i="184"/>
  <c r="AU17" i="184"/>
  <c r="AV16" i="184"/>
  <c r="AU16" i="184"/>
  <c r="AP16" i="184"/>
  <c r="AV15" i="184"/>
  <c r="AU15" i="184"/>
  <c r="AP15" i="184"/>
  <c r="AV17" i="182"/>
  <c r="AU17" i="182"/>
  <c r="AV16" i="182"/>
  <c r="AU16" i="182"/>
  <c r="AP16" i="182"/>
  <c r="AV15" i="182"/>
  <c r="AU15" i="182"/>
  <c r="AP15" i="182"/>
  <c r="AV17" i="181"/>
  <c r="AU17" i="181"/>
  <c r="AV16" i="181"/>
  <c r="AU16" i="181"/>
  <c r="AP16" i="181"/>
  <c r="AV15" i="181"/>
  <c r="AU15" i="181"/>
  <c r="AP15" i="181"/>
  <c r="AV17" i="178"/>
  <c r="AU17" i="178"/>
  <c r="AV16" i="178"/>
  <c r="AU16" i="178"/>
  <c r="AV15" i="178"/>
  <c r="AU15" i="178"/>
  <c r="AP16" i="178"/>
  <c r="AP15" i="178"/>
  <c r="AW12" i="186"/>
  <c r="AV12" i="186"/>
  <c r="AQ12" i="186"/>
  <c r="AW11" i="186"/>
  <c r="AV11" i="186"/>
  <c r="AW10" i="186"/>
  <c r="AV10" i="186"/>
  <c r="AQ10" i="186"/>
  <c r="AW9" i="186"/>
  <c r="AV9" i="186"/>
  <c r="AQ9" i="186"/>
  <c r="AW5" i="186"/>
  <c r="AV5" i="186"/>
  <c r="AQ5" i="186"/>
  <c r="AW4" i="186"/>
  <c r="AV4" i="186"/>
  <c r="AW3" i="186"/>
  <c r="AV3" i="186"/>
  <c r="AQ3" i="186"/>
  <c r="AW2" i="186"/>
  <c r="AV2" i="186"/>
  <c r="AQ2" i="186"/>
  <c r="AW12" i="185"/>
  <c r="AV12" i="185"/>
  <c r="AQ12" i="185"/>
  <c r="AW11" i="185"/>
  <c r="AV11" i="185"/>
  <c r="AW10" i="185"/>
  <c r="AV10" i="185"/>
  <c r="AQ10" i="185"/>
  <c r="AW9" i="185"/>
  <c r="AV9" i="185"/>
  <c r="AQ9" i="185"/>
  <c r="AW5" i="185"/>
  <c r="AV5" i="185"/>
  <c r="AQ5" i="185"/>
  <c r="AW4" i="185"/>
  <c r="AV4" i="185"/>
  <c r="AW3" i="185"/>
  <c r="AV3" i="185"/>
  <c r="AQ3" i="185"/>
  <c r="AW2" i="185"/>
  <c r="AV2" i="185"/>
  <c r="AQ2" i="185"/>
  <c r="AW12" i="183"/>
  <c r="AV12" i="183"/>
  <c r="AQ12" i="183"/>
  <c r="AW11" i="183"/>
  <c r="AV11" i="183"/>
  <c r="AW10" i="183"/>
  <c r="AV10" i="183"/>
  <c r="AQ10" i="183"/>
  <c r="AW9" i="183"/>
  <c r="AV9" i="183"/>
  <c r="AQ9" i="183"/>
  <c r="AW5" i="183"/>
  <c r="AV5" i="183"/>
  <c r="AQ5" i="183"/>
  <c r="AW4" i="183"/>
  <c r="AV4" i="183"/>
  <c r="AW3" i="183"/>
  <c r="AV3" i="183"/>
  <c r="AQ3" i="183"/>
  <c r="AW2" i="183"/>
  <c r="AV2" i="183"/>
  <c r="AQ2" i="183"/>
  <c r="AW12" i="180"/>
  <c r="AV12" i="180"/>
  <c r="AQ12" i="180"/>
  <c r="AW11" i="180"/>
  <c r="AV11" i="180"/>
  <c r="AW10" i="180"/>
  <c r="AV10" i="180"/>
  <c r="AQ10" i="180"/>
  <c r="AW9" i="180"/>
  <c r="AV9" i="180"/>
  <c r="AQ9" i="180"/>
  <c r="AW5" i="180"/>
  <c r="AV5" i="180"/>
  <c r="AQ5" i="180"/>
  <c r="AW4" i="180"/>
  <c r="AV4" i="180"/>
  <c r="AW3" i="180"/>
  <c r="AV3" i="180"/>
  <c r="AQ3" i="180"/>
  <c r="AW2" i="180"/>
  <c r="AV2" i="180"/>
  <c r="AQ2" i="180"/>
  <c r="AQ12" i="179"/>
  <c r="AQ11" i="179"/>
  <c r="AQ10" i="179"/>
  <c r="AQ3" i="179"/>
  <c r="AQ9" i="179"/>
  <c r="AW12" i="179"/>
  <c r="AV12" i="179"/>
  <c r="AW11" i="179"/>
  <c r="AV11" i="179"/>
  <c r="AW10" i="179"/>
  <c r="AV10" i="179"/>
  <c r="AW9" i="179"/>
  <c r="AV9" i="179"/>
  <c r="AQ5" i="179"/>
  <c r="AW5" i="179"/>
  <c r="AV5" i="179"/>
  <c r="AW4" i="179"/>
  <c r="AV4" i="179"/>
  <c r="AW3" i="179"/>
  <c r="AV3" i="179"/>
  <c r="AQ2" i="179"/>
  <c r="AW2" i="179"/>
  <c r="AV2" i="179"/>
  <c r="AV11" i="187"/>
  <c r="AU11" i="187"/>
  <c r="AP11" i="187"/>
  <c r="AV10" i="187"/>
  <c r="AU10" i="187"/>
  <c r="AV9" i="187"/>
  <c r="AU9" i="187"/>
  <c r="AP9" i="187"/>
  <c r="AV8" i="187"/>
  <c r="AU8" i="187"/>
  <c r="AV7" i="187"/>
  <c r="AU7" i="187"/>
  <c r="AP7" i="187"/>
  <c r="AV6" i="187"/>
  <c r="AU6" i="187"/>
  <c r="AP6" i="187"/>
  <c r="AV5" i="187"/>
  <c r="AU5" i="187"/>
  <c r="AP5" i="187"/>
  <c r="AV4" i="187"/>
  <c r="AU4" i="187"/>
  <c r="AP4" i="187"/>
  <c r="AV3" i="187"/>
  <c r="AU3" i="187"/>
  <c r="AP3" i="187"/>
  <c r="AV2" i="187"/>
  <c r="AU2" i="187"/>
  <c r="AP2" i="187"/>
  <c r="AV11" i="184"/>
  <c r="AU11" i="184"/>
  <c r="AV10" i="184"/>
  <c r="AU10" i="184"/>
  <c r="AV9" i="184"/>
  <c r="AU9" i="184"/>
  <c r="AP9" i="184"/>
  <c r="AV8" i="184"/>
  <c r="AU8" i="184"/>
  <c r="AV7" i="184"/>
  <c r="AU7" i="184"/>
  <c r="AP7" i="184"/>
  <c r="AV6" i="184"/>
  <c r="AU6" i="184"/>
  <c r="AP6" i="184"/>
  <c r="AV5" i="184"/>
  <c r="AU5" i="184"/>
  <c r="AP5" i="184"/>
  <c r="AV4" i="184"/>
  <c r="AU4" i="184"/>
  <c r="AP4" i="184"/>
  <c r="AV3" i="184"/>
  <c r="AU3" i="184"/>
  <c r="AP3" i="184"/>
  <c r="AV2" i="184"/>
  <c r="AU2" i="184"/>
  <c r="AP2" i="184"/>
  <c r="AV11" i="182"/>
  <c r="AU11" i="182"/>
  <c r="AV10" i="182"/>
  <c r="AU10" i="182"/>
  <c r="AV9" i="182"/>
  <c r="AU9" i="182"/>
  <c r="AP9" i="182"/>
  <c r="AV8" i="182"/>
  <c r="AU8" i="182"/>
  <c r="AV7" i="182"/>
  <c r="AU7" i="182"/>
  <c r="AP7" i="182"/>
  <c r="AV6" i="182"/>
  <c r="AU6" i="182"/>
  <c r="AP6" i="182"/>
  <c r="AV5" i="182"/>
  <c r="AU5" i="182"/>
  <c r="AP5" i="182"/>
  <c r="AV4" i="182"/>
  <c r="AU4" i="182"/>
  <c r="AP4" i="182"/>
  <c r="AV3" i="182"/>
  <c r="AU3" i="182"/>
  <c r="AP3" i="182"/>
  <c r="AV2" i="182"/>
  <c r="AU2" i="182"/>
  <c r="AP2" i="182"/>
  <c r="AV11" i="181"/>
  <c r="AU11" i="181"/>
  <c r="AV10" i="181"/>
  <c r="AU10" i="181"/>
  <c r="AV9" i="181"/>
  <c r="AU9" i="181"/>
  <c r="AP9" i="181"/>
  <c r="AV8" i="181"/>
  <c r="AU8" i="181"/>
  <c r="AV7" i="181"/>
  <c r="AU7" i="181"/>
  <c r="AP7" i="181"/>
  <c r="AV6" i="181"/>
  <c r="AU6" i="181"/>
  <c r="AP6" i="181"/>
  <c r="AV5" i="181"/>
  <c r="AU5" i="181"/>
  <c r="AP5" i="181"/>
  <c r="AV4" i="181"/>
  <c r="AU4" i="181"/>
  <c r="AP4" i="181"/>
  <c r="AV3" i="181"/>
  <c r="AU3" i="181"/>
  <c r="AP3" i="181"/>
  <c r="AV2" i="181"/>
  <c r="AU2" i="181"/>
  <c r="AP2" i="181"/>
  <c r="AV11" i="178"/>
  <c r="AU11" i="178"/>
  <c r="AV10" i="178"/>
  <c r="AU10" i="178"/>
  <c r="AV9" i="178"/>
  <c r="AU9" i="178"/>
  <c r="AV8" i="178"/>
  <c r="AU8" i="178"/>
  <c r="AP9" i="178"/>
  <c r="AP7" i="178"/>
  <c r="AP6" i="178"/>
  <c r="AP5" i="178"/>
  <c r="AP4" i="178"/>
  <c r="AP3" i="178"/>
  <c r="AP2" i="178"/>
  <c r="AV7" i="178"/>
  <c r="AU7" i="178"/>
  <c r="AV6" i="178"/>
  <c r="AU6" i="178"/>
  <c r="AV5" i="178"/>
  <c r="AU5" i="178"/>
  <c r="B850" i="188"/>
  <c r="B843" i="188"/>
  <c r="B836" i="188"/>
  <c r="B829" i="188"/>
  <c r="B822" i="188"/>
  <c r="B815" i="188"/>
  <c r="B808" i="188"/>
  <c r="B801" i="188"/>
  <c r="B794" i="188"/>
  <c r="B787" i="188"/>
  <c r="B780" i="188"/>
  <c r="B773" i="188"/>
  <c r="B766" i="188"/>
  <c r="B759" i="188"/>
  <c r="B752" i="188"/>
  <c r="B745" i="188"/>
  <c r="B738" i="188"/>
  <c r="B731" i="188"/>
  <c r="B724" i="188"/>
  <c r="B717" i="188"/>
  <c r="B710" i="188"/>
  <c r="B703" i="188"/>
  <c r="B696" i="188"/>
  <c r="B689" i="188"/>
  <c r="B682" i="188"/>
  <c r="B675" i="188"/>
  <c r="B668" i="188"/>
  <c r="B661" i="188"/>
  <c r="B654" i="188"/>
  <c r="B647" i="188"/>
  <c r="B640" i="188"/>
  <c r="B633" i="188"/>
  <c r="B626" i="188"/>
  <c r="B619" i="188"/>
  <c r="B612" i="188"/>
  <c r="B605" i="188"/>
  <c r="B598" i="188"/>
  <c r="B591" i="188"/>
  <c r="B584" i="188"/>
  <c r="B577" i="188"/>
  <c r="B570" i="188"/>
  <c r="B563" i="188"/>
  <c r="B556" i="188"/>
  <c r="B549" i="188"/>
  <c r="B542" i="188"/>
  <c r="B535" i="188"/>
  <c r="B528" i="188"/>
  <c r="B521" i="188"/>
  <c r="B514" i="188"/>
  <c r="B507" i="188"/>
  <c r="B500" i="188"/>
  <c r="B493" i="188"/>
  <c r="B486" i="188"/>
  <c r="B479" i="188"/>
  <c r="B472" i="188"/>
  <c r="B465" i="188"/>
  <c r="B458" i="188"/>
  <c r="B451" i="188"/>
  <c r="B444" i="188"/>
  <c r="B437" i="188"/>
  <c r="B430" i="188"/>
  <c r="B423" i="188"/>
  <c r="B416" i="188"/>
  <c r="B409" i="188"/>
  <c r="B402" i="188"/>
  <c r="B395" i="188"/>
  <c r="B388" i="188"/>
  <c r="B381" i="188"/>
  <c r="B374" i="188"/>
  <c r="B367" i="188"/>
  <c r="B360" i="188"/>
  <c r="B353" i="188"/>
  <c r="B346" i="188"/>
  <c r="B339" i="188"/>
  <c r="B332" i="188"/>
  <c r="B325" i="188"/>
  <c r="B318" i="188"/>
  <c r="B311" i="188"/>
  <c r="B304" i="188"/>
  <c r="B297" i="188"/>
  <c r="B290" i="188"/>
  <c r="B283" i="188"/>
  <c r="B276" i="188"/>
  <c r="B269" i="188"/>
  <c r="B262" i="188"/>
  <c r="B255" i="188"/>
  <c r="B248" i="188"/>
  <c r="B241" i="188"/>
  <c r="B234" i="188"/>
  <c r="B227" i="188"/>
  <c r="B220" i="188"/>
  <c r="B213" i="188"/>
  <c r="B206" i="188"/>
  <c r="B199" i="188"/>
  <c r="B192" i="188"/>
  <c r="B185" i="188"/>
  <c r="B178" i="188"/>
  <c r="B171" i="188"/>
  <c r="B164" i="188"/>
  <c r="B157" i="188"/>
  <c r="B150" i="188"/>
  <c r="B143" i="188"/>
  <c r="B136" i="188"/>
  <c r="B129" i="188"/>
  <c r="B122" i="188"/>
  <c r="B115" i="188"/>
  <c r="B108" i="188"/>
  <c r="B101" i="188"/>
  <c r="B94" i="188"/>
  <c r="B87" i="188"/>
  <c r="B80" i="188"/>
  <c r="B73" i="188"/>
  <c r="B66" i="188"/>
  <c r="B59" i="188"/>
  <c r="B52" i="188"/>
  <c r="B45" i="188"/>
  <c r="B38" i="188"/>
  <c r="B31" i="188"/>
  <c r="B24" i="188"/>
  <c r="B17" i="188"/>
  <c r="B10" i="188"/>
  <c r="B3" i="188"/>
  <c r="B854" i="188"/>
  <c r="B847" i="188"/>
  <c r="B840" i="188"/>
  <c r="B833" i="188"/>
  <c r="B826" i="188"/>
  <c r="B819" i="188"/>
  <c r="B812" i="188"/>
  <c r="B805" i="188"/>
  <c r="B798" i="188"/>
  <c r="B791" i="188"/>
  <c r="B784" i="188"/>
  <c r="B777" i="188"/>
  <c r="B770" i="188"/>
  <c r="B763" i="188"/>
  <c r="B756" i="188"/>
  <c r="B749" i="188"/>
  <c r="B742" i="188"/>
  <c r="B735" i="188"/>
  <c r="B728" i="188"/>
  <c r="B721" i="188"/>
  <c r="B714" i="188"/>
  <c r="B707" i="188"/>
  <c r="B700" i="188"/>
  <c r="B693" i="188"/>
  <c r="B686" i="188"/>
  <c r="B679" i="188"/>
  <c r="B672" i="188"/>
  <c r="B665" i="188"/>
  <c r="B658" i="188"/>
  <c r="B651" i="188"/>
  <c r="B644" i="188"/>
  <c r="B637" i="188"/>
  <c r="B630" i="188"/>
  <c r="B623" i="188"/>
  <c r="B616" i="188"/>
  <c r="B609" i="188"/>
  <c r="B602" i="188"/>
  <c r="B595" i="188"/>
  <c r="B588" i="188"/>
  <c r="B581" i="188"/>
  <c r="B574" i="188"/>
  <c r="B567" i="188"/>
  <c r="B560" i="188"/>
  <c r="B553" i="188"/>
  <c r="B546" i="188"/>
  <c r="B539" i="188"/>
  <c r="B532" i="188"/>
  <c r="B525" i="188"/>
  <c r="B518" i="188"/>
  <c r="B511" i="188"/>
  <c r="B504" i="188"/>
  <c r="B497" i="188"/>
  <c r="B490" i="188"/>
  <c r="B483" i="188"/>
  <c r="B476" i="188"/>
  <c r="B469" i="188"/>
  <c r="B462" i="188"/>
  <c r="B455" i="188"/>
  <c r="B448" i="188"/>
  <c r="B441" i="188"/>
  <c r="B434" i="188"/>
  <c r="B427" i="188"/>
  <c r="B420" i="188"/>
  <c r="B413" i="188"/>
  <c r="B406" i="188"/>
  <c r="B399" i="188"/>
  <c r="B392" i="188"/>
  <c r="B385" i="188"/>
  <c r="B378" i="188"/>
  <c r="B371" i="188"/>
  <c r="B364" i="188"/>
  <c r="B357" i="188"/>
  <c r="B350" i="188"/>
  <c r="B343" i="188"/>
  <c r="B336" i="188"/>
  <c r="B329" i="188"/>
  <c r="B322" i="188"/>
  <c r="B315" i="188"/>
  <c r="B308" i="188"/>
  <c r="B301" i="188"/>
  <c r="B294" i="188"/>
  <c r="B287" i="188"/>
  <c r="B280" i="188"/>
  <c r="B273" i="188"/>
  <c r="B266" i="188"/>
  <c r="B259" i="188"/>
  <c r="B252" i="188"/>
  <c r="B245" i="188"/>
  <c r="B238" i="188"/>
  <c r="B231" i="188"/>
  <c r="B224" i="188"/>
  <c r="B217" i="188"/>
  <c r="B210" i="188"/>
  <c r="B203" i="188"/>
  <c r="B196" i="188"/>
  <c r="B189" i="188"/>
  <c r="B182" i="188"/>
  <c r="B175" i="188"/>
  <c r="B168" i="188"/>
  <c r="B161" i="188"/>
  <c r="B154" i="188"/>
  <c r="B147" i="188"/>
  <c r="B140" i="188"/>
  <c r="B133" i="188"/>
  <c r="B126" i="188"/>
  <c r="B119" i="188"/>
  <c r="B112" i="188"/>
  <c r="B105" i="188"/>
  <c r="B98" i="188"/>
  <c r="B91" i="188"/>
  <c r="B84" i="188"/>
  <c r="B77" i="188"/>
  <c r="B70" i="188"/>
  <c r="B63" i="188"/>
  <c r="B56" i="188"/>
  <c r="B49" i="188"/>
  <c r="B42" i="188"/>
  <c r="B35" i="188"/>
  <c r="B28" i="188"/>
  <c r="B21" i="188"/>
  <c r="B14" i="188"/>
  <c r="B7" i="188"/>
  <c r="B848" i="188"/>
  <c r="B832" i="188"/>
  <c r="B2" i="188"/>
  <c r="AV4" i="178"/>
  <c r="AU4" i="178"/>
  <c r="AV3" i="178"/>
  <c r="AU3" i="178"/>
  <c r="AV2" i="178"/>
  <c r="AU2" i="178"/>
  <c r="V103" i="181"/>
  <c r="V104" i="181" s="1"/>
  <c r="V105" i="181" s="1"/>
  <c r="V106" i="181" s="1"/>
  <c r="U103" i="181"/>
  <c r="U104" i="181" s="1"/>
  <c r="U105" i="181" s="1"/>
  <c r="U106" i="181" s="1"/>
  <c r="V102" i="181"/>
  <c r="U102" i="181"/>
  <c r="P106" i="181"/>
  <c r="P105" i="181"/>
  <c r="P104" i="181"/>
  <c r="P103" i="181"/>
  <c r="P102" i="181"/>
  <c r="P101" i="181"/>
  <c r="A36" i="187"/>
  <c r="E18" i="187"/>
  <c r="H18" i="187" s="1"/>
  <c r="K18" i="187" s="1"/>
  <c r="D18" i="187"/>
  <c r="G18" i="187" s="1"/>
  <c r="J18" i="187" s="1"/>
  <c r="K15" i="187"/>
  <c r="J15" i="187"/>
  <c r="H15" i="187"/>
  <c r="I15" i="187" s="1"/>
  <c r="F15" i="187"/>
  <c r="G15" i="187" s="1"/>
  <c r="D15" i="187"/>
  <c r="E15" i="187" s="1"/>
  <c r="C15" i="187"/>
  <c r="B15" i="187"/>
  <c r="K13" i="187"/>
  <c r="J13" i="187"/>
  <c r="I13" i="187"/>
  <c r="H13" i="187"/>
  <c r="G13" i="187"/>
  <c r="F13" i="187"/>
  <c r="E13" i="187"/>
  <c r="D13" i="187"/>
  <c r="C13" i="187"/>
  <c r="B13" i="187"/>
  <c r="A13" i="187"/>
  <c r="V11" i="187"/>
  <c r="U11" i="187"/>
  <c r="T11" i="187"/>
  <c r="S11" i="187"/>
  <c r="I9" i="187"/>
  <c r="H9" i="187"/>
  <c r="F9" i="187"/>
  <c r="D9" i="187"/>
  <c r="J8" i="187"/>
  <c r="G8" i="187"/>
  <c r="AP8" i="187" s="1"/>
  <c r="E8" i="187"/>
  <c r="E9" i="187" s="1"/>
  <c r="C8" i="187"/>
  <c r="C9" i="187" s="1"/>
  <c r="B8" i="187"/>
  <c r="B9" i="187" s="1"/>
  <c r="J7" i="187"/>
  <c r="A40" i="187" s="1"/>
  <c r="I7" i="187"/>
  <c r="A39" i="187" s="1"/>
  <c r="G7" i="187"/>
  <c r="A38" i="187" s="1"/>
  <c r="E7" i="187"/>
  <c r="C7" i="187"/>
  <c r="A37" i="187" s="1"/>
  <c r="B36" i="186"/>
  <c r="A36" i="186"/>
  <c r="B35" i="186"/>
  <c r="A35" i="186"/>
  <c r="B34" i="186"/>
  <c r="B33" i="186"/>
  <c r="B32" i="186"/>
  <c r="A32" i="186"/>
  <c r="P13" i="186"/>
  <c r="O13" i="186"/>
  <c r="N13" i="186"/>
  <c r="M13" i="186"/>
  <c r="D10" i="186"/>
  <c r="B10" i="186"/>
  <c r="E9" i="186"/>
  <c r="AQ4" i="186" s="1"/>
  <c r="C9" i="186"/>
  <c r="AQ11" i="186" s="1"/>
  <c r="E8" i="186"/>
  <c r="A34" i="186" s="1"/>
  <c r="C8" i="186"/>
  <c r="A33" i="186" s="1"/>
  <c r="B36" i="185"/>
  <c r="A36" i="185"/>
  <c r="B35" i="185"/>
  <c r="A35" i="185"/>
  <c r="B34" i="185"/>
  <c r="B33" i="185"/>
  <c r="B32" i="185"/>
  <c r="A32" i="185"/>
  <c r="P13" i="185"/>
  <c r="O13" i="185"/>
  <c r="N13" i="185"/>
  <c r="M13" i="185"/>
  <c r="D10" i="185"/>
  <c r="B10" i="185"/>
  <c r="E9" i="185"/>
  <c r="AQ4" i="185" s="1"/>
  <c r="C9" i="185"/>
  <c r="AQ11" i="185" s="1"/>
  <c r="E8" i="185"/>
  <c r="C8" i="185"/>
  <c r="A33" i="185" s="1"/>
  <c r="E18" i="184"/>
  <c r="H18" i="184" s="1"/>
  <c r="K18" i="184" s="1"/>
  <c r="D18" i="184"/>
  <c r="G18" i="184" s="1"/>
  <c r="J18" i="184" s="1"/>
  <c r="K15" i="184"/>
  <c r="J15" i="184"/>
  <c r="H15" i="184"/>
  <c r="I15" i="184" s="1"/>
  <c r="F15" i="184"/>
  <c r="G15" i="184" s="1"/>
  <c r="D15" i="184"/>
  <c r="E15" i="184" s="1"/>
  <c r="B15" i="184"/>
  <c r="C15" i="184" s="1"/>
  <c r="K13" i="184"/>
  <c r="J13" i="184"/>
  <c r="I13" i="184"/>
  <c r="H13" i="184"/>
  <c r="G13" i="184"/>
  <c r="F13" i="184"/>
  <c r="E13" i="184"/>
  <c r="D13" i="184"/>
  <c r="C13" i="184"/>
  <c r="B13" i="184"/>
  <c r="A13" i="184"/>
  <c r="V11" i="184"/>
  <c r="U11" i="184"/>
  <c r="T11" i="184"/>
  <c r="S11" i="184"/>
  <c r="J9" i="184"/>
  <c r="I9" i="184"/>
  <c r="H9" i="184"/>
  <c r="F9" i="184"/>
  <c r="D9" i="184"/>
  <c r="G8" i="184"/>
  <c r="AP11" i="184" s="1"/>
  <c r="E8" i="184"/>
  <c r="AP10" i="184" s="1"/>
  <c r="C8" i="184"/>
  <c r="AP17" i="184" s="1"/>
  <c r="B8" i="184"/>
  <c r="J8" i="184" s="1"/>
  <c r="J7" i="184"/>
  <c r="A40" i="184" s="1"/>
  <c r="I7" i="184"/>
  <c r="A39" i="184" s="1"/>
  <c r="G7" i="184"/>
  <c r="A38" i="184" s="1"/>
  <c r="E7" i="184"/>
  <c r="A36" i="184" s="1"/>
  <c r="C7" i="184"/>
  <c r="A37" i="184" s="1"/>
  <c r="B36" i="183"/>
  <c r="A36" i="183"/>
  <c r="B35" i="183"/>
  <c r="A35" i="183"/>
  <c r="B34" i="183"/>
  <c r="B33" i="183"/>
  <c r="B32" i="183"/>
  <c r="A32" i="183"/>
  <c r="P13" i="183"/>
  <c r="O13" i="183"/>
  <c r="N13" i="183"/>
  <c r="M13" i="183"/>
  <c r="D10" i="183"/>
  <c r="B10" i="183"/>
  <c r="E9" i="183"/>
  <c r="E10" i="183" s="1"/>
  <c r="C9" i="183"/>
  <c r="AQ11" i="183" s="1"/>
  <c r="E8" i="183"/>
  <c r="A34" i="183" s="1"/>
  <c r="C8" i="183"/>
  <c r="E18" i="182"/>
  <c r="H18" i="182" s="1"/>
  <c r="K18" i="182" s="1"/>
  <c r="D18" i="182"/>
  <c r="G18" i="182" s="1"/>
  <c r="J18" i="182" s="1"/>
  <c r="K15" i="182"/>
  <c r="J15" i="182"/>
  <c r="H15" i="182"/>
  <c r="I15" i="182" s="1"/>
  <c r="F15" i="182"/>
  <c r="G15" i="182" s="1"/>
  <c r="D15" i="182"/>
  <c r="E15" i="182" s="1"/>
  <c r="B15" i="182"/>
  <c r="C15" i="182" s="1"/>
  <c r="K13" i="182"/>
  <c r="J13" i="182"/>
  <c r="I13" i="182"/>
  <c r="H13" i="182"/>
  <c r="G13" i="182"/>
  <c r="F13" i="182"/>
  <c r="E13" i="182"/>
  <c r="D13" i="182"/>
  <c r="C13" i="182"/>
  <c r="B13" i="182"/>
  <c r="A13" i="182"/>
  <c r="V11" i="182"/>
  <c r="U11" i="182"/>
  <c r="T11" i="182"/>
  <c r="S11" i="182"/>
  <c r="J9" i="182"/>
  <c r="I9" i="182"/>
  <c r="H9" i="182"/>
  <c r="F9" i="182"/>
  <c r="D9" i="182"/>
  <c r="G8" i="182"/>
  <c r="AP8" i="182" s="1"/>
  <c r="E8" i="182"/>
  <c r="E9" i="182" s="1"/>
  <c r="C8" i="182"/>
  <c r="AP17" i="182" s="1"/>
  <c r="B8" i="182"/>
  <c r="B9" i="182" s="1"/>
  <c r="J7" i="182"/>
  <c r="A40" i="182" s="1"/>
  <c r="I7" i="182"/>
  <c r="A39" i="182" s="1"/>
  <c r="G7" i="182"/>
  <c r="A38" i="182" s="1"/>
  <c r="E7" i="182"/>
  <c r="A36" i="182" s="1"/>
  <c r="C7" i="182"/>
  <c r="A37" i="182" s="1"/>
  <c r="E18" i="181"/>
  <c r="H18" i="181" s="1"/>
  <c r="K18" i="181" s="1"/>
  <c r="D18" i="181"/>
  <c r="G18" i="181" s="1"/>
  <c r="J18" i="181" s="1"/>
  <c r="K15" i="181"/>
  <c r="J15" i="181"/>
  <c r="H15" i="181"/>
  <c r="I15" i="181" s="1"/>
  <c r="F15" i="181"/>
  <c r="G15" i="181" s="1"/>
  <c r="D15" i="181"/>
  <c r="E15" i="181" s="1"/>
  <c r="B15" i="181"/>
  <c r="C15" i="181" s="1"/>
  <c r="K13" i="181"/>
  <c r="J13" i="181"/>
  <c r="I13" i="181"/>
  <c r="H13" i="181"/>
  <c r="G13" i="181"/>
  <c r="F13" i="181"/>
  <c r="E13" i="181"/>
  <c r="D13" i="181"/>
  <c r="C13" i="181"/>
  <c r="B13" i="181"/>
  <c r="A13" i="181"/>
  <c r="V11" i="181"/>
  <c r="U11" i="181"/>
  <c r="T11" i="181"/>
  <c r="S11" i="181"/>
  <c r="H9" i="181"/>
  <c r="F9" i="181"/>
  <c r="D9" i="181"/>
  <c r="G8" i="181"/>
  <c r="G9" i="181" s="1"/>
  <c r="E8" i="181"/>
  <c r="AP10" i="181" s="1"/>
  <c r="C8" i="181"/>
  <c r="AP17" i="181" s="1"/>
  <c r="B8" i="181"/>
  <c r="B9" i="181" s="1"/>
  <c r="J7" i="181"/>
  <c r="A40" i="181" s="1"/>
  <c r="I7" i="181"/>
  <c r="A39" i="181" s="1"/>
  <c r="G7" i="181"/>
  <c r="A38" i="181" s="1"/>
  <c r="E7" i="181"/>
  <c r="A36" i="181" s="1"/>
  <c r="C7" i="181"/>
  <c r="A37" i="181" s="1"/>
  <c r="B36" i="180"/>
  <c r="A36" i="180"/>
  <c r="B35" i="180"/>
  <c r="A35" i="180"/>
  <c r="B34" i="180"/>
  <c r="B33" i="180"/>
  <c r="B32" i="180"/>
  <c r="A32" i="180"/>
  <c r="P13" i="180"/>
  <c r="O13" i="180"/>
  <c r="N13" i="180"/>
  <c r="M13" i="180"/>
  <c r="D10" i="180"/>
  <c r="B10" i="180"/>
  <c r="E9" i="180"/>
  <c r="AQ4" i="180" s="1"/>
  <c r="C9" i="180"/>
  <c r="AQ11" i="180" s="1"/>
  <c r="E8" i="180"/>
  <c r="C8" i="180"/>
  <c r="B36" i="179"/>
  <c r="A36" i="179"/>
  <c r="B35" i="179"/>
  <c r="A35" i="179"/>
  <c r="B34" i="179"/>
  <c r="B33" i="179"/>
  <c r="A33" i="179"/>
  <c r="B32" i="179"/>
  <c r="A32" i="179"/>
  <c r="P13" i="179"/>
  <c r="O13" i="179"/>
  <c r="N13" i="179"/>
  <c r="M13" i="179"/>
  <c r="D10" i="179"/>
  <c r="B10" i="179"/>
  <c r="E9" i="179"/>
  <c r="E10" i="179" s="1"/>
  <c r="C9" i="179"/>
  <c r="C10" i="179" s="1"/>
  <c r="E8" i="179"/>
  <c r="A34" i="179" s="1"/>
  <c r="C8" i="179"/>
  <c r="G8" i="178"/>
  <c r="AP11" i="178" s="1"/>
  <c r="E8" i="178"/>
  <c r="AP10" i="178" s="1"/>
  <c r="C8" i="178"/>
  <c r="AP17" i="178" s="1"/>
  <c r="A37" i="178"/>
  <c r="E18" i="178"/>
  <c r="H18" i="178" s="1"/>
  <c r="K18" i="178" s="1"/>
  <c r="D18" i="178"/>
  <c r="G18" i="178" s="1"/>
  <c r="J18" i="178" s="1"/>
  <c r="B18" i="178"/>
  <c r="K15" i="178"/>
  <c r="J15" i="178"/>
  <c r="H15" i="178"/>
  <c r="I15" i="178" s="1"/>
  <c r="F15" i="178"/>
  <c r="G15" i="178" s="1"/>
  <c r="D15" i="178"/>
  <c r="E15" i="178" s="1"/>
  <c r="B15" i="178"/>
  <c r="C15" i="178" s="1"/>
  <c r="K13" i="178"/>
  <c r="J13" i="178"/>
  <c r="I13" i="178"/>
  <c r="H13" i="178"/>
  <c r="G13" i="178"/>
  <c r="F13" i="178"/>
  <c r="E13" i="178"/>
  <c r="D13" i="178"/>
  <c r="C13" i="178"/>
  <c r="B13" i="178"/>
  <c r="A13" i="178"/>
  <c r="V11" i="178"/>
  <c r="U11" i="178"/>
  <c r="T11" i="178"/>
  <c r="S11" i="178"/>
  <c r="H9" i="178"/>
  <c r="F9" i="178"/>
  <c r="D9" i="178"/>
  <c r="B8" i="178"/>
  <c r="B9" i="178" s="1"/>
  <c r="J7" i="178"/>
  <c r="J9" i="178" s="1"/>
  <c r="I7" i="178"/>
  <c r="A39" i="178" s="1"/>
  <c r="G7" i="178"/>
  <c r="A38" i="178" s="1"/>
  <c r="E7" i="178"/>
  <c r="C7" i="178"/>
  <c r="AP8" i="178" l="1"/>
  <c r="G9" i="182"/>
  <c r="AP11" i="182"/>
  <c r="G9" i="184"/>
  <c r="E9" i="178"/>
  <c r="AP8" i="181"/>
  <c r="C10" i="183"/>
  <c r="AP17" i="187"/>
  <c r="AQ4" i="183"/>
  <c r="AP10" i="187"/>
  <c r="C9" i="178"/>
  <c r="AP10" i="182"/>
  <c r="AP8" i="184"/>
  <c r="E10" i="185"/>
  <c r="G9" i="187"/>
  <c r="AP11" i="181"/>
  <c r="AQ4" i="179"/>
  <c r="U95" i="130"/>
  <c r="U90" i="130"/>
  <c r="U85" i="130"/>
  <c r="U91" i="130"/>
  <c r="U97" i="130"/>
  <c r="U84" i="130"/>
  <c r="U96" i="130"/>
  <c r="U86" i="130"/>
  <c r="U92" i="130"/>
  <c r="U98" i="130"/>
  <c r="U87" i="130"/>
  <c r="U93" i="130"/>
  <c r="U89" i="130"/>
  <c r="U88" i="130"/>
  <c r="C10" i="180"/>
  <c r="E10" i="180"/>
  <c r="A39" i="179"/>
  <c r="B39" i="179" s="1"/>
  <c r="B18" i="184"/>
  <c r="C18" i="184"/>
  <c r="C18" i="178"/>
  <c r="A36" i="178"/>
  <c r="J8" i="178"/>
  <c r="E9" i="181"/>
  <c r="B18" i="181"/>
  <c r="J9" i="187"/>
  <c r="K7" i="187"/>
  <c r="K9" i="187" s="1"/>
  <c r="A43" i="187"/>
  <c r="B43" i="187" s="1"/>
  <c r="B18" i="187"/>
  <c r="C18" i="187"/>
  <c r="K8" i="187"/>
  <c r="F18" i="187"/>
  <c r="I18" i="187" s="1"/>
  <c r="E10" i="186"/>
  <c r="C10" i="186"/>
  <c r="A39" i="186"/>
  <c r="B39" i="186" s="1"/>
  <c r="A34" i="185"/>
  <c r="A39" i="185"/>
  <c r="B39" i="185" s="1"/>
  <c r="C10" i="185"/>
  <c r="K7" i="184"/>
  <c r="K9" i="184" s="1"/>
  <c r="C9" i="184"/>
  <c r="E9" i="184"/>
  <c r="A43" i="184"/>
  <c r="B43" i="184" s="1"/>
  <c r="K8" i="184"/>
  <c r="F18" i="184"/>
  <c r="I18" i="184" s="1"/>
  <c r="B9" i="184"/>
  <c r="I9" i="181"/>
  <c r="J9" i="181"/>
  <c r="K7" i="181"/>
  <c r="K9" i="181" s="1"/>
  <c r="C9" i="181"/>
  <c r="A33" i="183"/>
  <c r="A39" i="183"/>
  <c r="B39" i="183" s="1"/>
  <c r="K7" i="182"/>
  <c r="K9" i="182" s="1"/>
  <c r="C9" i="182"/>
  <c r="A43" i="182"/>
  <c r="B43" i="182" s="1"/>
  <c r="D6" i="182" s="1"/>
  <c r="B36" i="182" s="1"/>
  <c r="C18" i="182"/>
  <c r="B18" i="182"/>
  <c r="J8" i="182"/>
  <c r="K8" i="182"/>
  <c r="F18" i="182"/>
  <c r="I18" i="182" s="1"/>
  <c r="A43" i="181"/>
  <c r="B43" i="181" s="1"/>
  <c r="C18" i="181"/>
  <c r="J8" i="181"/>
  <c r="K8" i="181"/>
  <c r="F18" i="181"/>
  <c r="I18" i="181" s="1"/>
  <c r="A33" i="180"/>
  <c r="A34" i="180"/>
  <c r="A39" i="180" s="1"/>
  <c r="B39" i="180" s="1"/>
  <c r="G9" i="178"/>
  <c r="I9" i="178"/>
  <c r="K8" i="178"/>
  <c r="F18" i="178"/>
  <c r="I18" i="178" s="1"/>
  <c r="K7" i="178"/>
  <c r="K9" i="178" s="1"/>
  <c r="A40" i="178"/>
  <c r="A43" i="178" s="1"/>
  <c r="B43" i="178" s="1"/>
  <c r="B849" i="188" l="1"/>
  <c r="B4" i="188"/>
  <c r="D6" i="187"/>
  <c r="B36" i="187" s="1"/>
  <c r="C6" i="187"/>
  <c r="B6" i="187"/>
  <c r="B37" i="187" s="1"/>
  <c r="K6" i="187"/>
  <c r="J6" i="187"/>
  <c r="B40" i="187" s="1"/>
  <c r="I6" i="187"/>
  <c r="B39" i="187" s="1"/>
  <c r="H6" i="187"/>
  <c r="G6" i="187"/>
  <c r="F6" i="187"/>
  <c r="B38" i="187" s="1"/>
  <c r="E6" i="187"/>
  <c r="D6" i="184"/>
  <c r="B36" i="184" s="1"/>
  <c r="C6" i="184"/>
  <c r="E6" i="184"/>
  <c r="B6" i="184"/>
  <c r="B37" i="184" s="1"/>
  <c r="I6" i="184"/>
  <c r="B39" i="184" s="1"/>
  <c r="F6" i="184"/>
  <c r="B38" i="184" s="1"/>
  <c r="K6" i="184"/>
  <c r="J6" i="184"/>
  <c r="B40" i="184" s="1"/>
  <c r="H6" i="184"/>
  <c r="G6" i="184"/>
  <c r="C6" i="182"/>
  <c r="E6" i="182"/>
  <c r="K6" i="182"/>
  <c r="G6" i="182"/>
  <c r="I6" i="182"/>
  <c r="B39" i="182" s="1"/>
  <c r="F6" i="182"/>
  <c r="B38" i="182" s="1"/>
  <c r="J6" i="182"/>
  <c r="B40" i="182" s="1"/>
  <c r="B6" i="182"/>
  <c r="B37" i="182" s="1"/>
  <c r="H6" i="182"/>
  <c r="D6" i="181"/>
  <c r="B36" i="181" s="1"/>
  <c r="C6" i="181"/>
  <c r="F6" i="181"/>
  <c r="B38" i="181" s="1"/>
  <c r="B6" i="181"/>
  <c r="B37" i="181" s="1"/>
  <c r="E6" i="181"/>
  <c r="K6" i="181"/>
  <c r="J6" i="181"/>
  <c r="B40" i="181" s="1"/>
  <c r="I6" i="181"/>
  <c r="B39" i="181" s="1"/>
  <c r="H6" i="181"/>
  <c r="G6" i="181"/>
  <c r="D6" i="178"/>
  <c r="B36" i="178" s="1"/>
  <c r="B6" i="178"/>
  <c r="B37" i="178" s="1"/>
  <c r="K6" i="178"/>
  <c r="J6" i="178"/>
  <c r="B40" i="178" s="1"/>
  <c r="I6" i="178"/>
  <c r="B39" i="178" s="1"/>
  <c r="H6" i="178"/>
  <c r="G6" i="178"/>
  <c r="C6" i="178"/>
  <c r="E6" i="178"/>
  <c r="F6" i="178"/>
  <c r="B38" i="178" s="1"/>
  <c r="B834" i="188" l="1"/>
  <c r="B5" i="188"/>
  <c r="B7" i="116"/>
  <c r="B851" i="188" l="1"/>
  <c r="B835" i="188"/>
  <c r="B6" i="188"/>
  <c r="D54" i="121"/>
  <c r="V37" i="122"/>
  <c r="J7" i="121" s="1"/>
  <c r="J31" i="121" s="1"/>
  <c r="U88" i="122"/>
  <c r="U93" i="122"/>
  <c r="U92" i="122"/>
  <c r="U91" i="122"/>
  <c r="U90" i="122"/>
  <c r="U89" i="122"/>
  <c r="U87" i="122"/>
  <c r="D56" i="121"/>
  <c r="F54" i="121"/>
  <c r="E54" i="121"/>
  <c r="F31" i="121"/>
  <c r="E31" i="121"/>
  <c r="F7" i="121"/>
  <c r="E7" i="121"/>
  <c r="D7" i="121"/>
  <c r="D31" i="121" s="1"/>
  <c r="D14" i="95"/>
  <c r="C14" i="95"/>
  <c r="C13" i="95"/>
  <c r="D13" i="95"/>
  <c r="D11" i="1"/>
  <c r="C11" i="1"/>
  <c r="H10" i="223" l="1"/>
  <c r="E12" i="222"/>
  <c r="I10" i="223"/>
  <c r="G10" i="223"/>
  <c r="G10" i="184"/>
  <c r="E12" i="179"/>
  <c r="H10" i="178"/>
  <c r="H10" i="181"/>
  <c r="I10" i="182"/>
  <c r="G10" i="182"/>
  <c r="I10" i="181"/>
  <c r="G10" i="178"/>
  <c r="I10" i="184"/>
  <c r="H10" i="184"/>
  <c r="E12" i="183"/>
  <c r="G10" i="181"/>
  <c r="G10" i="187"/>
  <c r="E12" i="186"/>
  <c r="I10" i="187"/>
  <c r="E12" i="185"/>
  <c r="E12" i="180"/>
  <c r="H10" i="187"/>
  <c r="H10" i="182"/>
  <c r="I10" i="178"/>
  <c r="B852" i="188"/>
  <c r="B853" i="188"/>
  <c r="F33" i="121"/>
  <c r="E33" i="121"/>
  <c r="D33" i="121"/>
  <c r="F9" i="121"/>
  <c r="E9" i="121"/>
  <c r="D9" i="121"/>
  <c r="F14" i="4"/>
  <c r="E14" i="4"/>
  <c r="D14" i="4"/>
  <c r="C14" i="4"/>
  <c r="F12" i="4"/>
  <c r="E12" i="4"/>
  <c r="D12" i="4"/>
  <c r="C12" i="4"/>
  <c r="G10" i="4"/>
  <c r="F10" i="4"/>
  <c r="E10" i="4"/>
  <c r="D10" i="4"/>
  <c r="C10" i="4"/>
  <c r="C14" i="46"/>
  <c r="C13" i="46"/>
  <c r="V92" i="122"/>
  <c r="V91" i="122"/>
  <c r="E13" i="1" s="1"/>
  <c r="V90" i="122"/>
  <c r="V89" i="122"/>
  <c r="C13" i="116" s="1"/>
  <c r="V88" i="122"/>
  <c r="V87" i="122"/>
  <c r="V68" i="122"/>
  <c r="V67" i="122"/>
  <c r="V66" i="122"/>
  <c r="V33" i="122"/>
  <c r="B11" i="1" s="1"/>
  <c r="D11" i="95"/>
  <c r="C11" i="95"/>
  <c r="E11" i="1"/>
  <c r="V86" i="122"/>
  <c r="V65" i="122"/>
  <c r="V32" i="122"/>
  <c r="V38" i="122"/>
  <c r="V36" i="122"/>
  <c r="V35" i="122"/>
  <c r="V34" i="122"/>
  <c r="AQ3" i="122"/>
  <c r="AQ4" i="122" s="1"/>
  <c r="AQ5" i="122" s="1"/>
  <c r="AQ6" i="122" s="1"/>
  <c r="AQ7" i="122" s="1"/>
  <c r="AQ8" i="122" s="1"/>
  <c r="AQ9" i="122" s="1"/>
  <c r="AQ10" i="122" s="1"/>
  <c r="AQ11" i="122" s="1"/>
  <c r="AQ12" i="122" s="1"/>
  <c r="AQ13" i="122" s="1"/>
  <c r="AQ2" i="122"/>
  <c r="N94" i="122"/>
  <c r="B837" i="188" l="1"/>
  <c r="B8" i="188"/>
  <c r="D10" i="181"/>
  <c r="B12" i="179"/>
  <c r="C12" i="179" s="1"/>
  <c r="D12" i="179" s="1"/>
  <c r="D10" i="187"/>
  <c r="B12" i="180"/>
  <c r="C12" i="180" s="1"/>
  <c r="D12" i="180" s="1"/>
  <c r="B12" i="185"/>
  <c r="C12" i="185" s="1"/>
  <c r="D12" i="185" s="1"/>
  <c r="D10" i="182"/>
  <c r="B12" i="183"/>
  <c r="C12" i="183" s="1"/>
  <c r="D12" i="183" s="1"/>
  <c r="B12" i="186"/>
  <c r="C12" i="186" s="1"/>
  <c r="D12" i="186" s="1"/>
  <c r="D10" i="178"/>
  <c r="D10" i="184"/>
  <c r="B13" i="1"/>
  <c r="C13" i="1"/>
  <c r="D13" i="116"/>
  <c r="D13" i="1"/>
  <c r="C11" i="46"/>
  <c r="S27" i="122"/>
  <c r="P98" i="130"/>
  <c r="P97" i="130"/>
  <c r="P96" i="130"/>
  <c r="B838" i="188" l="1"/>
  <c r="B9" i="188"/>
  <c r="E10" i="182"/>
  <c r="C10" i="182"/>
  <c r="E10" i="187"/>
  <c r="C10" i="187"/>
  <c r="E10" i="184"/>
  <c r="C10" i="184"/>
  <c r="E10" i="178"/>
  <c r="C10" i="178"/>
  <c r="E10" i="181"/>
  <c r="C10" i="181"/>
  <c r="T93" i="122"/>
  <c r="T89" i="122"/>
  <c r="T91" i="122"/>
  <c r="B839" i="188" l="1"/>
  <c r="F10" i="181"/>
  <c r="B10" i="181"/>
  <c r="B10" i="178"/>
  <c r="F10" i="178"/>
  <c r="F10" i="187"/>
  <c r="B10" i="187"/>
  <c r="B10" i="184"/>
  <c r="F10" i="184"/>
  <c r="F10" i="182"/>
  <c r="B10" i="182"/>
  <c r="T68" i="122"/>
  <c r="B11" i="188" l="1"/>
  <c r="F53" i="121"/>
  <c r="B841" i="188" l="1"/>
  <c r="B12" i="188"/>
  <c r="P68" i="130"/>
  <c r="P67" i="130"/>
  <c r="P66" i="130"/>
  <c r="P65" i="130"/>
  <c r="B842" i="188" l="1"/>
  <c r="B13" i="188"/>
  <c r="P36" i="131"/>
  <c r="P35" i="131"/>
  <c r="P34" i="131"/>
  <c r="P33" i="131"/>
  <c r="P32" i="131"/>
  <c r="P31" i="131"/>
  <c r="P30" i="131"/>
  <c r="P29" i="131"/>
  <c r="P28" i="131"/>
  <c r="P27" i="131"/>
  <c r="P26" i="131"/>
  <c r="P25" i="131"/>
  <c r="P24" i="131"/>
  <c r="P23" i="131"/>
  <c r="P22" i="131"/>
  <c r="P21" i="131"/>
  <c r="P20" i="131"/>
  <c r="P19" i="131"/>
  <c r="P18" i="131"/>
  <c r="P11" i="131"/>
  <c r="P10" i="131"/>
  <c r="P4" i="131"/>
  <c r="P64" i="130"/>
  <c r="P61" i="130"/>
  <c r="P60" i="130"/>
  <c r="P59" i="130"/>
  <c r="P63" i="130" s="1"/>
  <c r="P58" i="130"/>
  <c r="P57" i="130"/>
  <c r="P56" i="130"/>
  <c r="P55" i="130"/>
  <c r="P54" i="130"/>
  <c r="P53" i="130"/>
  <c r="P52" i="130"/>
  <c r="P51" i="130"/>
  <c r="P50" i="130"/>
  <c r="P49" i="130"/>
  <c r="P48" i="130"/>
  <c r="P47" i="130"/>
  <c r="P46" i="130"/>
  <c r="P39" i="130"/>
  <c r="P37" i="130"/>
  <c r="P22" i="130"/>
  <c r="U36" i="131"/>
  <c r="V19" i="131"/>
  <c r="V20" i="131" s="1"/>
  <c r="V21" i="131" s="1"/>
  <c r="V22" i="131" s="1"/>
  <c r="V23" i="131" s="1"/>
  <c r="V24" i="131" s="1"/>
  <c r="V25" i="131" s="1"/>
  <c r="V26" i="131" s="1"/>
  <c r="V27" i="131" s="1"/>
  <c r="V28" i="131" s="1"/>
  <c r="V29" i="131" s="1"/>
  <c r="V30" i="131" s="1"/>
  <c r="V31" i="131" s="1"/>
  <c r="V32" i="131" s="1"/>
  <c r="V33" i="131" s="1"/>
  <c r="V34" i="131" s="1"/>
  <c r="V35" i="131" s="1"/>
  <c r="V36" i="131" s="1"/>
  <c r="U47" i="130"/>
  <c r="U48" i="130" s="1"/>
  <c r="U49" i="130" s="1"/>
  <c r="U50" i="130" s="1"/>
  <c r="U51" i="130" s="1"/>
  <c r="U52" i="130" s="1"/>
  <c r="U53" i="130" s="1"/>
  <c r="U54" i="130" s="1"/>
  <c r="U55" i="130" s="1"/>
  <c r="U56" i="130" s="1"/>
  <c r="U57" i="130" s="1"/>
  <c r="U58" i="130" s="1"/>
  <c r="U59" i="130" s="1"/>
  <c r="U60" i="130" s="1"/>
  <c r="U61" i="130" s="1"/>
  <c r="U62" i="130" s="1"/>
  <c r="U63" i="130" s="1"/>
  <c r="U64" i="130" s="1"/>
  <c r="U65" i="130" s="1"/>
  <c r="U66" i="130" s="1"/>
  <c r="U67" i="130" s="1"/>
  <c r="U68" i="130" s="1"/>
  <c r="V3" i="130"/>
  <c r="V4" i="130" s="1"/>
  <c r="V5" i="130" s="1"/>
  <c r="V6" i="130" s="1"/>
  <c r="V7" i="130" s="1"/>
  <c r="V8" i="130" s="1"/>
  <c r="V9" i="130" s="1"/>
  <c r="V10" i="130" s="1"/>
  <c r="V11" i="130" s="1"/>
  <c r="V12" i="130" s="1"/>
  <c r="V13" i="130" s="1"/>
  <c r="V14" i="130" s="1"/>
  <c r="V15" i="130" s="1"/>
  <c r="V16" i="130" s="1"/>
  <c r="V17" i="130" s="1"/>
  <c r="V18" i="130" s="1"/>
  <c r="V19" i="130" s="1"/>
  <c r="V20" i="130" s="1"/>
  <c r="V21" i="130" s="1"/>
  <c r="V22" i="130" s="1"/>
  <c r="V23" i="130" s="1"/>
  <c r="V24" i="130" s="1"/>
  <c r="V25" i="130" s="1"/>
  <c r="V26" i="130" s="1"/>
  <c r="V27" i="130" s="1"/>
  <c r="V28" i="130" s="1"/>
  <c r="V29" i="130" s="1"/>
  <c r="V30" i="130" s="1"/>
  <c r="V31" i="130" s="1"/>
  <c r="V32" i="130" s="1"/>
  <c r="V33" i="130" s="1"/>
  <c r="V35" i="130" l="1"/>
  <c r="V36" i="130" s="1"/>
  <c r="V37" i="130" s="1"/>
  <c r="V34" i="130"/>
  <c r="V39" i="130" l="1"/>
  <c r="V40" i="130" s="1"/>
  <c r="V41" i="130" s="1"/>
  <c r="V42" i="130" s="1"/>
  <c r="V43" i="130" s="1"/>
  <c r="V44" i="130" s="1"/>
  <c r="V38" i="130"/>
  <c r="B844" i="188"/>
  <c r="B15" i="188"/>
  <c r="V47" i="130"/>
  <c r="V48" i="130" s="1"/>
  <c r="V49" i="130" s="1"/>
  <c r="V50" i="130" s="1"/>
  <c r="V51" i="130" s="1"/>
  <c r="V52" i="130" s="1"/>
  <c r="V53" i="130" s="1"/>
  <c r="V54" i="130" s="1"/>
  <c r="V55" i="130" s="1"/>
  <c r="V56" i="130" s="1"/>
  <c r="V57" i="130" s="1"/>
  <c r="V58" i="130" s="1"/>
  <c r="V59" i="130" s="1"/>
  <c r="V60" i="130" s="1"/>
  <c r="V61" i="130" s="1"/>
  <c r="V62" i="130" s="1"/>
  <c r="V63" i="130" s="1"/>
  <c r="V64" i="130" s="1"/>
  <c r="V65" i="130" s="1"/>
  <c r="V66" i="130" s="1"/>
  <c r="V67" i="130" s="1"/>
  <c r="V68" i="130" s="1"/>
  <c r="V38" i="131"/>
  <c r="V39" i="131" s="1"/>
  <c r="B845" i="188" l="1"/>
  <c r="B16" i="188"/>
  <c r="V40" i="131"/>
  <c r="V41" i="131" s="1"/>
  <c r="V44" i="131" s="1"/>
  <c r="V45" i="131" s="1"/>
  <c r="V42" i="131"/>
  <c r="V43" i="131" s="1"/>
  <c r="V70" i="130" l="1"/>
  <c r="V71" i="130" s="1"/>
  <c r="V76" i="130" s="1"/>
  <c r="V73" i="130" s="1"/>
  <c r="B846" i="188"/>
  <c r="V79" i="130" l="1"/>
  <c r="B18" i="188"/>
  <c r="V74" i="130"/>
  <c r="B19" i="188" l="1"/>
  <c r="V75" i="130"/>
  <c r="B20" i="188" l="1"/>
  <c r="V77" i="130"/>
  <c r="V78" i="130" s="1"/>
  <c r="V72" i="130" l="1"/>
  <c r="V80" i="130" s="1"/>
  <c r="V81" i="130" s="1"/>
  <c r="V82" i="130" s="1"/>
  <c r="B22" i="188" l="1"/>
  <c r="B23" i="188" l="1"/>
  <c r="B25" i="188" l="1"/>
  <c r="B26" i="188" l="1"/>
  <c r="B27" i="188" l="1"/>
  <c r="B29" i="188" l="1"/>
  <c r="B30" i="188" l="1"/>
  <c r="F9" i="4"/>
  <c r="E8" i="4"/>
  <c r="D8" i="4"/>
  <c r="S35" i="122" l="1"/>
  <c r="T35" i="122" s="1"/>
  <c r="S67" i="122"/>
  <c r="T67" i="122" s="1"/>
  <c r="S66" i="122"/>
  <c r="T66" i="122" s="1"/>
  <c r="D9" i="95"/>
  <c r="P89" i="130" l="1"/>
  <c r="P88" i="130"/>
  <c r="P87" i="130"/>
  <c r="B32" i="188"/>
  <c r="P86" i="130"/>
  <c r="P85" i="130"/>
  <c r="P84" i="130"/>
  <c r="P81" i="130"/>
  <c r="P82" i="130"/>
  <c r="P43" i="131"/>
  <c r="P30" i="130"/>
  <c r="P17" i="130"/>
  <c r="P5" i="130"/>
  <c r="P12" i="131"/>
  <c r="P44" i="130"/>
  <c r="P15" i="130"/>
  <c r="P29" i="130"/>
  <c r="P28" i="130"/>
  <c r="P3" i="130"/>
  <c r="P42" i="130"/>
  <c r="P13" i="130"/>
  <c r="P21" i="130"/>
  <c r="P16" i="131"/>
  <c r="P7" i="130"/>
  <c r="P45" i="131"/>
  <c r="P19" i="130"/>
  <c r="P31" i="130"/>
  <c r="P11" i="130"/>
  <c r="P9" i="130"/>
  <c r="P32" i="130"/>
  <c r="P14" i="131"/>
  <c r="B33" i="188" l="1"/>
  <c r="O94" i="122"/>
  <c r="P94" i="122"/>
  <c r="Q94" i="122"/>
  <c r="R94" i="122"/>
  <c r="B34" i="188" l="1"/>
  <c r="F8" i="4"/>
  <c r="E76" i="121" l="1"/>
  <c r="K11" i="95"/>
  <c r="B36" i="188" l="1"/>
  <c r="C7" i="46"/>
  <c r="F7" i="116"/>
  <c r="B37" i="188" l="1"/>
  <c r="D13" i="121"/>
  <c r="D29" i="121" l="1"/>
  <c r="B39" i="188" l="1"/>
  <c r="B10" i="1"/>
  <c r="B40" i="188" l="1"/>
  <c r="Q38" i="122"/>
  <c r="R38" i="122" s="1"/>
  <c r="S38" i="122" s="1"/>
  <c r="T38" i="122" s="1"/>
  <c r="Q37" i="122"/>
  <c r="R37" i="122" s="1"/>
  <c r="S37" i="122" s="1"/>
  <c r="T37" i="122" s="1"/>
  <c r="B41" i="188" l="1"/>
  <c r="N153" i="122"/>
  <c r="O153" i="122" s="1"/>
  <c r="P153" i="122" s="1"/>
  <c r="Q153" i="122" s="1"/>
  <c r="R153" i="122" s="1"/>
  <c r="D30" i="121" l="1"/>
  <c r="B43" i="188" l="1"/>
  <c r="P80" i="130"/>
  <c r="P79" i="130"/>
  <c r="F30" i="121"/>
  <c r="E77" i="121" s="1"/>
  <c r="D77" i="121"/>
  <c r="E30" i="121"/>
  <c r="B44" i="188" l="1"/>
  <c r="J30" i="121"/>
  <c r="N67" i="122" l="1"/>
  <c r="O67" i="122" s="1"/>
  <c r="P67" i="122" s="1"/>
  <c r="Q67" i="122" s="1"/>
  <c r="N68" i="122"/>
  <c r="O68" i="122" s="1"/>
  <c r="P68" i="122" s="1"/>
  <c r="Q68" i="122" s="1"/>
  <c r="N66" i="122"/>
  <c r="O66" i="122" s="1"/>
  <c r="P66" i="122" s="1"/>
  <c r="N36" i="122"/>
  <c r="O36" i="122" s="1"/>
  <c r="P36" i="122" s="1"/>
  <c r="Q36" i="122" s="1"/>
  <c r="R36" i="122" s="1"/>
  <c r="S36" i="122" s="1"/>
  <c r="T36" i="122" s="1"/>
  <c r="N35" i="122"/>
  <c r="O35" i="122" s="1"/>
  <c r="P35" i="122" s="1"/>
  <c r="N34" i="122"/>
  <c r="O34" i="122" s="1"/>
  <c r="P34" i="122" s="1"/>
  <c r="Q34" i="122" s="1"/>
  <c r="R34" i="122" s="1"/>
  <c r="S34" i="122" s="1"/>
  <c r="T34" i="122" s="1"/>
  <c r="N33" i="122"/>
  <c r="O33" i="122" s="1"/>
  <c r="P33" i="122" s="1"/>
  <c r="Q33" i="122" s="1"/>
  <c r="R33" i="122" s="1"/>
  <c r="S33" i="122" s="1"/>
  <c r="T33" i="122" s="1"/>
  <c r="B46" i="188" l="1"/>
  <c r="B47" i="188" l="1"/>
  <c r="E58" i="121"/>
  <c r="F58" i="121" s="1"/>
  <c r="E57" i="121"/>
  <c r="F57" i="121" s="1"/>
  <c r="D55" i="121"/>
  <c r="E55" i="121" s="1"/>
  <c r="F55" i="121" s="1"/>
  <c r="E38" i="121"/>
  <c r="F38" i="121" s="1"/>
  <c r="G38" i="121" s="1"/>
  <c r="H38" i="121" s="1"/>
  <c r="E37" i="121"/>
  <c r="F37" i="121" s="1"/>
  <c r="J37" i="121" s="1"/>
  <c r="J34" i="121"/>
  <c r="G31" i="121"/>
  <c r="F29" i="121"/>
  <c r="E29" i="121"/>
  <c r="J10" i="121"/>
  <c r="D10" i="121"/>
  <c r="D34" i="121" s="1"/>
  <c r="E34" i="121" s="1"/>
  <c r="F34" i="121" s="1"/>
  <c r="G34" i="121" s="1"/>
  <c r="H34" i="121" s="1"/>
  <c r="I9" i="121"/>
  <c r="J9" i="121"/>
  <c r="E8" i="121"/>
  <c r="F8" i="121" s="1"/>
  <c r="I8" i="121" s="1"/>
  <c r="J8" i="121" s="1"/>
  <c r="D8" i="121"/>
  <c r="D6" i="121"/>
  <c r="B48" i="188" l="1"/>
  <c r="E56" i="121"/>
  <c r="F56" i="121" s="1"/>
  <c r="J33" i="121"/>
  <c r="E6" i="121"/>
  <c r="J38" i="121"/>
  <c r="G37" i="121"/>
  <c r="H37" i="121" s="1"/>
  <c r="I7" i="121"/>
  <c r="E10" i="121"/>
  <c r="F10" i="121" s="1"/>
  <c r="D75" i="121" l="1"/>
  <c r="O75" i="121" s="1"/>
  <c r="D73" i="121"/>
  <c r="F6" i="121"/>
  <c r="H31" i="121"/>
  <c r="B50" i="188" l="1"/>
  <c r="P73" i="130"/>
  <c r="P39" i="131"/>
  <c r="P76" i="130"/>
  <c r="P72" i="130"/>
  <c r="P75" i="130"/>
  <c r="P37" i="131"/>
  <c r="P74" i="130"/>
  <c r="P78" i="130"/>
  <c r="P38" i="131"/>
  <c r="P77" i="130"/>
  <c r="E73" i="121"/>
  <c r="F73" i="121" s="1"/>
  <c r="L73" i="121" s="1"/>
  <c r="J6" i="121"/>
  <c r="E74" i="121" s="1"/>
  <c r="E75" i="121"/>
  <c r="F75" i="121" s="1"/>
  <c r="I6" i="121"/>
  <c r="B51" i="188" l="1"/>
  <c r="L75" i="121"/>
  <c r="F77" i="121" l="1"/>
  <c r="B53" i="188" l="1"/>
  <c r="L77" i="121"/>
  <c r="B54" i="188" l="1"/>
  <c r="I11" i="4"/>
  <c r="B55" i="188" l="1"/>
  <c r="B57" i="188" l="1"/>
  <c r="D7" i="116"/>
  <c r="B58" i="188" l="1"/>
  <c r="D18" i="4"/>
  <c r="D17" i="4"/>
  <c r="F16" i="4"/>
  <c r="G16" i="4" s="1"/>
  <c r="D11" i="4"/>
  <c r="C11" i="4"/>
  <c r="D9" i="4"/>
  <c r="A13" i="95"/>
  <c r="A12" i="95"/>
  <c r="A11" i="95"/>
  <c r="C7" i="95"/>
  <c r="C17" i="46"/>
  <c r="A13" i="46"/>
  <c r="C12" i="46"/>
  <c r="A12" i="46"/>
  <c r="A11" i="46"/>
  <c r="E20" i="1"/>
  <c r="E18" i="1"/>
  <c r="E15" i="1"/>
  <c r="C11" i="116"/>
  <c r="E10" i="1"/>
  <c r="D10" i="1"/>
  <c r="D10" i="116" s="1"/>
  <c r="C10" i="1"/>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F17" i="4" l="1"/>
  <c r="G17" i="4" s="1"/>
  <c r="E17" i="4"/>
  <c r="F18" i="4"/>
  <c r="G18" i="4" s="1"/>
  <c r="E18" i="4"/>
  <c r="P34" i="130"/>
  <c r="P9" i="131"/>
  <c r="P40" i="131"/>
  <c r="C10" i="116"/>
  <c r="E11" i="4"/>
  <c r="F11" i="4"/>
  <c r="G11" i="4" s="1"/>
  <c r="P33" i="130"/>
  <c r="P3" i="131"/>
  <c r="P2" i="131"/>
  <c r="P40" i="130"/>
  <c r="P36" i="130"/>
  <c r="P7" i="131"/>
  <c r="P6" i="131"/>
  <c r="P35" i="130"/>
  <c r="P8" i="131"/>
  <c r="P5" i="131"/>
  <c r="G9" i="4"/>
  <c r="E9" i="4"/>
  <c r="D8" i="95"/>
  <c r="K13" i="95"/>
  <c r="G12" i="4"/>
  <c r="K10"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AK41" i="61"/>
  <c r="AL41" i="61" s="1"/>
  <c r="AI41" i="61"/>
  <c r="AI36" i="61"/>
  <c r="AI44" i="61"/>
  <c r="AH55" i="61"/>
  <c r="AI55" i="61" s="1"/>
  <c r="AH59" i="61"/>
  <c r="AI59" i="61" s="1"/>
  <c r="D40" i="121"/>
  <c r="C17" i="95"/>
  <c r="D17" i="95" s="1"/>
  <c r="G8" i="4"/>
  <c r="C15" i="4"/>
  <c r="C7" i="121"/>
  <c r="C31" i="121" s="1"/>
  <c r="C54" i="121" s="1"/>
  <c r="C8" i="121"/>
  <c r="C32" i="121" s="1"/>
  <c r="C55" i="121" s="1"/>
  <c r="C9" i="121"/>
  <c r="C33" i="121" s="1"/>
  <c r="C56" i="121" s="1"/>
  <c r="D16" i="116"/>
  <c r="C16" i="116"/>
  <c r="I12" i="4"/>
  <c r="I13" i="4" s="1"/>
  <c r="C8" i="116"/>
  <c r="D11" i="116"/>
  <c r="B60" i="188" l="1"/>
  <c r="P95" i="130"/>
  <c r="P93" i="130"/>
  <c r="P94" i="130"/>
  <c r="P92" i="130"/>
  <c r="P91" i="130"/>
  <c r="P90" i="130"/>
  <c r="P42" i="131"/>
  <c r="P8" i="130"/>
  <c r="P27" i="130"/>
  <c r="P26" i="130"/>
  <c r="P4" i="130"/>
  <c r="P6" i="130"/>
  <c r="P25" i="130"/>
  <c r="P2" i="130"/>
  <c r="P15" i="131"/>
  <c r="P18" i="130"/>
  <c r="P41" i="130"/>
  <c r="P12" i="130"/>
  <c r="P10" i="130"/>
  <c r="P24" i="130"/>
  <c r="P44" i="131"/>
  <c r="P17" i="131"/>
  <c r="P43" i="130"/>
  <c r="P16" i="130"/>
  <c r="P23" i="130"/>
  <c r="P20" i="130"/>
  <c r="P13" i="131"/>
  <c r="P14" i="130"/>
  <c r="D15" i="4"/>
  <c r="E15" i="4"/>
  <c r="D10" i="95"/>
  <c r="D62" i="121"/>
  <c r="D12" i="121"/>
  <c r="D8" i="116"/>
  <c r="B61" i="188" l="1"/>
  <c r="F15" i="4"/>
  <c r="G14" i="4"/>
  <c r="D36" i="121"/>
  <c r="D39" i="121" s="1"/>
  <c r="E12" i="121"/>
  <c r="D74" i="121"/>
  <c r="F74" i="121" s="1"/>
  <c r="L74" i="121" s="1"/>
  <c r="D53" i="121"/>
  <c r="D76" i="121" s="1"/>
  <c r="B62" i="188" l="1"/>
  <c r="E36" i="121"/>
  <c r="E39" i="121" s="1"/>
  <c r="I11" i="121"/>
  <c r="F12" i="121"/>
  <c r="O76" i="121"/>
  <c r="E53" i="121"/>
  <c r="D60" i="121"/>
  <c r="D61" i="121" s="1"/>
  <c r="P71" i="130" l="1"/>
  <c r="P70" i="130"/>
  <c r="P41" i="131"/>
  <c r="F36" i="121"/>
  <c r="F39" i="121" s="1"/>
  <c r="E60" i="121"/>
  <c r="E61" i="121" s="1"/>
  <c r="G36" i="121"/>
  <c r="G39" i="121" s="1"/>
  <c r="I12" i="121"/>
  <c r="F76" i="121"/>
  <c r="B64" i="188" l="1"/>
  <c r="G15" i="4"/>
  <c r="H36" i="121"/>
  <c r="H39" i="121" s="1"/>
  <c r="J12" i="121"/>
  <c r="J36" i="121"/>
  <c r="J39" i="121" s="1"/>
  <c r="F60" i="121"/>
  <c r="F61" i="121" s="1"/>
  <c r="L76" i="121"/>
  <c r="B65" i="188" l="1"/>
  <c r="B67" i="188" l="1"/>
  <c r="B68" i="188" l="1"/>
  <c r="B69" i="188" l="1"/>
  <c r="B71" i="188" l="1"/>
  <c r="B72" i="188" l="1"/>
  <c r="B74" i="188" l="1"/>
  <c r="B75" i="188" l="1"/>
  <c r="B76" i="188" l="1"/>
  <c r="B78" i="188" l="1"/>
  <c r="B79" i="188" l="1"/>
  <c r="B81" i="188" l="1"/>
  <c r="B82" i="188" l="1"/>
  <c r="B83" i="188" l="1"/>
  <c r="B85" i="188" l="1"/>
  <c r="B86" i="188" l="1"/>
  <c r="B88" i="188" l="1"/>
  <c r="B89" i="188" l="1"/>
  <c r="B90" i="188" l="1"/>
  <c r="B92" i="188" l="1"/>
  <c r="B93" i="188" l="1"/>
  <c r="B95" i="188" l="1"/>
  <c r="B96" i="188" l="1"/>
  <c r="B97" i="188" l="1"/>
  <c r="B99" i="188" l="1"/>
  <c r="B100" i="188" l="1"/>
  <c r="B102" i="188" l="1"/>
  <c r="B103" i="188" l="1"/>
  <c r="B104" i="188" l="1"/>
  <c r="B106" i="188" l="1"/>
  <c r="B107" i="188" l="1"/>
  <c r="B109" i="188" l="1"/>
  <c r="B110" i="188" l="1"/>
  <c r="B111" i="188" l="1"/>
  <c r="B113" i="188" l="1"/>
  <c r="B114" i="188" l="1"/>
  <c r="B116" i="188" l="1"/>
  <c r="B117" i="188" l="1"/>
  <c r="B118" i="188" l="1"/>
  <c r="B120" i="188" l="1"/>
  <c r="B121" i="188" l="1"/>
  <c r="B123" i="188" l="1"/>
  <c r="B124" i="188" l="1"/>
  <c r="B125" i="188" l="1"/>
  <c r="B127" i="188" l="1"/>
  <c r="B128" i="188" l="1"/>
  <c r="B130" i="188" l="1"/>
  <c r="B131" i="188" l="1"/>
  <c r="B132" i="188" l="1"/>
  <c r="B134" i="188" l="1"/>
  <c r="B135" i="188" l="1"/>
  <c r="B137" i="188" l="1"/>
  <c r="B138" i="188" l="1"/>
  <c r="B139" i="188" l="1"/>
  <c r="B141" i="188" l="1"/>
  <c r="B142" i="188" l="1"/>
  <c r="B144" i="188" l="1"/>
  <c r="B145" i="188" l="1"/>
  <c r="B146" i="188" l="1"/>
  <c r="B148" i="188" l="1"/>
  <c r="B149" i="188" l="1"/>
  <c r="B151" i="188" l="1"/>
  <c r="B152" i="188" l="1"/>
  <c r="B153" i="188" l="1"/>
  <c r="B155" i="188" l="1"/>
  <c r="B156" i="188" l="1"/>
  <c r="B158" i="188" l="1"/>
  <c r="B159" i="188" l="1"/>
  <c r="B160" i="188" l="1"/>
  <c r="B162" i="188" l="1"/>
  <c r="B163" i="188" l="1"/>
  <c r="B165" i="188" l="1"/>
  <c r="B166" i="188" l="1"/>
  <c r="B167" i="188" l="1"/>
  <c r="B169" i="188" l="1"/>
  <c r="B170" i="188" l="1"/>
  <c r="B172" i="188" l="1"/>
  <c r="B173" i="188" l="1"/>
  <c r="B174" i="188" l="1"/>
  <c r="B176" i="188" l="1"/>
  <c r="B177" i="188" l="1"/>
  <c r="B179" i="188" l="1"/>
  <c r="B180" i="188" l="1"/>
  <c r="B181" i="188" l="1"/>
  <c r="B183" i="188" l="1"/>
  <c r="B184" i="188" l="1"/>
  <c r="B186" i="188" l="1"/>
  <c r="B187" i="188" l="1"/>
  <c r="B188" i="188" l="1"/>
  <c r="B190" i="188" l="1"/>
  <c r="B191" i="188" l="1"/>
  <c r="B193" i="188" l="1"/>
  <c r="B194" i="188" l="1"/>
  <c r="B195" i="188" l="1"/>
  <c r="B197" i="188" l="1"/>
  <c r="B198" i="188" l="1"/>
  <c r="B200" i="188" l="1"/>
  <c r="B201" i="188" l="1"/>
  <c r="B202" i="188" l="1"/>
  <c r="B204" i="188" l="1"/>
  <c r="B205" i="188" l="1"/>
  <c r="B207" i="188" l="1"/>
  <c r="B208" i="188" l="1"/>
  <c r="B209" i="188" l="1"/>
  <c r="B211" i="188" l="1"/>
  <c r="B212" i="188" l="1"/>
  <c r="B214" i="188" l="1"/>
  <c r="B215" i="188" l="1"/>
  <c r="B216" i="188" l="1"/>
  <c r="B218" i="188" l="1"/>
  <c r="B219" i="188" l="1"/>
  <c r="B221" i="188" l="1"/>
  <c r="B222" i="188" l="1"/>
  <c r="B223" i="188" l="1"/>
  <c r="B225" i="188" l="1"/>
  <c r="B226" i="188" l="1"/>
  <c r="B228" i="188" l="1"/>
  <c r="B229" i="188" l="1"/>
  <c r="B230" i="188" l="1"/>
  <c r="B232" i="188" l="1"/>
  <c r="B233" i="188" l="1"/>
  <c r="B235" i="188" l="1"/>
  <c r="B236" i="188" l="1"/>
  <c r="B237" i="188" l="1"/>
  <c r="B239" i="188" l="1"/>
  <c r="B240" i="188" l="1"/>
  <c r="B242" i="188" l="1"/>
  <c r="B243" i="188" l="1"/>
  <c r="B244" i="188" l="1"/>
  <c r="B246" i="188" l="1"/>
  <c r="B247" i="188" l="1"/>
  <c r="B249" i="188" l="1"/>
  <c r="B250" i="188" l="1"/>
  <c r="B251" i="188" l="1"/>
  <c r="B253" i="188" l="1"/>
  <c r="B254" i="188" l="1"/>
  <c r="B256" i="188" l="1"/>
  <c r="B257" i="188" l="1"/>
  <c r="B258" i="188" l="1"/>
  <c r="B260" i="188" l="1"/>
  <c r="B261" i="188" l="1"/>
  <c r="B263" i="188" l="1"/>
  <c r="B264" i="188" l="1"/>
  <c r="B265" i="188" l="1"/>
  <c r="B267" i="188" l="1"/>
  <c r="B268" i="188" l="1"/>
  <c r="B270" i="188" l="1"/>
  <c r="B271" i="188" l="1"/>
  <c r="B272" i="188" l="1"/>
  <c r="B274" i="188" l="1"/>
  <c r="B275" i="188" l="1"/>
  <c r="B277" i="188" l="1"/>
  <c r="B278" i="188" l="1"/>
  <c r="B279" i="188" l="1"/>
  <c r="B281" i="188" l="1"/>
  <c r="B282" i="188" l="1"/>
  <c r="B284" i="188" l="1"/>
  <c r="B285" i="188" l="1"/>
  <c r="B286" i="188" l="1"/>
  <c r="B288" i="188" l="1"/>
  <c r="B289" i="188" l="1"/>
  <c r="B291" i="188" l="1"/>
  <c r="B292" i="188" l="1"/>
  <c r="B293" i="188" l="1"/>
  <c r="B295" i="188" l="1"/>
  <c r="B296" i="188" l="1"/>
  <c r="B298" i="188" l="1"/>
  <c r="B299" i="188" l="1"/>
  <c r="B300" i="188" l="1"/>
  <c r="B302" i="188" l="1"/>
  <c r="B303" i="188" l="1"/>
  <c r="B305" i="188" l="1"/>
  <c r="B306" i="188" l="1"/>
  <c r="B307" i="188" l="1"/>
  <c r="B309" i="188" l="1"/>
  <c r="B310" i="188" l="1"/>
  <c r="B312" i="188" l="1"/>
  <c r="B313" i="188" l="1"/>
  <c r="B314" i="188" l="1"/>
  <c r="B316" i="188" l="1"/>
  <c r="B317" i="188" l="1"/>
  <c r="B319" i="188" l="1"/>
  <c r="B320" i="188" l="1"/>
  <c r="B321" i="188" l="1"/>
  <c r="B323" i="188" l="1"/>
  <c r="B324" i="188" l="1"/>
  <c r="B326" i="188" l="1"/>
  <c r="B327" i="188" l="1"/>
  <c r="B328" i="188" l="1"/>
  <c r="B330" i="188" l="1"/>
  <c r="B331" i="188" l="1"/>
  <c r="B333" i="188" l="1"/>
  <c r="B334" i="188" l="1"/>
  <c r="B335" i="188" l="1"/>
  <c r="B337" i="188" l="1"/>
  <c r="B338" i="188" l="1"/>
  <c r="B340" i="188" l="1"/>
  <c r="B341" i="188" l="1"/>
  <c r="B342" i="188" l="1"/>
  <c r="B344" i="188" l="1"/>
  <c r="B345" i="188" l="1"/>
  <c r="B347" i="188" l="1"/>
  <c r="B348" i="188" l="1"/>
  <c r="B349" i="188" l="1"/>
  <c r="B351" i="188" l="1"/>
  <c r="B352" i="188" l="1"/>
  <c r="B354" i="188" l="1"/>
  <c r="B355" i="188" l="1"/>
  <c r="B356" i="188" l="1"/>
  <c r="B358" i="188" l="1"/>
  <c r="B359" i="188" l="1"/>
  <c r="B361" i="188" l="1"/>
  <c r="B362" i="188" l="1"/>
  <c r="B363" i="188" l="1"/>
  <c r="B365" i="188" l="1"/>
  <c r="B366" i="188" l="1"/>
  <c r="B368" i="188" l="1"/>
  <c r="B369" i="188" l="1"/>
  <c r="B370" i="188" l="1"/>
  <c r="B372" i="188" l="1"/>
  <c r="B373" i="188" l="1"/>
  <c r="B375" i="188" l="1"/>
  <c r="B376" i="188" l="1"/>
  <c r="B377" i="188" l="1"/>
  <c r="B379" i="188" l="1"/>
  <c r="B380" i="188" l="1"/>
  <c r="B382" i="188" l="1"/>
  <c r="B383" i="188" l="1"/>
  <c r="B384" i="188" l="1"/>
  <c r="B386" i="188" l="1"/>
  <c r="B387" i="188" l="1"/>
  <c r="B389" i="188" l="1"/>
  <c r="B390" i="188" l="1"/>
  <c r="B391" i="188" l="1"/>
  <c r="B393" i="188" l="1"/>
  <c r="B394" i="188" l="1"/>
  <c r="B396" i="188" l="1"/>
  <c r="B397" i="188" l="1"/>
  <c r="B398" i="188" l="1"/>
  <c r="B400" i="188" l="1"/>
  <c r="B401" i="188" l="1"/>
  <c r="B403" i="188" l="1"/>
  <c r="B404" i="188" l="1"/>
  <c r="B405" i="188" l="1"/>
  <c r="B407" i="188" l="1"/>
  <c r="B408" i="188" l="1"/>
  <c r="B410" i="188" l="1"/>
  <c r="B411" i="188" l="1"/>
  <c r="B412" i="188" l="1"/>
  <c r="B414" i="188" l="1"/>
  <c r="B415" i="188" l="1"/>
  <c r="B417" i="188" l="1"/>
  <c r="B418" i="188" l="1"/>
  <c r="B419" i="188" l="1"/>
  <c r="B421" i="188" l="1"/>
  <c r="B422" i="188" l="1"/>
  <c r="B424" i="188" l="1"/>
  <c r="B425" i="188" l="1"/>
  <c r="B426" i="188" l="1"/>
  <c r="B428" i="188" l="1"/>
  <c r="B429" i="188" l="1"/>
  <c r="B431" i="188" l="1"/>
  <c r="B432" i="188" l="1"/>
  <c r="B433" i="188" l="1"/>
  <c r="B435" i="188" l="1"/>
  <c r="B436" i="188" l="1"/>
  <c r="B438" i="188" l="1"/>
  <c r="B439" i="188" l="1"/>
  <c r="B440" i="188" l="1"/>
  <c r="B442" i="188" l="1"/>
  <c r="B443" i="188" l="1"/>
  <c r="B445" i="188" l="1"/>
  <c r="B446" i="188" l="1"/>
  <c r="B447" i="188" l="1"/>
  <c r="B449" i="188" l="1"/>
  <c r="B450" i="188" l="1"/>
  <c r="B452" i="188" l="1"/>
  <c r="B453" i="188" l="1"/>
  <c r="B454" i="188" l="1"/>
  <c r="B456" i="188" l="1"/>
  <c r="B457" i="188" l="1"/>
  <c r="B459" i="188" l="1"/>
  <c r="B460" i="188" l="1"/>
  <c r="B461" i="188" l="1"/>
  <c r="B463" i="188" l="1"/>
  <c r="B464" i="188" l="1"/>
  <c r="B466" i="188" l="1"/>
  <c r="B467" i="188" l="1"/>
  <c r="B468" i="188" l="1"/>
  <c r="B470" i="188" l="1"/>
  <c r="B471" i="188" l="1"/>
  <c r="B473" i="188" l="1"/>
  <c r="B474" i="188" l="1"/>
  <c r="B475" i="188" l="1"/>
  <c r="B477" i="188" l="1"/>
  <c r="B478" i="188" l="1"/>
  <c r="B480" i="188" l="1"/>
  <c r="B481" i="188" l="1"/>
  <c r="B482" i="188" l="1"/>
  <c r="B484" i="188" l="1"/>
  <c r="B485" i="188" l="1"/>
  <c r="B487" i="188" l="1"/>
  <c r="B488" i="188" l="1"/>
  <c r="B489" i="188" l="1"/>
  <c r="B491" i="188" l="1"/>
  <c r="B492" i="188" l="1"/>
  <c r="B494" i="188" l="1"/>
  <c r="B495" i="188" l="1"/>
  <c r="B496" i="188" l="1"/>
  <c r="B498" i="188" l="1"/>
  <c r="B499" i="188" l="1"/>
  <c r="B501" i="188" l="1"/>
  <c r="B502" i="188" l="1"/>
  <c r="B503" i="188" l="1"/>
  <c r="B505" i="188" l="1"/>
  <c r="B506" i="188" l="1"/>
  <c r="B508" i="188" l="1"/>
  <c r="B509" i="188" l="1"/>
  <c r="B510" i="188" l="1"/>
  <c r="B512" i="188" l="1"/>
  <c r="B513" i="188" l="1"/>
  <c r="B515" i="188" l="1"/>
  <c r="B516" i="188" l="1"/>
  <c r="B517" i="188" l="1"/>
  <c r="B519" i="188" l="1"/>
  <c r="B520" i="188" l="1"/>
  <c r="B522" i="188" l="1"/>
  <c r="B523" i="188" l="1"/>
  <c r="B524" i="188" l="1"/>
  <c r="B526" i="188" l="1"/>
  <c r="B527" i="188" l="1"/>
  <c r="B529" i="188" l="1"/>
  <c r="B530" i="188" l="1"/>
  <c r="B531" i="188" l="1"/>
  <c r="B533" i="188" l="1"/>
  <c r="B534" i="188" l="1"/>
  <c r="B536" i="188" l="1"/>
  <c r="B537" i="188" l="1"/>
  <c r="B538" i="188" l="1"/>
  <c r="B540" i="188" l="1"/>
  <c r="B541" i="188" l="1"/>
  <c r="B543" i="188" l="1"/>
  <c r="B544" i="188" l="1"/>
  <c r="B545" i="188" l="1"/>
  <c r="B547" i="188" l="1"/>
  <c r="B548" i="188" l="1"/>
  <c r="B550" i="188" l="1"/>
  <c r="B551" i="188" l="1"/>
  <c r="B552" i="188" l="1"/>
  <c r="B554" i="188" l="1"/>
  <c r="B555" i="188" l="1"/>
  <c r="B557" i="188" l="1"/>
  <c r="B558" i="188" l="1"/>
  <c r="B559" i="188" l="1"/>
  <c r="B561" i="188" l="1"/>
  <c r="B562" i="188" l="1"/>
  <c r="B564" i="188" l="1"/>
  <c r="B565" i="188" l="1"/>
  <c r="B566" i="188" l="1"/>
  <c r="B568" i="188" l="1"/>
  <c r="B569" i="188" l="1"/>
  <c r="B571" i="188" l="1"/>
  <c r="B572" i="188" l="1"/>
  <c r="B573" i="188" l="1"/>
  <c r="B575" i="188" l="1"/>
  <c r="B576" i="188" l="1"/>
  <c r="B578" i="188" l="1"/>
  <c r="B579" i="188" l="1"/>
  <c r="B580" i="188" l="1"/>
  <c r="B582" i="188" l="1"/>
  <c r="B583" i="188" l="1"/>
  <c r="B585" i="188" l="1"/>
  <c r="B586" i="188" l="1"/>
  <c r="B587" i="188" l="1"/>
  <c r="B589" i="188" l="1"/>
  <c r="B590" i="188" l="1"/>
  <c r="B592" i="188" l="1"/>
  <c r="B593" i="188" l="1"/>
  <c r="B594" i="188" l="1"/>
  <c r="B596" i="188" l="1"/>
  <c r="B597" i="188" l="1"/>
  <c r="B599" i="188" l="1"/>
  <c r="B600" i="188" l="1"/>
  <c r="B601" i="188" l="1"/>
  <c r="B603" i="188" l="1"/>
  <c r="B604" i="188" l="1"/>
  <c r="B606" i="188" l="1"/>
  <c r="B607" i="188" l="1"/>
  <c r="B608" i="188" l="1"/>
  <c r="B610" i="188" l="1"/>
  <c r="B611" i="188" l="1"/>
  <c r="B613" i="188" l="1"/>
  <c r="B614" i="188" l="1"/>
  <c r="B615" i="188" l="1"/>
  <c r="B617" i="188" l="1"/>
  <c r="B618" i="188" l="1"/>
  <c r="B620" i="188" l="1"/>
  <c r="B621" i="188" l="1"/>
  <c r="B622" i="188" l="1"/>
  <c r="B624" i="188" l="1"/>
  <c r="B625" i="188" l="1"/>
  <c r="B627" i="188" l="1"/>
  <c r="B628" i="188" l="1"/>
  <c r="B629" i="188" l="1"/>
  <c r="B631" i="188" l="1"/>
  <c r="B632" i="188" l="1"/>
  <c r="B634" i="188" l="1"/>
  <c r="B635" i="188" l="1"/>
  <c r="B636" i="188" l="1"/>
  <c r="B638" i="188" l="1"/>
  <c r="B639" i="188" l="1"/>
  <c r="B641" i="188" l="1"/>
  <c r="B642" i="188" l="1"/>
  <c r="B643" i="188" l="1"/>
  <c r="B645" i="188" l="1"/>
  <c r="B646" i="188" l="1"/>
  <c r="B648" i="188" l="1"/>
  <c r="B649" i="188" l="1"/>
  <c r="B650" i="188" l="1"/>
  <c r="B652" i="188" l="1"/>
  <c r="B653" i="188" l="1"/>
  <c r="B655" i="188" l="1"/>
  <c r="B656" i="188" l="1"/>
  <c r="B657" i="188" l="1"/>
  <c r="B659" i="188" l="1"/>
  <c r="B660" i="188" l="1"/>
  <c r="B662" i="188" l="1"/>
  <c r="B663" i="188" l="1"/>
  <c r="B664" i="188" l="1"/>
  <c r="B666" i="188" l="1"/>
  <c r="B667" i="188" l="1"/>
  <c r="B669" i="188" l="1"/>
  <c r="B670" i="188" l="1"/>
  <c r="B671" i="188" l="1"/>
  <c r="B673" i="188" l="1"/>
  <c r="B674" i="188" l="1"/>
  <c r="B676" i="188" l="1"/>
  <c r="B677" i="188" l="1"/>
  <c r="B678" i="188" l="1"/>
  <c r="B680" i="188" l="1"/>
  <c r="B681" i="188" l="1"/>
  <c r="B683" i="188" l="1"/>
  <c r="B684" i="188" l="1"/>
  <c r="B685" i="188" l="1"/>
  <c r="B687" i="188" l="1"/>
  <c r="B688" i="188" l="1"/>
  <c r="B690" i="188" l="1"/>
  <c r="B691" i="188" l="1"/>
  <c r="B692" i="188" l="1"/>
  <c r="B694" i="188" l="1"/>
  <c r="B695" i="188" l="1"/>
  <c r="B697" i="188" l="1"/>
  <c r="B698" i="188" l="1"/>
  <c r="B699" i="188" l="1"/>
  <c r="B701" i="188" l="1"/>
  <c r="B702" i="188" l="1"/>
  <c r="B704" i="188" l="1"/>
  <c r="B705" i="188" l="1"/>
  <c r="B706" i="188" l="1"/>
  <c r="B708" i="188" l="1"/>
  <c r="B709" i="188" l="1"/>
  <c r="B711" i="188" l="1"/>
  <c r="B712" i="188" l="1"/>
  <c r="B713" i="188" l="1"/>
  <c r="B715" i="188" l="1"/>
  <c r="B716" i="188" l="1"/>
  <c r="B718" i="188" l="1"/>
  <c r="B719" i="188" l="1"/>
  <c r="B720" i="188" l="1"/>
  <c r="B722" i="188" l="1"/>
  <c r="B723" i="188" l="1"/>
  <c r="B725" i="188" l="1"/>
  <c r="B726" i="188" l="1"/>
  <c r="B727" i="188" l="1"/>
  <c r="B729" i="188" l="1"/>
  <c r="B730" i="188" l="1"/>
  <c r="B732" i="188" l="1"/>
  <c r="B733" i="188" l="1"/>
  <c r="B734" i="188" l="1"/>
  <c r="B736" i="188" l="1"/>
  <c r="B737" i="188" l="1"/>
  <c r="B739" i="188" l="1"/>
  <c r="B740" i="188" l="1"/>
  <c r="B741" i="188" l="1"/>
  <c r="B743" i="188" l="1"/>
  <c r="B744" i="188" l="1"/>
  <c r="B746" i="188" l="1"/>
  <c r="B747" i="188" l="1"/>
  <c r="B748" i="188" l="1"/>
  <c r="B750" i="188" l="1"/>
  <c r="B751" i="188" l="1"/>
  <c r="B753" i="188" l="1"/>
  <c r="B754" i="188" l="1"/>
  <c r="B755" i="188" l="1"/>
  <c r="B757" i="188" l="1"/>
  <c r="B758" i="188" l="1"/>
  <c r="B760" i="188" l="1"/>
  <c r="B761" i="188" l="1"/>
  <c r="B762" i="188" l="1"/>
  <c r="B764" i="188" l="1"/>
  <c r="B765" i="188" l="1"/>
  <c r="B767" i="188" l="1"/>
  <c r="B768" i="188" l="1"/>
  <c r="B769" i="188" l="1"/>
  <c r="B771" i="188" l="1"/>
  <c r="B772" i="188" l="1"/>
  <c r="B774" i="188" l="1"/>
  <c r="B775" i="188" l="1"/>
  <c r="B776" i="188" l="1"/>
  <c r="B778" i="188" l="1"/>
  <c r="B779" i="188" l="1"/>
  <c r="B781" i="188" l="1"/>
  <c r="B782" i="188" l="1"/>
  <c r="B783" i="188" l="1"/>
  <c r="B785" i="188" l="1"/>
  <c r="B786" i="188" l="1"/>
  <c r="B788" i="188" l="1"/>
  <c r="B789" i="188" l="1"/>
  <c r="B790" i="188" l="1"/>
  <c r="B792" i="188" l="1"/>
  <c r="B793" i="188" l="1"/>
  <c r="B795" i="188" l="1"/>
  <c r="B796" i="188" l="1"/>
  <c r="B797" i="188" l="1"/>
  <c r="B799" i="188" l="1"/>
  <c r="B800" i="188" l="1"/>
  <c r="B802" i="188" l="1"/>
  <c r="B803" i="188" l="1"/>
  <c r="B804" i="188" l="1"/>
  <c r="B806" i="188" l="1"/>
  <c r="B807" i="188" l="1"/>
  <c r="B809" i="188" l="1"/>
  <c r="B810" i="188" l="1"/>
  <c r="B811" i="188" l="1"/>
  <c r="B813" i="188" l="1"/>
  <c r="B814" i="188" l="1"/>
  <c r="B816" i="188" l="1"/>
  <c r="B817" i="188" l="1"/>
  <c r="B818" i="188" l="1"/>
  <c r="B820" i="188" l="1"/>
  <c r="B821" i="188" l="1"/>
  <c r="B823" i="188" l="1"/>
  <c r="B824" i="188" l="1"/>
  <c r="B825" i="188" l="1"/>
  <c r="B827" i="188" l="1"/>
  <c r="B828" i="188" l="1"/>
  <c r="B830" i="188" l="1"/>
  <c r="B831" i="188" l="1"/>
  <c r="C4" i="121"/>
  <c r="C28" i="121" s="1"/>
  <c r="C51" i="121" s="1"/>
  <c r="D6" i="1"/>
  <c r="E6" i="1" s="1"/>
  <c r="B6" i="95"/>
  <c r="C6" i="95" s="1"/>
  <c r="U3" i="130"/>
  <c r="U4" i="130" s="1"/>
  <c r="U5" i="130" s="1"/>
  <c r="U6" i="130" s="1"/>
  <c r="U7" i="130" s="1"/>
  <c r="U8" i="130" s="1"/>
  <c r="U9" i="130" s="1"/>
  <c r="U10" i="130" s="1"/>
  <c r="U11" i="130" s="1"/>
  <c r="U12" i="130" s="1"/>
  <c r="U13" i="130" s="1"/>
  <c r="U14" i="130" s="1"/>
  <c r="U15" i="130" s="1"/>
  <c r="U16" i="130" s="1"/>
  <c r="U17" i="130" s="1"/>
  <c r="U18" i="130" s="1"/>
  <c r="U19" i="130" s="1"/>
  <c r="U20" i="130" s="1"/>
  <c r="U21" i="130" s="1"/>
  <c r="U22" i="130" s="1"/>
  <c r="U23" i="130" s="1"/>
  <c r="U24" i="130" s="1"/>
  <c r="U25" i="130" s="1"/>
  <c r="U26" i="130" s="1"/>
  <c r="U27" i="130" s="1"/>
  <c r="U28" i="130" s="1"/>
  <c r="U29" i="130" s="1"/>
  <c r="U30" i="130" s="1"/>
  <c r="U31" i="130" s="1"/>
  <c r="U32" i="130" s="1"/>
  <c r="U33" i="130" s="1"/>
  <c r="B6" i="1"/>
  <c r="C7" i="4" s="1"/>
  <c r="D7" i="4" s="1"/>
  <c r="B5" i="4"/>
  <c r="A2" i="116"/>
  <c r="A2" i="95"/>
  <c r="A2" i="46"/>
  <c r="B6" i="46" l="1"/>
  <c r="B6" i="116" s="1"/>
  <c r="E7" i="4"/>
  <c r="F7" i="4"/>
  <c r="G7" i="4" s="1"/>
  <c r="U34" i="130"/>
  <c r="U35" i="130"/>
  <c r="U36" i="130" s="1"/>
  <c r="U37" i="130" s="1"/>
  <c r="F6" i="1"/>
  <c r="G6" i="1" s="1"/>
  <c r="H6" i="1"/>
  <c r="I6" i="1" s="1"/>
  <c r="D6" i="95"/>
  <c r="U70" i="130"/>
  <c r="U71" i="130" s="1"/>
  <c r="C6" i="46"/>
  <c r="C6" i="1"/>
  <c r="U39" i="130" l="1"/>
  <c r="U40" i="130" s="1"/>
  <c r="U41" i="130" s="1"/>
  <c r="U42" i="130" s="1"/>
  <c r="U43" i="130" s="1"/>
  <c r="U44" i="130" s="1"/>
  <c r="U38" i="130"/>
  <c r="D6" i="116"/>
  <c r="C6" i="116"/>
  <c r="U3" i="131"/>
  <c r="U4" i="131" s="1"/>
  <c r="U5" i="131" s="1"/>
  <c r="U6" i="131" s="1"/>
  <c r="U7" i="131" s="1"/>
  <c r="U8" i="131" s="1"/>
  <c r="U9" i="131" s="1"/>
  <c r="U10" i="131" s="1"/>
  <c r="U11" i="131" s="1"/>
  <c r="U12" i="131" s="1"/>
  <c r="U13" i="131" s="1"/>
  <c r="U14" i="131" s="1"/>
  <c r="U15" i="131" s="1"/>
  <c r="U16" i="131" s="1"/>
  <c r="U17" i="131" s="1"/>
  <c r="U79" i="130"/>
  <c r="U76" i="130"/>
  <c r="U73" i="130" s="1"/>
  <c r="U74" i="130" s="1"/>
  <c r="U75" i="130" s="1"/>
  <c r="U77" i="130" s="1"/>
  <c r="U78" i="130" s="1"/>
  <c r="U72" i="130" s="1"/>
  <c r="U80" i="130" s="1"/>
  <c r="U81" i="130" s="1"/>
  <c r="U82" i="130" s="1"/>
  <c r="U38" i="131" l="1"/>
  <c r="U39" i="131" l="1"/>
  <c r="U40" i="131" l="1"/>
  <c r="U42" i="131"/>
  <c r="U43" i="131" l="1"/>
  <c r="U41" i="131"/>
  <c r="U44" i="131" l="1"/>
  <c r="U45" i="1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Helbert Martinez Puerto</author>
    <author>Fabian Cardona Flor</author>
  </authors>
  <commentList>
    <comment ref="T35" authorId="0" shapeId="0" xr:uid="{3912FD4A-326C-4B71-9C17-9172F84D00A9}">
      <text>
        <r>
          <rPr>
            <b/>
            <sz val="9"/>
            <color indexed="81"/>
            <rFont val="Tahoma"/>
            <family val="2"/>
          </rPr>
          <t>Helbert Martinez Puerto:</t>
        </r>
        <r>
          <rPr>
            <sz val="9"/>
            <color indexed="81"/>
            <rFont val="Tahoma"/>
            <family val="2"/>
          </rPr>
          <t xml:space="preserve">
El calculado dio 693,64 Vs el de resolución de 693,65</t>
        </r>
      </text>
    </comment>
    <comment ref="T37" authorId="0" shapeId="0" xr:uid="{027BAB04-3BC5-4071-9E1F-2E8CE0A0FCB0}">
      <text>
        <r>
          <rPr>
            <b/>
            <sz val="9"/>
            <color indexed="81"/>
            <rFont val="Tahoma"/>
            <family val="2"/>
          </rPr>
          <t>Helbert Martinez Puerto:</t>
        </r>
        <r>
          <rPr>
            <sz val="9"/>
            <color indexed="81"/>
            <rFont val="Tahoma"/>
            <family val="2"/>
          </rPr>
          <t xml:space="preserve">
el calculado dio 679,78 vs el de resolución de 679,77</t>
        </r>
      </text>
    </comment>
    <comment ref="T38" authorId="0" shapeId="0" xr:uid="{41D2E9CE-009F-41E6-ADBA-532C617520AB}">
      <text>
        <r>
          <rPr>
            <b/>
            <sz val="9"/>
            <color indexed="81"/>
            <rFont val="Tahoma"/>
            <family val="2"/>
          </rPr>
          <t>Helbert Martinez Puerto:</t>
        </r>
        <r>
          <rPr>
            <sz val="9"/>
            <color indexed="81"/>
            <rFont val="Tahoma"/>
            <family val="2"/>
          </rPr>
          <t xml:space="preserve">
el calculado dio 884,08 vs el de resolución de 884,07</t>
        </r>
      </text>
    </comment>
    <comment ref="L64" authorId="1" shapeId="0" xr:uid="{00000000-0006-0000-0200-000001000000}">
      <text>
        <r>
          <rPr>
            <b/>
            <sz val="10"/>
            <color indexed="81"/>
            <rFont val="Tahoma"/>
            <family val="2"/>
          </rPr>
          <t>Resolución DIAN 00004 de Feb 2017</t>
        </r>
      </text>
    </comment>
    <comment ref="N67" authorId="1" shapeId="0" xr:uid="{00000000-0006-0000-0200-000002000000}">
      <text>
        <r>
          <rPr>
            <b/>
            <sz val="10"/>
            <color indexed="81"/>
            <rFont val="Tahoma"/>
            <family val="2"/>
          </rPr>
          <t>La resolución dice 1063,09</t>
        </r>
      </text>
    </comment>
    <comment ref="O68" authorId="1" shapeId="0" xr:uid="{00000000-0006-0000-0200-000003000000}">
      <text>
        <r>
          <rPr>
            <sz val="10"/>
            <color indexed="81"/>
            <rFont val="Tahoma"/>
            <family val="2"/>
          </rPr>
          <t>La Resolución DIAN  000009 28 FEB19 indicó 686,84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<sst xmlns="http://schemas.openxmlformats.org/spreadsheetml/2006/main" count="4613" uniqueCount="443">
  <si>
    <t>($/Galón)</t>
  </si>
  <si>
    <t>ITEM</t>
  </si>
  <si>
    <t> </t>
  </si>
  <si>
    <t>Ingreso al productor</t>
  </si>
  <si>
    <t>Margen mayorista</t>
  </si>
  <si>
    <t>Precio de venta en planta de abasto mayorista</t>
  </si>
  <si>
    <t>Margen minorista</t>
  </si>
  <si>
    <t>Pérdida evaporación</t>
  </si>
  <si>
    <t>Sobretasa</t>
  </si>
  <si>
    <t>Precio de venta al público</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</si>
  <si>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</si>
  <si>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</si>
  <si>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</si>
  <si>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</si>
  <si>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</si>
  <si>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</si>
  <si>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</si>
  <si>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</si>
  <si>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</si>
  <si>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</si>
  <si>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</si>
  <si>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</si>
  <si>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</si>
  <si>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</si>
  <si>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</si>
  <si>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</si>
  <si>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</si>
  <si>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</si>
  <si>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</si>
  <si>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</si>
  <si>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</si>
  <si>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</si>
  <si>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</si>
  <si>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</si>
  <si>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</si>
  <si>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</si>
  <si>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</si>
  <si>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</si>
  <si>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</si>
  <si>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</si>
  <si>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</si>
  <si>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</si>
  <si>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</si>
  <si>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</si>
  <si>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</si>
  <si>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</si>
  <si>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</si>
  <si>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</si>
  <si>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</si>
  <si>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</si>
  <si>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</si>
  <si>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</si>
  <si>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</si>
  <si>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</si>
  <si>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</si>
  <si>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</si>
  <si>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</si>
  <si>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</si>
  <si>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</si>
  <si>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</si>
  <si>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</si>
  <si>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</si>
  <si>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</si>
  <si>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</si>
  <si>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</si>
  <si>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</si>
  <si>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</si>
  <si>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</si>
  <si>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</si>
  <si>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</si>
  <si>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</si>
  <si>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</si>
  <si>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</si>
  <si>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</si>
  <si>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</si>
  <si>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</si>
  <si>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</si>
  <si>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</si>
  <si>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</si>
  <si>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</si>
  <si>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</si>
  <si>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</si>
  <si>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</si>
  <si>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</si>
  <si>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</si>
  <si>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</si>
  <si>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</si>
  <si>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</si>
  <si>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</si>
  <si>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</si>
  <si>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</si>
  <si>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</si>
  <si>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</si>
  <si>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</si>
  <si>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</si>
  <si>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</si>
  <si>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</si>
  <si>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</si>
  <si>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</si>
  <si>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</si>
  <si>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</si>
  <si>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</si>
  <si>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</si>
  <si>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</si>
  <si>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</si>
  <si>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</si>
  <si>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</si>
  <si>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</si>
  <si>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</si>
  <si>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</si>
  <si>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</si>
  <si>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</si>
  <si>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</si>
  <si>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</si>
  <si>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</si>
  <si>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</si>
  <si>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</si>
  <si>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</si>
  <si>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</si>
  <si>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</si>
  <si>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</si>
  <si>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</si>
  <si>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</si>
  <si>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</si>
  <si>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</si>
  <si>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</si>
  <si>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</si>
  <si>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</si>
  <si>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</si>
  <si>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</si>
  <si>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</si>
  <si>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</si>
  <si>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</si>
  <si>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</si>
  <si>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</si>
  <si>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</si>
  <si>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</si>
  <si>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</si>
  <si>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 xml:space="preserve"> </t>
  </si>
  <si>
    <t>Ingreso al productor de la mezcla de ACPM- Biocombustible (1) (Diesel y Diesel Marino)</t>
  </si>
  <si>
    <t>BIOCOMBUSTIBLE B100</t>
  </si>
  <si>
    <t>* No aplica para aquellos agentes que estén ubicados en Zonas de Frontera.</t>
  </si>
  <si>
    <t>Año 2011</t>
  </si>
  <si>
    <t>IPC Real 2010 BanRep</t>
  </si>
  <si>
    <t>Tarifa Vigente 1 Ene. a Dic. 31/11</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</si>
  <si>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</si>
  <si>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</si>
  <si>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</si>
  <si>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</si>
  <si>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</si>
  <si>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</si>
  <si>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</si>
  <si>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</si>
  <si>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</si>
  <si>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</si>
  <si>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</si>
  <si>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</si>
  <si>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</si>
  <si>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</si>
  <si>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</si>
  <si>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</si>
  <si>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</si>
  <si>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</si>
  <si>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</si>
  <si>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</si>
  <si>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</si>
  <si>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</si>
  <si>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</si>
  <si>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</si>
  <si>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</si>
  <si>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</si>
  <si>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</si>
  <si>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</si>
  <si>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</si>
  <si>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</si>
  <si>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</si>
  <si>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</si>
  <si>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</si>
  <si>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</si>
  <si>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</si>
  <si>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</si>
  <si>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</si>
  <si>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</si>
  <si>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</si>
  <si>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</si>
  <si>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</si>
  <si>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</si>
  <si>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</si>
  <si>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</si>
  <si>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</si>
  <si>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</si>
  <si>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</si>
  <si>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</si>
  <si>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</si>
  <si>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</si>
  <si>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</si>
  <si>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</si>
  <si>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</si>
  <si>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</si>
  <si>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</si>
  <si>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</si>
  <si>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</si>
  <si>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</si>
  <si>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</si>
  <si>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</si>
  <si>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</si>
  <si>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</si>
  <si>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</si>
  <si>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</si>
  <si>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</si>
  <si>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</si>
  <si>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</si>
  <si>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</si>
  <si>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</si>
  <si>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</si>
  <si>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</si>
  <si>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</si>
  <si>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</si>
  <si>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</si>
  <si>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</si>
  <si>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</si>
  <si>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</si>
  <si>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</si>
  <si>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</si>
  <si>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</si>
  <si>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</si>
  <si>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</si>
  <si>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</si>
  <si>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</si>
  <si>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</si>
  <si>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</si>
  <si>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</si>
  <si>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</si>
  <si>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</si>
  <si>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Año 2016</t>
  </si>
  <si>
    <t>IPC Real 2015 BanRep</t>
  </si>
  <si>
    <t>Ingreso al Productor de DIESEL para Grandes Consumidores Individuales no Intermediarios (GCINI) de Diesel y Diesel Marino</t>
  </si>
  <si>
    <t>Impuesto al carbono</t>
  </si>
  <si>
    <t>Fuel Oil</t>
  </si>
  <si>
    <t>Año 2017</t>
  </si>
  <si>
    <t>IPC Real 2016 BanRep</t>
  </si>
  <si>
    <r>
      <t xml:space="preserve">Impuesto Nacional a la Gasolina y al ACPM </t>
    </r>
    <r>
      <rPr>
        <vertAlign val="superscript"/>
        <sz val="11"/>
        <rFont val="Arial"/>
        <family val="2"/>
      </rPr>
      <t>(*)( c )</t>
    </r>
  </si>
  <si>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</si>
  <si>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</si>
  <si>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</si>
  <si>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</si>
  <si>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B2</t>
  </si>
  <si>
    <t>B2 SIN DESTINO A MEZCLA (B/VENTURA)</t>
  </si>
  <si>
    <t>DIESEL  (B/VENTURA)</t>
  </si>
  <si>
    <t>PRODUCTO</t>
  </si>
  <si>
    <t>Año 2018</t>
  </si>
  <si>
    <t>Año 2019</t>
  </si>
  <si>
    <t>ok</t>
  </si>
  <si>
    <t xml:space="preserve">Gasolina Corriente Base para Oxigenar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</si>
  <si>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</si>
  <si>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</si>
  <si>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</si>
  <si>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</si>
  <si>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</si>
  <si>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 xml:space="preserve"> B2  (con cupo y descuento)</t>
  </si>
  <si>
    <t>(*) Resolución 180324 de marzo 28 de 2003. La tarifa podrá ser consultada en la página de CENIT</t>
  </si>
  <si>
    <t>DMA SAN ANDRES</t>
  </si>
  <si>
    <t>por galón para gasolina motor corriente</t>
  </si>
  <si>
    <t>por galón para ACPM</t>
  </si>
  <si>
    <t>Medida estabilización del ingreso al productor Resolución Ministerio de Hacienda y Crédito Público</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</si>
  <si>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</si>
  <si>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</si>
  <si>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</si>
  <si>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</si>
  <si>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</si>
  <si>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</si>
  <si>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</si>
  <si>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</si>
  <si>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</si>
  <si>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</si>
  <si>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</si>
  <si>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</si>
  <si>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</si>
  <si>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</si>
  <si>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</si>
  <si>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</si>
  <si>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X</t>
  </si>
  <si>
    <t>IP B2</t>
  </si>
  <si>
    <t>N/A</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</si>
  <si>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</si>
  <si>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</si>
  <si>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</si>
  <si>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</si>
  <si>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</si>
  <si>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</si>
  <si>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</si>
  <si>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</si>
  <si>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</si>
  <si>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</si>
  <si>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</si>
  <si>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</si>
  <si>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</si>
  <si>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</si>
  <si>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Tarifa $/ton CO2</t>
  </si>
  <si>
    <t>*Se ajusta cada primero de Febrero</t>
  </si>
  <si>
    <t>**** Vigente a partir del 2 de enero de 2014. Resolución 90002 de 2014
**** Resolución 40391 del 15 Diciembre de 2021</t>
  </si>
  <si>
    <t>4. Sobretasa Gasolina ACPM</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</si>
  <si>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</si>
  <si>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</si>
  <si>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</si>
  <si>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</si>
  <si>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</si>
  <si>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</si>
  <si>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</si>
  <si>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</si>
  <si>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</si>
  <si>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</si>
  <si>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</si>
  <si>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</si>
  <si>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</si>
  <si>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</si>
  <si>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</si>
  <si>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</si>
  <si>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</si>
  <si>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</si>
  <si>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</si>
  <si>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</si>
  <si>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</si>
  <si>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</si>
  <si>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</si>
  <si>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</si>
  <si>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</si>
  <si>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</si>
  <si>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https://www.banrep.gov.co/es/junta-directiva-del-banco-republica-mantiene-meta-inflacion-3-para-2022</t>
  </si>
  <si>
    <t>Impuesto Nacional a la Gasolina y al ACPM</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</si>
  <si>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</si>
  <si>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</si>
  <si>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</si>
  <si>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</si>
  <si>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</si>
  <si>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</si>
  <si>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</si>
  <si>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</si>
  <si>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</si>
  <si>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</si>
  <si>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En el año 2023 se ajusto a partir del 1 de Enero 2023 de acuerdo con la Ley 2277 Dic 2022</t>
  </si>
  <si>
    <t>Jet</t>
  </si>
  <si>
    <t>(f) Precio Gasolina extra clientes con contrato</t>
  </si>
  <si>
    <t>(g) Precio Gasolina extra clientes sin contrato (spot)</t>
  </si>
  <si>
    <t>(f) Precio Gasolina extra clientes con contrato
(g) Precio Gasolina extra clientes sin contrato (spot)</t>
  </si>
  <si>
    <t>ok  ok  ok</t>
  </si>
  <si>
    <t>ok ok  ok</t>
  </si>
  <si>
    <t>GASOLINA EXTRA CON CONTRATO</t>
  </si>
  <si>
    <t>GASOLINA EXTRA SIN CONTRATO</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</si>
  <si>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</si>
  <si>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</si>
  <si>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</si>
  <si>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</si>
  <si>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</si>
  <si>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</si>
  <si>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</si>
  <si>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</si>
  <si>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</si>
  <si>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</si>
  <si>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</si>
  <si>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</si>
  <si>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</si>
  <si>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</si>
  <si>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</si>
  <si>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</si>
  <si>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Moneda de condición</t>
  </si>
  <si>
    <t>Cantidad Base</t>
  </si>
  <si>
    <t>Unidad de Medida</t>
  </si>
  <si>
    <t>Regla de Cálculo</t>
  </si>
  <si>
    <t>Valido de</t>
  </si>
  <si>
    <t>Vali hasta</t>
  </si>
  <si>
    <t>ZPRA</t>
  </si>
  <si>
    <t>CO01</t>
  </si>
  <si>
    <t>CO2</t>
  </si>
  <si>
    <t>UG6</t>
  </si>
  <si>
    <t>ZPRB</t>
  </si>
  <si>
    <t>Z01</t>
  </si>
  <si>
    <t>Z05</t>
  </si>
  <si>
    <t>ZPRE</t>
  </si>
  <si>
    <t>Z15</t>
  </si>
  <si>
    <t>MNAL</t>
  </si>
  <si>
    <t>ZMCA</t>
  </si>
  <si>
    <t>Z21</t>
  </si>
  <si>
    <t>Z08</t>
  </si>
  <si>
    <t>Z45</t>
  </si>
  <si>
    <t>COP</t>
  </si>
  <si>
    <t>Z32</t>
  </si>
  <si>
    <t>GL8</t>
  </si>
  <si>
    <t>ZPES</t>
  </si>
  <si>
    <t>Z00022</t>
  </si>
  <si>
    <t>Z07</t>
  </si>
  <si>
    <t>Z11</t>
  </si>
  <si>
    <t>Z44</t>
  </si>
  <si>
    <t>Z18</t>
  </si>
  <si>
    <t>01.09.2023</t>
  </si>
  <si>
    <t>C</t>
  </si>
  <si>
    <t>Z62</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</si>
  <si>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
GCINI Se actualiza con frecuencia semanal desde el 01 de enero de 2024.</t>
  </si>
  <si>
    <t>( 3 )</t>
  </si>
  <si>
    <t>https://www.dane.gov.co/index.php/estadisticas-por-tema/precios-y-costos/indice-de-precios-al-consumidor-ipc/ipc-informacion-tecnica</t>
  </si>
  <si>
    <t>AÑO DE ANALISIS</t>
  </si>
  <si>
    <t>(4)</t>
  </si>
  <si>
    <t xml:space="preserve">RECUPERACION DE COSTOS </t>
  </si>
  <si>
    <t>** Aplica para aquellos agentes que estén ubicados en Zonas de Frontera, según las tarifas que designe la UPME para cada sitio de zona de frontera.</t>
  </si>
  <si>
    <t xml:space="preserve">(1) Estructura de precio para el ACPM que se utiliza con destino a mezcla con un % de biocombustible para uso de motores diesel. </t>
  </si>
  <si>
    <t>ACPM Base para Mezcla de cualquier porcentaje de Biocombustible (1)</t>
  </si>
  <si>
    <t xml:space="preserve">(6) En Palermo al Biocombustible se le suma el uso del Puerto, almacenamiento  y despacho de ctk´s  </t>
  </si>
  <si>
    <r>
      <t>Biodiesel B100</t>
    </r>
    <r>
      <rPr>
        <vertAlign val="superscript"/>
        <sz val="11"/>
        <rFont val="Arial"/>
        <family val="2"/>
      </rPr>
      <t xml:space="preserve"> (6)</t>
    </r>
  </si>
  <si>
    <r>
      <t xml:space="preserve">Ingreso al productor de ACPM RES 40304-40305puro </t>
    </r>
    <r>
      <rPr>
        <vertAlign val="superscript"/>
        <sz val="11"/>
        <rFont val="Arial"/>
        <family val="2"/>
      </rPr>
      <t>(1)</t>
    </r>
  </si>
  <si>
    <t xml:space="preserve">(1) El Ingreso al Productor se calcula de acuerdo “Precio de reconocimiento” conforme con lo establecido en las Resoluciones 180522 de 2010 </t>
  </si>
  <si>
    <t>GASOLINA  (1)</t>
  </si>
  <si>
    <t>Ingreso al Productor de Gasolina Motor Corriente, ACPM y ACPM Mezclado con BIOCOMBUSTIBLE</t>
  </si>
  <si>
    <t>Cartagena (B0).</t>
  </si>
  <si>
    <t>Cartagena (B2).</t>
  </si>
  <si>
    <t>Barrancabermeja (B0).</t>
  </si>
  <si>
    <t>Barrancabermeja (B2).</t>
  </si>
  <si>
    <t xml:space="preserve">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El presente calculo podra cambiar en el transcurso de la semana atendiendo a requerimientos normativos de la nueva resolución.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
</t>
  </si>
  <si>
    <t>PROMEDIO DE CALCULO</t>
  </si>
  <si>
    <t>01.09.2024</t>
  </si>
  <si>
    <t>03.09.2024</t>
  </si>
  <si>
    <t>09.09.2024</t>
  </si>
  <si>
    <t>Fecha de Inicio</t>
  </si>
  <si>
    <t>Fecha de finalización</t>
  </si>
  <si>
    <t>FECHAS PARA GCINI &amp; GRANDES CONSUMIDORES</t>
  </si>
  <si>
    <t>Z31</t>
  </si>
  <si>
    <t>Ecopetrol</t>
  </si>
  <si>
    <t>RCSA</t>
  </si>
  <si>
    <t>REFINERIA DE CARTAGENA</t>
  </si>
  <si>
    <t>ECOPETROL</t>
  </si>
  <si>
    <t>No borrar la celda A54</t>
  </si>
  <si>
    <t>Ecopetrol/Reficar/Importada CON contrato (f)</t>
  </si>
  <si>
    <t>Ecopetrol/Reficar/Importada SIN contrato (g)</t>
  </si>
  <si>
    <t xml:space="preserve">Gasolina Extra  Base para Oxigenar Ecopetrol/Reficar/Importada CON contrato </t>
  </si>
  <si>
    <t xml:space="preserve">Gasolina Extra  Base para Oxigenar Ecopetrol/Reficar/Importada SIN contrato </t>
  </si>
  <si>
    <t>FECHA</t>
  </si>
  <si>
    <t>BARRANCABERMEJA</t>
  </si>
  <si>
    <t>CARTAGENA</t>
  </si>
  <si>
    <t>VALOR RESULTANTE DIESEL</t>
  </si>
  <si>
    <t>VALOR RESULTANTE GASOLINA</t>
  </si>
  <si>
    <t>FE DE ERRATAS: SE INFORMA QUE EL PRECIO DE LA GASOLINA EXTRA QUE APLICA DESDE EL 01 AL 31 DE ENERO DEL  AÑO 2025 ES EL SIGUIENTE:</t>
  </si>
  <si>
    <t>DIESEL</t>
  </si>
  <si>
    <t>GASOLINA</t>
  </si>
  <si>
    <t>31.01.2025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</si>
</sst>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_-;\-* #,##0_-;_-* &quot;-&quot;??_-;_-@_-"/>
    <numFmt numFmtId="179" formatCode="dd\.mm\.yyyy"/>
    <numFmt numFmtId="180" formatCode="[$-240A]d&quot; de &quot;mmmm&quot; de &quot;yyyy;@"/>
    <numFmt numFmtId="181" formatCode="0.000"/>
    <numFmt numFmtId="182" formatCode="_-* #,##0\ &quot;€&quot;_-;\-* #,##0\ &quot;€&quot;_-;_-* &quot;-&quot;\ &quot;€&quot;_-;_-@_-"/>
    <numFmt numFmtId="183" formatCode="_(&quot;€&quot;\ * #,##0.00_);_(&quot;€&quot;\ * \(#,##0.00\);_(&quot;€&quot;\ * &quot;-&quot;??_);_(@_)"/>
    <numFmt numFmtId="184" formatCode="_(* #,##0_);_(* \(#,##0\);_(* &quot;-&quot;??_);_(@_)"/>
    <numFmt numFmtId="185" formatCode="_-* #,##0.00\ _p_t_a_-;\-* #,##0.00\ _p_t_a_-;_-* &quot;-&quot;??\ _p_t_a_-;_-@_-"/>
    <numFmt numFmtId="186" formatCode="_ * #,##0.00_ ;_ * \-#,##0.00_ ;_ * &quot;-&quot;??_ ;_ @_ "/>
    <numFmt numFmtId="187" formatCode="[$-F800]dddd\,\ mmmm\ dd\,\ yyyy"/>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8"/>
      <color theme="0"/>
      <name val="Arial"/>
      <family val="2"/>
    </font>
    <font>
      <sz val="9"/>
      <color theme="0"/>
      <name val="Arial"/>
      <family val="2"/>
    </font>
    <font>
      <sz val="8"/>
      <color theme="0"/>
      <name val="Arial"/>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sz val="11"/>
      <color theme="1"/>
      <name val="Calibri"/>
      <family val="2"/>
    </font>
    <font>
      <sz val="11"/>
      <color theme="3"/>
      <name val="Arial"/>
      <family val="2"/>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b/>
      <sz val="12"/>
      <color rgb="FFFF0000"/>
      <name val="Calibri"/>
      <family val="2"/>
      <scheme val="minor"/>
    </font>
    <font>
      <sz val="11"/>
      <color rgb="FFC00000"/>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
      <sz val="11"/>
      <color rgb="FF000000"/>
      <name val="Calibri"/>
      <family val="2"/>
    </font>
    <font>
      <u/>
      <sz val="11"/>
      <color rgb="FF0000FF"/>
      <name val="Calibri"/>
      <family val="2"/>
    </font>
    <font>
      <sz val="11"/>
      <name val="Calibri"/>
      <family val="2"/>
    </font>
    <font>
      <b/>
      <sz val="11"/>
      <color rgb="FFFF0000"/>
      <name val="Arial"/>
      <family val="2"/>
    </font>
    <font>
      <sz val="10"/>
      <color theme="1"/>
      <name val="Arial"/>
      <family val="2"/>
    </font>
    <font>
      <sz val="11"/>
      <color rgb="FFFF0000"/>
      <name val="Calibri"/>
      <family val="2"/>
    </font>
    <font>
      <sz val="10"/>
      <color rgb="FF000000"/>
      <name val="Calibri"/>
      <family val="2"/>
      <scheme val="minor"/>
    </font>
    <font>
      <sz val="11"/>
      <color theme="1"/>
      <name val="Arial"/>
      <family val="2"/>
    </font>
    <font>
      <b/>
      <sz val="12"/>
      <color rgb="FFFF0000"/>
      <name val="Arial"/>
      <family val="2"/>
    </font>
    <font>
      <sz val="10"/>
      <name val="MS Sans Serif"/>
      <family val="2"/>
    </font>
    <font>
      <u/>
      <sz val="10"/>
      <color indexed="12"/>
      <name val="Tahoma"/>
      <family val="2"/>
    </font>
    <font>
      <u/>
      <sz val="11"/>
      <color theme="10"/>
      <name val="Calibri"/>
      <family val="2"/>
      <scheme val="minor"/>
    </font>
    <font>
      <sz val="11"/>
      <color theme="0"/>
      <name val="Calibri"/>
      <family val="2"/>
    </font>
    <font>
      <b/>
      <sz val="16"/>
      <color rgb="FFFF0000"/>
      <name val="Calibri"/>
      <family val="2"/>
    </font>
    <font>
      <sz val="16"/>
      <name val="Calibri"/>
      <family val="2"/>
    </font>
    <font>
      <b/>
      <sz val="11"/>
      <color theme="1"/>
      <name val="Calibri"/>
      <family val="2"/>
      <scheme val="minor"/>
    </font>
    <font>
      <b/>
      <sz val="14"/>
      <color rgb="FFFF0000"/>
      <name val="Arial"/>
      <family val="2"/>
    </font>
    <font>
      <b/>
      <sz val="14"/>
      <color theme="1"/>
      <name val="Calibri"/>
      <family val="2"/>
      <scheme val="minor"/>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59999389629810485"/>
        <bgColor indexed="64"/>
      </patternFill>
    </fill>
  </fills>
  <borders count="124">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double">
        <color rgb="FF92D050"/>
      </right>
      <top style="dotted">
        <color rgb="FF92D050"/>
      </top>
      <bottom style="dotted">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dotted">
        <color theme="0" tint="-0.24994659260841701"/>
      </bottom>
      <diagonal/>
    </border>
    <border>
      <left/>
      <right/>
      <top/>
      <bottom style="thin">
        <color theme="0" tint="-0.249977111117893"/>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style="dotted">
        <color theme="0" tint="-0.24994659260841701"/>
      </bottom>
      <diagonal/>
    </border>
    <border>
      <left/>
      <right/>
      <top/>
      <bottom style="dashed">
        <color theme="0" tint="-0.24994659260841701"/>
      </bottom>
      <diagonal/>
    </border>
    <border>
      <left/>
      <right/>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right style="double">
        <color rgb="FF92D050"/>
      </right>
      <top style="dotted">
        <color rgb="FF92D050"/>
      </top>
      <bottom style="double">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tted">
        <color rgb="FF92D050"/>
      </left>
      <right style="double">
        <color rgb="FF92D050"/>
      </right>
      <top style="dotted">
        <color rgb="FF92D050"/>
      </top>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right style="double">
        <color rgb="FF92D050"/>
      </right>
      <top style="double">
        <color rgb="FF92D050"/>
      </top>
      <bottom style="dashed">
        <color rgb="FF92D050"/>
      </bottom>
      <diagonal/>
    </border>
    <border>
      <left/>
      <right style="double">
        <color rgb="FF92D050"/>
      </right>
      <top style="dashed">
        <color rgb="FF92D050"/>
      </top>
      <bottom style="dashed">
        <color rgb="FF92D050"/>
      </bottom>
      <diagonal/>
    </border>
    <border>
      <left style="double">
        <color rgb="FF92D050"/>
      </left>
      <right/>
      <top style="double">
        <color rgb="FF92D050"/>
      </top>
      <bottom style="double">
        <color rgb="FF92D050"/>
      </bottom>
      <diagonal/>
    </border>
    <border>
      <left/>
      <right/>
      <top style="double">
        <color rgb="FF92D050"/>
      </top>
      <bottom style="double">
        <color rgb="FF92D050"/>
      </bottom>
      <diagonal/>
    </border>
    <border>
      <left/>
      <right style="double">
        <color rgb="FF92D050"/>
      </right>
      <top style="double">
        <color rgb="FF92D050"/>
      </top>
      <bottom style="double">
        <color rgb="FF92D050"/>
      </bottom>
      <diagonal/>
    </border>
    <border>
      <left style="double">
        <color rgb="FF92D050"/>
      </left>
      <right/>
      <top/>
      <bottom style="double">
        <color rgb="FF92D050"/>
      </bottom>
      <diagonal/>
    </border>
    <border>
      <left/>
      <right/>
      <top/>
      <bottom style="double">
        <color rgb="FF92D050"/>
      </bottom>
      <diagonal/>
    </border>
    <border>
      <left/>
      <right style="double">
        <color rgb="FF92D050"/>
      </right>
      <top/>
      <bottom style="double">
        <color rgb="FF92D050"/>
      </bottom>
      <diagonal/>
    </border>
    <border>
      <left style="thin">
        <color indexed="64"/>
      </left>
      <right style="thin">
        <color indexed="64"/>
      </right>
      <top/>
      <bottom style="thin">
        <color indexed="64"/>
      </bottom>
      <diagonal/>
    </border>
  </borders>
  <cellStyleXfs count="159">
    <xf numFmtId="0" fontId="0" fillId="0" borderId="0"/>
    <xf numFmtId="0" fontId="6" fillId="0" borderId="0"/>
    <xf numFmtId="0" fontId="7" fillId="0" borderId="0"/>
    <xf numFmtId="0" fontId="6" fillId="0" borderId="0"/>
    <xf numFmtId="0" fontId="7" fillId="0" borderId="0"/>
    <xf numFmtId="0" fontId="8" fillId="0" borderId="0">
      <protection locked="0"/>
    </xf>
    <xf numFmtId="0" fontId="9" fillId="0" borderId="0">
      <protection locked="0"/>
    </xf>
    <xf numFmtId="0" fontId="9"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43" fontId="5" fillId="0" borderId="0" applyFont="0" applyFill="0" applyBorder="0" applyAlignment="0" applyProtection="0"/>
    <xf numFmtId="0" fontId="5" fillId="0" borderId="0" applyFont="0" applyFill="0" applyBorder="0" applyAlignment="0" applyProtection="0"/>
    <xf numFmtId="0" fontId="8" fillId="0" borderId="0">
      <protection locked="0"/>
    </xf>
    <xf numFmtId="37" fontId="10" fillId="0" borderId="0"/>
    <xf numFmtId="0" fontId="5" fillId="0" borderId="0"/>
    <xf numFmtId="0" fontId="5" fillId="0" borderId="0"/>
    <xf numFmtId="0" fontId="24" fillId="0" borderId="0"/>
    <xf numFmtId="166" fontId="15" fillId="0" borderId="0"/>
    <xf numFmtId="9" fontId="5" fillId="0" borderId="0" applyFont="0" applyFill="0" applyBorder="0" applyAlignment="0" applyProtection="0"/>
    <xf numFmtId="9" fontId="5" fillId="0" borderId="0" applyFont="0" applyFill="0" applyBorder="0" applyAlignment="0" applyProtection="0"/>
    <xf numFmtId="166" fontId="12" fillId="0" borderId="0">
      <alignment horizontal="left"/>
    </xf>
    <xf numFmtId="38" fontId="11" fillId="0" borderId="0"/>
    <xf numFmtId="0" fontId="8" fillId="0" borderId="1">
      <protection locked="0"/>
    </xf>
    <xf numFmtId="0" fontId="4" fillId="0" borderId="0"/>
    <xf numFmtId="41" fontId="64" fillId="0" borderId="0" applyFont="0" applyFill="0" applyBorder="0" applyAlignment="0" applyProtection="0"/>
    <xf numFmtId="42" fontId="68" fillId="0" borderId="0" applyFont="0" applyFill="0" applyBorder="0" applyAlignment="0" applyProtection="0"/>
    <xf numFmtId="0" fontId="74" fillId="0" borderId="0" applyNumberFormat="0" applyFill="0" applyBorder="0" applyAlignment="0" applyProtection="0"/>
    <xf numFmtId="44" fontId="82" fillId="0" borderId="0" applyFont="0" applyFill="0" applyBorder="0" applyAlignment="0" applyProtection="0"/>
    <xf numFmtId="0" fontId="3" fillId="0" borderId="0"/>
    <xf numFmtId="0" fontId="2" fillId="0" borderId="0"/>
    <xf numFmtId="0" fontId="1" fillId="0" borderId="0"/>
    <xf numFmtId="0" fontId="5" fillId="0" borderId="0"/>
    <xf numFmtId="0" fontId="5" fillId="0" borderId="0"/>
    <xf numFmtId="43" fontId="1" fillId="0" borderId="0" applyFont="0" applyFill="0" applyBorder="0" applyAlignment="0" applyProtection="0"/>
    <xf numFmtId="43" fontId="1" fillId="0" borderId="0" applyFont="0" applyFill="0" applyBorder="0" applyAlignment="0" applyProtection="0"/>
    <xf numFmtId="186" fontId="5"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3" fontId="1" fillId="0" borderId="0" applyFont="0" applyFill="0" applyBorder="0" applyAlignment="0" applyProtection="0"/>
    <xf numFmtId="166" fontId="5" fillId="0" borderId="0" applyFont="0" applyFill="0" applyBorder="0" applyAlignment="0" applyProtection="0"/>
    <xf numFmtId="184" fontId="101" fillId="0" borderId="0" applyFont="0" applyFill="0" applyBorder="0" applyAlignment="0" applyProtection="0"/>
    <xf numFmtId="43" fontId="101" fillId="0" borderId="0" applyFont="0" applyFill="0" applyBorder="0" applyAlignment="0" applyProtection="0"/>
    <xf numFmtId="0" fontId="5" fillId="0" borderId="0"/>
    <xf numFmtId="0" fontId="10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18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62" fillId="0" borderId="0"/>
    <xf numFmtId="182" fontId="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9" fontId="1" fillId="0" borderId="0" applyFont="0" applyFill="0" applyBorder="0" applyAlignment="0" applyProtection="0"/>
    <xf numFmtId="0" fontId="62" fillId="0" borderId="0"/>
    <xf numFmtId="41" fontId="1" fillId="0" borderId="0" applyFont="0" applyFill="0" applyBorder="0" applyAlignment="0" applyProtection="0"/>
    <xf numFmtId="183" fontId="1" fillId="0" borderId="0" applyFont="0" applyFill="0" applyBorder="0" applyAlignment="0" applyProtection="0"/>
    <xf numFmtId="0" fontId="1" fillId="0" borderId="0"/>
  </cellStyleXfs>
  <cellXfs count="774">
    <xf numFmtId="0" fontId="0" fillId="0" borderId="0" xfId="0"/>
    <xf numFmtId="0" fontId="37" fillId="2" borderId="0" xfId="0" applyFont="1" applyFill="1" applyAlignment="1" applyProtection="1">
      <alignment vertical="center"/>
      <protection hidden="1"/>
    </xf>
    <xf numFmtId="0" fontId="16" fillId="2" borderId="0" xfId="0" applyFont="1" applyFill="1" applyAlignment="1" applyProtection="1">
      <alignment vertical="center"/>
      <protection hidden="1"/>
    </xf>
    <xf numFmtId="164" fontId="16" fillId="2" borderId="0" xfId="0" applyNumberFormat="1" applyFont="1" applyFill="1" applyAlignment="1" applyProtection="1">
      <alignment vertical="center"/>
      <protection hidden="1"/>
    </xf>
    <xf numFmtId="2" fontId="16" fillId="2" borderId="0" xfId="0" applyNumberFormat="1" applyFont="1" applyFill="1" applyAlignment="1" applyProtection="1">
      <alignment vertical="center"/>
      <protection hidden="1"/>
    </xf>
    <xf numFmtId="0" fontId="16" fillId="0" borderId="0" xfId="0" applyFont="1" applyAlignment="1" applyProtection="1">
      <alignment vertical="center"/>
      <protection hidden="1"/>
    </xf>
    <xf numFmtId="0" fontId="16" fillId="12" borderId="0" xfId="0" applyFont="1" applyFill="1" applyAlignment="1" applyProtection="1">
      <alignment vertical="center"/>
      <protection hidden="1"/>
    </xf>
    <xf numFmtId="0" fontId="17" fillId="2" borderId="0" xfId="0" applyFont="1" applyFill="1" applyAlignment="1" applyProtection="1">
      <alignment vertical="center"/>
      <protection hidden="1"/>
    </xf>
    <xf numFmtId="0" fontId="22" fillId="0" borderId="0" xfId="0" applyFont="1" applyAlignment="1" applyProtection="1">
      <alignment vertical="center"/>
      <protection hidden="1"/>
    </xf>
    <xf numFmtId="0" fontId="17" fillId="0" borderId="0" xfId="0" applyFont="1" applyAlignment="1" applyProtection="1">
      <alignment horizontal="left" vertical="center" wrapText="1"/>
      <protection hidden="1"/>
    </xf>
    <xf numFmtId="43" fontId="17" fillId="2" borderId="0" xfId="17" applyFont="1" applyFill="1" applyBorder="1" applyAlignment="1" applyProtection="1">
      <alignment vertical="center" wrapText="1"/>
      <protection hidden="1"/>
    </xf>
    <xf numFmtId="0" fontId="13" fillId="0" borderId="0" xfId="0" applyFont="1" applyAlignment="1" applyProtection="1">
      <alignment vertical="center"/>
      <protection hidden="1"/>
    </xf>
    <xf numFmtId="0" fontId="35" fillId="0" borderId="0" xfId="0" applyFont="1" applyAlignment="1" applyProtection="1">
      <alignment horizontal="left" vertical="center"/>
      <protection hidden="1"/>
    </xf>
    <xf numFmtId="0" fontId="38" fillId="0" borderId="0" xfId="0" applyFont="1" applyAlignment="1" applyProtection="1">
      <alignment horizontal="center" vertical="center"/>
      <protection hidden="1"/>
    </xf>
    <xf numFmtId="0" fontId="35" fillId="0" borderId="0" xfId="0" applyFont="1" applyAlignment="1" applyProtection="1">
      <alignment vertical="center"/>
      <protection hidden="1"/>
    </xf>
    <xf numFmtId="0" fontId="17" fillId="2" borderId="0" xfId="0" applyFont="1" applyFill="1" applyAlignment="1" applyProtection="1">
      <alignment horizontal="left" vertical="center" wrapText="1"/>
      <protection hidden="1"/>
    </xf>
    <xf numFmtId="4" fontId="36" fillId="2" borderId="0" xfId="0" applyNumberFormat="1" applyFont="1" applyFill="1" applyAlignment="1" applyProtection="1">
      <alignment horizontal="right" vertical="center"/>
      <protection hidden="1"/>
    </xf>
    <xf numFmtId="4" fontId="16" fillId="2" borderId="0" xfId="0" applyNumberFormat="1" applyFont="1" applyFill="1" applyAlignment="1" applyProtection="1">
      <alignment horizontal="right" vertical="center"/>
      <protection hidden="1"/>
    </xf>
    <xf numFmtId="0" fontId="38" fillId="2" borderId="0" xfId="0" applyFont="1" applyFill="1" applyAlignment="1" applyProtection="1">
      <alignment horizontal="centerContinuous" vertical="center"/>
      <protection hidden="1"/>
    </xf>
    <xf numFmtId="0" fontId="35" fillId="2" borderId="0" xfId="0" applyFont="1" applyFill="1" applyAlignment="1" applyProtection="1">
      <alignment horizontal="centerContinuous" vertical="center"/>
      <protection hidden="1"/>
    </xf>
    <xf numFmtId="4" fontId="16" fillId="2" borderId="0" xfId="0" applyNumberFormat="1" applyFont="1" applyFill="1" applyAlignment="1" applyProtection="1">
      <alignment vertical="center"/>
      <protection hidden="1"/>
    </xf>
    <xf numFmtId="0" fontId="35" fillId="2" borderId="0" xfId="0" applyFont="1" applyFill="1" applyAlignment="1" applyProtection="1">
      <alignment horizontal="fill" vertical="center" wrapText="1"/>
      <protection hidden="1"/>
    </xf>
    <xf numFmtId="0" fontId="16" fillId="2" borderId="0" xfId="0" applyFont="1" applyFill="1" applyAlignment="1" applyProtection="1">
      <alignment horizontal="fill" vertical="center" wrapText="1"/>
      <protection hidden="1"/>
    </xf>
    <xf numFmtId="0" fontId="40" fillId="12" borderId="0" xfId="0" applyFont="1" applyFill="1" applyAlignment="1" applyProtection="1">
      <alignment horizontal="left" vertical="center" wrapText="1"/>
      <protection hidden="1"/>
    </xf>
    <xf numFmtId="0" fontId="40" fillId="12" borderId="0" xfId="0" quotePrefix="1" applyFont="1" applyFill="1" applyAlignment="1" applyProtection="1">
      <alignment horizontal="left" vertical="center" wrapText="1"/>
      <protection hidden="1"/>
    </xf>
    <xf numFmtId="0" fontId="40" fillId="12" borderId="0" xfId="0" applyFont="1" applyFill="1" applyAlignment="1" applyProtection="1">
      <alignment vertical="center"/>
      <protection hidden="1"/>
    </xf>
    <xf numFmtId="0" fontId="37" fillId="0" borderId="0" xfId="0" applyFont="1" applyAlignment="1" applyProtection="1">
      <alignment vertical="center"/>
      <protection hidden="1"/>
    </xf>
    <xf numFmtId="0" fontId="37" fillId="12" borderId="0" xfId="0" applyFont="1" applyFill="1" applyAlignment="1" applyProtection="1">
      <alignment vertical="center"/>
      <protection hidden="1"/>
    </xf>
    <xf numFmtId="0" fontId="23" fillId="0" borderId="0" xfId="0" quotePrefix="1" applyFont="1" applyAlignment="1" applyProtection="1">
      <alignment horizontal="left" vertical="center"/>
      <protection hidden="1"/>
    </xf>
    <xf numFmtId="0" fontId="41" fillId="0" borderId="0" xfId="0" applyFont="1" applyAlignment="1" applyProtection="1">
      <alignment vertical="center"/>
      <protection hidden="1"/>
    </xf>
    <xf numFmtId="0" fontId="41" fillId="12" borderId="0" xfId="0" applyFont="1" applyFill="1" applyAlignment="1" applyProtection="1">
      <alignment vertical="center"/>
      <protection hidden="1"/>
    </xf>
    <xf numFmtId="0" fontId="2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16" fillId="12" borderId="0" xfId="0" applyFont="1" applyFill="1" applyAlignment="1" applyProtection="1">
      <alignment horizontal="center" vertical="center"/>
      <protection hidden="1"/>
    </xf>
    <xf numFmtId="0" fontId="36" fillId="5" borderId="31" xfId="0" applyFont="1" applyFill="1" applyBorder="1" applyAlignment="1" applyProtection="1">
      <alignment horizontal="center" vertical="center" wrapText="1"/>
      <protection hidden="1"/>
    </xf>
    <xf numFmtId="0" fontId="17" fillId="0" borderId="32" xfId="0" applyFont="1" applyBorder="1" applyAlignment="1" applyProtection="1">
      <alignment horizontal="left" vertical="center" wrapText="1"/>
      <protection hidden="1"/>
    </xf>
    <xf numFmtId="43" fontId="17" fillId="0" borderId="31" xfId="17" applyFont="1" applyFill="1" applyBorder="1" applyAlignment="1" applyProtection="1">
      <alignment vertical="center" wrapText="1"/>
      <protection hidden="1"/>
    </xf>
    <xf numFmtId="2" fontId="17" fillId="0" borderId="31" xfId="0" quotePrefix="1" applyNumberFormat="1" applyFont="1" applyBorder="1" applyAlignment="1" applyProtection="1">
      <alignment horizontal="right" vertical="center" wrapText="1"/>
      <protection hidden="1"/>
    </xf>
    <xf numFmtId="43" fontId="17" fillId="0" borderId="31" xfId="17" applyFont="1" applyFill="1" applyBorder="1" applyAlignment="1" applyProtection="1">
      <alignment horizontal="right" vertical="center" wrapText="1"/>
      <protection hidden="1"/>
    </xf>
    <xf numFmtId="0" fontId="17" fillId="0" borderId="33" xfId="0" applyFont="1" applyBorder="1" applyAlignment="1" applyProtection="1">
      <alignment horizontal="left" vertical="center" wrapText="1"/>
      <protection hidden="1"/>
    </xf>
    <xf numFmtId="43" fontId="17" fillId="0" borderId="35" xfId="17" applyFont="1" applyFill="1" applyBorder="1" applyAlignment="1" applyProtection="1">
      <alignment vertical="center" wrapText="1"/>
      <protection hidden="1"/>
    </xf>
    <xf numFmtId="0" fontId="17" fillId="0" borderId="36" xfId="0" applyFont="1" applyBorder="1" applyAlignment="1" applyProtection="1">
      <alignment horizontal="left" vertical="center" wrapText="1"/>
      <protection hidden="1"/>
    </xf>
    <xf numFmtId="15" fontId="37" fillId="5" borderId="34" xfId="0" quotePrefix="1" applyNumberFormat="1" applyFont="1" applyFill="1" applyBorder="1" applyAlignment="1" applyProtection="1">
      <alignment horizontal="center" vertical="center" wrapText="1"/>
      <protection hidden="1"/>
    </xf>
    <xf numFmtId="15" fontId="37" fillId="5" borderId="37" xfId="0" quotePrefix="1" applyNumberFormat="1" applyFont="1" applyFill="1" applyBorder="1" applyAlignment="1" applyProtection="1">
      <alignment horizontal="center" vertical="center" wrapText="1"/>
      <protection hidden="1"/>
    </xf>
    <xf numFmtId="43" fontId="17" fillId="0" borderId="35" xfId="17" applyFont="1" applyFill="1" applyBorder="1" applyAlignment="1" applyProtection="1">
      <alignment horizontal="right" vertical="center" wrapText="1"/>
      <protection hidden="1"/>
    </xf>
    <xf numFmtId="43" fontId="17" fillId="0" borderId="34" xfId="17" applyFont="1" applyFill="1" applyBorder="1" applyAlignment="1" applyProtection="1">
      <alignment horizontal="right" vertical="center" wrapText="1"/>
      <protection hidden="1"/>
    </xf>
    <xf numFmtId="43" fontId="17" fillId="0" borderId="37" xfId="17" applyFont="1" applyFill="1" applyBorder="1" applyAlignment="1" applyProtection="1">
      <alignment horizontal="right" vertical="center" wrapText="1"/>
      <protection hidden="1"/>
    </xf>
    <xf numFmtId="0" fontId="42" fillId="5" borderId="39" xfId="0" applyFont="1" applyFill="1" applyBorder="1" applyAlignment="1" applyProtection="1">
      <alignment horizontal="center" vertical="center" wrapText="1"/>
      <protection hidden="1"/>
    </xf>
    <xf numFmtId="9" fontId="37" fillId="5" borderId="39" xfId="0" quotePrefix="1" applyNumberFormat="1" applyFont="1" applyFill="1" applyBorder="1" applyAlignment="1" applyProtection="1">
      <alignment horizontal="center" vertical="center" wrapText="1"/>
      <protection hidden="1"/>
    </xf>
    <xf numFmtId="43" fontId="18" fillId="0" borderId="31" xfId="17" applyFont="1" applyFill="1" applyBorder="1" applyAlignment="1" applyProtection="1">
      <alignment vertical="center" wrapText="1"/>
      <protection hidden="1"/>
    </xf>
    <xf numFmtId="0" fontId="27" fillId="0" borderId="0" xfId="0" applyFont="1" applyAlignment="1" applyProtection="1">
      <alignment vertical="center"/>
      <protection hidden="1"/>
    </xf>
    <xf numFmtId="0" fontId="37" fillId="6" borderId="43" xfId="0" applyFont="1" applyFill="1" applyBorder="1" applyAlignment="1" applyProtection="1">
      <alignment horizontal="center" vertical="center" wrapText="1"/>
      <protection hidden="1"/>
    </xf>
    <xf numFmtId="0" fontId="37" fillId="6" borderId="44" xfId="0" applyFont="1" applyFill="1" applyBorder="1" applyAlignment="1" applyProtection="1">
      <alignment horizontal="center" vertical="center" wrapText="1"/>
      <protection hidden="1"/>
    </xf>
    <xf numFmtId="0" fontId="37" fillId="6" borderId="45" xfId="0" applyFont="1" applyFill="1" applyBorder="1" applyAlignment="1" applyProtection="1">
      <alignment horizontal="center" vertical="center" wrapText="1"/>
      <protection hidden="1"/>
    </xf>
    <xf numFmtId="4" fontId="16" fillId="0" borderId="32" xfId="0" applyNumberFormat="1" applyFont="1" applyBorder="1" applyAlignment="1" applyProtection="1">
      <alignment vertical="center"/>
      <protection hidden="1"/>
    </xf>
    <xf numFmtId="4" fontId="16" fillId="0" borderId="31" xfId="0" applyNumberFormat="1" applyFont="1" applyBorder="1" applyAlignment="1" applyProtection="1">
      <alignment horizontal="center" vertical="center"/>
      <protection hidden="1"/>
    </xf>
    <xf numFmtId="4" fontId="16" fillId="0" borderId="35" xfId="0" applyNumberFormat="1" applyFont="1" applyBorder="1" applyAlignment="1" applyProtection="1">
      <alignment horizontal="center" vertical="center"/>
      <protection hidden="1"/>
    </xf>
    <xf numFmtId="0" fontId="16" fillId="0" borderId="32" xfId="0" applyFont="1" applyBorder="1" applyAlignment="1" applyProtection="1">
      <alignment horizontal="left" vertical="center" wrapText="1"/>
      <protection hidden="1"/>
    </xf>
    <xf numFmtId="4" fontId="36" fillId="16" borderId="32" xfId="0" applyNumberFormat="1" applyFont="1" applyFill="1" applyBorder="1" applyAlignment="1" applyProtection="1">
      <alignment horizontal="left" vertical="center" wrapText="1"/>
      <protection hidden="1"/>
    </xf>
    <xf numFmtId="4" fontId="36" fillId="16" borderId="31" xfId="0" applyNumberFormat="1" applyFont="1" applyFill="1" applyBorder="1" applyAlignment="1" applyProtection="1">
      <alignment horizontal="center" vertical="center" wrapText="1"/>
      <protection hidden="1"/>
    </xf>
    <xf numFmtId="4" fontId="36" fillId="16" borderId="35" xfId="0" applyNumberFormat="1" applyFont="1" applyFill="1" applyBorder="1" applyAlignment="1" applyProtection="1">
      <alignment horizontal="center" vertical="center" wrapText="1"/>
      <protection hidden="1"/>
    </xf>
    <xf numFmtId="4" fontId="17" fillId="0" borderId="31" xfId="0" applyNumberFormat="1" applyFont="1" applyBorder="1" applyAlignment="1" applyProtection="1">
      <alignment horizontal="center" vertical="center"/>
      <protection hidden="1"/>
    </xf>
    <xf numFmtId="4" fontId="17" fillId="0" borderId="35" xfId="0" applyNumberFormat="1" applyFont="1" applyBorder="1" applyAlignment="1" applyProtection="1">
      <alignment horizontal="center" vertical="center"/>
      <protection hidden="1"/>
    </xf>
    <xf numFmtId="4" fontId="16" fillId="0" borderId="33" xfId="0" applyNumberFormat="1" applyFont="1" applyBorder="1" applyAlignment="1" applyProtection="1">
      <alignment vertical="center"/>
      <protection hidden="1"/>
    </xf>
    <xf numFmtId="4" fontId="17" fillId="0" borderId="34" xfId="0" applyNumberFormat="1" applyFont="1" applyBorder="1" applyAlignment="1" applyProtection="1">
      <alignment horizontal="center" vertical="center"/>
      <protection hidden="1"/>
    </xf>
    <xf numFmtId="4" fontId="17" fillId="0" borderId="37" xfId="0" applyNumberFormat="1" applyFont="1" applyBorder="1" applyAlignment="1" applyProtection="1">
      <alignment horizontal="center" vertical="center"/>
      <protection hidden="1"/>
    </xf>
    <xf numFmtId="4" fontId="16" fillId="0" borderId="36" xfId="0" applyNumberFormat="1" applyFont="1" applyBorder="1" applyAlignment="1" applyProtection="1">
      <alignment vertical="center"/>
      <protection hidden="1"/>
    </xf>
    <xf numFmtId="4" fontId="16" fillId="0" borderId="42" xfId="0" applyNumberFormat="1" applyFont="1" applyBorder="1" applyAlignment="1" applyProtection="1">
      <alignment horizontal="center" vertical="center"/>
      <protection hidden="1"/>
    </xf>
    <xf numFmtId="4" fontId="16" fillId="0" borderId="38" xfId="0" applyNumberFormat="1" applyFont="1" applyBorder="1" applyAlignment="1" applyProtection="1">
      <alignment horizontal="center" vertical="center"/>
      <protection hidden="1"/>
    </xf>
    <xf numFmtId="15" fontId="37" fillId="5" borderId="33" xfId="0" quotePrefix="1" applyNumberFormat="1" applyFont="1" applyFill="1" applyBorder="1" applyAlignment="1" applyProtection="1">
      <alignment horizontal="center" vertical="center" wrapText="1"/>
      <protection hidden="1"/>
    </xf>
    <xf numFmtId="0" fontId="16" fillId="0" borderId="32" xfId="0" applyFont="1" applyBorder="1" applyAlignment="1" applyProtection="1">
      <alignment vertical="center"/>
      <protection hidden="1"/>
    </xf>
    <xf numFmtId="0" fontId="37" fillId="6" borderId="43" xfId="0" applyFont="1" applyFill="1" applyBorder="1" applyAlignment="1" applyProtection="1">
      <alignment horizontal="center" vertical="center"/>
      <protection hidden="1"/>
    </xf>
    <xf numFmtId="4" fontId="16" fillId="0" borderId="35" xfId="0" applyNumberFormat="1" applyFont="1" applyBorder="1" applyAlignment="1" applyProtection="1">
      <alignment vertical="center"/>
      <protection hidden="1"/>
    </xf>
    <xf numFmtId="0" fontId="16" fillId="12" borderId="32" xfId="0" quotePrefix="1" applyFont="1" applyFill="1" applyBorder="1" applyAlignment="1" applyProtection="1">
      <alignment horizontal="left" vertical="center"/>
      <protection hidden="1"/>
    </xf>
    <xf numFmtId="167" fontId="16" fillId="12" borderId="0" xfId="17" applyNumberFormat="1" applyFont="1" applyFill="1" applyBorder="1" applyAlignment="1" applyProtection="1">
      <alignment horizontal="center" vertical="center"/>
      <protection hidden="1"/>
    </xf>
    <xf numFmtId="167" fontId="16" fillId="0" borderId="0" xfId="17" applyNumberFormat="1" applyFont="1" applyBorder="1" applyAlignment="1" applyProtection="1">
      <alignment horizontal="center" vertical="center"/>
      <protection hidden="1"/>
    </xf>
    <xf numFmtId="43" fontId="16" fillId="12" borderId="0" xfId="17" applyFont="1" applyFill="1" applyBorder="1" applyAlignment="1" applyProtection="1">
      <alignment horizontal="center" vertical="center"/>
      <protection hidden="1"/>
    </xf>
    <xf numFmtId="43" fontId="16" fillId="0" borderId="0" xfId="17" applyFont="1" applyBorder="1" applyAlignment="1" applyProtection="1">
      <alignment horizontal="center" vertical="center"/>
      <protection hidden="1"/>
    </xf>
    <xf numFmtId="4" fontId="16" fillId="12" borderId="32" xfId="0" applyNumberFormat="1" applyFont="1" applyFill="1" applyBorder="1" applyAlignment="1" applyProtection="1">
      <alignment vertical="center" wrapText="1"/>
      <protection hidden="1"/>
    </xf>
    <xf numFmtId="0" fontId="16" fillId="12" borderId="0" xfId="21" applyFont="1" applyFill="1" applyProtection="1">
      <protection hidden="1"/>
    </xf>
    <xf numFmtId="37" fontId="16" fillId="0" borderId="3" xfId="23" applyNumberFormat="1" applyFont="1" applyBorder="1"/>
    <xf numFmtId="37" fontId="16" fillId="0" borderId="4" xfId="23" applyNumberFormat="1" applyFont="1" applyBorder="1"/>
    <xf numFmtId="37" fontId="16" fillId="7" borderId="4" xfId="23" applyNumberFormat="1" applyFont="1" applyFill="1" applyBorder="1"/>
    <xf numFmtId="0" fontId="14" fillId="0" borderId="5" xfId="23" applyFont="1" applyBorder="1" applyAlignment="1">
      <alignment horizontal="center"/>
    </xf>
    <xf numFmtId="4" fontId="5" fillId="3" borderId="5" xfId="21" applyNumberFormat="1" applyFill="1" applyBorder="1"/>
    <xf numFmtId="4" fontId="5" fillId="0" borderId="6" xfId="21" applyNumberFormat="1" applyBorder="1"/>
    <xf numFmtId="4" fontId="5" fillId="0" borderId="3" xfId="21" applyNumberFormat="1" applyBorder="1"/>
    <xf numFmtId="4" fontId="5" fillId="4" borderId="5" xfId="21" applyNumberFormat="1" applyFill="1" applyBorder="1"/>
    <xf numFmtId="4" fontId="5" fillId="0" borderId="5" xfId="21" applyNumberFormat="1" applyBorder="1"/>
    <xf numFmtId="4" fontId="5" fillId="18" borderId="6" xfId="21" applyNumberFormat="1" applyFill="1" applyBorder="1"/>
    <xf numFmtId="0" fontId="14" fillId="0" borderId="7" xfId="23" applyFont="1" applyBorder="1" applyAlignment="1">
      <alignment horizontal="center"/>
    </xf>
    <xf numFmtId="4" fontId="5" fillId="3" borderId="7" xfId="21" applyNumberFormat="1" applyFill="1" applyBorder="1"/>
    <xf numFmtId="4" fontId="5" fillId="0" borderId="0" xfId="21" applyNumberFormat="1"/>
    <xf numFmtId="4" fontId="5" fillId="0" borderId="4" xfId="21" applyNumberFormat="1" applyBorder="1"/>
    <xf numFmtId="4" fontId="5" fillId="4" borderId="7" xfId="21" applyNumberFormat="1" applyFill="1" applyBorder="1"/>
    <xf numFmtId="4" fontId="5" fillId="0" borderId="7" xfId="21" applyNumberFormat="1" applyBorder="1"/>
    <xf numFmtId="4" fontId="5" fillId="18" borderId="0" xfId="21" applyNumberFormat="1" applyFill="1"/>
    <xf numFmtId="0" fontId="14" fillId="7" borderId="7" xfId="23" applyFont="1" applyFill="1" applyBorder="1" applyAlignment="1">
      <alignment horizontal="center"/>
    </xf>
    <xf numFmtId="4" fontId="5" fillId="7" borderId="7" xfId="21" applyNumberFormat="1" applyFill="1" applyBorder="1"/>
    <xf numFmtId="4" fontId="5" fillId="7" borderId="0" xfId="21" applyNumberFormat="1" applyFill="1"/>
    <xf numFmtId="4" fontId="5" fillId="7" borderId="4" xfId="21" applyNumberFormat="1" applyFill="1" applyBorder="1"/>
    <xf numFmtId="4" fontId="5" fillId="3" borderId="0" xfId="21" applyNumberFormat="1" applyFill="1"/>
    <xf numFmtId="0" fontId="5" fillId="7" borderId="0" xfId="21" applyFill="1"/>
    <xf numFmtId="0" fontId="5" fillId="7" borderId="0" xfId="21" applyFill="1" applyAlignment="1">
      <alignment horizontal="left"/>
    </xf>
    <xf numFmtId="0" fontId="5" fillId="8" borderId="0" xfId="21" applyFill="1"/>
    <xf numFmtId="4" fontId="5" fillId="4" borderId="0" xfId="21" applyNumberFormat="1" applyFill="1"/>
    <xf numFmtId="4" fontId="5" fillId="17" borderId="0" xfId="21" applyNumberFormat="1" applyFill="1"/>
    <xf numFmtId="0" fontId="17" fillId="0" borderId="50" xfId="0" applyFont="1" applyBorder="1" applyAlignment="1" applyProtection="1">
      <alignment horizontal="left" vertical="center" wrapText="1"/>
      <protection hidden="1"/>
    </xf>
    <xf numFmtId="0" fontId="17" fillId="0" borderId="51" xfId="0" applyFont="1" applyBorder="1" applyAlignment="1" applyProtection="1">
      <alignment horizontal="left" vertical="center" wrapText="1"/>
      <protection hidden="1"/>
    </xf>
    <xf numFmtId="15" fontId="45" fillId="5" borderId="41" xfId="0" quotePrefix="1" applyNumberFormat="1" applyFont="1" applyFill="1" applyBorder="1" applyAlignment="1" applyProtection="1">
      <alignment horizontal="center" vertical="center" wrapText="1"/>
      <protection hidden="1"/>
    </xf>
    <xf numFmtId="15" fontId="46" fillId="5" borderId="34" xfId="0" applyNumberFormat="1" applyFont="1" applyFill="1" applyBorder="1" applyAlignment="1" applyProtection="1">
      <alignment horizontal="center" vertical="center" wrapText="1"/>
      <protection hidden="1"/>
    </xf>
    <xf numFmtId="15" fontId="46" fillId="5" borderId="34" xfId="0" quotePrefix="1" applyNumberFormat="1" applyFont="1" applyFill="1" applyBorder="1" applyAlignment="1" applyProtection="1">
      <alignment horizontal="center" vertical="center" wrapText="1"/>
      <protection hidden="1"/>
    </xf>
    <xf numFmtId="15" fontId="46" fillId="5" borderId="52" xfId="0" applyNumberFormat="1" applyFont="1" applyFill="1" applyBorder="1" applyAlignment="1" applyProtection="1">
      <alignment horizontal="center" vertical="center" wrapText="1"/>
      <protection hidden="1"/>
    </xf>
    <xf numFmtId="9" fontId="47" fillId="0" borderId="0" xfId="25" applyFont="1" applyFill="1" applyBorder="1" applyAlignment="1" applyProtection="1">
      <alignment horizontal="center" vertical="center"/>
      <protection hidden="1"/>
    </xf>
    <xf numFmtId="168" fontId="13" fillId="2" borderId="7" xfId="23" applyNumberFormat="1" applyFont="1" applyFill="1" applyBorder="1"/>
    <xf numFmtId="0" fontId="13" fillId="2" borderId="0" xfId="23" applyFont="1" applyFill="1"/>
    <xf numFmtId="0" fontId="5" fillId="2" borderId="0" xfId="21" applyFill="1"/>
    <xf numFmtId="0" fontId="5" fillId="12" borderId="0" xfId="21" applyFill="1"/>
    <xf numFmtId="0" fontId="5" fillId="0" borderId="0" xfId="21"/>
    <xf numFmtId="37" fontId="25" fillId="9" borderId="0" xfId="23" applyNumberFormat="1" applyFont="1" applyFill="1" applyAlignment="1">
      <alignment horizontal="centerContinuous"/>
    </xf>
    <xf numFmtId="0" fontId="5" fillId="2" borderId="0" xfId="21" applyFill="1" applyAlignment="1">
      <alignment horizontal="centerContinuous"/>
    </xf>
    <xf numFmtId="0" fontId="30" fillId="10" borderId="5" xfId="21" applyFont="1" applyFill="1" applyBorder="1"/>
    <xf numFmtId="0" fontId="31" fillId="10" borderId="6" xfId="21" applyFont="1" applyFill="1" applyBorder="1" applyAlignment="1">
      <alignment horizontal="right"/>
    </xf>
    <xf numFmtId="10" fontId="31" fillId="10" borderId="3" xfId="26" applyNumberFormat="1" applyFont="1" applyFill="1" applyBorder="1" applyAlignment="1">
      <alignment horizontal="center"/>
    </xf>
    <xf numFmtId="0" fontId="31" fillId="10" borderId="6" xfId="21" quotePrefix="1" applyFont="1" applyFill="1" applyBorder="1" applyAlignment="1">
      <alignment horizontal="right"/>
    </xf>
    <xf numFmtId="0" fontId="5" fillId="0" borderId="8" xfId="21" applyBorder="1"/>
    <xf numFmtId="0" fontId="5" fillId="0" borderId="9" xfId="21" applyBorder="1"/>
    <xf numFmtId="49" fontId="32" fillId="11" borderId="10" xfId="21" applyNumberFormat="1" applyFont="1" applyFill="1" applyBorder="1" applyAlignment="1">
      <alignment horizontal="center" wrapText="1"/>
    </xf>
    <xf numFmtId="49" fontId="32" fillId="0" borderId="10" xfId="21" applyNumberFormat="1" applyFont="1" applyBorder="1" applyAlignment="1">
      <alignment horizontal="center" wrapText="1"/>
    </xf>
    <xf numFmtId="49" fontId="32" fillId="18" borderId="10" xfId="21" applyNumberFormat="1" applyFont="1" applyFill="1" applyBorder="1" applyAlignment="1">
      <alignment horizontal="center" wrapText="1"/>
    </xf>
    <xf numFmtId="168" fontId="13" fillId="0" borderId="5" xfId="23" applyNumberFormat="1" applyFont="1" applyBorder="1"/>
    <xf numFmtId="37" fontId="16" fillId="0" borderId="3" xfId="23" quotePrefix="1" applyNumberFormat="1" applyFont="1" applyBorder="1" applyAlignment="1">
      <alignment horizontal="left"/>
    </xf>
    <xf numFmtId="37" fontId="16" fillId="0" borderId="4" xfId="23" quotePrefix="1" applyNumberFormat="1" applyFont="1" applyBorder="1" applyAlignment="1">
      <alignment horizontal="left"/>
    </xf>
    <xf numFmtId="0" fontId="14" fillId="0" borderId="11" xfId="23" applyFont="1" applyBorder="1" applyAlignment="1">
      <alignment horizontal="center"/>
    </xf>
    <xf numFmtId="37" fontId="16" fillId="0" borderId="12" xfId="23" applyNumberFormat="1" applyFont="1" applyBorder="1"/>
    <xf numFmtId="4" fontId="5" fillId="3" borderId="11" xfId="21" applyNumberFormat="1" applyFill="1" applyBorder="1"/>
    <xf numFmtId="4" fontId="5" fillId="0" borderId="13" xfId="21" applyNumberFormat="1" applyBorder="1"/>
    <xf numFmtId="4" fontId="5" fillId="0" borderId="12" xfId="21" applyNumberFormat="1" applyBorder="1"/>
    <xf numFmtId="4" fontId="5" fillId="4" borderId="11" xfId="21" applyNumberFormat="1" applyFill="1" applyBorder="1"/>
    <xf numFmtId="4" fontId="5" fillId="18" borderId="13" xfId="21" applyNumberFormat="1" applyFill="1" applyBorder="1"/>
    <xf numFmtId="168" fontId="13" fillId="0" borderId="7" xfId="23" applyNumberFormat="1" applyFont="1" applyBorder="1"/>
    <xf numFmtId="168" fontId="13" fillId="0" borderId="11" xfId="23" applyNumberFormat="1" applyFont="1" applyBorder="1"/>
    <xf numFmtId="4" fontId="5" fillId="0" borderId="11" xfId="21" applyNumberFormat="1" applyBorder="1"/>
    <xf numFmtId="0" fontId="14" fillId="7" borderId="11" xfId="23" applyFont="1" applyFill="1" applyBorder="1" applyAlignment="1">
      <alignment horizontal="center"/>
    </xf>
    <xf numFmtId="37" fontId="16" fillId="7" borderId="12" xfId="23" applyNumberFormat="1" applyFont="1" applyFill="1" applyBorder="1"/>
    <xf numFmtId="4" fontId="5" fillId="7" borderId="11" xfId="21" applyNumberFormat="1" applyFill="1" applyBorder="1"/>
    <xf numFmtId="4" fontId="5" fillId="7" borderId="13" xfId="21" applyNumberFormat="1" applyFill="1" applyBorder="1"/>
    <xf numFmtId="4" fontId="5" fillId="7" borderId="12" xfId="21" applyNumberFormat="1" applyFill="1" applyBorder="1"/>
    <xf numFmtId="4" fontId="5" fillId="4" borderId="6" xfId="21" applyNumberFormat="1" applyFill="1" applyBorder="1"/>
    <xf numFmtId="37" fontId="16" fillId="0" borderId="12" xfId="23" quotePrefix="1" applyNumberFormat="1" applyFont="1" applyBorder="1" applyAlignment="1">
      <alignment horizontal="left"/>
    </xf>
    <xf numFmtId="4" fontId="5" fillId="4" borderId="13" xfId="21" applyNumberFormat="1" applyFill="1" applyBorder="1"/>
    <xf numFmtId="4" fontId="5" fillId="2" borderId="0" xfId="21" applyNumberFormat="1" applyFill="1"/>
    <xf numFmtId="37" fontId="16" fillId="2" borderId="0" xfId="23" applyNumberFormat="1" applyFont="1" applyFill="1"/>
    <xf numFmtId="4" fontId="5" fillId="19" borderId="0" xfId="21" applyNumberFormat="1" applyFill="1"/>
    <xf numFmtId="0" fontId="14" fillId="2" borderId="8" xfId="23" applyFont="1" applyFill="1" applyBorder="1" applyAlignment="1">
      <alignment horizontal="center"/>
    </xf>
    <xf numFmtId="37" fontId="17" fillId="2" borderId="9" xfId="23" applyNumberFormat="1" applyFont="1" applyFill="1" applyBorder="1"/>
    <xf numFmtId="0" fontId="5" fillId="2" borderId="9" xfId="21" applyFill="1" applyBorder="1"/>
    <xf numFmtId="10" fontId="33" fillId="2" borderId="0" xfId="26" applyNumberFormat="1" applyFont="1" applyFill="1" applyAlignment="1">
      <alignment horizontal="center"/>
    </xf>
    <xf numFmtId="0" fontId="33" fillId="2" borderId="0" xfId="21" quotePrefix="1" applyFont="1" applyFill="1" applyAlignment="1">
      <alignment horizontal="right"/>
    </xf>
    <xf numFmtId="0" fontId="33" fillId="2" borderId="0" xfId="21" applyFont="1" applyFill="1" applyAlignment="1">
      <alignment horizontal="left"/>
    </xf>
    <xf numFmtId="10" fontId="5" fillId="0" borderId="0" xfId="21" applyNumberFormat="1"/>
    <xf numFmtId="0" fontId="5" fillId="2" borderId="14" xfId="21" applyFill="1" applyBorder="1"/>
    <xf numFmtId="0" fontId="29" fillId="2" borderId="10" xfId="21" applyFont="1" applyFill="1" applyBorder="1" applyAlignment="1">
      <alignment horizontal="center"/>
    </xf>
    <xf numFmtId="0" fontId="27" fillId="2" borderId="10" xfId="21" applyFont="1" applyFill="1" applyBorder="1"/>
    <xf numFmtId="0" fontId="5" fillId="2" borderId="10" xfId="21" applyFill="1" applyBorder="1"/>
    <xf numFmtId="0" fontId="27" fillId="2" borderId="10" xfId="21" applyFont="1" applyFill="1" applyBorder="1" applyAlignment="1">
      <alignment horizontal="centerContinuous"/>
    </xf>
    <xf numFmtId="0" fontId="5" fillId="2" borderId="10" xfId="21" applyFill="1" applyBorder="1" applyAlignment="1">
      <alignment horizontal="centerContinuous"/>
    </xf>
    <xf numFmtId="0" fontId="27" fillId="2" borderId="10" xfId="21" applyFont="1" applyFill="1" applyBorder="1" applyAlignment="1">
      <alignment horizontal="left"/>
    </xf>
    <xf numFmtId="0" fontId="5" fillId="2" borderId="8" xfId="21" applyFill="1" applyBorder="1" applyAlignment="1">
      <alignment horizontal="centerContinuous"/>
    </xf>
    <xf numFmtId="0" fontId="5" fillId="2" borderId="15" xfId="21" applyFill="1" applyBorder="1" applyAlignment="1">
      <alignment horizontal="centerContinuous"/>
    </xf>
    <xf numFmtId="0" fontId="5" fillId="2" borderId="9" xfId="21" applyFill="1" applyBorder="1" applyAlignment="1">
      <alignment horizontal="centerContinuous"/>
    </xf>
    <xf numFmtId="0" fontId="5" fillId="2" borderId="16" xfId="21" applyFill="1" applyBorder="1"/>
    <xf numFmtId="4" fontId="5" fillId="2" borderId="10" xfId="21" applyNumberFormat="1" applyFill="1" applyBorder="1"/>
    <xf numFmtId="0" fontId="5" fillId="2" borderId="8" xfId="21" applyFill="1" applyBorder="1"/>
    <xf numFmtId="4" fontId="5" fillId="2" borderId="15" xfId="21" applyNumberFormat="1" applyFill="1" applyBorder="1"/>
    <xf numFmtId="4" fontId="5" fillId="2" borderId="15" xfId="21" applyNumberFormat="1" applyFill="1" applyBorder="1" applyAlignment="1">
      <alignment horizontal="centerContinuous"/>
    </xf>
    <xf numFmtId="4" fontId="5" fillId="2" borderId="9" xfId="21" applyNumberFormat="1" applyFill="1" applyBorder="1" applyAlignment="1">
      <alignment horizontal="centerContinuous"/>
    </xf>
    <xf numFmtId="0" fontId="5" fillId="2" borderId="15" xfId="21" applyFill="1" applyBorder="1"/>
    <xf numFmtId="0" fontId="5" fillId="2" borderId="17" xfId="21" applyFill="1" applyBorder="1"/>
    <xf numFmtId="0" fontId="29" fillId="2" borderId="17" xfId="21" applyFont="1" applyFill="1" applyBorder="1" applyAlignment="1">
      <alignment horizontal="center"/>
    </xf>
    <xf numFmtId="0" fontId="27" fillId="2" borderId="17" xfId="21" applyFont="1" applyFill="1" applyBorder="1"/>
    <xf numFmtId="4" fontId="5" fillId="2" borderId="17" xfId="21" applyNumberFormat="1" applyFill="1" applyBorder="1"/>
    <xf numFmtId="0" fontId="5" fillId="2" borderId="18" xfId="21" applyFill="1" applyBorder="1" applyAlignment="1">
      <alignment horizontal="centerContinuous"/>
    </xf>
    <xf numFmtId="0" fontId="5" fillId="2" borderId="19" xfId="21" applyFill="1" applyBorder="1" applyAlignment="1">
      <alignment horizontal="centerContinuous"/>
    </xf>
    <xf numFmtId="0" fontId="27" fillId="2" borderId="17" xfId="21" applyFont="1" applyFill="1" applyBorder="1" applyAlignment="1">
      <alignment horizontal="centerContinuous"/>
    </xf>
    <xf numFmtId="0" fontId="5" fillId="2" borderId="17" xfId="21" applyFill="1" applyBorder="1" applyAlignment="1">
      <alignment horizontal="centerContinuous"/>
    </xf>
    <xf numFmtId="2" fontId="5" fillId="12" borderId="0" xfId="21" applyNumberFormat="1" applyFill="1"/>
    <xf numFmtId="0" fontId="5" fillId="2" borderId="20" xfId="21" applyFill="1" applyBorder="1"/>
    <xf numFmtId="0" fontId="5" fillId="2" borderId="21" xfId="21" applyFill="1" applyBorder="1"/>
    <xf numFmtId="4" fontId="5" fillId="2" borderId="21" xfId="21" applyNumberFormat="1" applyFill="1" applyBorder="1"/>
    <xf numFmtId="0" fontId="5" fillId="2" borderId="22" xfId="21" applyFill="1" applyBorder="1"/>
    <xf numFmtId="0" fontId="5" fillId="2" borderId="23" xfId="21" applyFill="1" applyBorder="1"/>
    <xf numFmtId="0" fontId="27" fillId="2" borderId="21" xfId="21" applyFont="1" applyFill="1" applyBorder="1" applyAlignment="1">
      <alignment horizontal="centerContinuous"/>
    </xf>
    <xf numFmtId="4" fontId="5" fillId="2" borderId="24" xfId="21" applyNumberFormat="1" applyFill="1" applyBorder="1" applyAlignment="1">
      <alignment horizontal="centerContinuous"/>
    </xf>
    <xf numFmtId="4" fontId="5" fillId="2" borderId="25" xfId="21" applyNumberFormat="1" applyFill="1" applyBorder="1" applyAlignment="1">
      <alignment horizontal="centerContinuous"/>
    </xf>
    <xf numFmtId="0" fontId="27" fillId="2" borderId="21" xfId="21" applyFont="1" applyFill="1" applyBorder="1" applyAlignment="1">
      <alignment horizontal="left"/>
    </xf>
    <xf numFmtId="0" fontId="5" fillId="2" borderId="26" xfId="21" applyFill="1" applyBorder="1"/>
    <xf numFmtId="0" fontId="5" fillId="2" borderId="27" xfId="21" applyFill="1" applyBorder="1"/>
    <xf numFmtId="0" fontId="5" fillId="2" borderId="28" xfId="21" applyFill="1" applyBorder="1"/>
    <xf numFmtId="4" fontId="5" fillId="2" borderId="28" xfId="21" applyNumberFormat="1" applyFill="1" applyBorder="1"/>
    <xf numFmtId="4" fontId="5" fillId="2" borderId="29" xfId="21" applyNumberFormat="1" applyFill="1" applyBorder="1"/>
    <xf numFmtId="4" fontId="5" fillId="2" borderId="30" xfId="21" applyNumberFormat="1" applyFill="1" applyBorder="1"/>
    <xf numFmtId="0" fontId="29" fillId="2" borderId="0" xfId="21" quotePrefix="1" applyFont="1" applyFill="1" applyAlignment="1">
      <alignment horizontal="left"/>
    </xf>
    <xf numFmtId="0" fontId="5" fillId="2" borderId="0" xfId="21" quotePrefix="1" applyFill="1" applyAlignment="1">
      <alignment horizontal="left"/>
    </xf>
    <xf numFmtId="2" fontId="5" fillId="0" borderId="0" xfId="21" applyNumberFormat="1"/>
    <xf numFmtId="0" fontId="14" fillId="2" borderId="0" xfId="21" applyFont="1" applyFill="1"/>
    <xf numFmtId="169" fontId="5" fillId="2" borderId="0" xfId="21" applyNumberFormat="1" applyFill="1"/>
    <xf numFmtId="170" fontId="5" fillId="2" borderId="0" xfId="21" applyNumberFormat="1" applyFill="1"/>
    <xf numFmtId="9" fontId="5" fillId="12" borderId="0" xfId="25" applyFont="1" applyFill="1"/>
    <xf numFmtId="0" fontId="34" fillId="0" borderId="0" xfId="21" applyFont="1" applyAlignment="1">
      <alignment wrapText="1"/>
    </xf>
    <xf numFmtId="0" fontId="16" fillId="2" borderId="2" xfId="0" applyFont="1" applyFill="1" applyBorder="1" applyAlignment="1" applyProtection="1">
      <alignment vertical="center"/>
      <protection hidden="1"/>
    </xf>
    <xf numFmtId="4" fontId="16" fillId="2" borderId="2" xfId="0" applyNumberFormat="1" applyFont="1" applyFill="1" applyBorder="1" applyAlignment="1" applyProtection="1">
      <alignment vertical="center"/>
      <protection hidden="1"/>
    </xf>
    <xf numFmtId="0" fontId="16" fillId="18" borderId="2" xfId="0" applyFont="1" applyFill="1" applyBorder="1" applyAlignment="1" applyProtection="1">
      <alignment horizontal="center" vertical="center"/>
      <protection hidden="1"/>
    </xf>
    <xf numFmtId="166" fontId="39" fillId="2" borderId="0" xfId="24" applyFont="1" applyFill="1" applyAlignment="1" applyProtection="1">
      <alignment horizontal="left" vertical="center"/>
      <protection hidden="1"/>
    </xf>
    <xf numFmtId="0" fontId="43" fillId="0" borderId="0" xfId="0" applyFont="1" applyAlignment="1" applyProtection="1">
      <alignment horizontal="left" vertical="center" wrapText="1"/>
      <protection hidden="1"/>
    </xf>
    <xf numFmtId="0" fontId="5" fillId="0" borderId="0" xfId="0" applyFont="1" applyAlignment="1" applyProtection="1">
      <alignment vertical="center"/>
      <protection hidden="1"/>
    </xf>
    <xf numFmtId="0" fontId="36" fillId="5" borderId="35" xfId="0" applyFont="1" applyFill="1" applyBorder="1" applyAlignment="1" applyProtection="1">
      <alignment horizontal="center" vertical="center" wrapText="1"/>
      <protection hidden="1"/>
    </xf>
    <xf numFmtId="15" fontId="46" fillId="5" borderId="37" xfId="0" applyNumberFormat="1" applyFont="1" applyFill="1" applyBorder="1" applyAlignment="1" applyProtection="1">
      <alignment horizontal="center" vertical="center" wrapText="1"/>
      <protection hidden="1"/>
    </xf>
    <xf numFmtId="43" fontId="18" fillId="0" borderId="35" xfId="17" applyFont="1" applyFill="1" applyBorder="1" applyAlignment="1" applyProtection="1">
      <alignment vertical="center" wrapText="1"/>
      <protection hidden="1"/>
    </xf>
    <xf numFmtId="0" fontId="5" fillId="12" borderId="0" xfId="0" applyFont="1" applyFill="1" applyAlignment="1" applyProtection="1">
      <alignment vertical="center"/>
      <protection hidden="1"/>
    </xf>
    <xf numFmtId="0" fontId="43" fillId="0" borderId="0" xfId="0" applyFont="1" applyAlignment="1" applyProtection="1">
      <alignment horizontal="justify" vertical="center" wrapText="1"/>
      <protection hidden="1"/>
    </xf>
    <xf numFmtId="0" fontId="16" fillId="2" borderId="0" xfId="0" quotePrefix="1" applyFont="1" applyFill="1" applyAlignment="1" applyProtection="1">
      <alignment horizontal="left" vertical="center" wrapText="1"/>
      <protection hidden="1"/>
    </xf>
    <xf numFmtId="4" fontId="16" fillId="2" borderId="31" xfId="0" applyNumberFormat="1" applyFont="1" applyFill="1" applyBorder="1" applyAlignment="1" applyProtection="1">
      <alignment vertical="center"/>
      <protection hidden="1"/>
    </xf>
    <xf numFmtId="4" fontId="16" fillId="20" borderId="31" xfId="0" applyNumberFormat="1" applyFont="1" applyFill="1" applyBorder="1" applyAlignment="1" applyProtection="1">
      <alignment vertical="center"/>
      <protection hidden="1"/>
    </xf>
    <xf numFmtId="4" fontId="16" fillId="0" borderId="31" xfId="0" applyNumberFormat="1" applyFont="1" applyBorder="1" applyAlignment="1" applyProtection="1">
      <alignment horizontal="right" vertical="center"/>
      <protection hidden="1"/>
    </xf>
    <xf numFmtId="4" fontId="16" fillId="0" borderId="31" xfId="0" applyNumberFormat="1" applyFont="1" applyBorder="1" applyAlignment="1" applyProtection="1">
      <alignment vertical="center"/>
      <protection hidden="1"/>
    </xf>
    <xf numFmtId="4" fontId="39" fillId="5" borderId="31" xfId="0" applyNumberFormat="1" applyFont="1" applyFill="1" applyBorder="1" applyAlignment="1" applyProtection="1">
      <alignment vertical="center"/>
      <protection hidden="1"/>
    </xf>
    <xf numFmtId="17" fontId="37" fillId="6" borderId="44" xfId="0" applyNumberFormat="1" applyFont="1" applyFill="1" applyBorder="1" applyAlignment="1" applyProtection="1">
      <alignment horizontal="center" vertical="center" wrapText="1"/>
      <protection hidden="1"/>
    </xf>
    <xf numFmtId="17" fontId="37" fillId="6" borderId="45" xfId="0" applyNumberFormat="1" applyFont="1" applyFill="1" applyBorder="1" applyAlignment="1" applyProtection="1">
      <alignment horizontal="center" vertical="center" wrapText="1"/>
      <protection hidden="1"/>
    </xf>
    <xf numFmtId="0" fontId="16" fillId="2" borderId="32" xfId="0" quotePrefix="1" applyFont="1" applyFill="1" applyBorder="1" applyAlignment="1" applyProtection="1">
      <alignment horizontal="left" vertical="center"/>
      <protection hidden="1"/>
    </xf>
    <xf numFmtId="4" fontId="16" fillId="20" borderId="35" xfId="0" applyNumberFormat="1" applyFont="1" applyFill="1" applyBorder="1" applyAlignment="1" applyProtection="1">
      <alignment vertical="center"/>
      <protection hidden="1"/>
    </xf>
    <xf numFmtId="4" fontId="16" fillId="2" borderId="35" xfId="0" applyNumberFormat="1" applyFont="1" applyFill="1" applyBorder="1" applyAlignment="1" applyProtection="1">
      <alignment vertical="center"/>
      <protection hidden="1"/>
    </xf>
    <xf numFmtId="0" fontId="16" fillId="2" borderId="32" xfId="0" applyFont="1" applyFill="1" applyBorder="1" applyAlignment="1" applyProtection="1">
      <alignment horizontal="left" vertical="center"/>
      <protection hidden="1"/>
    </xf>
    <xf numFmtId="0" fontId="39" fillId="5" borderId="32" xfId="0" quotePrefix="1" applyFont="1" applyFill="1" applyBorder="1" applyAlignment="1" applyProtection="1">
      <alignment horizontal="left" vertical="center" wrapText="1"/>
      <protection hidden="1"/>
    </xf>
    <xf numFmtId="4" fontId="39" fillId="5" borderId="35" xfId="0" applyNumberFormat="1" applyFont="1" applyFill="1" applyBorder="1" applyAlignment="1" applyProtection="1">
      <alignment vertical="center"/>
      <protection hidden="1"/>
    </xf>
    <xf numFmtId="0" fontId="16" fillId="2" borderId="33" xfId="0" quotePrefix="1" applyFont="1" applyFill="1" applyBorder="1" applyAlignment="1" applyProtection="1">
      <alignment horizontal="left" vertical="center" wrapText="1"/>
      <protection hidden="1"/>
    </xf>
    <xf numFmtId="4" fontId="16" fillId="2" borderId="34" xfId="0" applyNumberFormat="1" applyFont="1" applyFill="1" applyBorder="1" applyAlignment="1" applyProtection="1">
      <alignment horizontal="right" vertical="center"/>
      <protection hidden="1"/>
    </xf>
    <xf numFmtId="4" fontId="16" fillId="2" borderId="37" xfId="0" applyNumberFormat="1" applyFont="1" applyFill="1" applyBorder="1" applyAlignment="1" applyProtection="1">
      <alignment horizontal="right" vertical="center"/>
      <protection hidden="1"/>
    </xf>
    <xf numFmtId="0" fontId="35" fillId="2" borderId="0" xfId="0" applyFont="1" applyFill="1" applyAlignment="1" applyProtection="1">
      <alignment horizontal="justify" vertical="center" wrapText="1"/>
      <protection hidden="1"/>
    </xf>
    <xf numFmtId="0" fontId="39" fillId="5" borderId="32" xfId="0" quotePrefix="1" applyFont="1" applyFill="1" applyBorder="1" applyAlignment="1" applyProtection="1">
      <alignment horizontal="left" vertical="center"/>
      <protection hidden="1"/>
    </xf>
    <xf numFmtId="4" fontId="17" fillId="2" borderId="31" xfId="0" applyNumberFormat="1" applyFont="1" applyFill="1" applyBorder="1" applyAlignment="1" applyProtection="1">
      <alignment vertical="center"/>
      <protection hidden="1"/>
    </xf>
    <xf numFmtId="4" fontId="17" fillId="2" borderId="35" xfId="0" applyNumberFormat="1" applyFont="1" applyFill="1" applyBorder="1" applyAlignment="1" applyProtection="1">
      <alignment vertical="center"/>
      <protection hidden="1"/>
    </xf>
    <xf numFmtId="4" fontId="39" fillId="5" borderId="31" xfId="0" applyNumberFormat="1" applyFont="1" applyFill="1" applyBorder="1" applyAlignment="1" applyProtection="1">
      <alignment horizontal="right" vertical="center"/>
      <protection hidden="1"/>
    </xf>
    <xf numFmtId="4" fontId="39" fillId="5" borderId="35" xfId="0" applyNumberFormat="1" applyFont="1" applyFill="1" applyBorder="1" applyAlignment="1" applyProtection="1">
      <alignment horizontal="right" vertical="center"/>
      <protection hidden="1"/>
    </xf>
    <xf numFmtId="0" fontId="36" fillId="14" borderId="43" xfId="0" applyFont="1" applyFill="1" applyBorder="1" applyAlignment="1" applyProtection="1">
      <alignment horizontal="center" vertical="center" wrapText="1"/>
      <protection hidden="1"/>
    </xf>
    <xf numFmtId="17" fontId="36" fillId="14" borderId="44" xfId="0" applyNumberFormat="1" applyFont="1" applyFill="1" applyBorder="1" applyAlignment="1" applyProtection="1">
      <alignment horizontal="center" vertical="center" wrapText="1"/>
      <protection hidden="1"/>
    </xf>
    <xf numFmtId="43" fontId="16" fillId="2" borderId="31" xfId="17" applyFont="1" applyFill="1" applyBorder="1" applyAlignment="1" applyProtection="1">
      <alignment horizontal="right" vertical="center"/>
      <protection hidden="1"/>
    </xf>
    <xf numFmtId="4" fontId="16" fillId="2" borderId="31" xfId="0" applyNumberFormat="1" applyFont="1" applyFill="1" applyBorder="1" applyAlignment="1" applyProtection="1">
      <alignment horizontal="right" vertical="center"/>
      <protection hidden="1"/>
    </xf>
    <xf numFmtId="0" fontId="17" fillId="2" borderId="32" xfId="0" applyFont="1" applyFill="1" applyBorder="1" applyAlignment="1" applyProtection="1">
      <alignment horizontal="left" vertical="center" wrapText="1"/>
      <protection hidden="1"/>
    </xf>
    <xf numFmtId="4" fontId="16" fillId="12" borderId="31" xfId="0" applyNumberFormat="1" applyFont="1" applyFill="1" applyBorder="1" applyAlignment="1" applyProtection="1">
      <alignment horizontal="right" vertical="center"/>
      <protection hidden="1"/>
    </xf>
    <xf numFmtId="0" fontId="16" fillId="2" borderId="33" xfId="0" quotePrefix="1" applyFont="1" applyFill="1" applyBorder="1" applyAlignment="1" applyProtection="1">
      <alignment horizontal="left" vertical="center"/>
      <protection hidden="1"/>
    </xf>
    <xf numFmtId="0" fontId="5" fillId="12" borderId="0" xfId="0" applyFont="1" applyFill="1" applyAlignment="1" applyProtection="1">
      <alignment vertical="top"/>
      <protection hidden="1"/>
    </xf>
    <xf numFmtId="4" fontId="16" fillId="0" borderId="32" xfId="0" applyNumberFormat="1" applyFont="1" applyBorder="1" applyAlignment="1" applyProtection="1">
      <alignment vertical="center" wrapText="1"/>
      <protection hidden="1"/>
    </xf>
    <xf numFmtId="37" fontId="16" fillId="12" borderId="3" xfId="23" quotePrefix="1" applyNumberFormat="1" applyFont="1" applyFill="1" applyBorder="1" applyAlignment="1">
      <alignment horizontal="left"/>
    </xf>
    <xf numFmtId="37" fontId="16" fillId="12" borderId="4" xfId="23" quotePrefix="1" applyNumberFormat="1" applyFont="1" applyFill="1" applyBorder="1" applyAlignment="1">
      <alignment horizontal="left"/>
    </xf>
    <xf numFmtId="37" fontId="16" fillId="12" borderId="12" xfId="23" applyNumberFormat="1" applyFont="1" applyFill="1" applyBorder="1"/>
    <xf numFmtId="37" fontId="16" fillId="12" borderId="4" xfId="23" applyNumberFormat="1" applyFont="1" applyFill="1" applyBorder="1"/>
    <xf numFmtId="37" fontId="16" fillId="12" borderId="12" xfId="23" applyNumberFormat="1" applyFont="1" applyFill="1" applyBorder="1" applyAlignment="1">
      <alignment horizontal="left" indent="1"/>
    </xf>
    <xf numFmtId="37" fontId="16" fillId="12" borderId="12" xfId="23" quotePrefix="1" applyNumberFormat="1" applyFont="1" applyFill="1" applyBorder="1" applyAlignment="1">
      <alignment horizontal="left"/>
    </xf>
    <xf numFmtId="37" fontId="16" fillId="12" borderId="3" xfId="23" applyNumberFormat="1" applyFont="1" applyFill="1" applyBorder="1"/>
    <xf numFmtId="37" fontId="16" fillId="12" borderId="15" xfId="23" applyNumberFormat="1" applyFont="1" applyFill="1" applyBorder="1"/>
    <xf numFmtId="4" fontId="5" fillId="23" borderId="0" xfId="21" applyNumberFormat="1" applyFill="1"/>
    <xf numFmtId="37" fontId="56" fillId="2" borderId="10" xfId="23" applyNumberFormat="1" applyFont="1" applyFill="1" applyBorder="1" applyAlignment="1">
      <alignment wrapText="1"/>
    </xf>
    <xf numFmtId="0" fontId="29" fillId="2" borderId="71" xfId="21" applyFont="1" applyFill="1" applyBorder="1" applyAlignment="1">
      <alignment horizontal="center"/>
    </xf>
    <xf numFmtId="0" fontId="5" fillId="2" borderId="72" xfId="21" applyFill="1" applyBorder="1"/>
    <xf numFmtId="0" fontId="29" fillId="2" borderId="72" xfId="21" applyFont="1" applyFill="1" applyBorder="1" applyAlignment="1">
      <alignment horizontal="center"/>
    </xf>
    <xf numFmtId="0" fontId="5" fillId="2" borderId="73" xfId="21" quotePrefix="1" applyFill="1" applyBorder="1" applyAlignment="1">
      <alignment horizontal="left"/>
    </xf>
    <xf numFmtId="37" fontId="55" fillId="22" borderId="3" xfId="23" applyNumberFormat="1" applyFont="1" applyFill="1" applyBorder="1" applyAlignment="1">
      <alignment vertical="center" wrapText="1"/>
    </xf>
    <xf numFmtId="37" fontId="55" fillId="22" borderId="4" xfId="23" applyNumberFormat="1" applyFont="1" applyFill="1" applyBorder="1" applyAlignment="1">
      <alignment vertical="center" wrapText="1"/>
    </xf>
    <xf numFmtId="37" fontId="55" fillId="22" borderId="12" xfId="23" applyNumberFormat="1" applyFont="1" applyFill="1" applyBorder="1" applyAlignment="1">
      <alignment vertical="center" wrapText="1"/>
    </xf>
    <xf numFmtId="49" fontId="56" fillId="22" borderId="16" xfId="21" applyNumberFormat="1" applyFont="1" applyFill="1" applyBorder="1" applyAlignment="1">
      <alignment horizontal="center" vertical="center" wrapText="1"/>
    </xf>
    <xf numFmtId="4" fontId="5" fillId="12" borderId="5" xfId="21" applyNumberFormat="1" applyFill="1" applyBorder="1"/>
    <xf numFmtId="4" fontId="5" fillId="12" borderId="6" xfId="21" applyNumberFormat="1" applyFill="1" applyBorder="1"/>
    <xf numFmtId="4" fontId="5" fillId="12" borderId="3" xfId="21" applyNumberFormat="1" applyFill="1" applyBorder="1"/>
    <xf numFmtId="4" fontId="5" fillId="12" borderId="7" xfId="21" applyNumberFormat="1" applyFill="1" applyBorder="1"/>
    <xf numFmtId="4" fontId="5" fillId="12" borderId="0" xfId="21" applyNumberFormat="1" applyFill="1"/>
    <xf numFmtId="4" fontId="5" fillId="12" borderId="4" xfId="21" applyNumberFormat="1" applyFill="1" applyBorder="1"/>
    <xf numFmtId="4" fontId="5" fillId="12" borderId="11" xfId="21" applyNumberFormat="1" applyFill="1" applyBorder="1"/>
    <xf numFmtId="4" fontId="5" fillId="12" borderId="13" xfId="21" applyNumberFormat="1" applyFill="1" applyBorder="1"/>
    <xf numFmtId="4" fontId="5" fillId="12" borderId="12" xfId="21" applyNumberFormat="1" applyFill="1" applyBorder="1"/>
    <xf numFmtId="165" fontId="5" fillId="12" borderId="13" xfId="21" applyNumberFormat="1" applyFill="1" applyBorder="1"/>
    <xf numFmtId="4" fontId="5" fillId="12" borderId="8" xfId="21" applyNumberFormat="1" applyFill="1" applyBorder="1"/>
    <xf numFmtId="4" fontId="5" fillId="12" borderId="9" xfId="21" applyNumberFormat="1" applyFill="1" applyBorder="1"/>
    <xf numFmtId="0" fontId="56" fillId="2" borderId="8" xfId="21" applyFont="1" applyFill="1" applyBorder="1" applyAlignment="1">
      <alignment horizontal="left" vertical="center"/>
    </xf>
    <xf numFmtId="0" fontId="56" fillId="0" borderId="9" xfId="21" applyFont="1" applyBorder="1" applyAlignment="1">
      <alignment vertical="center"/>
    </xf>
    <xf numFmtId="10" fontId="56" fillId="0" borderId="15" xfId="21" applyNumberFormat="1" applyFont="1" applyBorder="1" applyAlignment="1">
      <alignment vertical="center"/>
    </xf>
    <xf numFmtId="4" fontId="5" fillId="2" borderId="2" xfId="21" applyNumberFormat="1" applyFill="1" applyBorder="1"/>
    <xf numFmtId="4" fontId="5" fillId="2" borderId="76" xfId="21" applyNumberFormat="1" applyFill="1" applyBorder="1"/>
    <xf numFmtId="4" fontId="5" fillId="21" borderId="0" xfId="21" applyNumberFormat="1" applyFill="1"/>
    <xf numFmtId="2" fontId="5" fillId="21" borderId="0" xfId="21" applyNumberFormat="1" applyFill="1"/>
    <xf numFmtId="2" fontId="5" fillId="21" borderId="84" xfId="21" applyNumberFormat="1" applyFill="1" applyBorder="1"/>
    <xf numFmtId="4" fontId="16" fillId="0" borderId="35" xfId="0" applyNumberFormat="1" applyFont="1" applyBorder="1" applyAlignment="1" applyProtection="1">
      <alignment horizontal="right" vertical="center"/>
      <protection hidden="1"/>
    </xf>
    <xf numFmtId="43" fontId="0" fillId="0" borderId="0" xfId="0" applyNumberFormat="1"/>
    <xf numFmtId="4" fontId="40" fillId="2" borderId="0" xfId="0" applyNumberFormat="1" applyFont="1" applyFill="1" applyAlignment="1" applyProtection="1">
      <alignment vertical="center"/>
      <protection hidden="1"/>
    </xf>
    <xf numFmtId="4" fontId="37" fillId="0" borderId="0" xfId="0" applyNumberFormat="1" applyFont="1" applyAlignment="1" applyProtection="1">
      <alignment horizontal="right" vertical="center"/>
      <protection hidden="1"/>
    </xf>
    <xf numFmtId="37" fontId="55" fillId="21" borderId="3" xfId="23" applyNumberFormat="1" applyFont="1" applyFill="1" applyBorder="1" applyAlignment="1">
      <alignment vertical="center" wrapText="1"/>
    </xf>
    <xf numFmtId="37" fontId="55" fillId="21" borderId="4" xfId="23" applyNumberFormat="1" applyFont="1" applyFill="1" applyBorder="1" applyAlignment="1">
      <alignment vertical="center" wrapText="1"/>
    </xf>
    <xf numFmtId="37" fontId="55" fillId="21" borderId="12" xfId="23" applyNumberFormat="1" applyFont="1" applyFill="1" applyBorder="1" applyAlignment="1">
      <alignment vertical="center" wrapText="1"/>
    </xf>
    <xf numFmtId="49" fontId="56" fillId="21" borderId="16" xfId="21" applyNumberFormat="1" applyFont="1" applyFill="1" applyBorder="1" applyAlignment="1">
      <alignment horizontal="center" vertical="center" wrapText="1"/>
    </xf>
    <xf numFmtId="43" fontId="17" fillId="0" borderId="31" xfId="17" applyFont="1" applyFill="1" applyBorder="1" applyAlignment="1" applyProtection="1">
      <alignment horizontal="center" vertical="center" wrapText="1"/>
      <protection hidden="1"/>
    </xf>
    <xf numFmtId="4" fontId="16" fillId="24" borderId="31" xfId="0" applyNumberFormat="1" applyFont="1" applyFill="1" applyBorder="1" applyAlignment="1" applyProtection="1">
      <alignment vertical="center"/>
      <protection hidden="1"/>
    </xf>
    <xf numFmtId="0" fontId="61" fillId="2" borderId="0" xfId="0" quotePrefix="1" applyFont="1" applyFill="1" applyAlignment="1" applyProtection="1">
      <alignment horizontal="left" vertical="center"/>
      <protection hidden="1"/>
    </xf>
    <xf numFmtId="172" fontId="16" fillId="0" borderId="0" xfId="0" applyNumberFormat="1" applyFont="1" applyAlignment="1" applyProtection="1">
      <alignment vertical="center"/>
      <protection hidden="1"/>
    </xf>
    <xf numFmtId="4" fontId="16" fillId="2" borderId="31" xfId="0" applyNumberFormat="1" applyFont="1" applyFill="1" applyBorder="1" applyAlignment="1" applyProtection="1">
      <alignment horizontal="center" vertical="center"/>
      <protection hidden="1"/>
    </xf>
    <xf numFmtId="0" fontId="16" fillId="2" borderId="0" xfId="0" applyFont="1" applyFill="1" applyAlignment="1" applyProtection="1">
      <alignment horizontal="center" vertical="center"/>
      <protection hidden="1"/>
    </xf>
    <xf numFmtId="4" fontId="16" fillId="2" borderId="35" xfId="0" applyNumberFormat="1" applyFont="1" applyFill="1" applyBorder="1" applyAlignment="1" applyProtection="1">
      <alignment horizontal="center" vertical="center"/>
      <protection hidden="1"/>
    </xf>
    <xf numFmtId="4" fontId="16" fillId="0" borderId="2" xfId="0" applyNumberFormat="1" applyFont="1" applyBorder="1" applyAlignment="1" applyProtection="1">
      <alignment vertical="center"/>
      <protection hidden="1"/>
    </xf>
    <xf numFmtId="0" fontId="63" fillId="2" borderId="2" xfId="0" applyFont="1" applyFill="1" applyBorder="1" applyAlignment="1" applyProtection="1">
      <alignment vertical="center"/>
      <protection hidden="1"/>
    </xf>
    <xf numFmtId="4" fontId="63" fillId="2" borderId="2" xfId="0" applyNumberFormat="1" applyFont="1" applyFill="1" applyBorder="1" applyAlignment="1" applyProtection="1">
      <alignment vertical="center"/>
      <protection hidden="1"/>
    </xf>
    <xf numFmtId="167" fontId="27" fillId="12" borderId="0" xfId="17" applyNumberFormat="1" applyFont="1" applyFill="1" applyBorder="1" applyAlignment="1" applyProtection="1">
      <alignment horizontal="center" vertical="center"/>
      <protection hidden="1"/>
    </xf>
    <xf numFmtId="4" fontId="16" fillId="0" borderId="0" xfId="0" applyNumberFormat="1" applyFont="1" applyAlignment="1" applyProtection="1">
      <alignment vertical="center"/>
      <protection hidden="1"/>
    </xf>
    <xf numFmtId="10" fontId="16" fillId="13" borderId="0" xfId="25" applyNumberFormat="1" applyFont="1" applyFill="1" applyAlignment="1" applyProtection="1">
      <alignment vertical="center"/>
      <protection hidden="1"/>
    </xf>
    <xf numFmtId="0" fontId="43" fillId="2" borderId="0" xfId="0" applyFont="1" applyFill="1" applyAlignment="1" applyProtection="1">
      <alignment horizontal="center" vertical="center"/>
      <protection hidden="1"/>
    </xf>
    <xf numFmtId="0" fontId="35" fillId="2" borderId="0" xfId="0" quotePrefix="1" applyFont="1" applyFill="1" applyAlignment="1" applyProtection="1">
      <alignment horizontal="center" vertical="center"/>
      <protection hidden="1"/>
    </xf>
    <xf numFmtId="0" fontId="43" fillId="0" borderId="0" xfId="0" applyFont="1" applyAlignment="1" applyProtection="1">
      <alignment horizontal="center" vertical="top"/>
      <protection hidden="1"/>
    </xf>
    <xf numFmtId="0" fontId="43" fillId="0" borderId="0" xfId="0" applyFont="1" applyAlignment="1" applyProtection="1">
      <alignment horizontal="center" vertical="top" wrapText="1"/>
      <protection hidden="1"/>
    </xf>
    <xf numFmtId="0" fontId="35" fillId="0" borderId="0" xfId="0" applyFont="1" applyAlignment="1" applyProtection="1">
      <alignment horizontal="center" vertical="center"/>
      <protection hidden="1"/>
    </xf>
    <xf numFmtId="0" fontId="35" fillId="0" borderId="0" xfId="0" quotePrefix="1" applyFont="1" applyAlignment="1" applyProtection="1">
      <alignment horizontal="center" vertical="center"/>
      <protection hidden="1"/>
    </xf>
    <xf numFmtId="4" fontId="16" fillId="0" borderId="50" xfId="0" applyNumberFormat="1" applyFont="1" applyBorder="1" applyAlignment="1" applyProtection="1">
      <alignment horizontal="right" vertical="center"/>
      <protection hidden="1"/>
    </xf>
    <xf numFmtId="4" fontId="16" fillId="2" borderId="51" xfId="0" applyNumberFormat="1" applyFont="1" applyFill="1" applyBorder="1" applyAlignment="1" applyProtection="1">
      <alignment horizontal="right" vertical="center"/>
      <protection hidden="1"/>
    </xf>
    <xf numFmtId="4" fontId="16" fillId="20" borderId="50" xfId="0" applyNumberFormat="1" applyFont="1" applyFill="1" applyBorder="1" applyAlignment="1" applyProtection="1">
      <alignment vertical="center"/>
      <protection hidden="1"/>
    </xf>
    <xf numFmtId="4" fontId="16" fillId="12" borderId="50" xfId="0" applyNumberFormat="1" applyFont="1" applyFill="1" applyBorder="1" applyAlignment="1" applyProtection="1">
      <alignment vertical="center"/>
      <protection hidden="1"/>
    </xf>
    <xf numFmtId="4" fontId="16" fillId="0" borderId="50" xfId="0" applyNumberFormat="1" applyFont="1" applyBorder="1" applyAlignment="1" applyProtection="1">
      <alignment vertical="center"/>
      <protection hidden="1"/>
    </xf>
    <xf numFmtId="4" fontId="16" fillId="2" borderId="50" xfId="0" applyNumberFormat="1" applyFont="1" applyFill="1" applyBorder="1" applyAlignment="1" applyProtection="1">
      <alignment vertical="center"/>
      <protection hidden="1"/>
    </xf>
    <xf numFmtId="4" fontId="39" fillId="5" borderId="50" xfId="0" applyNumberFormat="1" applyFont="1" applyFill="1" applyBorder="1" applyAlignment="1" applyProtection="1">
      <alignment vertical="center"/>
      <protection hidden="1"/>
    </xf>
    <xf numFmtId="4" fontId="16" fillId="0" borderId="50" xfId="0" applyNumberFormat="1" applyFont="1" applyBorder="1" applyAlignment="1" applyProtection="1">
      <alignment horizontal="center" vertical="center"/>
      <protection hidden="1"/>
    </xf>
    <xf numFmtId="4" fontId="16" fillId="24" borderId="31" xfId="0" applyNumberFormat="1" applyFont="1" applyFill="1" applyBorder="1" applyAlignment="1" applyProtection="1">
      <alignment horizontal="center" vertical="center"/>
      <protection hidden="1"/>
    </xf>
    <xf numFmtId="43" fontId="37" fillId="0" borderId="0" xfId="0" applyNumberFormat="1" applyFont="1" applyAlignment="1" applyProtection="1">
      <alignment vertical="center"/>
      <protection hidden="1"/>
    </xf>
    <xf numFmtId="43" fontId="16" fillId="2" borderId="0" xfId="0" applyNumberFormat="1" applyFont="1" applyFill="1" applyAlignment="1" applyProtection="1">
      <alignment vertical="center"/>
      <protection hidden="1"/>
    </xf>
    <xf numFmtId="9" fontId="16" fillId="0" borderId="0" xfId="25" applyFont="1" applyAlignment="1" applyProtection="1">
      <alignment vertical="center"/>
      <protection hidden="1"/>
    </xf>
    <xf numFmtId="9" fontId="37" fillId="0" borderId="0" xfId="25" applyFont="1" applyAlignment="1" applyProtection="1">
      <alignment vertical="center"/>
      <protection hidden="1"/>
    </xf>
    <xf numFmtId="164" fontId="16" fillId="0" borderId="0" xfId="0" applyNumberFormat="1" applyFont="1" applyAlignment="1" applyProtection="1">
      <alignment vertical="center"/>
      <protection hidden="1"/>
    </xf>
    <xf numFmtId="43" fontId="16" fillId="0" borderId="0" xfId="0" applyNumberFormat="1" applyFont="1" applyAlignment="1" applyProtection="1">
      <alignment vertical="center"/>
      <protection hidden="1"/>
    </xf>
    <xf numFmtId="173" fontId="16" fillId="0" borderId="0" xfId="0" applyNumberFormat="1" applyFont="1" applyAlignment="1" applyProtection="1">
      <alignment vertical="center"/>
      <protection hidden="1"/>
    </xf>
    <xf numFmtId="43" fontId="16" fillId="0" borderId="0" xfId="25" applyNumberFormat="1" applyFont="1" applyFill="1" applyBorder="1" applyAlignment="1" applyProtection="1">
      <alignment vertical="center"/>
      <protection hidden="1"/>
    </xf>
    <xf numFmtId="41" fontId="16" fillId="0" borderId="0" xfId="31" applyFont="1" applyFill="1" applyBorder="1" applyAlignment="1" applyProtection="1">
      <alignment vertical="center"/>
      <protection hidden="1"/>
    </xf>
    <xf numFmtId="174" fontId="16" fillId="0" borderId="0" xfId="0" applyNumberFormat="1" applyFont="1" applyAlignment="1" applyProtection="1">
      <alignment vertical="center"/>
      <protection hidden="1"/>
    </xf>
    <xf numFmtId="0" fontId="69" fillId="0" borderId="0" xfId="0" applyFont="1" applyAlignment="1" applyProtection="1">
      <alignment vertical="center" wrapText="1"/>
      <protection hidden="1"/>
    </xf>
    <xf numFmtId="0" fontId="60" fillId="0" borderId="0" xfId="0" applyFont="1" applyAlignment="1" applyProtection="1">
      <alignment vertical="center"/>
      <protection hidden="1"/>
    </xf>
    <xf numFmtId="4" fontId="40" fillId="2" borderId="2" xfId="0" applyNumberFormat="1" applyFont="1" applyFill="1" applyBorder="1" applyAlignment="1" applyProtection="1">
      <alignment vertical="center"/>
      <protection hidden="1"/>
    </xf>
    <xf numFmtId="43" fontId="16" fillId="2" borderId="0" xfId="17" applyFont="1" applyFill="1" applyAlignment="1" applyProtection="1">
      <alignment vertical="center"/>
      <protection hidden="1"/>
    </xf>
    <xf numFmtId="9" fontId="16" fillId="0" borderId="0" xfId="0" applyNumberFormat="1" applyFont="1" applyAlignment="1" applyProtection="1">
      <alignment vertical="center"/>
      <protection hidden="1"/>
    </xf>
    <xf numFmtId="0" fontId="70" fillId="0" borderId="0" xfId="0" applyFont="1" applyAlignment="1" applyProtection="1">
      <alignment vertical="center"/>
      <protection hidden="1"/>
    </xf>
    <xf numFmtId="0" fontId="18" fillId="2" borderId="0" xfId="0" quotePrefix="1" applyFont="1" applyFill="1" applyAlignment="1" applyProtection="1">
      <alignment horizontal="left" vertical="center" wrapText="1"/>
      <protection hidden="1"/>
    </xf>
    <xf numFmtId="0" fontId="43" fillId="12" borderId="0" xfId="0" applyFont="1" applyFill="1" applyAlignment="1" applyProtection="1">
      <alignment horizontal="left" vertical="top" wrapText="1"/>
      <protection hidden="1"/>
    </xf>
    <xf numFmtId="4" fontId="63" fillId="22" borderId="2" xfId="0" applyNumberFormat="1" applyFont="1" applyFill="1" applyBorder="1" applyAlignment="1" applyProtection="1">
      <alignment vertical="center"/>
      <protection hidden="1"/>
    </xf>
    <xf numFmtId="0" fontId="16" fillId="13" borderId="0" xfId="0" applyFont="1" applyFill="1" applyAlignment="1" applyProtection="1">
      <alignment vertical="center"/>
      <protection hidden="1"/>
    </xf>
    <xf numFmtId="0" fontId="16" fillId="25" borderId="0" xfId="0" applyFont="1" applyFill="1" applyAlignment="1" applyProtection="1">
      <alignment vertical="center"/>
      <protection hidden="1"/>
    </xf>
    <xf numFmtId="167" fontId="16" fillId="12" borderId="0" xfId="17" applyNumberFormat="1" applyFont="1" applyFill="1" applyBorder="1" applyAlignment="1" applyProtection="1">
      <alignment horizontal="left" vertical="center"/>
      <protection hidden="1"/>
    </xf>
    <xf numFmtId="43" fontId="16" fillId="0" borderId="31" xfId="17" applyFont="1" applyFill="1" applyBorder="1" applyAlignment="1" applyProtection="1">
      <alignment horizontal="right" vertical="center"/>
      <protection hidden="1"/>
    </xf>
    <xf numFmtId="0" fontId="74" fillId="0" borderId="0" xfId="33"/>
    <xf numFmtId="0" fontId="5" fillId="0" borderId="0" xfId="0" applyFont="1"/>
    <xf numFmtId="0" fontId="0" fillId="27" borderId="2" xfId="0" applyFill="1" applyBorder="1" applyAlignment="1">
      <alignment horizontal="center"/>
    </xf>
    <xf numFmtId="0" fontId="29" fillId="27" borderId="2" xfId="0" applyFont="1" applyFill="1" applyBorder="1" applyAlignment="1">
      <alignment horizontal="center" vertical="center"/>
    </xf>
    <xf numFmtId="10" fontId="0" fillId="30" borderId="2" xfId="25" applyNumberFormat="1" applyFont="1" applyFill="1" applyBorder="1" applyAlignment="1">
      <alignment horizontal="center" vertical="center"/>
    </xf>
    <xf numFmtId="0" fontId="29" fillId="0" borderId="0" xfId="0" applyFont="1"/>
    <xf numFmtId="0" fontId="29" fillId="0" borderId="93" xfId="0" applyFont="1" applyBorder="1"/>
    <xf numFmtId="0" fontId="0" fillId="0" borderId="93" xfId="0" applyBorder="1"/>
    <xf numFmtId="0" fontId="5" fillId="0" borderId="93" xfId="0" applyFont="1" applyBorder="1"/>
    <xf numFmtId="0" fontId="29" fillId="27" borderId="89" xfId="0" applyFont="1" applyFill="1" applyBorder="1" applyAlignment="1">
      <alignment vertical="center"/>
    </xf>
    <xf numFmtId="0" fontId="5" fillId="0" borderId="94" xfId="0" applyFont="1" applyBorder="1"/>
    <xf numFmtId="0" fontId="29" fillId="27" borderId="89" xfId="0" applyFont="1" applyFill="1" applyBorder="1" applyAlignment="1">
      <alignment horizontal="center"/>
    </xf>
    <xf numFmtId="0" fontId="0" fillId="0" borderId="94" xfId="0" applyBorder="1"/>
    <xf numFmtId="2" fontId="0" fillId="0" borderId="94" xfId="0" applyNumberFormat="1" applyBorder="1" applyAlignment="1">
      <alignment horizontal="center"/>
    </xf>
    <xf numFmtId="0" fontId="29" fillId="27" borderId="89" xfId="0" applyFont="1" applyFill="1" applyBorder="1" applyAlignment="1">
      <alignment horizontal="center" vertical="center"/>
    </xf>
    <xf numFmtId="0" fontId="0" fillId="0" borderId="94" xfId="0" applyBorder="1" applyAlignment="1">
      <alignment horizontal="center"/>
    </xf>
    <xf numFmtId="0" fontId="29" fillId="27" borderId="87" xfId="0" applyFont="1" applyFill="1" applyBorder="1" applyAlignment="1">
      <alignment horizontal="center"/>
    </xf>
    <xf numFmtId="0" fontId="29" fillId="27" borderId="92" xfId="0" applyFont="1" applyFill="1" applyBorder="1" applyAlignment="1">
      <alignment vertical="center"/>
    </xf>
    <xf numFmtId="0" fontId="5" fillId="29" borderId="94" xfId="0" applyFont="1" applyFill="1" applyBorder="1"/>
    <xf numFmtId="0" fontId="29" fillId="27" borderId="77" xfId="0" applyFont="1" applyFill="1" applyBorder="1" applyAlignment="1">
      <alignment horizontal="center"/>
    </xf>
    <xf numFmtId="0" fontId="29" fillId="27" borderId="78" xfId="0" applyFont="1" applyFill="1" applyBorder="1" applyAlignment="1">
      <alignment horizontal="center"/>
    </xf>
    <xf numFmtId="41" fontId="5" fillId="26" borderId="94" xfId="31" applyFont="1" applyFill="1" applyBorder="1"/>
    <xf numFmtId="41" fontId="0" fillId="26" borderId="94" xfId="31" applyFont="1" applyFill="1" applyBorder="1" applyAlignment="1">
      <alignment horizontal="center"/>
    </xf>
    <xf numFmtId="2" fontId="0" fillId="28" borderId="94" xfId="0" applyNumberFormat="1" applyFill="1" applyBorder="1"/>
    <xf numFmtId="1" fontId="0" fillId="28" borderId="94" xfId="0" applyNumberFormat="1" applyFill="1" applyBorder="1"/>
    <xf numFmtId="2" fontId="0" fillId="0" borderId="94" xfId="0" applyNumberFormat="1" applyBorder="1"/>
    <xf numFmtId="0" fontId="29" fillId="27" borderId="87" xfId="0" applyFont="1" applyFill="1" applyBorder="1" applyAlignment="1">
      <alignment horizontal="right" indent="1"/>
    </xf>
    <xf numFmtId="0" fontId="29" fillId="27" borderId="89" xfId="0" applyFont="1" applyFill="1" applyBorder="1" applyAlignment="1">
      <alignment horizontal="right" indent="1"/>
    </xf>
    <xf numFmtId="2" fontId="65" fillId="0" borderId="94" xfId="0" applyNumberFormat="1" applyFont="1" applyBorder="1" applyAlignment="1">
      <alignment horizontal="center"/>
    </xf>
    <xf numFmtId="10" fontId="0" fillId="0" borderId="0" xfId="25" applyNumberFormat="1" applyFont="1"/>
    <xf numFmtId="43" fontId="40" fillId="0" borderId="0" xfId="0" applyNumberFormat="1" applyFont="1" applyAlignment="1" applyProtection="1">
      <alignment vertical="center"/>
      <protection hidden="1"/>
    </xf>
    <xf numFmtId="43" fontId="77" fillId="0" borderId="0" xfId="0" applyNumberFormat="1" applyFont="1" applyAlignment="1" applyProtection="1">
      <alignment vertical="center"/>
      <protection hidden="1"/>
    </xf>
    <xf numFmtId="2" fontId="16" fillId="25" borderId="0" xfId="0" applyNumberFormat="1" applyFont="1" applyFill="1" applyAlignment="1" applyProtection="1">
      <alignment vertical="center"/>
      <protection hidden="1"/>
    </xf>
    <xf numFmtId="0" fontId="65" fillId="0" borderId="0" xfId="0" applyFont="1"/>
    <xf numFmtId="167" fontId="16" fillId="31" borderId="0" xfId="17" applyNumberFormat="1" applyFont="1" applyFill="1" applyBorder="1" applyAlignment="1" applyProtection="1">
      <alignment horizontal="left" vertical="center"/>
      <protection hidden="1"/>
    </xf>
    <xf numFmtId="0" fontId="0" fillId="28" borderId="94" xfId="0" applyFill="1" applyBorder="1" applyAlignment="1">
      <alignment horizontal="center"/>
    </xf>
    <xf numFmtId="2" fontId="0" fillId="28" borderId="94" xfId="0" applyNumberFormat="1" applyFill="1" applyBorder="1" applyAlignment="1">
      <alignment horizontal="center"/>
    </xf>
    <xf numFmtId="1" fontId="0" fillId="28" borderId="94" xfId="0" applyNumberFormat="1" applyFill="1" applyBorder="1" applyAlignment="1">
      <alignment horizontal="center"/>
    </xf>
    <xf numFmtId="2" fontId="0" fillId="0" borderId="0" xfId="0" applyNumberFormat="1"/>
    <xf numFmtId="172" fontId="0" fillId="28" borderId="94" xfId="0" applyNumberFormat="1" applyFill="1" applyBorder="1" applyAlignment="1">
      <alignment horizontal="center"/>
    </xf>
    <xf numFmtId="0" fontId="0" fillId="25" borderId="0" xfId="0" applyFill="1"/>
    <xf numFmtId="0" fontId="5" fillId="25" borderId="0" xfId="0" applyFont="1" applyFill="1"/>
    <xf numFmtId="2" fontId="5" fillId="0" borderId="94" xfId="0" applyNumberFormat="1" applyFont="1" applyBorder="1" applyAlignment="1">
      <alignment horizontal="center"/>
    </xf>
    <xf numFmtId="43" fontId="40" fillId="2" borderId="0" xfId="0" applyNumberFormat="1" applyFont="1" applyFill="1" applyAlignment="1" applyProtection="1">
      <alignment vertical="center"/>
      <protection hidden="1"/>
    </xf>
    <xf numFmtId="0" fontId="43" fillId="12" borderId="0" xfId="0" applyFont="1" applyFill="1" applyAlignment="1" applyProtection="1">
      <alignment horizontal="justify" vertical="top" wrapText="1"/>
      <protection hidden="1"/>
    </xf>
    <xf numFmtId="167" fontId="16" fillId="25" borderId="0" xfId="17" applyNumberFormat="1" applyFont="1" applyFill="1" applyBorder="1" applyAlignment="1" applyProtection="1">
      <alignment horizontal="center" vertical="center"/>
      <protection hidden="1"/>
    </xf>
    <xf numFmtId="166" fontId="78" fillId="2" borderId="0" xfId="24" applyFont="1" applyFill="1" applyAlignment="1" applyProtection="1">
      <alignment horizontal="centerContinuous" vertical="center"/>
      <protection hidden="1"/>
    </xf>
    <xf numFmtId="0" fontId="79" fillId="2" borderId="0" xfId="0" applyFont="1" applyFill="1" applyAlignment="1" applyProtection="1">
      <alignment horizontal="centerContinuous" vertical="center"/>
      <protection hidden="1"/>
    </xf>
    <xf numFmtId="0" fontId="80" fillId="2" borderId="0" xfId="0" applyFont="1" applyFill="1" applyAlignment="1" applyProtection="1">
      <alignment horizontal="centerContinuous" vertical="center"/>
      <protection hidden="1"/>
    </xf>
    <xf numFmtId="0" fontId="13" fillId="2" borderId="0" xfId="0" applyFont="1" applyFill="1" applyAlignment="1" applyProtection="1">
      <alignment horizontal="centerContinuous" vertical="center"/>
      <protection hidden="1"/>
    </xf>
    <xf numFmtId="0" fontId="81" fillId="0" borderId="0" xfId="0" applyFont="1"/>
    <xf numFmtId="0" fontId="29" fillId="12" borderId="0" xfId="0" applyFont="1" applyFill="1" applyAlignment="1" applyProtection="1">
      <alignment horizontal="left" vertical="center" wrapText="1"/>
      <protection hidden="1"/>
    </xf>
    <xf numFmtId="43" fontId="29" fillId="12" borderId="0" xfId="17" applyFont="1" applyFill="1" applyBorder="1" applyAlignment="1" applyProtection="1">
      <alignment horizontal="right" vertical="center" wrapText="1"/>
      <protection hidden="1"/>
    </xf>
    <xf numFmtId="167" fontId="0" fillId="0" borderId="0" xfId="0" applyNumberFormat="1"/>
    <xf numFmtId="0" fontId="40" fillId="0" borderId="0" xfId="0" applyFont="1" applyAlignment="1" applyProtection="1">
      <alignment vertical="center"/>
      <protection hidden="1"/>
    </xf>
    <xf numFmtId="172" fontId="77" fillId="0" borderId="0" xfId="0" applyNumberFormat="1" applyFont="1" applyAlignment="1" applyProtection="1">
      <alignment vertical="center"/>
      <protection hidden="1"/>
    </xf>
    <xf numFmtId="167" fontId="16" fillId="12" borderId="0" xfId="0" applyNumberFormat="1" applyFont="1" applyFill="1" applyAlignment="1" applyProtection="1">
      <alignment vertical="center"/>
      <protection hidden="1"/>
    </xf>
    <xf numFmtId="0" fontId="17" fillId="0" borderId="0" xfId="0" applyFont="1" applyAlignment="1" applyProtection="1">
      <alignment vertical="center"/>
      <protection hidden="1"/>
    </xf>
    <xf numFmtId="44" fontId="16" fillId="0" borderId="0" xfId="34" applyFont="1" applyFill="1" applyBorder="1" applyAlignment="1" applyProtection="1">
      <alignment vertical="center"/>
      <protection hidden="1"/>
    </xf>
    <xf numFmtId="2" fontId="16" fillId="12" borderId="0" xfId="0" applyNumberFormat="1" applyFont="1" applyFill="1" applyAlignment="1" applyProtection="1">
      <alignment vertical="center"/>
      <protection hidden="1"/>
    </xf>
    <xf numFmtId="3" fontId="16" fillId="2" borderId="34" xfId="0" applyNumberFormat="1" applyFont="1" applyFill="1" applyBorder="1" applyAlignment="1" applyProtection="1">
      <alignment horizontal="right" vertical="center"/>
      <protection hidden="1"/>
    </xf>
    <xf numFmtId="3" fontId="16" fillId="0" borderId="34" xfId="0" applyNumberFormat="1" applyFont="1" applyBorder="1" applyAlignment="1" applyProtection="1">
      <alignment horizontal="right" vertical="center"/>
      <protection hidden="1"/>
    </xf>
    <xf numFmtId="177" fontId="16" fillId="0" borderId="0" xfId="34" applyNumberFormat="1" applyFont="1" applyBorder="1" applyAlignment="1" applyProtection="1">
      <alignment vertical="center"/>
      <protection hidden="1"/>
    </xf>
    <xf numFmtId="0" fontId="83" fillId="0" borderId="0" xfId="0" applyFont="1" applyAlignment="1" applyProtection="1">
      <alignment vertical="center"/>
      <protection hidden="1"/>
    </xf>
    <xf numFmtId="43" fontId="83" fillId="0" borderId="0" xfId="0" applyNumberFormat="1" applyFont="1" applyAlignment="1" applyProtection="1">
      <alignment vertical="center"/>
      <protection hidden="1"/>
    </xf>
    <xf numFmtId="43" fontId="65" fillId="0" borderId="0" xfId="0" applyNumberFormat="1" applyFont="1" applyAlignment="1" applyProtection="1">
      <alignment vertical="center"/>
      <protection hidden="1"/>
    </xf>
    <xf numFmtId="43" fontId="73" fillId="25" borderId="0" xfId="17" applyFont="1" applyFill="1" applyBorder="1" applyAlignment="1" applyProtection="1">
      <alignment horizontal="center" vertical="center"/>
      <protection hidden="1"/>
    </xf>
    <xf numFmtId="0" fontId="43" fillId="2" borderId="0" xfId="0" applyFont="1" applyFill="1" applyAlignment="1" applyProtection="1">
      <alignment horizontal="left" vertical="center"/>
      <protection hidden="1"/>
    </xf>
    <xf numFmtId="0" fontId="85" fillId="12" borderId="0" xfId="0" applyFont="1" applyFill="1" applyAlignment="1" applyProtection="1">
      <alignment vertical="center"/>
      <protection hidden="1"/>
    </xf>
    <xf numFmtId="167" fontId="16" fillId="33" borderId="0" xfId="17" applyNumberFormat="1" applyFont="1" applyFill="1" applyBorder="1" applyAlignment="1" applyProtection="1">
      <alignment horizontal="center" vertical="center"/>
      <protection hidden="1"/>
    </xf>
    <xf numFmtId="43" fontId="16" fillId="2" borderId="2" xfId="0" applyNumberFormat="1" applyFont="1" applyFill="1" applyBorder="1" applyAlignment="1" applyProtection="1">
      <alignment vertical="center"/>
      <protection hidden="1"/>
    </xf>
    <xf numFmtId="43" fontId="17" fillId="0" borderId="42" xfId="17" applyFont="1" applyFill="1" applyBorder="1" applyAlignment="1" applyProtection="1">
      <alignment vertical="center" wrapText="1"/>
      <protection hidden="1"/>
    </xf>
    <xf numFmtId="2" fontId="0" fillId="32" borderId="94" xfId="0" applyNumberFormat="1" applyFill="1" applyBorder="1" applyAlignment="1">
      <alignment horizontal="center"/>
    </xf>
    <xf numFmtId="1" fontId="0" fillId="32" borderId="94" xfId="0" applyNumberFormat="1" applyFill="1" applyBorder="1"/>
    <xf numFmtId="1" fontId="0" fillId="32" borderId="94" xfId="0" applyNumberFormat="1" applyFill="1" applyBorder="1" applyAlignment="1">
      <alignment horizontal="center"/>
    </xf>
    <xf numFmtId="176" fontId="16" fillId="12" borderId="0" xfId="0" applyNumberFormat="1" applyFont="1" applyFill="1" applyAlignment="1" applyProtection="1">
      <alignment vertical="center"/>
      <protection hidden="1"/>
    </xf>
    <xf numFmtId="0" fontId="35" fillId="12" borderId="0" xfId="0" applyFont="1" applyFill="1" applyAlignment="1" applyProtection="1">
      <alignment horizontal="centerContinuous" vertical="center"/>
      <protection hidden="1"/>
    </xf>
    <xf numFmtId="0" fontId="0" fillId="12" borderId="0" xfId="0" applyFill="1"/>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175" fontId="60" fillId="0" borderId="0" xfId="32" applyNumberFormat="1" applyFont="1" applyFill="1" applyAlignment="1" applyProtection="1">
      <alignment vertical="center"/>
      <protection hidden="1"/>
    </xf>
    <xf numFmtId="0" fontId="35" fillId="2" borderId="0" xfId="0" quotePrefix="1" applyFont="1" applyFill="1" applyAlignment="1" applyProtection="1">
      <alignment horizontal="left" vertical="center"/>
      <protection hidden="1"/>
    </xf>
    <xf numFmtId="0" fontId="29" fillId="27" borderId="0" xfId="0" applyFont="1" applyFill="1" applyAlignment="1">
      <alignment horizontal="center"/>
    </xf>
    <xf numFmtId="1" fontId="0" fillId="32" borderId="0" xfId="0" applyNumberFormat="1" applyFill="1"/>
    <xf numFmtId="1" fontId="0" fillId="32" borderId="0" xfId="0" applyNumberFormat="1" applyFill="1" applyAlignment="1">
      <alignment horizontal="center"/>
    </xf>
    <xf numFmtId="2" fontId="0" fillId="25" borderId="94" xfId="0" applyNumberFormat="1" applyFill="1" applyBorder="1" applyAlignment="1">
      <alignment horizontal="center"/>
    </xf>
    <xf numFmtId="0" fontId="43" fillId="0" borderId="0" xfId="0" applyFont="1" applyAlignment="1" applyProtection="1">
      <alignment horizontal="left" wrapText="1"/>
      <protection hidden="1"/>
    </xf>
    <xf numFmtId="178" fontId="17" fillId="0" borderId="42" xfId="17" applyNumberFormat="1" applyFont="1" applyFill="1" applyBorder="1" applyAlignment="1" applyProtection="1">
      <alignment vertical="center" wrapText="1"/>
      <protection hidden="1"/>
    </xf>
    <xf numFmtId="0" fontId="92" fillId="0" borderId="2" xfId="0" applyFont="1" applyBorder="1"/>
    <xf numFmtId="0" fontId="92" fillId="0" borderId="89" xfId="0" applyFont="1" applyBorder="1"/>
    <xf numFmtId="179" fontId="92" fillId="0" borderId="89" xfId="0" applyNumberFormat="1" applyFont="1" applyBorder="1"/>
    <xf numFmtId="0" fontId="93" fillId="0" borderId="0" xfId="0" applyFont="1"/>
    <xf numFmtId="1" fontId="93" fillId="0" borderId="0" xfId="0" applyNumberFormat="1" applyFont="1"/>
    <xf numFmtId="0" fontId="94" fillId="0" borderId="95" xfId="0" applyFont="1" applyBorder="1"/>
    <xf numFmtId="4" fontId="94" fillId="0" borderId="0" xfId="0" applyNumberFormat="1" applyFont="1"/>
    <xf numFmtId="0" fontId="94" fillId="0" borderId="0" xfId="0" applyFont="1"/>
    <xf numFmtId="0" fontId="94" fillId="0" borderId="96" xfId="0" applyFont="1" applyBorder="1"/>
    <xf numFmtId="0" fontId="0" fillId="0" borderId="96" xfId="0" applyBorder="1"/>
    <xf numFmtId="0" fontId="0" fillId="0" borderId="95" xfId="0" applyBorder="1"/>
    <xf numFmtId="0" fontId="94" fillId="0" borderId="97" xfId="0" applyFont="1" applyBorder="1"/>
    <xf numFmtId="0" fontId="94" fillId="0" borderId="98" xfId="0" applyFont="1" applyBorder="1"/>
    <xf numFmtId="0" fontId="0" fillId="0" borderId="98" xfId="0" applyBorder="1"/>
    <xf numFmtId="0" fontId="94" fillId="0" borderId="99" xfId="0" applyFont="1" applyBorder="1"/>
    <xf numFmtId="0" fontId="94" fillId="0" borderId="100" xfId="0" applyFont="1" applyBorder="1"/>
    <xf numFmtId="4" fontId="94" fillId="0" borderId="100" xfId="0" applyNumberFormat="1" applyFont="1" applyBorder="1"/>
    <xf numFmtId="0" fontId="0" fillId="0" borderId="100" xfId="0" applyBorder="1"/>
    <xf numFmtId="180" fontId="95" fillId="0" borderId="0" xfId="0" applyNumberFormat="1" applyFont="1" applyAlignment="1" applyProtection="1">
      <alignment horizontal="left" vertical="center"/>
      <protection hidden="1"/>
    </xf>
    <xf numFmtId="179" fontId="94" fillId="0" borderId="0" xfId="0" applyNumberFormat="1" applyFont="1" applyAlignment="1">
      <alignment horizontal="center"/>
    </xf>
    <xf numFmtId="179" fontId="94" fillId="0" borderId="0" xfId="0" applyNumberFormat="1" applyFont="1" applyAlignment="1">
      <alignment horizontal="right"/>
    </xf>
    <xf numFmtId="4" fontId="16" fillId="2" borderId="50" xfId="0" applyNumberFormat="1" applyFont="1" applyFill="1" applyBorder="1" applyAlignment="1" applyProtection="1">
      <alignment horizontal="right" vertical="center"/>
      <protection hidden="1"/>
    </xf>
    <xf numFmtId="181" fontId="16" fillId="2" borderId="0" xfId="0" applyNumberFormat="1" applyFont="1" applyFill="1" applyAlignment="1" applyProtection="1">
      <alignment vertical="center"/>
      <protection hidden="1"/>
    </xf>
    <xf numFmtId="0" fontId="29" fillId="27" borderId="92" xfId="0" applyFont="1" applyFill="1" applyBorder="1" applyAlignment="1">
      <alignment horizontal="center" vertical="center"/>
    </xf>
    <xf numFmtId="17" fontId="16" fillId="0" borderId="0" xfId="0" applyNumberFormat="1" applyFont="1" applyAlignment="1" applyProtection="1">
      <alignment vertical="center"/>
      <protection hidden="1"/>
    </xf>
    <xf numFmtId="43" fontId="16" fillId="0" borderId="35" xfId="17" applyFont="1" applyFill="1" applyBorder="1" applyAlignment="1" applyProtection="1">
      <alignment horizontal="right" vertical="center"/>
      <protection hidden="1"/>
    </xf>
    <xf numFmtId="49" fontId="16" fillId="2" borderId="31" xfId="0" applyNumberFormat="1" applyFont="1" applyFill="1" applyBorder="1" applyAlignment="1" applyProtection="1">
      <alignment horizontal="center" vertical="center"/>
      <protection hidden="1"/>
    </xf>
    <xf numFmtId="0" fontId="92" fillId="0" borderId="2" xfId="0" applyFont="1" applyBorder="1" applyAlignment="1">
      <alignment horizontal="center" vertical="top" wrapText="1"/>
    </xf>
    <xf numFmtId="0" fontId="92" fillId="0" borderId="89" xfId="0" applyFont="1" applyBorder="1" applyAlignment="1">
      <alignment horizontal="center" vertical="top" wrapText="1"/>
    </xf>
    <xf numFmtId="0" fontId="0" fillId="0" borderId="0" xfId="0" applyAlignment="1">
      <alignment horizontal="center" vertical="top" wrapText="1"/>
    </xf>
    <xf numFmtId="179" fontId="92" fillId="0" borderId="89" xfId="0" applyNumberFormat="1" applyFont="1" applyBorder="1" applyAlignment="1">
      <alignment horizontal="center" vertical="top" wrapText="1"/>
    </xf>
    <xf numFmtId="0" fontId="94" fillId="0" borderId="5" xfId="0" applyFont="1" applyBorder="1"/>
    <xf numFmtId="1" fontId="93" fillId="0" borderId="6" xfId="0" applyNumberFormat="1" applyFont="1" applyBorder="1"/>
    <xf numFmtId="0" fontId="94" fillId="0" borderId="6" xfId="0" applyFont="1" applyBorder="1"/>
    <xf numFmtId="4" fontId="94" fillId="0" borderId="3" xfId="0" applyNumberFormat="1" applyFont="1" applyBorder="1"/>
    <xf numFmtId="179" fontId="94" fillId="0" borderId="6" xfId="0" applyNumberFormat="1" applyFont="1" applyBorder="1" applyAlignment="1">
      <alignment horizontal="right"/>
    </xf>
    <xf numFmtId="0" fontId="94" fillId="0" borderId="7" xfId="0" applyFont="1" applyBorder="1"/>
    <xf numFmtId="0" fontId="94" fillId="0" borderId="11" xfId="0" applyFont="1" applyBorder="1"/>
    <xf numFmtId="1" fontId="93" fillId="0" borderId="13" xfId="0" applyNumberFormat="1" applyFont="1" applyBorder="1"/>
    <xf numFmtId="0" fontId="94" fillId="0" borderId="13" xfId="0" applyFont="1" applyBorder="1"/>
    <xf numFmtId="179" fontId="94" fillId="0" borderId="13" xfId="0" applyNumberFormat="1" applyFont="1" applyBorder="1" applyAlignment="1">
      <alignment horizontal="right"/>
    </xf>
    <xf numFmtId="0" fontId="29" fillId="27" borderId="77" xfId="0" applyFont="1" applyFill="1" applyBorder="1" applyAlignment="1">
      <alignment horizontal="center" vertical="center"/>
    </xf>
    <xf numFmtId="2" fontId="0" fillId="0" borderId="102" xfId="0" applyNumberFormat="1" applyBorder="1" applyAlignment="1">
      <alignment horizontal="center"/>
    </xf>
    <xf numFmtId="0" fontId="29" fillId="27" borderId="14" xfId="0" applyFont="1" applyFill="1" applyBorder="1" applyAlignment="1">
      <alignment horizontal="center" vertical="center"/>
    </xf>
    <xf numFmtId="2" fontId="0" fillId="0" borderId="0" xfId="0" applyNumberFormat="1" applyAlignment="1">
      <alignment horizontal="center"/>
    </xf>
    <xf numFmtId="9" fontId="0" fillId="0" borderId="0" xfId="25" applyFont="1"/>
    <xf numFmtId="2" fontId="96" fillId="0" borderId="103" xfId="0" applyNumberFormat="1" applyFont="1" applyBorder="1" applyAlignment="1">
      <alignment horizontal="center"/>
    </xf>
    <xf numFmtId="2" fontId="96" fillId="0" borderId="104" xfId="0" applyNumberFormat="1" applyFont="1" applyBorder="1" applyAlignment="1">
      <alignment horizontal="center"/>
    </xf>
    <xf numFmtId="0" fontId="0" fillId="24" borderId="10" xfId="0" applyFill="1" applyBorder="1" applyAlignment="1">
      <alignment horizontal="center"/>
    </xf>
    <xf numFmtId="2" fontId="0" fillId="0" borderId="2" xfId="0" applyNumberFormat="1" applyBorder="1" applyAlignment="1">
      <alignment horizontal="center"/>
    </xf>
    <xf numFmtId="2" fontId="0" fillId="0" borderId="71" xfId="0" applyNumberFormat="1" applyBorder="1" applyAlignment="1">
      <alignment horizontal="center"/>
    </xf>
    <xf numFmtId="2" fontId="0" fillId="0" borderId="72" xfId="0" applyNumberFormat="1" applyBorder="1" applyAlignment="1">
      <alignment horizontal="center"/>
    </xf>
    <xf numFmtId="2" fontId="0" fillId="0" borderId="73" xfId="0" applyNumberFormat="1" applyBorder="1" applyAlignment="1">
      <alignment horizontal="center"/>
    </xf>
    <xf numFmtId="0" fontId="5" fillId="25" borderId="0" xfId="0" applyFont="1" applyFill="1" applyAlignment="1">
      <alignment horizontal="center"/>
    </xf>
    <xf numFmtId="2" fontId="0" fillId="25" borderId="94" xfId="0" applyNumberFormat="1" applyFill="1" applyBorder="1"/>
    <xf numFmtId="0" fontId="36" fillId="5" borderId="90" xfId="0" applyFont="1" applyFill="1" applyBorder="1" applyAlignment="1" applyProtection="1">
      <alignment horizontal="center" vertical="center" wrapText="1"/>
      <protection hidden="1"/>
    </xf>
    <xf numFmtId="15" fontId="46" fillId="5" borderId="105" xfId="0" applyNumberFormat="1" applyFont="1" applyFill="1" applyBorder="1" applyAlignment="1" applyProtection="1">
      <alignment horizontal="center" vertical="center" wrapText="1"/>
      <protection hidden="1"/>
    </xf>
    <xf numFmtId="43" fontId="17" fillId="0" borderId="35" xfId="17" applyFont="1" applyFill="1" applyBorder="1" applyAlignment="1" applyProtection="1">
      <alignment horizontal="center" vertical="center" wrapText="1"/>
      <protection hidden="1"/>
    </xf>
    <xf numFmtId="43" fontId="91" fillId="0" borderId="35" xfId="17" applyFont="1" applyFill="1" applyBorder="1" applyAlignment="1" applyProtection="1">
      <alignment horizontal="center" vertical="center" wrapText="1"/>
      <protection hidden="1"/>
    </xf>
    <xf numFmtId="15" fontId="46" fillId="5" borderId="37" xfId="0" quotePrefix="1" applyNumberFormat="1" applyFont="1" applyFill="1" applyBorder="1" applyAlignment="1" applyProtection="1">
      <alignment horizontal="center" vertical="center" wrapText="1"/>
      <protection hidden="1"/>
    </xf>
    <xf numFmtId="0" fontId="16" fillId="0" borderId="35" xfId="0" applyFont="1" applyBorder="1" applyAlignment="1" applyProtection="1">
      <alignment vertical="center"/>
      <protection hidden="1"/>
    </xf>
    <xf numFmtId="43" fontId="17" fillId="0" borderId="35" xfId="17" quotePrefix="1" applyFont="1" applyFill="1" applyBorder="1" applyAlignment="1" applyProtection="1">
      <alignment horizontal="center" vertical="center" wrapText="1"/>
      <protection hidden="1"/>
    </xf>
    <xf numFmtId="178" fontId="17" fillId="0" borderId="45" xfId="17" applyNumberFormat="1" applyFont="1" applyFill="1" applyBorder="1" applyAlignment="1" applyProtection="1">
      <alignment vertical="center" wrapText="1"/>
      <protection hidden="1"/>
    </xf>
    <xf numFmtId="2" fontId="17" fillId="0" borderId="35" xfId="0" quotePrefix="1" applyNumberFormat="1" applyFont="1" applyBorder="1" applyAlignment="1" applyProtection="1">
      <alignment horizontal="right" vertical="center" wrapText="1"/>
      <protection hidden="1"/>
    </xf>
    <xf numFmtId="167" fontId="17" fillId="0" borderId="47" xfId="17" applyNumberFormat="1" applyFont="1" applyFill="1" applyBorder="1" applyAlignment="1" applyProtection="1">
      <alignment horizontal="left" vertical="center" wrapText="1"/>
      <protection hidden="1"/>
    </xf>
    <xf numFmtId="43" fontId="17" fillId="0" borderId="47" xfId="17" applyFont="1" applyFill="1" applyBorder="1" applyAlignment="1" applyProtection="1">
      <alignment horizontal="left" vertical="center" wrapText="1"/>
      <protection hidden="1"/>
    </xf>
    <xf numFmtId="0" fontId="17" fillId="0" borderId="40" xfId="0" applyFont="1" applyBorder="1" applyAlignment="1" applyProtection="1">
      <alignment horizontal="left" vertical="center" wrapText="1"/>
      <protection hidden="1"/>
    </xf>
    <xf numFmtId="167" fontId="17" fillId="0" borderId="110" xfId="17" applyNumberFormat="1" applyFont="1" applyFill="1" applyBorder="1" applyAlignment="1" applyProtection="1">
      <alignment horizontal="left" vertical="center" wrapText="1"/>
      <protection hidden="1"/>
    </xf>
    <xf numFmtId="167" fontId="17" fillId="0" borderId="112" xfId="17" applyNumberFormat="1" applyFont="1" applyFill="1" applyBorder="1" applyAlignment="1" applyProtection="1">
      <alignment horizontal="center" vertical="center" wrapText="1"/>
      <protection hidden="1"/>
    </xf>
    <xf numFmtId="0" fontId="36" fillId="15" borderId="113" xfId="0" applyFont="1" applyFill="1" applyBorder="1" applyAlignment="1" applyProtection="1">
      <alignment horizontal="center" vertical="center" wrapText="1"/>
      <protection hidden="1"/>
    </xf>
    <xf numFmtId="9" fontId="37" fillId="15" borderId="113" xfId="0" quotePrefix="1" applyNumberFormat="1" applyFont="1" applyFill="1" applyBorder="1" applyAlignment="1" applyProtection="1">
      <alignment horizontal="center" vertical="center" wrapText="1"/>
      <protection hidden="1"/>
    </xf>
    <xf numFmtId="15" fontId="45" fillId="15" borderId="114" xfId="0" quotePrefix="1" applyNumberFormat="1" applyFont="1" applyFill="1" applyBorder="1" applyAlignment="1" applyProtection="1">
      <alignment horizontal="center" vertical="center" wrapText="1"/>
      <protection hidden="1"/>
    </xf>
    <xf numFmtId="0" fontId="41" fillId="6" borderId="106" xfId="0" applyFont="1" applyFill="1" applyBorder="1" applyAlignment="1" applyProtection="1">
      <alignment horizontal="centerContinuous" vertical="center"/>
      <protection hidden="1"/>
    </xf>
    <xf numFmtId="0" fontId="41" fillId="6" borderId="107" xfId="0" applyFont="1" applyFill="1" applyBorder="1" applyAlignment="1" applyProtection="1">
      <alignment horizontal="centerContinuous" vertical="center"/>
      <protection hidden="1"/>
    </xf>
    <xf numFmtId="0" fontId="41" fillId="6" borderId="108" xfId="0" applyFont="1" applyFill="1" applyBorder="1" applyAlignment="1" applyProtection="1">
      <alignment horizontal="centerContinuous" vertical="center"/>
      <protection hidden="1"/>
    </xf>
    <xf numFmtId="0" fontId="41" fillId="6" borderId="117" xfId="0" applyFont="1" applyFill="1" applyBorder="1" applyAlignment="1" applyProtection="1">
      <alignment horizontal="centerContinuous" vertical="center"/>
      <protection hidden="1"/>
    </xf>
    <xf numFmtId="0" fontId="41" fillId="6" borderId="118" xfId="0" applyFont="1" applyFill="1" applyBorder="1" applyAlignment="1" applyProtection="1">
      <alignment horizontal="centerContinuous" vertical="center"/>
      <protection hidden="1"/>
    </xf>
    <xf numFmtId="0" fontId="41" fillId="6" borderId="119" xfId="0" applyFont="1" applyFill="1" applyBorder="1" applyAlignment="1" applyProtection="1">
      <alignment horizontal="centerContinuous" vertical="center"/>
      <protection hidden="1"/>
    </xf>
    <xf numFmtId="0" fontId="17" fillId="0" borderId="43" xfId="0" applyFont="1" applyBorder="1" applyAlignment="1" applyProtection="1">
      <alignment horizontal="left" vertical="center" wrapText="1"/>
      <protection hidden="1"/>
    </xf>
    <xf numFmtId="171" fontId="66" fillId="0" borderId="44" xfId="17" applyNumberFormat="1" applyFont="1" applyFill="1" applyBorder="1" applyAlignment="1" applyProtection="1">
      <alignment horizontal="center" vertical="center" wrapText="1"/>
      <protection hidden="1"/>
    </xf>
    <xf numFmtId="171" fontId="66" fillId="0" borderId="45" xfId="17" applyNumberFormat="1" applyFont="1" applyFill="1" applyBorder="1" applyAlignment="1" applyProtection="1">
      <alignment horizontal="center" vertical="center" wrapText="1"/>
      <protection hidden="1"/>
    </xf>
    <xf numFmtId="2" fontId="16" fillId="0" borderId="31" xfId="0" applyNumberFormat="1" applyFont="1" applyBorder="1" applyAlignment="1" applyProtection="1">
      <alignment horizontal="center" vertical="center" wrapText="1"/>
      <protection hidden="1"/>
    </xf>
    <xf numFmtId="2" fontId="16" fillId="0" borderId="35" xfId="0" applyNumberFormat="1" applyFont="1" applyBorder="1" applyAlignment="1" applyProtection="1">
      <alignment horizontal="center" vertical="center" wrapText="1"/>
      <protection hidden="1"/>
    </xf>
    <xf numFmtId="2" fontId="21" fillId="0" borderId="31" xfId="0" applyNumberFormat="1" applyFont="1" applyBorder="1" applyAlignment="1" applyProtection="1">
      <alignment horizontal="center" vertical="center" wrapText="1"/>
      <protection hidden="1"/>
    </xf>
    <xf numFmtId="2" fontId="21" fillId="0" borderId="35" xfId="0" applyNumberFormat="1" applyFont="1" applyBorder="1" applyAlignment="1" applyProtection="1">
      <alignment horizontal="center" vertical="center" wrapText="1"/>
      <protection hidden="1"/>
    </xf>
    <xf numFmtId="43" fontId="27" fillId="12" borderId="0" xfId="17" applyFont="1" applyFill="1" applyBorder="1" applyAlignment="1" applyProtection="1">
      <alignment horizontal="center" vertical="center"/>
      <protection hidden="1"/>
    </xf>
    <xf numFmtId="0" fontId="17" fillId="0" borderId="48" xfId="0"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0" fontId="16" fillId="0" borderId="49" xfId="0" applyFont="1" applyBorder="1" applyAlignment="1" applyProtection="1">
      <alignment vertical="center"/>
      <protection hidden="1"/>
    </xf>
    <xf numFmtId="15" fontId="39" fillId="0" borderId="48" xfId="0" quotePrefix="1" applyNumberFormat="1" applyFont="1" applyBorder="1" applyAlignment="1" applyProtection="1">
      <alignment horizontal="left" vertical="center"/>
      <protection hidden="1"/>
    </xf>
    <xf numFmtId="43" fontId="16" fillId="0" borderId="31" xfId="17" applyFont="1" applyFill="1" applyBorder="1" applyAlignment="1" applyProtection="1">
      <alignment horizontal="center" vertical="center" wrapText="1"/>
      <protection hidden="1"/>
    </xf>
    <xf numFmtId="43" fontId="16" fillId="0" borderId="35" xfId="17" applyFont="1" applyFill="1" applyBorder="1" applyAlignment="1" applyProtection="1">
      <alignment horizontal="center" vertical="center" wrapText="1"/>
      <protection hidden="1"/>
    </xf>
    <xf numFmtId="178" fontId="16" fillId="0" borderId="31" xfId="17" applyNumberFormat="1" applyFont="1" applyFill="1" applyBorder="1" applyAlignment="1" applyProtection="1">
      <alignment horizontal="center" vertical="center" wrapText="1"/>
      <protection hidden="1"/>
    </xf>
    <xf numFmtId="2" fontId="35" fillId="0" borderId="31" xfId="0" applyNumberFormat="1" applyFont="1" applyBorder="1" applyAlignment="1" applyProtection="1">
      <alignment horizontal="right" vertical="center" wrapText="1"/>
      <protection hidden="1"/>
    </xf>
    <xf numFmtId="2" fontId="35" fillId="0" borderId="35" xfId="0" applyNumberFormat="1" applyFont="1" applyBorder="1" applyAlignment="1" applyProtection="1">
      <alignment horizontal="right" vertical="center" wrapText="1"/>
      <protection hidden="1"/>
    </xf>
    <xf numFmtId="43" fontId="16" fillId="0" borderId="31" xfId="17" applyFont="1" applyFill="1" applyBorder="1" applyAlignment="1" applyProtection="1">
      <alignment vertical="center" wrapText="1"/>
      <protection hidden="1"/>
    </xf>
    <xf numFmtId="49" fontId="16" fillId="0" borderId="31" xfId="17" applyNumberFormat="1" applyFont="1" applyFill="1" applyBorder="1" applyAlignment="1" applyProtection="1">
      <alignment horizontal="center" vertical="center" wrapText="1"/>
      <protection hidden="1"/>
    </xf>
    <xf numFmtId="49" fontId="16" fillId="0" borderId="35" xfId="0" applyNumberFormat="1" applyFont="1" applyBorder="1" applyAlignment="1" applyProtection="1">
      <alignment horizontal="center" vertical="center" wrapText="1"/>
      <protection hidden="1"/>
    </xf>
    <xf numFmtId="43" fontId="16" fillId="0" borderId="31" xfId="17" quotePrefix="1" applyFont="1" applyFill="1" applyBorder="1" applyAlignment="1" applyProtection="1">
      <alignment horizontal="center" vertical="center" wrapText="1"/>
      <protection hidden="1"/>
    </xf>
    <xf numFmtId="2" fontId="35" fillId="0" borderId="31" xfId="0" applyNumberFormat="1" applyFont="1" applyBorder="1" applyAlignment="1" applyProtection="1">
      <alignment horizontal="center" vertical="center" wrapText="1"/>
      <protection hidden="1"/>
    </xf>
    <xf numFmtId="2" fontId="35" fillId="0" borderId="35" xfId="0" applyNumberFormat="1" applyFont="1" applyBorder="1" applyAlignment="1" applyProtection="1">
      <alignment horizontal="center" vertical="center" wrapText="1"/>
      <protection hidden="1"/>
    </xf>
    <xf numFmtId="0" fontId="16" fillId="0" borderId="33" xfId="0" applyFont="1" applyBorder="1" applyAlignment="1" applyProtection="1">
      <alignment horizontal="left" vertical="center" wrapText="1"/>
      <protection hidden="1"/>
    </xf>
    <xf numFmtId="2" fontId="35" fillId="0" borderId="34" xfId="0" applyNumberFormat="1" applyFont="1" applyBorder="1" applyAlignment="1" applyProtection="1">
      <alignment horizontal="right" vertical="center" wrapText="1"/>
      <protection hidden="1"/>
    </xf>
    <xf numFmtId="2" fontId="35" fillId="0" borderId="37" xfId="0" applyNumberFormat="1" applyFont="1" applyBorder="1" applyAlignment="1" applyProtection="1">
      <alignment horizontal="right" vertical="center" wrapText="1"/>
      <protection hidden="1"/>
    </xf>
    <xf numFmtId="43" fontId="16" fillId="0" borderId="39" xfId="17" applyFont="1" applyFill="1" applyBorder="1" applyAlignment="1" applyProtection="1">
      <alignment horizontal="center" wrapText="1"/>
      <protection hidden="1"/>
    </xf>
    <xf numFmtId="43" fontId="16" fillId="0" borderId="39" xfId="17" applyFont="1" applyFill="1" applyBorder="1" applyAlignment="1" applyProtection="1">
      <alignment horizontal="center" vertical="center" wrapText="1"/>
      <protection hidden="1"/>
    </xf>
    <xf numFmtId="43" fontId="16" fillId="0" borderId="113" xfId="17" applyFont="1" applyFill="1" applyBorder="1" applyAlignment="1" applyProtection="1">
      <alignment horizontal="center" vertical="center" wrapText="1"/>
      <protection hidden="1"/>
    </xf>
    <xf numFmtId="49" fontId="16" fillId="0" borderId="39" xfId="17" applyNumberFormat="1" applyFont="1" applyFill="1" applyBorder="1" applyAlignment="1" applyProtection="1">
      <alignment horizontal="center" vertical="center" wrapText="1"/>
      <protection hidden="1"/>
    </xf>
    <xf numFmtId="49" fontId="16" fillId="0" borderId="113" xfId="17" applyNumberFormat="1" applyFont="1" applyFill="1" applyBorder="1" applyAlignment="1" applyProtection="1">
      <alignment horizontal="center" vertical="center" wrapText="1"/>
      <protection hidden="1"/>
    </xf>
    <xf numFmtId="167" fontId="16" fillId="0" borderId="39" xfId="17" applyNumberFormat="1" applyFont="1" applyFill="1" applyBorder="1" applyAlignment="1" applyProtection="1">
      <alignment horizontal="center" vertical="center" wrapText="1"/>
      <protection hidden="1"/>
    </xf>
    <xf numFmtId="167" fontId="16" fillId="0" borderId="113" xfId="17" applyNumberFormat="1" applyFont="1" applyFill="1" applyBorder="1" applyAlignment="1" applyProtection="1">
      <alignment horizontal="center" vertical="center" wrapText="1"/>
      <protection hidden="1"/>
    </xf>
    <xf numFmtId="43" fontId="16" fillId="0" borderId="41" xfId="17" applyFont="1" applyFill="1" applyBorder="1" applyAlignment="1" applyProtection="1">
      <alignment horizontal="center" vertical="center" wrapText="1"/>
      <protection hidden="1"/>
    </xf>
    <xf numFmtId="43" fontId="16" fillId="0" borderId="114" xfId="17" applyFont="1" applyFill="1" applyBorder="1" applyAlignment="1" applyProtection="1">
      <alignment horizontal="center" vertical="center" wrapText="1"/>
      <protection hidden="1"/>
    </xf>
    <xf numFmtId="43" fontId="66" fillId="0" borderId="111" xfId="17" applyFont="1" applyFill="1" applyBorder="1" applyAlignment="1" applyProtection="1">
      <alignment horizontal="center" vertical="center" wrapText="1"/>
      <protection hidden="1"/>
    </xf>
    <xf numFmtId="0" fontId="13" fillId="0" borderId="107" xfId="0" applyFont="1" applyBorder="1" applyAlignment="1" applyProtection="1">
      <alignment vertical="center"/>
      <protection hidden="1"/>
    </xf>
    <xf numFmtId="0" fontId="13" fillId="0" borderId="108" xfId="0" applyFont="1" applyBorder="1" applyAlignment="1" applyProtection="1">
      <alignment vertical="center"/>
      <protection hidden="1"/>
    </xf>
    <xf numFmtId="0" fontId="13" fillId="0" borderId="49" xfId="0" applyFont="1" applyBorder="1" applyAlignment="1" applyProtection="1">
      <alignment vertical="center"/>
      <protection hidden="1"/>
    </xf>
    <xf numFmtId="4" fontId="16" fillId="0" borderId="49" xfId="0" applyNumberFormat="1" applyFont="1" applyBorder="1" applyAlignment="1" applyProtection="1">
      <alignment vertical="center"/>
      <protection hidden="1"/>
    </xf>
    <xf numFmtId="180" fontId="39" fillId="0" borderId="48" xfId="0" quotePrefix="1" applyNumberFormat="1" applyFont="1" applyBorder="1" applyAlignment="1" applyProtection="1">
      <alignment horizontal="left" vertical="center"/>
      <protection hidden="1"/>
    </xf>
    <xf numFmtId="9" fontId="47" fillId="0" borderId="0" xfId="0" applyNumberFormat="1" applyFont="1" applyAlignment="1" applyProtection="1">
      <alignment horizontal="center" vertical="center"/>
      <protection hidden="1"/>
    </xf>
    <xf numFmtId="9" fontId="47" fillId="0" borderId="49" xfId="0" applyNumberFormat="1" applyFont="1" applyBorder="1" applyAlignment="1" applyProtection="1">
      <alignment horizontal="center" vertical="center"/>
      <protection hidden="1"/>
    </xf>
    <xf numFmtId="17" fontId="36" fillId="14" borderId="45" xfId="0" applyNumberFormat="1" applyFont="1" applyFill="1" applyBorder="1" applyAlignment="1" applyProtection="1">
      <alignment horizontal="center" vertical="center" wrapText="1"/>
      <protection hidden="1"/>
    </xf>
    <xf numFmtId="0" fontId="16" fillId="0" borderId="48" xfId="0" applyFont="1" applyBorder="1" applyAlignment="1" applyProtection="1">
      <alignment vertical="center"/>
      <protection hidden="1"/>
    </xf>
    <xf numFmtId="3" fontId="16" fillId="0" borderId="37" xfId="0" applyNumberFormat="1" applyFont="1" applyBorder="1" applyAlignment="1" applyProtection="1">
      <alignment horizontal="right" vertical="center"/>
      <protection hidden="1"/>
    </xf>
    <xf numFmtId="4" fontId="66" fillId="0" borderId="31" xfId="0" applyNumberFormat="1" applyFont="1" applyBorder="1" applyAlignment="1" applyProtection="1">
      <alignment horizontal="right" vertical="center"/>
      <protection hidden="1"/>
    </xf>
    <xf numFmtId="4" fontId="16" fillId="2" borderId="35" xfId="0" applyNumberFormat="1" applyFont="1" applyFill="1" applyBorder="1" applyAlignment="1" applyProtection="1">
      <alignment horizontal="right" vertical="center"/>
      <protection hidden="1"/>
    </xf>
    <xf numFmtId="4" fontId="99" fillId="0" borderId="35" xfId="0" applyNumberFormat="1" applyFont="1" applyBorder="1" applyAlignment="1" applyProtection="1">
      <alignment horizontal="right" vertical="center"/>
      <protection hidden="1"/>
    </xf>
    <xf numFmtId="4" fontId="99" fillId="0" borderId="31" xfId="0" applyNumberFormat="1" applyFont="1" applyBorder="1" applyAlignment="1" applyProtection="1">
      <alignment horizontal="right" vertical="center"/>
      <protection hidden="1"/>
    </xf>
    <xf numFmtId="43" fontId="95" fillId="0" borderId="111" xfId="17" applyFont="1" applyFill="1" applyBorder="1" applyAlignment="1" applyProtection="1">
      <alignment horizontal="center" vertical="center" wrapText="1"/>
      <protection hidden="1"/>
    </xf>
    <xf numFmtId="43" fontId="95" fillId="0" borderId="44" xfId="17" applyFont="1" applyFill="1" applyBorder="1" applyAlignment="1" applyProtection="1">
      <alignment horizontal="center" vertical="center" wrapText="1"/>
      <protection hidden="1"/>
    </xf>
    <xf numFmtId="43" fontId="100" fillId="0" borderId="35" xfId="17" applyFont="1" applyFill="1" applyBorder="1" applyAlignment="1" applyProtection="1">
      <alignment horizontal="center" vertical="center" wrapText="1"/>
      <protection hidden="1"/>
    </xf>
    <xf numFmtId="0" fontId="40" fillId="2" borderId="0" xfId="0" quotePrefix="1" applyFont="1" applyFill="1" applyAlignment="1" applyProtection="1">
      <alignment horizontal="left" vertical="center"/>
      <protection hidden="1"/>
    </xf>
    <xf numFmtId="4" fontId="17" fillId="0" borderId="31" xfId="0" applyNumberFormat="1" applyFont="1" applyBorder="1" applyAlignment="1" applyProtection="1">
      <alignment horizontal="right" vertical="center"/>
      <protection hidden="1"/>
    </xf>
    <xf numFmtId="179" fontId="97" fillId="0" borderId="6" xfId="0" applyNumberFormat="1" applyFont="1" applyBorder="1" applyAlignment="1">
      <alignment horizontal="right"/>
    </xf>
    <xf numFmtId="0" fontId="94" fillId="0" borderId="2" xfId="0" applyFont="1" applyBorder="1"/>
    <xf numFmtId="4" fontId="94" fillId="0" borderId="2" xfId="0" applyNumberFormat="1" applyFont="1" applyBorder="1"/>
    <xf numFmtId="179" fontId="94" fillId="0" borderId="2" xfId="0" applyNumberFormat="1" applyFont="1" applyBorder="1" applyAlignment="1">
      <alignment horizontal="right"/>
    </xf>
    <xf numFmtId="0" fontId="16" fillId="0" borderId="2" xfId="0" applyFont="1" applyBorder="1" applyAlignment="1" applyProtection="1">
      <alignment vertical="center"/>
      <protection hidden="1"/>
    </xf>
    <xf numFmtId="0" fontId="94" fillId="0" borderId="2" xfId="0" applyFont="1" applyBorder="1" applyAlignment="1">
      <alignment horizontal="center"/>
    </xf>
    <xf numFmtId="14" fontId="16" fillId="0" borderId="0" xfId="0" applyNumberFormat="1" applyFont="1" applyAlignment="1" applyProtection="1">
      <alignment vertical="center"/>
      <protection hidden="1"/>
    </xf>
    <xf numFmtId="0" fontId="17" fillId="13" borderId="0" xfId="0" applyFont="1" applyFill="1" applyAlignment="1" applyProtection="1">
      <alignment horizontal="center" vertical="center"/>
      <protection hidden="1"/>
    </xf>
    <xf numFmtId="0" fontId="16" fillId="0" borderId="0" xfId="0" applyFont="1" applyAlignment="1" applyProtection="1">
      <alignment horizontal="right" vertical="center"/>
      <protection hidden="1"/>
    </xf>
    <xf numFmtId="0" fontId="94" fillId="0" borderId="2" xfId="67" applyFont="1" applyBorder="1" applyAlignment="1">
      <alignment horizontal="center"/>
    </xf>
    <xf numFmtId="0" fontId="1" fillId="0" borderId="2" xfId="67" applyBorder="1"/>
    <xf numFmtId="4" fontId="94" fillId="0" borderId="2" xfId="67" applyNumberFormat="1" applyFont="1" applyBorder="1"/>
    <xf numFmtId="0" fontId="94" fillId="0" borderId="2" xfId="67" applyFont="1" applyBorder="1"/>
    <xf numFmtId="9" fontId="47" fillId="0" borderId="122" xfId="0" applyNumberFormat="1" applyFont="1" applyBorder="1" applyAlignment="1" applyProtection="1">
      <alignment horizontal="center" vertical="center"/>
      <protection hidden="1"/>
    </xf>
    <xf numFmtId="0" fontId="16" fillId="0" borderId="0" xfId="0" applyFont="1" applyAlignment="1" applyProtection="1">
      <alignment horizontal="centerContinuous" vertical="center"/>
      <protection hidden="1"/>
    </xf>
    <xf numFmtId="0" fontId="92" fillId="0" borderId="89" xfId="67" applyFont="1" applyBorder="1" applyAlignment="1">
      <alignment horizontal="center"/>
    </xf>
    <xf numFmtId="179" fontId="92" fillId="0" borderId="89" xfId="67" applyNumberFormat="1" applyFont="1" applyBorder="1"/>
    <xf numFmtId="0" fontId="92" fillId="0" borderId="89" xfId="67" applyFont="1" applyBorder="1"/>
    <xf numFmtId="0" fontId="1" fillId="0" borderId="0" xfId="67"/>
    <xf numFmtId="166" fontId="49" fillId="2" borderId="0" xfId="24" applyFont="1" applyFill="1" applyAlignment="1" applyProtection="1">
      <alignment horizontal="centerContinuous" vertical="center" wrapText="1"/>
      <protection hidden="1"/>
    </xf>
    <xf numFmtId="179" fontId="94" fillId="13" borderId="2" xfId="0" applyNumberFormat="1" applyFont="1" applyFill="1" applyBorder="1" applyAlignment="1">
      <alignment horizontal="right"/>
    </xf>
    <xf numFmtId="0" fontId="94" fillId="13" borderId="2" xfId="0" applyFont="1" applyFill="1" applyBorder="1" applyAlignment="1">
      <alignment horizontal="center"/>
    </xf>
    <xf numFmtId="4" fontId="94" fillId="13" borderId="2" xfId="0" applyNumberFormat="1" applyFont="1" applyFill="1" applyBorder="1"/>
    <xf numFmtId="0" fontId="94" fillId="13" borderId="2" xfId="0" applyFont="1" applyFill="1" applyBorder="1"/>
    <xf numFmtId="9" fontId="47" fillId="0" borderId="121" xfId="0" applyNumberFormat="1" applyFont="1" applyBorder="1" applyAlignment="1" applyProtection="1">
      <alignment horizontal="center" vertical="center"/>
      <protection hidden="1"/>
    </xf>
    <xf numFmtId="9" fontId="47" fillId="0" borderId="121" xfId="25" applyFont="1" applyFill="1" applyBorder="1" applyAlignment="1" applyProtection="1">
      <alignment horizontal="center" vertical="center"/>
      <protection hidden="1"/>
    </xf>
    <xf numFmtId="180" fontId="39" fillId="0" borderId="120" xfId="0" quotePrefix="1" applyNumberFormat="1" applyFont="1" applyBorder="1" applyAlignment="1" applyProtection="1">
      <alignment horizontal="left" vertical="center"/>
      <protection hidden="1"/>
    </xf>
    <xf numFmtId="0" fontId="17" fillId="0" borderId="0" xfId="0" applyFont="1" applyAlignment="1" applyProtection="1">
      <alignment horizontal="centerContinuous" vertical="center"/>
      <protection hidden="1"/>
    </xf>
    <xf numFmtId="187" fontId="87" fillId="0" borderId="0" xfId="67" applyNumberFormat="1" applyFont="1" applyAlignment="1">
      <alignment horizontal="centerContinuous"/>
    </xf>
    <xf numFmtId="0" fontId="17" fillId="0" borderId="0" xfId="0" applyFont="1" applyAlignment="1" applyProtection="1">
      <alignment horizontal="right" vertical="center"/>
      <protection hidden="1"/>
    </xf>
    <xf numFmtId="187" fontId="1" fillId="0" borderId="0" xfId="67" applyNumberFormat="1"/>
    <xf numFmtId="0" fontId="94" fillId="0" borderId="2" xfId="158" applyFont="1" applyBorder="1"/>
    <xf numFmtId="4" fontId="94" fillId="0" borderId="2" xfId="158" applyNumberFormat="1" applyFont="1" applyBorder="1"/>
    <xf numFmtId="0" fontId="1" fillId="0" borderId="2" xfId="158" applyBorder="1"/>
    <xf numFmtId="0" fontId="94" fillId="0" borderId="2" xfId="158" applyFont="1" applyBorder="1" applyAlignment="1">
      <alignment horizontal="center"/>
    </xf>
    <xf numFmtId="0" fontId="13" fillId="0" borderId="0" xfId="0" applyFont="1" applyAlignment="1" applyProtection="1">
      <alignment horizontal="right" vertical="center"/>
      <protection hidden="1"/>
    </xf>
    <xf numFmtId="14" fontId="40" fillId="0" borderId="0" xfId="0" applyNumberFormat="1" applyFont="1" applyAlignment="1" applyProtection="1">
      <alignment vertical="center"/>
      <protection hidden="1"/>
    </xf>
    <xf numFmtId="179" fontId="104" fillId="0" borderId="2" xfId="0" applyNumberFormat="1" applyFont="1" applyBorder="1" applyAlignment="1">
      <alignment horizontal="right"/>
    </xf>
    <xf numFmtId="179" fontId="94" fillId="0" borderId="2" xfId="0" applyNumberFormat="1" applyFont="1" applyBorder="1" applyAlignment="1">
      <alignment horizontal="left"/>
    </xf>
    <xf numFmtId="179" fontId="105" fillId="13" borderId="0" xfId="0" applyNumberFormat="1" applyFont="1" applyFill="1" applyAlignment="1">
      <alignment horizontal="right"/>
    </xf>
    <xf numFmtId="179" fontId="105" fillId="13" borderId="0" xfId="0" applyNumberFormat="1" applyFont="1" applyFill="1"/>
    <xf numFmtId="4" fontId="94" fillId="0" borderId="6" xfId="0" applyNumberFormat="1" applyFont="1" applyBorder="1"/>
    <xf numFmtId="179" fontId="94" fillId="0" borderId="3" xfId="0" applyNumberFormat="1" applyFont="1" applyBorder="1" applyAlignment="1">
      <alignment horizontal="right"/>
    </xf>
    <xf numFmtId="179" fontId="94" fillId="0" borderId="4" xfId="0" applyNumberFormat="1" applyFont="1" applyBorder="1" applyAlignment="1">
      <alignment horizontal="right"/>
    </xf>
    <xf numFmtId="4" fontId="94" fillId="0" borderId="13" xfId="0" applyNumberFormat="1" applyFont="1" applyBorder="1"/>
    <xf numFmtId="179" fontId="94" fillId="0" borderId="12" xfId="0" applyNumberFormat="1" applyFont="1" applyBorder="1" applyAlignment="1">
      <alignment horizontal="right"/>
    </xf>
    <xf numFmtId="179" fontId="94" fillId="0" borderId="0" xfId="0" applyNumberFormat="1" applyFont="1"/>
    <xf numFmtId="0" fontId="94" fillId="0" borderId="101" xfId="0" applyFont="1" applyBorder="1"/>
    <xf numFmtId="0" fontId="0" fillId="0" borderId="0" xfId="0" applyAlignment="1">
      <alignment vertical="center"/>
    </xf>
    <xf numFmtId="0" fontId="98" fillId="0" borderId="0" xfId="0" applyFont="1"/>
    <xf numFmtId="0" fontId="98" fillId="0" borderId="82" xfId="0" applyFont="1" applyBorder="1"/>
    <xf numFmtId="0" fontId="98" fillId="0" borderId="100" xfId="0" applyFont="1" applyBorder="1"/>
    <xf numFmtId="0" fontId="92" fillId="0" borderId="0" xfId="0" applyFont="1"/>
    <xf numFmtId="43" fontId="94" fillId="0" borderId="0" xfId="17" applyFont="1" applyFill="1"/>
    <xf numFmtId="0" fontId="92" fillId="0" borderId="0" xfId="0" applyFont="1" applyAlignment="1">
      <alignment horizontal="center"/>
    </xf>
    <xf numFmtId="0" fontId="62" fillId="0" borderId="0" xfId="0" applyFont="1"/>
    <xf numFmtId="179" fontId="92" fillId="0" borderId="0" xfId="0" applyNumberFormat="1" applyFont="1" applyAlignment="1">
      <alignment horizontal="right"/>
    </xf>
    <xf numFmtId="0" fontId="92" fillId="0" borderId="100" xfId="0" applyFont="1" applyBorder="1"/>
    <xf numFmtId="43" fontId="92" fillId="0" borderId="0" xfId="17" applyFont="1" applyFill="1" applyBorder="1"/>
    <xf numFmtId="43" fontId="62" fillId="0" borderId="0" xfId="17" applyFont="1" applyFill="1"/>
    <xf numFmtId="0" fontId="92" fillId="0" borderId="101" xfId="0" applyFont="1" applyBorder="1"/>
    <xf numFmtId="43" fontId="94" fillId="0" borderId="95" xfId="17" applyFont="1" applyFill="1" applyBorder="1"/>
    <xf numFmtId="0" fontId="92" fillId="0" borderId="95" xfId="0" applyFont="1" applyBorder="1"/>
    <xf numFmtId="179" fontId="106" fillId="0" borderId="2" xfId="0" applyNumberFormat="1" applyFont="1" applyBorder="1" applyAlignment="1">
      <alignment horizontal="right"/>
    </xf>
    <xf numFmtId="3" fontId="94" fillId="0" borderId="0" xfId="0" applyNumberFormat="1" applyFont="1"/>
    <xf numFmtId="4" fontId="40" fillId="0" borderId="31" xfId="0" applyNumberFormat="1" applyFont="1" applyBorder="1" applyAlignment="1" applyProtection="1">
      <alignment horizontal="right" vertical="center"/>
      <protection hidden="1"/>
    </xf>
    <xf numFmtId="0" fontId="107" fillId="27" borderId="2" xfId="0" applyFont="1" applyFill="1" applyBorder="1" applyAlignment="1">
      <alignment horizontal="center" vertical="center"/>
    </xf>
    <xf numFmtId="14" fontId="0" fillId="0" borderId="2" xfId="0" applyNumberFormat="1" applyBorder="1" applyAlignment="1">
      <alignment horizontal="center"/>
    </xf>
    <xf numFmtId="43" fontId="0" fillId="0" borderId="2" xfId="17" applyFont="1" applyBorder="1"/>
    <xf numFmtId="43" fontId="107" fillId="0" borderId="2" xfId="0" applyNumberFormat="1" applyFont="1" applyBorder="1"/>
    <xf numFmtId="43" fontId="107" fillId="0" borderId="2" xfId="17" applyFont="1" applyBorder="1"/>
    <xf numFmtId="0" fontId="107" fillId="27" borderId="123" xfId="0" applyFont="1" applyFill="1" applyBorder="1" applyAlignment="1">
      <alignment horizontal="center" vertical="center"/>
    </xf>
    <xf numFmtId="0" fontId="95" fillId="0" borderId="10" xfId="0" applyFont="1" applyBorder="1" applyAlignment="1" applyProtection="1">
      <alignment horizontal="center" vertical="center"/>
      <protection hidden="1"/>
    </xf>
    <xf numFmtId="0" fontId="95" fillId="0" borderId="0" xfId="0" applyFont="1" applyAlignment="1" applyProtection="1">
      <alignment vertical="center"/>
      <protection hidden="1"/>
    </xf>
    <xf numFmtId="187" fontId="109" fillId="0" borderId="0" xfId="67" applyNumberFormat="1" applyFont="1" applyAlignment="1">
      <alignment horizontal="centerContinuous"/>
    </xf>
    <xf numFmtId="179" fontId="97" fillId="13" borderId="0" xfId="0" applyNumberFormat="1" applyFont="1" applyFill="1"/>
    <xf numFmtId="0" fontId="29" fillId="27" borderId="0" xfId="0" applyFont="1" applyFill="1" applyAlignment="1">
      <alignment horizontal="center"/>
    </xf>
    <xf numFmtId="0" fontId="29" fillId="27" borderId="91" xfId="0" applyFont="1" applyFill="1" applyBorder="1" applyAlignment="1">
      <alignment horizontal="center"/>
    </xf>
    <xf numFmtId="0" fontId="29" fillId="27" borderId="2" xfId="0" applyFont="1" applyFill="1" applyBorder="1" applyAlignment="1">
      <alignment horizontal="center"/>
    </xf>
    <xf numFmtId="0" fontId="29" fillId="0" borderId="0" xfId="0" applyFont="1" applyAlignment="1">
      <alignment horizontal="center"/>
    </xf>
    <xf numFmtId="0" fontId="29" fillId="27" borderId="88" xfId="0" applyFont="1" applyFill="1" applyBorder="1" applyAlignment="1">
      <alignment horizontal="center"/>
    </xf>
    <xf numFmtId="0" fontId="5" fillId="0" borderId="77" xfId="21" applyBorder="1" applyAlignment="1">
      <alignment horizontal="center"/>
    </xf>
    <xf numFmtId="0" fontId="5" fillId="0" borderId="78" xfId="21" applyBorder="1" applyAlignment="1">
      <alignment horizontal="center"/>
    </xf>
    <xf numFmtId="0" fontId="5" fillId="0" borderId="79" xfId="21" applyBorder="1" applyAlignment="1">
      <alignment horizontal="center"/>
    </xf>
    <xf numFmtId="0" fontId="5" fillId="0" borderId="80" xfId="21" applyBorder="1" applyAlignment="1">
      <alignment horizontal="center"/>
    </xf>
    <xf numFmtId="0" fontId="5" fillId="0" borderId="0" xfId="21" applyAlignment="1">
      <alignment horizontal="center"/>
    </xf>
    <xf numFmtId="0" fontId="5" fillId="0" borderId="4" xfId="21" applyBorder="1" applyAlignment="1">
      <alignment horizontal="center"/>
    </xf>
    <xf numFmtId="0" fontId="5" fillId="0" borderId="81" xfId="21" applyBorder="1" applyAlignment="1">
      <alignment horizontal="center"/>
    </xf>
    <xf numFmtId="0" fontId="5" fillId="0" borderId="82" xfId="21" applyBorder="1" applyAlignment="1">
      <alignment horizontal="center"/>
    </xf>
    <xf numFmtId="0" fontId="5" fillId="0" borderId="83" xfId="21" applyBorder="1" applyAlignment="1">
      <alignment horizontal="center"/>
    </xf>
    <xf numFmtId="0" fontId="27" fillId="2" borderId="2" xfId="21" applyFont="1" applyFill="1" applyBorder="1" applyAlignment="1">
      <alignment horizontal="center"/>
    </xf>
    <xf numFmtId="0" fontId="27" fillId="2" borderId="76" xfId="21" applyFont="1" applyFill="1" applyBorder="1" applyAlignment="1">
      <alignment horizontal="center"/>
    </xf>
    <xf numFmtId="0" fontId="5" fillId="0" borderId="85" xfId="21" applyBorder="1" applyAlignment="1">
      <alignment horizontal="center"/>
    </xf>
    <xf numFmtId="0" fontId="5" fillId="0" borderId="86" xfId="21" applyBorder="1" applyAlignment="1">
      <alignment horizontal="center"/>
    </xf>
    <xf numFmtId="0" fontId="29" fillId="21" borderId="8" xfId="21" applyFont="1" applyFill="1" applyBorder="1" applyAlignment="1">
      <alignment horizontal="center"/>
    </xf>
    <xf numFmtId="0" fontId="29" fillId="21" borderId="9" xfId="21" applyFont="1" applyFill="1" applyBorder="1" applyAlignment="1">
      <alignment horizontal="center"/>
    </xf>
    <xf numFmtId="0" fontId="29" fillId="21" borderId="15" xfId="21" applyFont="1" applyFill="1" applyBorder="1" applyAlignment="1">
      <alignment horizontal="center"/>
    </xf>
    <xf numFmtId="0" fontId="29" fillId="21" borderId="5" xfId="21" applyFont="1" applyFill="1" applyBorder="1" applyAlignment="1">
      <alignment horizontal="center" vertical="center" wrapText="1"/>
    </xf>
    <xf numFmtId="0" fontId="29" fillId="21" borderId="6" xfId="21" applyFont="1" applyFill="1" applyBorder="1" applyAlignment="1">
      <alignment horizontal="center" vertical="center" wrapText="1"/>
    </xf>
    <xf numFmtId="0" fontId="29" fillId="21" borderId="11" xfId="21" applyFont="1" applyFill="1" applyBorder="1" applyAlignment="1">
      <alignment horizontal="center" vertical="center" wrapText="1"/>
    </xf>
    <xf numFmtId="0" fontId="29" fillId="21" borderId="13" xfId="21" applyFont="1" applyFill="1" applyBorder="1" applyAlignment="1">
      <alignment horizontal="center" vertical="center" wrapText="1"/>
    </xf>
    <xf numFmtId="10" fontId="29" fillId="21" borderId="3" xfId="26" applyNumberFormat="1" applyFont="1" applyFill="1" applyBorder="1" applyAlignment="1">
      <alignment horizontal="center" vertical="center"/>
    </xf>
    <xf numFmtId="10" fontId="29" fillId="21" borderId="12" xfId="26" applyNumberFormat="1" applyFont="1" applyFill="1" applyBorder="1" applyAlignment="1">
      <alignment horizontal="center" vertical="center"/>
    </xf>
    <xf numFmtId="0" fontId="27" fillId="2" borderId="74" xfId="21" applyFont="1" applyFill="1" applyBorder="1" applyAlignment="1">
      <alignment horizontal="center"/>
    </xf>
    <xf numFmtId="0" fontId="27" fillId="2" borderId="75" xfId="21" applyFont="1" applyFill="1" applyBorder="1" applyAlignment="1">
      <alignment horizontal="center"/>
    </xf>
    <xf numFmtId="49" fontId="28" fillId="10" borderId="11" xfId="23" quotePrefix="1" applyNumberFormat="1" applyFont="1" applyFill="1" applyBorder="1" applyAlignment="1">
      <alignment horizontal="center" vertical="center" wrapText="1"/>
    </xf>
    <xf numFmtId="49" fontId="28" fillId="10" borderId="13" xfId="23" quotePrefix="1" applyNumberFormat="1" applyFont="1" applyFill="1" applyBorder="1" applyAlignment="1">
      <alignment horizontal="center" vertical="center" wrapText="1"/>
    </xf>
    <xf numFmtId="49" fontId="28" fillId="10" borderId="12" xfId="23" quotePrefix="1" applyNumberFormat="1" applyFont="1" applyFill="1" applyBorder="1" applyAlignment="1">
      <alignment horizontal="center" vertical="center" wrapText="1"/>
    </xf>
    <xf numFmtId="37" fontId="25" fillId="9" borderId="5" xfId="23" applyNumberFormat="1" applyFont="1" applyFill="1" applyBorder="1" applyAlignment="1">
      <alignment horizontal="center" vertical="center" wrapText="1"/>
    </xf>
    <xf numFmtId="37" fontId="25" fillId="9" borderId="3" xfId="23" applyNumberFormat="1" applyFont="1" applyFill="1" applyBorder="1" applyAlignment="1">
      <alignment horizontal="center" vertical="center" wrapText="1"/>
    </xf>
    <xf numFmtId="37" fontId="25" fillId="9" borderId="11" xfId="23" applyNumberFormat="1" applyFont="1" applyFill="1" applyBorder="1" applyAlignment="1">
      <alignment horizontal="center" vertical="center" wrapText="1"/>
    </xf>
    <xf numFmtId="37" fontId="25" fillId="9" borderId="12" xfId="23" applyNumberFormat="1" applyFont="1" applyFill="1" applyBorder="1" applyAlignment="1">
      <alignment horizontal="center" vertical="center" wrapText="1"/>
    </xf>
    <xf numFmtId="0" fontId="50" fillId="0" borderId="0" xfId="21" applyFont="1" applyAlignment="1">
      <alignment horizontal="justify" wrapText="1"/>
    </xf>
    <xf numFmtId="0" fontId="29" fillId="12" borderId="13" xfId="21" applyFont="1" applyFill="1" applyBorder="1" applyAlignment="1">
      <alignment horizontal="center"/>
    </xf>
    <xf numFmtId="0" fontId="51" fillId="0" borderId="0" xfId="21" applyFont="1" applyAlignment="1">
      <alignment horizontal="left" wrapText="1"/>
    </xf>
    <xf numFmtId="0" fontId="29" fillId="12" borderId="0" xfId="21" applyFont="1" applyFill="1" applyAlignment="1">
      <alignment horizontal="center"/>
    </xf>
    <xf numFmtId="0" fontId="29" fillId="22" borderId="5" xfId="21" applyFont="1" applyFill="1" applyBorder="1" applyAlignment="1">
      <alignment horizontal="center" vertical="center" wrapText="1"/>
    </xf>
    <xf numFmtId="0" fontId="29" fillId="22" borderId="6" xfId="21" applyFont="1" applyFill="1" applyBorder="1" applyAlignment="1">
      <alignment horizontal="center" vertical="center" wrapText="1"/>
    </xf>
    <xf numFmtId="0" fontId="29" fillId="22" borderId="11" xfId="21" applyFont="1" applyFill="1" applyBorder="1" applyAlignment="1">
      <alignment horizontal="center" vertical="center" wrapText="1"/>
    </xf>
    <xf numFmtId="0" fontId="29" fillId="22" borderId="13" xfId="21" applyFont="1" applyFill="1" applyBorder="1" applyAlignment="1">
      <alignment horizontal="center" vertical="center" wrapText="1"/>
    </xf>
    <xf numFmtId="10" fontId="29" fillId="22" borderId="3" xfId="26" applyNumberFormat="1" applyFont="1" applyFill="1" applyBorder="1" applyAlignment="1">
      <alignment horizontal="center" vertical="center"/>
    </xf>
    <xf numFmtId="10" fontId="29" fillId="22" borderId="12" xfId="26" applyNumberFormat="1" applyFont="1" applyFill="1" applyBorder="1" applyAlignment="1">
      <alignment horizontal="center" vertical="center"/>
    </xf>
    <xf numFmtId="0" fontId="43" fillId="0" borderId="0" xfId="0" applyFont="1" applyAlignment="1" applyProtection="1">
      <alignment horizontal="left" vertical="center" wrapText="1"/>
      <protection hidden="1"/>
    </xf>
    <xf numFmtId="0" fontId="18" fillId="2" borderId="0" xfId="0" applyFont="1" applyFill="1" applyAlignment="1" applyProtection="1">
      <alignment horizontal="center" vertical="center" wrapText="1"/>
      <protection hidden="1"/>
    </xf>
    <xf numFmtId="0" fontId="18" fillId="2" borderId="0" xfId="0" applyFont="1" applyFill="1" applyAlignment="1" applyProtection="1">
      <alignment vertical="center" wrapText="1"/>
      <protection hidden="1"/>
    </xf>
    <xf numFmtId="0" fontId="43" fillId="0" borderId="0" xfId="0" applyFont="1" applyAlignment="1" applyProtection="1">
      <alignment horizontal="left" vertical="top" wrapText="1"/>
      <protection hidden="1"/>
    </xf>
    <xf numFmtId="0" fontId="89" fillId="0" borderId="0" xfId="21" applyFont="1" applyAlignment="1" applyProtection="1">
      <alignment horizontal="center" vertical="center" wrapText="1"/>
      <protection hidden="1"/>
    </xf>
    <xf numFmtId="0" fontId="18" fillId="2" borderId="0" xfId="0" applyFont="1" applyFill="1" applyAlignment="1" applyProtection="1">
      <alignment horizontal="left" vertical="center" wrapText="1"/>
      <protection hidden="1"/>
    </xf>
    <xf numFmtId="0" fontId="18" fillId="2" borderId="0" xfId="0" quotePrefix="1" applyFont="1" applyFill="1" applyAlignment="1" applyProtection="1">
      <alignment horizontal="left" vertical="center" wrapText="1"/>
      <protection hidden="1"/>
    </xf>
    <xf numFmtId="0" fontId="43" fillId="0" borderId="0" xfId="0" applyFont="1" applyAlignment="1" applyProtection="1">
      <alignment vertical="top" wrapText="1"/>
      <protection hidden="1"/>
    </xf>
    <xf numFmtId="0" fontId="36" fillId="5" borderId="56" xfId="0" applyFont="1" applyFill="1" applyBorder="1" applyAlignment="1" applyProtection="1">
      <alignment horizontal="center" vertical="center" wrapText="1"/>
      <protection hidden="1"/>
    </xf>
    <xf numFmtId="0" fontId="36" fillId="5" borderId="57" xfId="0" applyFont="1" applyFill="1" applyBorder="1" applyAlignment="1" applyProtection="1">
      <alignment horizontal="center" vertical="center" wrapText="1"/>
      <protection hidden="1"/>
    </xf>
    <xf numFmtId="0" fontId="36" fillId="5" borderId="53" xfId="0" quotePrefix="1" applyFont="1" applyFill="1" applyBorder="1" applyAlignment="1" applyProtection="1">
      <alignment horizontal="center" vertical="center" wrapText="1"/>
      <protection hidden="1"/>
    </xf>
    <xf numFmtId="0" fontId="36" fillId="5" borderId="42" xfId="0" quotePrefix="1" applyFont="1" applyFill="1" applyBorder="1" applyAlignment="1" applyProtection="1">
      <alignment horizontal="center" vertical="center" wrapText="1"/>
      <protection hidden="1"/>
    </xf>
    <xf numFmtId="0" fontId="108" fillId="5" borderId="54" xfId="0" applyFont="1" applyFill="1" applyBorder="1" applyAlignment="1" applyProtection="1">
      <alignment horizontal="center" vertical="center" wrapText="1"/>
      <protection hidden="1"/>
    </xf>
    <xf numFmtId="0" fontId="108" fillId="5" borderId="55" xfId="0" applyFont="1" applyFill="1" applyBorder="1" applyAlignment="1" applyProtection="1">
      <alignment horizontal="center" vertical="center" wrapText="1"/>
      <protection hidden="1"/>
    </xf>
    <xf numFmtId="0" fontId="36" fillId="5" borderId="54" xfId="0" applyFont="1" applyFill="1" applyBorder="1" applyAlignment="1" applyProtection="1">
      <alignment horizontal="center" vertical="center" wrapText="1"/>
      <protection hidden="1"/>
    </xf>
    <xf numFmtId="0" fontId="36" fillId="5" borderId="62" xfId="0" applyFont="1" applyFill="1" applyBorder="1" applyAlignment="1" applyProtection="1">
      <alignment horizontal="center" vertical="center" wrapText="1"/>
      <protection hidden="1"/>
    </xf>
    <xf numFmtId="0" fontId="36" fillId="5" borderId="61" xfId="0" applyFont="1" applyFill="1" applyBorder="1" applyAlignment="1" applyProtection="1">
      <alignment horizontal="center" vertical="center" wrapText="1"/>
      <protection hidden="1"/>
    </xf>
    <xf numFmtId="0" fontId="43" fillId="12" borderId="0" xfId="0" applyFont="1" applyFill="1" applyAlignment="1" applyProtection="1">
      <alignment horizontal="left" vertical="center" wrapText="1"/>
      <protection hidden="1"/>
    </xf>
    <xf numFmtId="0" fontId="43" fillId="12" borderId="0" xfId="0" applyFont="1" applyFill="1" applyAlignment="1" applyProtection="1">
      <alignment horizontal="left" vertical="top" wrapText="1"/>
      <protection hidden="1"/>
    </xf>
    <xf numFmtId="0" fontId="43" fillId="12" borderId="0" xfId="0" applyFont="1" applyFill="1" applyAlignment="1" applyProtection="1">
      <alignment horizontal="justify" vertical="center" wrapText="1"/>
      <protection hidden="1"/>
    </xf>
    <xf numFmtId="0" fontId="54" fillId="14" borderId="106" xfId="0" applyFont="1" applyFill="1" applyBorder="1" applyAlignment="1" applyProtection="1">
      <alignment horizontal="center" vertical="center" wrapText="1"/>
      <protection hidden="1"/>
    </xf>
    <xf numFmtId="0" fontId="54" fillId="14" borderId="107" xfId="0" applyFont="1" applyFill="1" applyBorder="1" applyAlignment="1" applyProtection="1">
      <alignment horizontal="center" vertical="center" wrapText="1"/>
      <protection hidden="1"/>
    </xf>
    <xf numFmtId="0" fontId="54" fillId="14" borderId="108" xfId="0" applyFont="1" applyFill="1" applyBorder="1" applyAlignment="1" applyProtection="1">
      <alignment horizontal="center" vertical="center" wrapText="1"/>
      <protection hidden="1"/>
    </xf>
    <xf numFmtId="0" fontId="41" fillId="6" borderId="60" xfId="0" applyFont="1" applyFill="1" applyBorder="1" applyAlignment="1" applyProtection="1">
      <alignment horizontal="center" vertical="center"/>
      <protection hidden="1"/>
    </xf>
    <xf numFmtId="0" fontId="41" fillId="6" borderId="61" xfId="0" applyFont="1" applyFill="1" applyBorder="1" applyAlignment="1" applyProtection="1">
      <alignment horizontal="center" vertical="center"/>
      <protection hidden="1"/>
    </xf>
    <xf numFmtId="0" fontId="41" fillId="6" borderId="62" xfId="0" applyFont="1" applyFill="1" applyBorder="1" applyAlignment="1" applyProtection="1">
      <alignment horizontal="center" vertical="center"/>
      <protection hidden="1"/>
    </xf>
    <xf numFmtId="0" fontId="36" fillId="5" borderId="58" xfId="0" quotePrefix="1" applyFont="1" applyFill="1" applyBorder="1" applyAlignment="1" applyProtection="1">
      <alignment horizontal="center" vertical="center" wrapText="1"/>
      <protection hidden="1"/>
    </xf>
    <xf numFmtId="0" fontId="36" fillId="5" borderId="59" xfId="0" applyFont="1" applyFill="1" applyBorder="1" applyAlignment="1" applyProtection="1">
      <alignment horizontal="center" vertical="center" wrapText="1"/>
      <protection hidden="1"/>
    </xf>
    <xf numFmtId="0" fontId="36" fillId="5" borderId="109" xfId="0" quotePrefix="1" applyFont="1" applyFill="1" applyBorder="1" applyAlignment="1" applyProtection="1">
      <alignment horizontal="center" vertical="center" wrapText="1"/>
      <protection hidden="1"/>
    </xf>
    <xf numFmtId="0" fontId="36" fillId="5" borderId="38" xfId="0" quotePrefix="1" applyFont="1" applyFill="1" applyBorder="1" applyAlignment="1" applyProtection="1">
      <alignment horizontal="center" vertical="center" wrapText="1"/>
      <protection hidden="1"/>
    </xf>
    <xf numFmtId="0" fontId="48" fillId="14" borderId="106" xfId="0" quotePrefix="1" applyFont="1" applyFill="1" applyBorder="1" applyAlignment="1" applyProtection="1">
      <alignment horizontal="center" vertical="center" wrapText="1"/>
      <protection hidden="1"/>
    </xf>
    <xf numFmtId="0" fontId="48" fillId="14" borderId="107" xfId="0" quotePrefix="1" applyFont="1" applyFill="1" applyBorder="1" applyAlignment="1" applyProtection="1">
      <alignment horizontal="center" vertical="center" wrapText="1"/>
      <protection hidden="1"/>
    </xf>
    <xf numFmtId="0" fontId="48" fillId="14" borderId="108" xfId="0" quotePrefix="1" applyFont="1" applyFill="1" applyBorder="1" applyAlignment="1" applyProtection="1">
      <alignment horizontal="center" vertical="center" wrapText="1"/>
      <protection hidden="1"/>
    </xf>
    <xf numFmtId="0" fontId="48" fillId="14" borderId="60" xfId="0" applyFont="1" applyFill="1" applyBorder="1" applyAlignment="1" applyProtection="1">
      <alignment horizontal="center" vertical="center" wrapText="1"/>
      <protection hidden="1"/>
    </xf>
    <xf numFmtId="0" fontId="48" fillId="14" borderId="61" xfId="0" applyFont="1" applyFill="1" applyBorder="1" applyAlignment="1" applyProtection="1">
      <alignment horizontal="center" vertical="center" wrapText="1"/>
      <protection hidden="1"/>
    </xf>
    <xf numFmtId="0" fontId="48" fillId="14" borderId="62" xfId="0" applyFont="1" applyFill="1" applyBorder="1" applyAlignment="1" applyProtection="1">
      <alignment horizontal="center" vertical="center" wrapText="1"/>
      <protection hidden="1"/>
    </xf>
    <xf numFmtId="0" fontId="87" fillId="0" borderId="0" xfId="21" applyFont="1" applyAlignment="1" applyProtection="1">
      <alignment horizontal="center" vertical="center" wrapText="1"/>
      <protection hidden="1"/>
    </xf>
    <xf numFmtId="0" fontId="43" fillId="12" borderId="0" xfId="0" applyFont="1" applyFill="1" applyAlignment="1" applyProtection="1">
      <alignment horizontal="center" vertical="top" wrapText="1"/>
      <protection hidden="1"/>
    </xf>
    <xf numFmtId="0" fontId="43" fillId="0" borderId="0" xfId="0" applyFont="1" applyAlignment="1" applyProtection="1">
      <alignment horizontal="left" vertical="top"/>
      <protection hidden="1"/>
    </xf>
    <xf numFmtId="0" fontId="43" fillId="0" borderId="0" xfId="0" quotePrefix="1" applyFont="1" applyAlignment="1" applyProtection="1">
      <alignment horizontal="left" vertical="top" wrapText="1"/>
      <protection hidden="1"/>
    </xf>
    <xf numFmtId="0" fontId="43" fillId="0" borderId="0" xfId="0" applyFont="1" applyAlignment="1" applyProtection="1">
      <alignment horizontal="justify" vertical="top" wrapText="1"/>
      <protection hidden="1"/>
    </xf>
    <xf numFmtId="0" fontId="41" fillId="6" borderId="63" xfId="0" applyFont="1" applyFill="1" applyBorder="1" applyAlignment="1" applyProtection="1">
      <alignment horizontal="center" vertical="center" wrapText="1"/>
      <protection hidden="1"/>
    </xf>
    <xf numFmtId="0" fontId="41" fillId="6" borderId="64" xfId="0" applyFont="1" applyFill="1" applyBorder="1" applyAlignment="1" applyProtection="1">
      <alignment horizontal="center" vertical="center" wrapText="1"/>
      <protection hidden="1"/>
    </xf>
    <xf numFmtId="0" fontId="41" fillId="6" borderId="115" xfId="0" applyFont="1" applyFill="1" applyBorder="1" applyAlignment="1" applyProtection="1">
      <alignment horizontal="center" vertical="center" wrapText="1"/>
      <protection hidden="1"/>
    </xf>
    <xf numFmtId="0" fontId="48" fillId="6" borderId="68" xfId="0" applyFont="1" applyFill="1" applyBorder="1" applyAlignment="1" applyProtection="1">
      <alignment horizontal="center" vertical="center" wrapText="1"/>
      <protection hidden="1"/>
    </xf>
    <xf numFmtId="0" fontId="48" fillId="6" borderId="69" xfId="0" applyFont="1" applyFill="1" applyBorder="1" applyAlignment="1" applyProtection="1">
      <alignment horizontal="center" vertical="center" wrapText="1"/>
      <protection hidden="1"/>
    </xf>
    <xf numFmtId="0" fontId="48" fillId="6" borderId="116" xfId="0" applyFont="1" applyFill="1" applyBorder="1" applyAlignment="1" applyProtection="1">
      <alignment horizontal="center" vertical="center" wrapText="1"/>
      <protection hidden="1"/>
    </xf>
    <xf numFmtId="0" fontId="36" fillId="5" borderId="65" xfId="0" applyFont="1" applyFill="1" applyBorder="1" applyAlignment="1" applyProtection="1">
      <alignment horizontal="center" vertical="center" wrapText="1"/>
      <protection hidden="1"/>
    </xf>
    <xf numFmtId="0" fontId="36" fillId="5" borderId="66" xfId="0" applyFont="1" applyFill="1" applyBorder="1" applyAlignment="1" applyProtection="1">
      <alignment horizontal="center" vertical="center" wrapText="1"/>
      <protection hidden="1"/>
    </xf>
    <xf numFmtId="0" fontId="36" fillId="5" borderId="67" xfId="0" applyFont="1" applyFill="1" applyBorder="1" applyAlignment="1" applyProtection="1">
      <alignment horizontal="center" vertical="center" wrapText="1"/>
      <protection hidden="1"/>
    </xf>
    <xf numFmtId="0" fontId="36" fillId="5" borderId="70" xfId="0" applyFont="1" applyFill="1" applyBorder="1" applyAlignment="1" applyProtection="1">
      <alignment horizontal="center" vertical="center" wrapText="1"/>
      <protection hidden="1"/>
    </xf>
    <xf numFmtId="0" fontId="36" fillId="5" borderId="46" xfId="0" applyFont="1" applyFill="1" applyBorder="1" applyAlignment="1" applyProtection="1">
      <alignment horizontal="center" vertical="center" wrapText="1"/>
      <protection hidden="1"/>
    </xf>
    <xf numFmtId="0" fontId="43" fillId="0" borderId="0" xfId="0" applyFont="1" applyAlignment="1" applyProtection="1">
      <alignment horizontal="justify" vertical="center"/>
      <protection hidden="1"/>
    </xf>
    <xf numFmtId="0" fontId="41" fillId="6" borderId="48" xfId="0" applyFont="1" applyFill="1" applyBorder="1" applyAlignment="1" applyProtection="1">
      <alignment horizontal="center" vertical="center" wrapText="1"/>
      <protection hidden="1"/>
    </xf>
    <xf numFmtId="0" fontId="41" fillId="6" borderId="0" xfId="0" applyFont="1" applyFill="1" applyAlignment="1" applyProtection="1">
      <alignment horizontal="center" vertical="center" wrapText="1"/>
      <protection hidden="1"/>
    </xf>
    <xf numFmtId="0" fontId="41" fillId="6" borderId="49"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43" fillId="0" borderId="0" xfId="0" applyFont="1" applyAlignment="1" applyProtection="1">
      <alignment horizontal="justify" vertical="center" wrapText="1"/>
      <protection hidden="1"/>
    </xf>
    <xf numFmtId="0" fontId="41" fillId="6" borderId="106" xfId="0" applyFont="1" applyFill="1" applyBorder="1" applyAlignment="1" applyProtection="1">
      <alignment horizontal="center" vertical="center" wrapText="1"/>
      <protection hidden="1"/>
    </xf>
    <xf numFmtId="0" fontId="41" fillId="6" borderId="107" xfId="0" applyFont="1" applyFill="1" applyBorder="1" applyAlignment="1" applyProtection="1">
      <alignment horizontal="center" vertical="center" wrapText="1"/>
      <protection hidden="1"/>
    </xf>
    <xf numFmtId="0" fontId="41" fillId="6" borderId="108" xfId="0" applyFont="1" applyFill="1" applyBorder="1" applyAlignment="1" applyProtection="1">
      <alignment horizontal="center" vertical="center" wrapText="1"/>
      <protection hidden="1"/>
    </xf>
    <xf numFmtId="0" fontId="84" fillId="0" borderId="0" xfId="21" applyFont="1" applyAlignment="1" applyProtection="1">
      <alignment horizontal="center" vertical="center" wrapText="1"/>
      <protection hidden="1"/>
    </xf>
    <xf numFmtId="0" fontId="87" fillId="0" borderId="0" xfId="21" applyFont="1" applyAlignment="1" applyProtection="1">
      <alignment horizontal="left" vertical="center" wrapText="1"/>
      <protection hidden="1"/>
    </xf>
    <xf numFmtId="0" fontId="35" fillId="12" borderId="0" xfId="0" applyFont="1" applyFill="1" applyAlignment="1" applyProtection="1">
      <alignment horizontal="fill" vertical="center" wrapText="1"/>
      <protection hidden="1"/>
    </xf>
    <xf numFmtId="0" fontId="16" fillId="12" borderId="0" xfId="0" applyFont="1" applyFill="1" applyAlignment="1" applyProtection="1">
      <alignment vertical="center" wrapText="1"/>
      <protection hidden="1"/>
    </xf>
    <xf numFmtId="0" fontId="35" fillId="2" borderId="0" xfId="0" applyFont="1" applyFill="1" applyAlignment="1" applyProtection="1">
      <alignment horizontal="left" vertical="center" wrapText="1"/>
      <protection hidden="1"/>
    </xf>
    <xf numFmtId="0" fontId="43" fillId="12" borderId="0" xfId="0" applyFont="1" applyFill="1" applyAlignment="1" applyProtection="1">
      <alignment horizontal="justify" vertical="top" wrapText="1"/>
      <protection hidden="1"/>
    </xf>
    <xf numFmtId="166" fontId="78" fillId="2" borderId="0" xfId="24" applyFont="1" applyFill="1" applyAlignment="1" applyProtection="1">
      <alignment horizontal="center" vertical="center"/>
      <protection hidden="1"/>
    </xf>
    <xf numFmtId="0" fontId="43" fillId="2" borderId="0" xfId="0" applyFont="1" applyFill="1" applyAlignment="1" applyProtection="1">
      <alignment horizontal="justify" vertical="center" wrapText="1"/>
      <protection hidden="1"/>
    </xf>
    <xf numFmtId="0" fontId="45" fillId="0" borderId="0" xfId="0" applyFont="1" applyAlignment="1" applyProtection="1">
      <alignment horizontal="center" vertical="center" wrapText="1"/>
      <protection hidden="1"/>
    </xf>
    <xf numFmtId="0" fontId="43" fillId="2" borderId="0" xfId="0" quotePrefix="1" applyFont="1" applyFill="1" applyAlignment="1" applyProtection="1">
      <alignment horizontal="left" vertical="center" wrapText="1"/>
      <protection hidden="1"/>
    </xf>
    <xf numFmtId="0" fontId="35" fillId="0" borderId="0" xfId="0" applyFont="1" applyAlignment="1" applyProtection="1">
      <alignment horizontal="left" wrapText="1"/>
      <protection hidden="1"/>
    </xf>
    <xf numFmtId="0" fontId="88" fillId="0" borderId="0" xfId="21" applyFont="1" applyAlignment="1" applyProtection="1">
      <alignment horizontal="left" vertical="center" wrapText="1"/>
      <protection hidden="1"/>
    </xf>
    <xf numFmtId="166" fontId="49" fillId="2" borderId="106" xfId="24" applyFont="1" applyFill="1" applyBorder="1" applyAlignment="1" applyProtection="1">
      <alignment horizontal="center" vertical="center"/>
      <protection hidden="1"/>
    </xf>
    <xf numFmtId="166" fontId="49" fillId="2" borderId="107" xfId="24" applyFont="1" applyFill="1" applyBorder="1" applyAlignment="1" applyProtection="1">
      <alignment horizontal="center" vertical="center"/>
      <protection hidden="1"/>
    </xf>
    <xf numFmtId="166" fontId="49" fillId="2" borderId="48" xfId="24" applyFont="1" applyFill="1" applyBorder="1" applyAlignment="1" applyProtection="1">
      <alignment horizontal="center" vertical="center" wrapText="1"/>
      <protection hidden="1"/>
    </xf>
    <xf numFmtId="166" fontId="49" fillId="2" borderId="0" xfId="24" applyFont="1" applyFill="1" applyAlignment="1" applyProtection="1">
      <alignment horizontal="center" vertical="center" wrapText="1"/>
      <protection hidden="1"/>
    </xf>
    <xf numFmtId="0" fontId="35" fillId="0" borderId="0" xfId="0" applyFont="1" applyAlignment="1" applyProtection="1">
      <alignment horizontal="left" vertical="center" wrapText="1"/>
      <protection hidden="1"/>
    </xf>
    <xf numFmtId="0" fontId="35" fillId="0" borderId="0" xfId="0" applyFont="1" applyAlignment="1" applyProtection="1">
      <alignment horizontal="justify" vertical="center" wrapText="1"/>
      <protection hidden="1"/>
    </xf>
    <xf numFmtId="0" fontId="17" fillId="0" borderId="0" xfId="0" applyFont="1" applyAlignment="1" applyProtection="1">
      <alignment horizontal="center" vertical="center"/>
      <protection hidden="1"/>
    </xf>
    <xf numFmtId="0" fontId="88" fillId="0" borderId="0" xfId="21" applyFont="1" applyAlignment="1" applyProtection="1">
      <alignment horizontal="center" vertical="center" wrapText="1"/>
      <protection hidden="1"/>
    </xf>
  </cellXfs>
  <cellStyles count="159">
    <cellStyle name="Cancel" xfId="38" xr:uid="{9FE4D06F-771C-4A6D-BA09-983FB5DCDCA2}"/>
    <cellStyle name="Cancel 2" xfId="39" xr:uid="{C5B51E1A-A52C-4D76-8CFC-DD4AD1D23967}"/>
    <cellStyle name="Cancel 2 2" xfId="73" xr:uid="{34150908-61AB-4CE1-BA6A-561109CBC722}"/>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Hipervínculo 2" xfId="152" xr:uid="{D8D06A95-147C-45B0-8123-7817C63709C3}"/>
    <cellStyle name="Hipervínculo 3" xfId="153" xr:uid="{DF0E600D-F29A-4749-A7FB-7D81C6FBC9D1}"/>
    <cellStyle name="Millares" xfId="17" builtinId="3"/>
    <cellStyle name="Millares [0]" xfId="31" builtinId="6"/>
    <cellStyle name="Millares [0] 2" xfId="156" xr:uid="{3DD6D353-00F3-4F23-8BDE-9197D5682A32}"/>
    <cellStyle name="Millares 10" xfId="42" xr:uid="{6BD0ADC1-6F61-4A34-BCE3-D4E8853EC1CF}"/>
    <cellStyle name="Millares 11" xfId="81" xr:uid="{4F21A6E4-52BD-4FB3-8364-E074A8A24322}"/>
    <cellStyle name="Millares 12" xfId="138" xr:uid="{4629F5D2-63D6-4B6C-8319-AC5C6E0CAC0C}"/>
    <cellStyle name="Millares 13" xfId="41" xr:uid="{05D953BA-D60D-4C69-BB0A-9821249E588D}"/>
    <cellStyle name="Millares 14" xfId="40" xr:uid="{FDB8B0EB-2BE5-470A-BB42-79AD1C655E6C}"/>
    <cellStyle name="Millares 2" xfId="18" xr:uid="{00000000-0005-0000-0000-000013000000}"/>
    <cellStyle name="Millares 2 2" xfId="44" xr:uid="{AD5DE8D2-AD7F-45C4-AA18-91E8D210F205}"/>
    <cellStyle name="Millares 2 2 2" xfId="45" xr:uid="{31B483CD-2C72-4B7E-A86A-22501A4F8576}"/>
    <cellStyle name="Millares 2 3" xfId="46" xr:uid="{ABD927DD-4BA8-4140-9799-43CC94C43BDD}"/>
    <cellStyle name="Millares 2 3 2" xfId="47" xr:uid="{EF9B988C-DCAC-488D-9588-BDC31FE71C87}"/>
    <cellStyle name="Millares 2 4" xfId="43" xr:uid="{18D55971-355C-4D6D-B271-03863CA43D2C}"/>
    <cellStyle name="Millares 23" xfId="48" xr:uid="{537D7334-87C2-4FB1-94D3-001433A78BA9}"/>
    <cellStyle name="Millares 3" xfId="49" xr:uid="{8D266BD4-82AD-4898-B374-C93CFAE84A85}"/>
    <cellStyle name="Millares 3 2" xfId="50" xr:uid="{95419E56-1023-4FAC-9B52-F5A5A67EF04B}"/>
    <cellStyle name="Millares 37" xfId="84" xr:uid="{D83AF6F2-9CCD-4780-A933-C0AA4786A223}"/>
    <cellStyle name="Millares 4" xfId="51" xr:uid="{5B775BD1-F4B6-419E-922F-EAEDC3FFE12C}"/>
    <cellStyle name="Millares 4 2" xfId="52" xr:uid="{3D39039A-E57C-49E9-8605-0FD7FFFC6C52}"/>
    <cellStyle name="Millares 4 2 2" xfId="151" xr:uid="{3B866575-4765-4B71-A65F-69C5A73BA8BF}"/>
    <cellStyle name="Millares 4 3" xfId="144" xr:uid="{14791CD4-B62C-4150-B55B-C3DC6A7A456A}"/>
    <cellStyle name="Millares 5" xfId="53" xr:uid="{EBC7F871-A630-4BD1-A43A-06D181FE1813}"/>
    <cellStyle name="Millares 6" xfId="54" xr:uid="{A1421FD9-1C78-4EFD-83E5-0407F992C8FC}"/>
    <cellStyle name="Millares 7" xfId="55" xr:uid="{0EE82F56-F779-42EC-A5EB-A99799D92793}"/>
    <cellStyle name="Millares 8" xfId="56" xr:uid="{F91DB5C3-9DED-4FE8-9653-F73AF12379CB}"/>
    <cellStyle name="Millares 9" xfId="57" xr:uid="{E22E97C2-0D42-4593-9CCF-8B2099A5F122}"/>
    <cellStyle name="Moneda" xfId="34" builtinId="4"/>
    <cellStyle name="Moneda [0]" xfId="32" builtinId="7"/>
    <cellStyle name="Moneda [0] 2" xfId="148" xr:uid="{83CF1FA0-FF13-4822-968C-7B00454F7ED2}"/>
    <cellStyle name="Moneda 2" xfId="59" xr:uid="{5C027A8C-C157-4437-97D6-F4019BA97691}"/>
    <cellStyle name="Moneda 2 2" xfId="60" xr:uid="{BC6C4352-9A40-40D8-9429-67C0259FF6DF}"/>
    <cellStyle name="Moneda 3" xfId="61" xr:uid="{084013E2-B13B-4BD0-BDDA-CD88851F152F}"/>
    <cellStyle name="Moneda 4" xfId="58" xr:uid="{E18F58F8-E705-4A8C-B8E6-7989194A766E}"/>
    <cellStyle name="Moneda 5" xfId="157" xr:uid="{134D4608-13C7-4165-8327-37330CB63697}"/>
    <cellStyle name="Monetario" xfId="19" xr:uid="{00000000-0005-0000-0000-000015000000}"/>
    <cellStyle name="no dec" xfId="20" xr:uid="{00000000-0005-0000-0000-000016000000}"/>
    <cellStyle name="Normal" xfId="0" builtinId="0"/>
    <cellStyle name="Normal 10" xfId="62" xr:uid="{F96AFEC7-FB34-479E-8F4C-9E1EAA722890}"/>
    <cellStyle name="Normal 11" xfId="75" xr:uid="{43FA0ADF-4F74-412A-9EA0-82D28C9801DE}"/>
    <cellStyle name="Normal 12" xfId="76" xr:uid="{A265B9B4-ECDF-4975-A5E4-FCC9361FAA30}"/>
    <cellStyle name="Normal 13" xfId="78" xr:uid="{D7070986-24EB-4279-9AAA-F80DB2F31479}"/>
    <cellStyle name="Normal 14" xfId="79" xr:uid="{0C5530ED-9EC0-45A2-AF2D-3A0407A7BFE8}"/>
    <cellStyle name="Normal 15" xfId="80" xr:uid="{7C891751-06F5-409C-AFE7-2548E4A09F92}"/>
    <cellStyle name="Normal 16" xfId="82" xr:uid="{3BE6BAC4-6C94-4FAC-B6B4-F64BCB7BB19E}"/>
    <cellStyle name="Normal 17" xfId="83" xr:uid="{919EB667-526B-4911-A217-BAF248D20FFA}"/>
    <cellStyle name="Normal 18" xfId="85" xr:uid="{804CD539-602C-4C16-A59B-925694168FEE}"/>
    <cellStyle name="Normal 19" xfId="86" xr:uid="{9F40723B-0F72-47AC-8B73-0796548EEDC0}"/>
    <cellStyle name="Normal 2" xfId="21" xr:uid="{00000000-0005-0000-0000-000018000000}"/>
    <cellStyle name="Normal 2 2" xfId="63" xr:uid="{62E1A5FA-0957-4910-A2D8-1262777E345B}"/>
    <cellStyle name="Normal 2 2 2" xfId="77" xr:uid="{CDD24A30-ED60-4732-9CB1-8EB8257697BD}"/>
    <cellStyle name="Normal 2 3" xfId="64" xr:uid="{320CAE28-C17D-4943-80FE-0D19C5578485}"/>
    <cellStyle name="Normal 20" xfId="87" xr:uid="{9F1F71FA-16B0-451D-AE26-BA75D94269BB}"/>
    <cellStyle name="Normal 21" xfId="88" xr:uid="{AB243E25-E13E-4964-B563-BC696077DA65}"/>
    <cellStyle name="Normal 22" xfId="89" xr:uid="{06701B14-F232-4B02-956E-CE9DD2B2A1C9}"/>
    <cellStyle name="Normal 23" xfId="90" xr:uid="{8C144E00-3345-4F59-AF4C-C04AFD72445E}"/>
    <cellStyle name="Normal 24" xfId="91" xr:uid="{4C111803-B6D4-4B6D-9F73-7D77FEBF4EE5}"/>
    <cellStyle name="Normal 25" xfId="92" xr:uid="{3AA55AF2-910A-462E-B70C-EAA75E6491B6}"/>
    <cellStyle name="Normal 26" xfId="93" xr:uid="{DD8A5028-2D6B-494B-8D56-3E937C05E67E}"/>
    <cellStyle name="Normal 27" xfId="94" xr:uid="{9ECEF448-269F-408A-8C43-5AABB73C6F64}"/>
    <cellStyle name="Normal 28" xfId="95" xr:uid="{6BAA23F5-7692-4A92-AA3B-1FD2C68D87DE}"/>
    <cellStyle name="Normal 29" xfId="96" xr:uid="{FD933A08-54D6-42D3-A9DB-EF53899D8AAC}"/>
    <cellStyle name="Normal 3" xfId="30" xr:uid="{00000000-0005-0000-0000-000019000000}"/>
    <cellStyle name="Normal 3 2" xfId="66" xr:uid="{2772B010-5E03-488A-8169-25CC68FDB53D}"/>
    <cellStyle name="Normal 3 3" xfId="65" xr:uid="{A8654C7C-E169-470F-BB29-5FF86582243A}"/>
    <cellStyle name="Normal 30" xfId="97" xr:uid="{60708348-897D-43CD-96A7-0D7D4176F656}"/>
    <cellStyle name="Normal 31" xfId="98" xr:uid="{7944E07E-120C-46B6-A226-1A64F7AFF538}"/>
    <cellStyle name="Normal 32" xfId="99" xr:uid="{B373FDD7-865B-47AC-BC59-44EC64366E9A}"/>
    <cellStyle name="Normal 33" xfId="100" xr:uid="{7E419483-2E9C-4DCA-9CD2-82708FF8FE4B}"/>
    <cellStyle name="Normal 34" xfId="101" xr:uid="{095437C8-BD88-4342-A859-B37D148EC60F}"/>
    <cellStyle name="Normal 35" xfId="102" xr:uid="{8F49F300-FFC9-4C7E-BA18-2CEE175B425A}"/>
    <cellStyle name="Normal 36" xfId="103" xr:uid="{8E458C3B-D97B-4564-AA3B-2D9827A5F347}"/>
    <cellStyle name="Normal 37" xfId="104" xr:uid="{C3F2D943-5CD8-46FF-AD03-D644FC37E031}"/>
    <cellStyle name="Normal 38" xfId="105" xr:uid="{6B38B339-4849-4E71-A224-B329293B6EB7}"/>
    <cellStyle name="Normal 39" xfId="106" xr:uid="{16869594-5920-4924-915A-F894E5FBB53E}"/>
    <cellStyle name="Normal 4" xfId="22" xr:uid="{00000000-0005-0000-0000-00001A000000}"/>
    <cellStyle name="Normal 4 2" xfId="74" xr:uid="{D9C402B7-53AA-4074-ABA6-6E56C7415CE9}"/>
    <cellStyle name="Normal 40" xfId="107" xr:uid="{7B567B8A-5D11-400C-BFC6-D8DC2A876C11}"/>
    <cellStyle name="Normal 41" xfId="108" xr:uid="{B3147480-5BE8-4B52-90FE-C687D0F5BE0A}"/>
    <cellStyle name="Normal 42" xfId="109" xr:uid="{6E267E72-C4C8-4266-97D3-05D53D959B72}"/>
    <cellStyle name="Normal 43" xfId="110" xr:uid="{7E9DE98F-A215-434C-B6CF-7507B16F23F3}"/>
    <cellStyle name="Normal 44" xfId="111" xr:uid="{7ECCE698-5BB9-4A5B-8AB2-F030D2C04736}"/>
    <cellStyle name="Normal 45" xfId="112" xr:uid="{31F03CE6-8AFB-49A4-9FFF-2C4D53BFB9E8}"/>
    <cellStyle name="Normal 46" xfId="113" xr:uid="{06CBA087-1FAA-4928-A5BC-12DB64C84B36}"/>
    <cellStyle name="Normal 47" xfId="114" xr:uid="{7E12D7E1-85C8-4D3D-B8A4-7117994DD1CB}"/>
    <cellStyle name="Normal 48" xfId="115" xr:uid="{F08FEA36-FBCC-408F-B9AE-FD6D450317B2}"/>
    <cellStyle name="Normal 49" xfId="116" xr:uid="{B5622ED4-47F5-41C7-BD9B-1DC697F81C11}"/>
    <cellStyle name="Normal 5" xfId="35" xr:uid="{06B229CC-3531-47EC-BB10-0D272D7EDB3A}"/>
    <cellStyle name="Normal 5 2" xfId="36" xr:uid="{949ACF17-1E84-45D2-95DB-CF1634F314EF}"/>
    <cellStyle name="Normal 5 2 2" xfId="158" xr:uid="{CD744049-5236-4610-A88D-AD7F3D1D279F}"/>
    <cellStyle name="Normal 5 3" xfId="67" xr:uid="{A1D4C569-D875-4073-86A8-6187C563250D}"/>
    <cellStyle name="Normal 50" xfId="117" xr:uid="{EA76DFD0-D3B5-48D6-BFE0-50DB02465ED6}"/>
    <cellStyle name="Normal 51" xfId="118" xr:uid="{C59ABC30-C045-4127-8EC2-9DA4391F4355}"/>
    <cellStyle name="Normal 52" xfId="119" xr:uid="{B0647917-562D-4868-941E-D98FEB0DA220}"/>
    <cellStyle name="Normal 53" xfId="120" xr:uid="{CA30ACD8-AA3B-44EF-BD18-A1FE61CEB715}"/>
    <cellStyle name="Normal 54" xfId="121" xr:uid="{82ADDF5A-6F74-40DA-9E60-4A39F11B77EB}"/>
    <cellStyle name="Normal 55" xfId="122" xr:uid="{BE5F9779-B063-459C-8690-69C8552B7247}"/>
    <cellStyle name="Normal 56" xfId="123" xr:uid="{BD80B55D-7037-4ED7-A176-7927343AC90E}"/>
    <cellStyle name="Normal 57" xfId="124" xr:uid="{078DA022-FF91-4D56-8776-758A49519989}"/>
    <cellStyle name="Normal 58" xfId="125" xr:uid="{B9C4C7E1-998C-4EBA-8FC2-D797CC567E4D}"/>
    <cellStyle name="Normal 59" xfId="126" xr:uid="{0C90C3B1-2E09-4B0C-8620-3D3D86676E6B}"/>
    <cellStyle name="Normal 6" xfId="68" xr:uid="{C42D2C04-963E-4719-B0BD-89A09F5F1118}"/>
    <cellStyle name="Normal 60" xfId="127" xr:uid="{694BAAB7-A576-4635-B7F1-DB08E2CB35BB}"/>
    <cellStyle name="Normal 61" xfId="128" xr:uid="{F1C31D23-25A2-4009-B114-A81D25874225}"/>
    <cellStyle name="Normal 62" xfId="129" xr:uid="{AEE2A9BA-A564-4478-AC26-961412ECDADE}"/>
    <cellStyle name="Normal 63" xfId="130" xr:uid="{2C936B3D-A7BC-4721-BD19-3FDE086BCD96}"/>
    <cellStyle name="Normal 64" xfId="131" xr:uid="{4215F3F2-F8C3-4AC6-BCB4-6816CC27AB8D}"/>
    <cellStyle name="Normal 65" xfId="132" xr:uid="{FE7091B2-F550-4267-8F26-8C4B2583F88B}"/>
    <cellStyle name="Normal 66" xfId="133" xr:uid="{378F76CC-0321-4F1D-B19E-1954DD5CFAB1}"/>
    <cellStyle name="Normal 67" xfId="134" xr:uid="{52BA3662-6E06-4C10-9834-99F640E92AB5}"/>
    <cellStyle name="Normal 68" xfId="135" xr:uid="{89B9FE6C-3C53-4720-8F3A-A136FB3DC499}"/>
    <cellStyle name="Normal 69" xfId="136" xr:uid="{A41F38AE-D7C6-4CDE-BD52-9BE4295A789A}"/>
    <cellStyle name="Normal 7" xfId="69" xr:uid="{B22622E2-9569-4DA9-AE96-89156F6A1A1D}"/>
    <cellStyle name="Normal 70" xfId="137" xr:uid="{BE49FF52-0EEA-453A-A953-ECE9C56D4A11}"/>
    <cellStyle name="Normal 71" xfId="139" xr:uid="{C69E8853-920F-4C9B-9785-B4AABE40E13C}"/>
    <cellStyle name="Normal 72" xfId="140" xr:uid="{88D6CD06-1907-4CE7-A4B8-B20D518EE28E}"/>
    <cellStyle name="Normal 73" xfId="141" xr:uid="{E46FED09-82F9-49C1-9C9A-F3A94E4C8BDF}"/>
    <cellStyle name="Normal 74" xfId="142" xr:uid="{8E906539-908C-4AA5-AC39-51F1F33E2018}"/>
    <cellStyle name="Normal 75" xfId="143" xr:uid="{6B325425-3DE2-4262-A6DC-D71D4BDDA985}"/>
    <cellStyle name="Normal 76" xfId="145" xr:uid="{710FDED5-ECBD-4FA9-ABB7-BB46B23D8230}"/>
    <cellStyle name="Normal 77" xfId="146" xr:uid="{BE436C6F-9364-4448-ADEE-6F88E31BCF25}"/>
    <cellStyle name="Normal 78" xfId="147" xr:uid="{58DFEB54-E946-40EA-BA90-70AB50CB93C1}"/>
    <cellStyle name="Normal 79" xfId="149" xr:uid="{AD790815-520D-4A22-96A9-FC0D75369346}"/>
    <cellStyle name="Normal 8" xfId="70" xr:uid="{9BB65542-5514-43E7-A1BA-1DF7747D3487}"/>
    <cellStyle name="Normal 80" xfId="150" xr:uid="{923F52DC-734C-45B2-8266-E0B520760AF8}"/>
    <cellStyle name="Normal 81" xfId="155" xr:uid="{434FA2B2-AAC5-4BF8-AC99-ADC2D933C00A}"/>
    <cellStyle name="Normal 82" xfId="37" xr:uid="{59B5D37B-2B1C-4597-9379-C675B6E580CD}"/>
    <cellStyle name="Normal 9" xfId="71" xr:uid="{DE9E4B8C-C0FB-4590-B30B-ADFEFD048E66}"/>
    <cellStyle name="Normal_DdasEG-0204" xfId="23" xr:uid="{00000000-0005-0000-0000-00001B000000}"/>
    <cellStyle name="Normal_SUPER Jul 13 96" xfId="24" xr:uid="{00000000-0005-0000-0000-00001C000000}"/>
    <cellStyle name="Porcentaje" xfId="25" xr:uid="{00000000-0005-0000-0000-00001D000000}"/>
    <cellStyle name="Porcentaje 2" xfId="154" xr:uid="{24D990EE-88AF-4A15-BDB8-02B76908430D}"/>
    <cellStyle name="Porcentual 2" xfId="72" xr:uid="{6A26F742-7B05-4559-B89E-46F4AED50DD4}"/>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82">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FFFF00"/>
      </font>
      <fill>
        <patternFill>
          <bgColor rgb="FFFF0000"/>
        </patternFill>
      </fill>
    </dxf>
    <dxf>
      <fill>
        <patternFill>
          <bgColor rgb="FF00B050"/>
        </patternFill>
      </fill>
    </dxf>
    <dxf>
      <fill>
        <patternFill>
          <bgColor rgb="FFFFFF0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FFFF00"/>
      </font>
      <fill>
        <patternFill>
          <bgColor rgb="FFFF0000"/>
        </patternFill>
      </fill>
    </dxf>
    <dxf>
      <fill>
        <patternFill>
          <bgColor rgb="FF00B050"/>
        </patternFill>
      </fill>
    </dxf>
    <dxf>
      <fill>
        <patternFill>
          <bgColor rgb="FFFFFF00"/>
        </patternFill>
      </fill>
    </dxf>
    <dxf>
      <font>
        <color rgb="FFFFFF00"/>
      </font>
      <fill>
        <patternFill>
          <bgColor rgb="FFFF0000"/>
        </patternFill>
      </fill>
    </dxf>
    <dxf>
      <fill>
        <patternFill>
          <bgColor rgb="FF00B050"/>
        </patternFill>
      </fill>
    </dxf>
    <dxf>
      <fill>
        <patternFill>
          <bgColor rgb="FFFFFF00"/>
        </patternFill>
      </fill>
    </dxf>
    <dxf>
      <font>
        <color rgb="FFFFFF00"/>
      </font>
      <fill>
        <patternFill>
          <bgColor rgb="FFFF0000"/>
        </patternFill>
      </fill>
    </dxf>
    <dxf>
      <fill>
        <patternFill>
          <bgColor rgb="FF00B050"/>
        </patternFill>
      </fill>
    </dxf>
    <dxf>
      <fill>
        <patternFill>
          <bgColor rgb="FFFFFF00"/>
        </patternFill>
      </fill>
    </dxf>
    <dxf>
      <font>
        <color rgb="FFFFFF00"/>
      </font>
      <fill>
        <patternFill>
          <bgColor rgb="FFFF0000"/>
        </patternFill>
      </fill>
    </dxf>
    <dxf>
      <fill>
        <patternFill>
          <bgColor rgb="FF00B050"/>
        </patternFill>
      </fill>
    </dxf>
    <dxf>
      <fill>
        <patternFill>
          <bgColor rgb="FFFFFF0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7.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drawing8.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drawing9.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124658</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17</xdr:row>
      <xdr:rowOff>0</xdr:rowOff>
    </xdr:from>
    <xdr:to>
      <xdr:col>9</xdr:col>
      <xdr:colOff>334292</xdr:colOff>
      <xdr:row>37</xdr:row>
      <xdr:rowOff>157868</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66</xdr:row>
      <xdr:rowOff>123825</xdr:rowOff>
    </xdr:from>
    <xdr:to>
      <xdr:col>9</xdr:col>
      <xdr:colOff>496241</xdr:colOff>
      <xdr:row>113</xdr:row>
      <xdr:rowOff>145184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152</xdr:row>
      <xdr:rowOff>76200</xdr:rowOff>
    </xdr:from>
    <xdr:to>
      <xdr:col>9</xdr:col>
      <xdr:colOff>458125</xdr:colOff>
      <xdr:row>187</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24937</xdr:colOff>
      <xdr:row>129</xdr:row>
      <xdr:rowOff>107005</xdr:rowOff>
    </xdr:from>
    <xdr:to>
      <xdr:col>15</xdr:col>
      <xdr:colOff>111713</xdr:colOff>
      <xdr:row>141</xdr:row>
      <xdr:rowOff>108036</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5"/>
        <a:stretch>
          <a:fillRect/>
        </a:stretch>
      </xdr:blipFill>
      <xdr:spPr>
        <a:xfrm>
          <a:off x="8071657" y="13324241"/>
          <a:ext cx="4592274" cy="1896334"/>
        </a:xfrm>
        <a:prstGeom prst="rect">
          <a:avLst/>
        </a:prstGeom>
      </xdr:spPr>
    </xdr:pic>
    <xdr:clientData/>
  </xdr:twoCellAnchor>
  <xdr:twoCellAnchor editAs="oneCell">
    <xdr:from>
      <xdr:col>16</xdr:col>
      <xdr:colOff>758577</xdr:colOff>
      <xdr:row>128</xdr:row>
      <xdr:rowOff>97883</xdr:rowOff>
    </xdr:from>
    <xdr:to>
      <xdr:col>21</xdr:col>
      <xdr:colOff>188259</xdr:colOff>
      <xdr:row>143</xdr:row>
      <xdr:rowOff>8847</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6"/>
        <a:stretch>
          <a:fillRect/>
        </a:stretch>
      </xdr:blipFill>
      <xdr:spPr>
        <a:xfrm>
          <a:off x="14967636" y="13984212"/>
          <a:ext cx="3535517" cy="2465907"/>
        </a:xfrm>
        <a:prstGeom prst="rect">
          <a:avLst/>
        </a:prstGeom>
      </xdr:spPr>
    </xdr:pic>
    <xdr:clientData/>
  </xdr:twoCellAnchor>
  <xdr:twoCellAnchor editAs="oneCell">
    <xdr:from>
      <xdr:col>30</xdr:col>
      <xdr:colOff>205811</xdr:colOff>
      <xdr:row>12</xdr:row>
      <xdr:rowOff>13062</xdr:rowOff>
    </xdr:from>
    <xdr:to>
      <xdr:col>38</xdr:col>
      <xdr:colOff>122374</xdr:colOff>
      <xdr:row>48</xdr:row>
      <xdr:rowOff>149138</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7"/>
        <a:stretch>
          <a:fillRect/>
        </a:stretch>
      </xdr:blipFill>
      <xdr:spPr>
        <a:xfrm>
          <a:off x="18199897" y="2788919"/>
          <a:ext cx="6273820" cy="6137365"/>
        </a:xfrm>
        <a:prstGeom prst="rect">
          <a:avLst/>
        </a:prstGeom>
      </xdr:spPr>
    </xdr:pic>
    <xdr:clientData/>
  </xdr:twoCellAnchor>
  <xdr:twoCellAnchor editAs="oneCell">
    <xdr:from>
      <xdr:col>30</xdr:col>
      <xdr:colOff>250372</xdr:colOff>
      <xdr:row>80</xdr:row>
      <xdr:rowOff>0</xdr:rowOff>
    </xdr:from>
    <xdr:to>
      <xdr:col>37</xdr:col>
      <xdr:colOff>489857</xdr:colOff>
      <xdr:row>120</xdr:row>
      <xdr:rowOff>79359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8"/>
        <a:stretch>
          <a:fillRect/>
        </a:stretch>
      </xdr:blipFill>
      <xdr:spPr>
        <a:xfrm>
          <a:off x="18244458" y="9181170"/>
          <a:ext cx="5802085" cy="6616705"/>
        </a:xfrm>
        <a:prstGeom prst="rect">
          <a:avLst/>
        </a:prstGeom>
      </xdr:spPr>
    </xdr:pic>
    <xdr:clientData/>
  </xdr:twoCellAnchor>
  <xdr:twoCellAnchor editAs="oneCell">
    <xdr:from>
      <xdr:col>11</xdr:col>
      <xdr:colOff>646042</xdr:colOff>
      <xdr:row>3</xdr:row>
      <xdr:rowOff>0</xdr:rowOff>
    </xdr:from>
    <xdr:to>
      <xdr:col>18</xdr:col>
      <xdr:colOff>720585</xdr:colOff>
      <xdr:row>24</xdr:row>
      <xdr:rowOff>41589</xdr:rowOff>
    </xdr:to>
    <xdr:pic>
      <xdr:nvPicPr>
        <xdr:cNvPr id="6" name="Imagen 5">
          <a:extLst>
            <a:ext uri="{FF2B5EF4-FFF2-40B4-BE49-F238E27FC236}">
              <a16:creationId xmlns:a16="http://schemas.microsoft.com/office/drawing/2014/main" id="{943A8C67-9F70-4506-0E92-FEE0D09EEABE}"/>
            </a:ext>
          </a:extLst>
        </xdr:cNvPr>
        <xdr:cNvPicPr>
          <a:picLocks noChangeAspect="1"/>
        </xdr:cNvPicPr>
      </xdr:nvPicPr>
      <xdr:blipFill>
        <a:blip xmlns:r="http://schemas.openxmlformats.org/officeDocument/2006/relationships" r:embed="rId9"/>
        <a:stretch>
          <a:fillRect/>
        </a:stretch>
      </xdr:blipFill>
      <xdr:spPr>
        <a:xfrm>
          <a:off x="9028042" y="1300194"/>
          <a:ext cx="6957391" cy="3520284"/>
        </a:xfrm>
        <a:prstGeom prst="rect">
          <a:avLst/>
        </a:prstGeom>
      </xdr:spPr>
    </xdr:pic>
    <xdr:clientData/>
  </xdr:twoCellAnchor>
  <xdr:twoCellAnchor editAs="oneCell">
    <xdr:from>
      <xdr:col>23</xdr:col>
      <xdr:colOff>447260</xdr:colOff>
      <xdr:row>18</xdr:row>
      <xdr:rowOff>84023</xdr:rowOff>
    </xdr:from>
    <xdr:to>
      <xdr:col>29</xdr:col>
      <xdr:colOff>538370</xdr:colOff>
      <xdr:row>46</xdr:row>
      <xdr:rowOff>74542</xdr:rowOff>
    </xdr:to>
    <xdr:pic>
      <xdr:nvPicPr>
        <xdr:cNvPr id="19" name="Imagen 18">
          <a:extLst>
            <a:ext uri="{FF2B5EF4-FFF2-40B4-BE49-F238E27FC236}">
              <a16:creationId xmlns:a16="http://schemas.microsoft.com/office/drawing/2014/main" id="{6CB1C1CA-75DE-7493-80B7-4F1BDDF2964F}"/>
            </a:ext>
          </a:extLst>
        </xdr:cNvPr>
        <xdr:cNvPicPr>
          <a:picLocks noChangeAspect="1"/>
        </xdr:cNvPicPr>
      </xdr:nvPicPr>
      <xdr:blipFill>
        <a:blip xmlns:r="http://schemas.openxmlformats.org/officeDocument/2006/relationships" r:embed="rId10"/>
        <a:stretch>
          <a:fillRect/>
        </a:stretch>
      </xdr:blipFill>
      <xdr:spPr>
        <a:xfrm>
          <a:off x="19853412" y="3065762"/>
          <a:ext cx="5160066" cy="4802715"/>
        </a:xfrm>
        <a:prstGeom prst="rect">
          <a:avLst/>
        </a:prstGeom>
      </xdr:spPr>
    </xdr:pic>
    <xdr:clientData/>
  </xdr:twoCellAnchor>
  <xdr:twoCellAnchor editAs="oneCell">
    <xdr:from>
      <xdr:col>11</xdr:col>
      <xdr:colOff>124239</xdr:colOff>
      <xdr:row>38</xdr:row>
      <xdr:rowOff>132522</xdr:rowOff>
    </xdr:from>
    <xdr:to>
      <xdr:col>14</xdr:col>
      <xdr:colOff>704022</xdr:colOff>
      <xdr:row>45</xdr:row>
      <xdr:rowOff>125337</xdr:rowOff>
    </xdr:to>
    <xdr:pic>
      <xdr:nvPicPr>
        <xdr:cNvPr id="21" name="Imagen 20">
          <a:extLst>
            <a:ext uri="{FF2B5EF4-FFF2-40B4-BE49-F238E27FC236}">
              <a16:creationId xmlns:a16="http://schemas.microsoft.com/office/drawing/2014/main" id="{1FF1731F-A13B-DBF8-2714-34B20A4184C7}"/>
            </a:ext>
          </a:extLst>
        </xdr:cNvPr>
        <xdr:cNvPicPr>
          <a:picLocks noChangeAspect="1"/>
        </xdr:cNvPicPr>
      </xdr:nvPicPr>
      <xdr:blipFill>
        <a:blip xmlns:r="http://schemas.openxmlformats.org/officeDocument/2006/relationships" r:embed="rId11"/>
        <a:stretch>
          <a:fillRect/>
        </a:stretch>
      </xdr:blipFill>
      <xdr:spPr>
        <a:xfrm>
          <a:off x="8506239" y="7421218"/>
          <a:ext cx="4414631" cy="1152381"/>
        </a:xfrm>
        <a:prstGeom prst="rect">
          <a:avLst/>
        </a:prstGeom>
      </xdr:spPr>
    </xdr:pic>
    <xdr:clientData/>
  </xdr:twoCellAnchor>
  <xdr:twoCellAnchor editAs="oneCell">
    <xdr:from>
      <xdr:col>15</xdr:col>
      <xdr:colOff>546653</xdr:colOff>
      <xdr:row>39</xdr:row>
      <xdr:rowOff>75646</xdr:rowOff>
    </xdr:from>
    <xdr:to>
      <xdr:col>20</xdr:col>
      <xdr:colOff>339587</xdr:colOff>
      <xdr:row>47</xdr:row>
      <xdr:rowOff>132520</xdr:rowOff>
    </xdr:to>
    <xdr:pic>
      <xdr:nvPicPr>
        <xdr:cNvPr id="22" name="Imagen 21">
          <a:extLst>
            <a:ext uri="{FF2B5EF4-FFF2-40B4-BE49-F238E27FC236}">
              <a16:creationId xmlns:a16="http://schemas.microsoft.com/office/drawing/2014/main" id="{75DAE573-14F9-96E7-6D9F-692FB570AC68}"/>
            </a:ext>
          </a:extLst>
        </xdr:cNvPr>
        <xdr:cNvPicPr>
          <a:picLocks noChangeAspect="1"/>
        </xdr:cNvPicPr>
      </xdr:nvPicPr>
      <xdr:blipFill>
        <a:blip xmlns:r="http://schemas.openxmlformats.org/officeDocument/2006/relationships" r:embed="rId12"/>
        <a:stretch>
          <a:fillRect/>
        </a:stretch>
      </xdr:blipFill>
      <xdr:spPr>
        <a:xfrm>
          <a:off x="14420023" y="6710016"/>
          <a:ext cx="3685760" cy="1382091"/>
        </a:xfrm>
        <a:prstGeom prst="rect">
          <a:avLst/>
        </a:prstGeom>
      </xdr:spPr>
    </xdr:pic>
    <xdr:clientData/>
  </xdr:twoCellAnchor>
  <xdr:twoCellAnchor editAs="oneCell">
    <xdr:from>
      <xdr:col>11</xdr:col>
      <xdr:colOff>190499</xdr:colOff>
      <xdr:row>48</xdr:row>
      <xdr:rowOff>149087</xdr:rowOff>
    </xdr:from>
    <xdr:to>
      <xdr:col>15</xdr:col>
      <xdr:colOff>486240</xdr:colOff>
      <xdr:row>54</xdr:row>
      <xdr:rowOff>145650</xdr:rowOff>
    </xdr:to>
    <xdr:pic>
      <xdr:nvPicPr>
        <xdr:cNvPr id="23" name="Imagen 22">
          <a:extLst>
            <a:ext uri="{FF2B5EF4-FFF2-40B4-BE49-F238E27FC236}">
              <a16:creationId xmlns:a16="http://schemas.microsoft.com/office/drawing/2014/main" id="{0AA2D5C3-0B2F-5D13-4FF4-27D04C6196BD}"/>
            </a:ext>
          </a:extLst>
        </xdr:cNvPr>
        <xdr:cNvPicPr>
          <a:picLocks noChangeAspect="1"/>
        </xdr:cNvPicPr>
      </xdr:nvPicPr>
      <xdr:blipFill>
        <a:blip xmlns:r="http://schemas.openxmlformats.org/officeDocument/2006/relationships" r:embed="rId13"/>
        <a:stretch>
          <a:fillRect/>
        </a:stretch>
      </xdr:blipFill>
      <xdr:spPr>
        <a:xfrm>
          <a:off x="8572499" y="9094304"/>
          <a:ext cx="4892589" cy="990476"/>
        </a:xfrm>
        <a:prstGeom prst="rect">
          <a:avLst/>
        </a:prstGeom>
      </xdr:spPr>
    </xdr:pic>
    <xdr:clientData/>
  </xdr:twoCellAnchor>
  <xdr:twoCellAnchor editAs="oneCell">
    <xdr:from>
      <xdr:col>11</xdr:col>
      <xdr:colOff>24848</xdr:colOff>
      <xdr:row>69</xdr:row>
      <xdr:rowOff>33131</xdr:rowOff>
    </xdr:from>
    <xdr:to>
      <xdr:col>17</xdr:col>
      <xdr:colOff>227809</xdr:colOff>
      <xdr:row>77</xdr:row>
      <xdr:rowOff>107913</xdr:rowOff>
    </xdr:to>
    <xdr:pic>
      <xdr:nvPicPr>
        <xdr:cNvPr id="24" name="Imagen 23">
          <a:extLst>
            <a:ext uri="{FF2B5EF4-FFF2-40B4-BE49-F238E27FC236}">
              <a16:creationId xmlns:a16="http://schemas.microsoft.com/office/drawing/2014/main" id="{4FA81475-DF79-F2AC-0BC2-77B64EEB0258}"/>
            </a:ext>
          </a:extLst>
        </xdr:cNvPr>
        <xdr:cNvPicPr>
          <a:picLocks noChangeAspect="1"/>
        </xdr:cNvPicPr>
      </xdr:nvPicPr>
      <xdr:blipFill>
        <a:blip xmlns:r="http://schemas.openxmlformats.org/officeDocument/2006/relationships" r:embed="rId14"/>
        <a:stretch>
          <a:fillRect/>
        </a:stretch>
      </xdr:blipFill>
      <xdr:spPr>
        <a:xfrm>
          <a:off x="8406848" y="12457044"/>
          <a:ext cx="6323809" cy="1400000"/>
        </a:xfrm>
        <a:prstGeom prst="rect">
          <a:avLst/>
        </a:prstGeom>
      </xdr:spPr>
    </xdr:pic>
    <xdr:clientData/>
  </xdr:twoCellAnchor>
  <xdr:twoCellAnchor editAs="oneCell">
    <xdr:from>
      <xdr:col>17</xdr:col>
      <xdr:colOff>455543</xdr:colOff>
      <xdr:row>95</xdr:row>
      <xdr:rowOff>124240</xdr:rowOff>
    </xdr:from>
    <xdr:to>
      <xdr:col>25</xdr:col>
      <xdr:colOff>757777</xdr:colOff>
      <xdr:row>115</xdr:row>
      <xdr:rowOff>144530</xdr:rowOff>
    </xdr:to>
    <xdr:pic>
      <xdr:nvPicPr>
        <xdr:cNvPr id="27" name="Imagen 26">
          <a:extLst>
            <a:ext uri="{FF2B5EF4-FFF2-40B4-BE49-F238E27FC236}">
              <a16:creationId xmlns:a16="http://schemas.microsoft.com/office/drawing/2014/main" id="{E998C820-1AC1-EFEE-EFE4-449FE7554020}"/>
            </a:ext>
          </a:extLst>
        </xdr:cNvPr>
        <xdr:cNvPicPr>
          <a:picLocks noChangeAspect="1"/>
        </xdr:cNvPicPr>
      </xdr:nvPicPr>
      <xdr:blipFill>
        <a:blip xmlns:r="http://schemas.openxmlformats.org/officeDocument/2006/relationships" r:embed="rId15"/>
        <a:stretch>
          <a:fillRect/>
        </a:stretch>
      </xdr:blipFill>
      <xdr:spPr>
        <a:xfrm>
          <a:off x="14958391" y="16068262"/>
          <a:ext cx="7276190" cy="3333333"/>
        </a:xfrm>
        <a:prstGeom prst="rect">
          <a:avLst/>
        </a:prstGeom>
      </xdr:spPr>
    </xdr:pic>
    <xdr:clientData/>
  </xdr:twoCellAnchor>
  <xdr:twoCellAnchor editAs="oneCell">
    <xdr:from>
      <xdr:col>10</xdr:col>
      <xdr:colOff>637761</xdr:colOff>
      <xdr:row>95</xdr:row>
      <xdr:rowOff>91109</xdr:rowOff>
    </xdr:from>
    <xdr:to>
      <xdr:col>15</xdr:col>
      <xdr:colOff>679629</xdr:colOff>
      <xdr:row>118</xdr:row>
      <xdr:rowOff>90633</xdr:rowOff>
    </xdr:to>
    <xdr:pic>
      <xdr:nvPicPr>
        <xdr:cNvPr id="28" name="Imagen 27">
          <a:extLst>
            <a:ext uri="{FF2B5EF4-FFF2-40B4-BE49-F238E27FC236}">
              <a16:creationId xmlns:a16="http://schemas.microsoft.com/office/drawing/2014/main" id="{C9F257D8-D822-F687-9A5E-C3730C1DB4E0}"/>
            </a:ext>
          </a:extLst>
        </xdr:cNvPr>
        <xdr:cNvPicPr>
          <a:picLocks noChangeAspect="1"/>
        </xdr:cNvPicPr>
      </xdr:nvPicPr>
      <xdr:blipFill>
        <a:blip xmlns:r="http://schemas.openxmlformats.org/officeDocument/2006/relationships" r:embed="rId16"/>
        <a:stretch>
          <a:fillRect/>
        </a:stretch>
      </xdr:blipFill>
      <xdr:spPr>
        <a:xfrm>
          <a:off x="8257761" y="16035131"/>
          <a:ext cx="6295238" cy="3809524"/>
        </a:xfrm>
        <a:prstGeom prst="rect">
          <a:avLst/>
        </a:prstGeom>
      </xdr:spPr>
    </xdr:pic>
    <xdr:clientData/>
  </xdr:twoCellAnchor>
  <xdr:twoCellAnchor editAs="oneCell">
    <xdr:from>
      <xdr:col>14</xdr:col>
      <xdr:colOff>513522</xdr:colOff>
      <xdr:row>172</xdr:row>
      <xdr:rowOff>149087</xdr:rowOff>
    </xdr:from>
    <xdr:to>
      <xdr:col>22</xdr:col>
      <xdr:colOff>270574</xdr:colOff>
      <xdr:row>188</xdr:row>
      <xdr:rowOff>140934</xdr:rowOff>
    </xdr:to>
    <xdr:pic>
      <xdr:nvPicPr>
        <xdr:cNvPr id="29" name="Imagen 28">
          <a:extLst>
            <a:ext uri="{FF2B5EF4-FFF2-40B4-BE49-F238E27FC236}">
              <a16:creationId xmlns:a16="http://schemas.microsoft.com/office/drawing/2014/main" id="{7B1BFB02-F3CF-413E-8C4C-550380576229}"/>
            </a:ext>
          </a:extLst>
        </xdr:cNvPr>
        <xdr:cNvPicPr>
          <a:picLocks noChangeAspect="1"/>
        </xdr:cNvPicPr>
      </xdr:nvPicPr>
      <xdr:blipFill>
        <a:blip xmlns:r="http://schemas.openxmlformats.org/officeDocument/2006/relationships" r:embed="rId17"/>
        <a:stretch>
          <a:fillRect/>
        </a:stretch>
      </xdr:blipFill>
      <xdr:spPr>
        <a:xfrm>
          <a:off x="13624892" y="28840044"/>
          <a:ext cx="6482530" cy="2642281"/>
        </a:xfrm>
        <a:prstGeom prst="rect">
          <a:avLst/>
        </a:prstGeom>
      </xdr:spPr>
    </xdr:pic>
    <xdr:clientData/>
  </xdr:twoCellAnchor>
  <xdr:twoCellAnchor editAs="oneCell">
    <xdr:from>
      <xdr:col>15</xdr:col>
      <xdr:colOff>340262</xdr:colOff>
      <xdr:row>189</xdr:row>
      <xdr:rowOff>80597</xdr:rowOff>
    </xdr:from>
    <xdr:to>
      <xdr:col>22</xdr:col>
      <xdr:colOff>546054</xdr:colOff>
      <xdr:row>217</xdr:row>
      <xdr:rowOff>65085</xdr:rowOff>
    </xdr:to>
    <xdr:pic>
      <xdr:nvPicPr>
        <xdr:cNvPr id="30" name="Imagen 29">
          <a:extLst>
            <a:ext uri="{FF2B5EF4-FFF2-40B4-BE49-F238E27FC236}">
              <a16:creationId xmlns:a16="http://schemas.microsoft.com/office/drawing/2014/main" id="{C088BFA0-EA4B-4B14-AC73-7E9A31C3D594}"/>
            </a:ext>
          </a:extLst>
        </xdr:cNvPr>
        <xdr:cNvPicPr>
          <a:picLocks noChangeAspect="1"/>
        </xdr:cNvPicPr>
      </xdr:nvPicPr>
      <xdr:blipFill>
        <a:blip xmlns:r="http://schemas.openxmlformats.org/officeDocument/2006/relationships" r:embed="rId18"/>
        <a:stretch>
          <a:fillRect/>
        </a:stretch>
      </xdr:blipFill>
      <xdr:spPr>
        <a:xfrm>
          <a:off x="14213632" y="31587640"/>
          <a:ext cx="6169270" cy="4622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22412</xdr:colOff>
      <xdr:row>4</xdr:row>
      <xdr:rowOff>33618</xdr:rowOff>
    </xdr:from>
    <xdr:to>
      <xdr:col>16</xdr:col>
      <xdr:colOff>47812</xdr:colOff>
      <xdr:row>6</xdr:row>
      <xdr:rowOff>904501</xdr:rowOff>
    </xdr:to>
    <xdr:pic>
      <xdr:nvPicPr>
        <xdr:cNvPr id="4" name="Imagen 3">
          <a:extLst>
            <a:ext uri="{FF2B5EF4-FFF2-40B4-BE49-F238E27FC236}">
              <a16:creationId xmlns:a16="http://schemas.microsoft.com/office/drawing/2014/main" id="{406641F9-F010-CD56-07AB-6958F20958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61912" y="1299883"/>
          <a:ext cx="3793751" cy="1288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515471</xdr:colOff>
      <xdr:row>8</xdr:row>
      <xdr:rowOff>126439</xdr:rowOff>
    </xdr:from>
    <xdr:to>
      <xdr:col>16</xdr:col>
      <xdr:colOff>49950</xdr:colOff>
      <xdr:row>14</xdr:row>
      <xdr:rowOff>164913</xdr:rowOff>
    </xdr:to>
    <xdr:pic>
      <xdr:nvPicPr>
        <xdr:cNvPr id="5" name="Imagen 4">
          <a:extLst>
            <a:ext uri="{FF2B5EF4-FFF2-40B4-BE49-F238E27FC236}">
              <a16:creationId xmlns:a16="http://schemas.microsoft.com/office/drawing/2014/main" id="{4A6D812A-CEB9-9811-B944-F1AF60E09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17089" y="3017557"/>
          <a:ext cx="3840712" cy="2271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8</xdr:row>
      <xdr:rowOff>179294</xdr:rowOff>
    </xdr:from>
    <xdr:to>
      <xdr:col>15</xdr:col>
      <xdr:colOff>219075</xdr:colOff>
      <xdr:row>14</xdr:row>
      <xdr:rowOff>68916</xdr:rowOff>
    </xdr:to>
    <xdr:pic>
      <xdr:nvPicPr>
        <xdr:cNvPr id="4" name="Imagen 3">
          <a:extLst>
            <a:ext uri="{FF2B5EF4-FFF2-40B4-BE49-F238E27FC236}">
              <a16:creationId xmlns:a16="http://schemas.microsoft.com/office/drawing/2014/main" id="{66B72504-298F-26E4-AF04-2D9F0075A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0971" y="3451412"/>
          <a:ext cx="3905810" cy="2119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89647</xdr:colOff>
      <xdr:row>5</xdr:row>
      <xdr:rowOff>0</xdr:rowOff>
    </xdr:from>
    <xdr:to>
      <xdr:col>15</xdr:col>
      <xdr:colOff>108697</xdr:colOff>
      <xdr:row>7</xdr:row>
      <xdr:rowOff>219075</xdr:rowOff>
    </xdr:to>
    <xdr:pic>
      <xdr:nvPicPr>
        <xdr:cNvPr id="5" name="Imagen 4">
          <a:extLst>
            <a:ext uri="{FF2B5EF4-FFF2-40B4-BE49-F238E27FC236}">
              <a16:creationId xmlns:a16="http://schemas.microsoft.com/office/drawing/2014/main" id="{1B5C3297-FF7F-F70E-2ADA-AF639BDAE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20618" y="1804147"/>
          <a:ext cx="3705785" cy="133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588818</xdr:colOff>
      <xdr:row>4</xdr:row>
      <xdr:rowOff>34636</xdr:rowOff>
    </xdr:from>
    <xdr:to>
      <xdr:col>18</xdr:col>
      <xdr:colOff>185073</xdr:colOff>
      <xdr:row>15</xdr:row>
      <xdr:rowOff>33658</xdr:rowOff>
    </xdr:to>
    <xdr:pic>
      <xdr:nvPicPr>
        <xdr:cNvPr id="2" name="Imagen 1">
          <a:extLst>
            <a:ext uri="{FF2B5EF4-FFF2-40B4-BE49-F238E27FC236}">
              <a16:creationId xmlns:a16="http://schemas.microsoft.com/office/drawing/2014/main" id="{3640AFE7-4F04-9947-9F08-1A4E16D13BF0}"/>
            </a:ext>
          </a:extLst>
        </xdr:cNvPr>
        <xdr:cNvPicPr>
          <a:picLocks noChangeAspect="1"/>
        </xdr:cNvPicPr>
      </xdr:nvPicPr>
      <xdr:blipFill>
        <a:blip xmlns:r="http://schemas.openxmlformats.org/officeDocument/2006/relationships" r:embed="rId1"/>
        <a:stretch>
          <a:fillRect/>
        </a:stretch>
      </xdr:blipFill>
      <xdr:spPr>
        <a:xfrm>
          <a:off x="19846636" y="1073727"/>
          <a:ext cx="6731346" cy="3416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299355</xdr:colOff>
      <xdr:row>1</xdr:row>
      <xdr:rowOff>205513</xdr:rowOff>
    </xdr:from>
    <xdr:to>
      <xdr:col>17</xdr:col>
      <xdr:colOff>585106</xdr:colOff>
      <xdr:row>19</xdr:row>
      <xdr:rowOff>231321</xdr:rowOff>
    </xdr:to>
    <xdr:pic>
      <xdr:nvPicPr>
        <xdr:cNvPr id="2" name="Imagen 1">
          <a:extLst>
            <a:ext uri="{FF2B5EF4-FFF2-40B4-BE49-F238E27FC236}">
              <a16:creationId xmlns:a16="http://schemas.microsoft.com/office/drawing/2014/main" id="{43D0E37C-24E1-A9A4-DBF4-EE2E19E6A844}"/>
            </a:ext>
          </a:extLst>
        </xdr:cNvPr>
        <xdr:cNvPicPr>
          <a:picLocks noChangeAspect="1"/>
        </xdr:cNvPicPr>
      </xdr:nvPicPr>
      <xdr:blipFill>
        <a:blip xmlns:r="http://schemas.openxmlformats.org/officeDocument/2006/relationships" r:embed="rId1"/>
        <a:stretch>
          <a:fillRect/>
        </a:stretch>
      </xdr:blipFill>
      <xdr:spPr>
        <a:xfrm>
          <a:off x="7592784" y="396013"/>
          <a:ext cx="9429751" cy="6543629"/>
        </a:xfrm>
        <a:prstGeom prst="rect">
          <a:avLst/>
        </a:prstGeom>
      </xdr:spPr>
    </xdr:pic>
    <xdr:clientData/>
  </xdr:twoCellAnchor>
  <xdr:twoCellAnchor editAs="oneCell">
    <xdr:from>
      <xdr:col>19</xdr:col>
      <xdr:colOff>0</xdr:colOff>
      <xdr:row>1</xdr:row>
      <xdr:rowOff>0</xdr:rowOff>
    </xdr:from>
    <xdr:to>
      <xdr:col>33</xdr:col>
      <xdr:colOff>429961</xdr:colOff>
      <xdr:row>26</xdr:row>
      <xdr:rowOff>101972</xdr:rowOff>
    </xdr:to>
    <xdr:pic>
      <xdr:nvPicPr>
        <xdr:cNvPr id="3" name="Imagen 2">
          <a:extLst>
            <a:ext uri="{FF2B5EF4-FFF2-40B4-BE49-F238E27FC236}">
              <a16:creationId xmlns:a16="http://schemas.microsoft.com/office/drawing/2014/main" id="{8745B6C8-5979-3CEA-388B-8FA4F87808E0}"/>
            </a:ext>
          </a:extLst>
        </xdr:cNvPr>
        <xdr:cNvPicPr>
          <a:picLocks noChangeAspect="1"/>
        </xdr:cNvPicPr>
      </xdr:nvPicPr>
      <xdr:blipFill>
        <a:blip xmlns:r="http://schemas.openxmlformats.org/officeDocument/2006/relationships" r:embed="rId2"/>
        <a:stretch>
          <a:fillRect/>
        </a:stretch>
      </xdr:blipFill>
      <xdr:spPr>
        <a:xfrm>
          <a:off x="17743714" y="190500"/>
          <a:ext cx="9573961" cy="91643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18</xdr:col>
      <xdr:colOff>182157</xdr:colOff>
      <xdr:row>25</xdr:row>
      <xdr:rowOff>179493</xdr:rowOff>
    </xdr:to>
    <xdr:pic>
      <xdr:nvPicPr>
        <xdr:cNvPr id="2" name="Imagen 1">
          <a:extLst>
            <a:ext uri="{FF2B5EF4-FFF2-40B4-BE49-F238E27FC236}">
              <a16:creationId xmlns:a16="http://schemas.microsoft.com/office/drawing/2014/main" id="{045064EA-9CA0-B6B6-4CCE-4915037213D2}"/>
            </a:ext>
          </a:extLst>
        </xdr:cNvPr>
        <xdr:cNvPicPr>
          <a:picLocks noChangeAspect="1"/>
        </xdr:cNvPicPr>
      </xdr:nvPicPr>
      <xdr:blipFill>
        <a:blip xmlns:r="http://schemas.openxmlformats.org/officeDocument/2006/relationships" r:embed="rId1"/>
        <a:stretch>
          <a:fillRect/>
        </a:stretch>
      </xdr:blipFill>
      <xdr:spPr>
        <a:xfrm>
          <a:off x="11198679" y="204107"/>
          <a:ext cx="8468907" cy="88880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4</xdr:row>
      <xdr:rowOff>179293</xdr:rowOff>
    </xdr:from>
    <xdr:to>
      <xdr:col>16</xdr:col>
      <xdr:colOff>256324</xdr:colOff>
      <xdr:row>7</xdr:row>
      <xdr:rowOff>216085</xdr:rowOff>
    </xdr:to>
    <xdr:pic>
      <xdr:nvPicPr>
        <xdr:cNvPr id="2" name="Imagen 1">
          <a:extLst>
            <a:ext uri="{FF2B5EF4-FFF2-40B4-BE49-F238E27FC236}">
              <a16:creationId xmlns:a16="http://schemas.microsoft.com/office/drawing/2014/main" id="{6E10DF10-FE53-471B-91E7-864CDD9EE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0" y="1449293"/>
          <a:ext cx="4056799" cy="1372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16</xdr:col>
      <xdr:colOff>247650</xdr:colOff>
      <xdr:row>14</xdr:row>
      <xdr:rowOff>152400</xdr:rowOff>
    </xdr:to>
    <xdr:pic>
      <xdr:nvPicPr>
        <xdr:cNvPr id="3" name="Imagen 2">
          <a:extLst>
            <a:ext uri="{FF2B5EF4-FFF2-40B4-BE49-F238E27FC236}">
              <a16:creationId xmlns:a16="http://schemas.microsoft.com/office/drawing/2014/main" id="{090279D0-2AEA-489C-9B85-8B9895E0D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39500" y="2905125"/>
          <a:ext cx="4048125"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504265</xdr:colOff>
      <xdr:row>8</xdr:row>
      <xdr:rowOff>268942</xdr:rowOff>
    </xdr:from>
    <xdr:to>
      <xdr:col>16</xdr:col>
      <xdr:colOff>220383</xdr:colOff>
      <xdr:row>16</xdr:row>
      <xdr:rowOff>21852</xdr:rowOff>
    </xdr:to>
    <xdr:pic>
      <xdr:nvPicPr>
        <xdr:cNvPr id="6" name="Imagen 5">
          <a:extLst>
            <a:ext uri="{FF2B5EF4-FFF2-40B4-BE49-F238E27FC236}">
              <a16:creationId xmlns:a16="http://schemas.microsoft.com/office/drawing/2014/main" id="{985F83C8-7A34-6E3C-8458-4943EE333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5883" y="3160060"/>
          <a:ext cx="4012826" cy="2386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16</xdr:col>
      <xdr:colOff>28575</xdr:colOff>
      <xdr:row>7</xdr:row>
      <xdr:rowOff>190500</xdr:rowOff>
    </xdr:to>
    <xdr:pic>
      <xdr:nvPicPr>
        <xdr:cNvPr id="7" name="Imagen 6">
          <a:extLst>
            <a:ext uri="{FF2B5EF4-FFF2-40B4-BE49-F238E27FC236}">
              <a16:creationId xmlns:a16="http://schemas.microsoft.com/office/drawing/2014/main" id="{C730EBCD-B995-3493-1D10-E84E506944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45850" y="1435100"/>
          <a:ext cx="385445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16</xdr:col>
      <xdr:colOff>247650</xdr:colOff>
      <xdr:row>16</xdr:row>
      <xdr:rowOff>95250</xdr:rowOff>
    </xdr:to>
    <xdr:pic>
      <xdr:nvPicPr>
        <xdr:cNvPr id="5" name="Imagen 4">
          <a:extLst>
            <a:ext uri="{FF2B5EF4-FFF2-40B4-BE49-F238E27FC236}">
              <a16:creationId xmlns:a16="http://schemas.microsoft.com/office/drawing/2014/main" id="{45A1F762-6BCF-8D37-4CED-12DC99605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5850" y="3238500"/>
          <a:ext cx="407035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16</xdr:col>
      <xdr:colOff>255641</xdr:colOff>
      <xdr:row>7</xdr:row>
      <xdr:rowOff>27267</xdr:rowOff>
    </xdr:to>
    <xdr:pic>
      <xdr:nvPicPr>
        <xdr:cNvPr id="7" name="Imagen 6">
          <a:extLst>
            <a:ext uri="{FF2B5EF4-FFF2-40B4-BE49-F238E27FC236}">
              <a16:creationId xmlns:a16="http://schemas.microsoft.com/office/drawing/2014/main" id="{E5F9F638-5820-D3D8-620A-BB6903F1F3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39500" y="1266265"/>
          <a:ext cx="4020817" cy="1367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6</xdr:row>
      <xdr:rowOff>0</xdr:rowOff>
    </xdr:from>
    <xdr:to>
      <xdr:col>16</xdr:col>
      <xdr:colOff>25400</xdr:colOff>
      <xdr:row>8</xdr:row>
      <xdr:rowOff>25400</xdr:rowOff>
    </xdr:to>
    <xdr:pic>
      <xdr:nvPicPr>
        <xdr:cNvPr id="4" name="Imagen 3">
          <a:extLst>
            <a:ext uri="{FF2B5EF4-FFF2-40B4-BE49-F238E27FC236}">
              <a16:creationId xmlns:a16="http://schemas.microsoft.com/office/drawing/2014/main" id="{EE0BB61A-9A53-33AB-8A99-7CCB98D55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5850" y="1619250"/>
          <a:ext cx="385445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16</xdr:col>
      <xdr:colOff>56030</xdr:colOff>
      <xdr:row>15</xdr:row>
      <xdr:rowOff>183247</xdr:rowOff>
    </xdr:to>
    <xdr:pic>
      <xdr:nvPicPr>
        <xdr:cNvPr id="5" name="Imagen 4">
          <a:extLst>
            <a:ext uri="{FF2B5EF4-FFF2-40B4-BE49-F238E27FC236}">
              <a16:creationId xmlns:a16="http://schemas.microsoft.com/office/drawing/2014/main" id="{CB596D66-033A-ADAD-DCFF-DBF34D37B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39500" y="3238500"/>
          <a:ext cx="3821206" cy="2267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rep.gov.co/es/junta-directiva-del-banco-republica-mantiene-meta-inflacion-3-para-20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K1:AQ167"/>
  <sheetViews>
    <sheetView showGridLines="0" topLeftCell="M148" zoomScale="115" zoomScaleNormal="115" workbookViewId="0">
      <selection activeCell="V153" sqref="V153"/>
    </sheetView>
  </sheetViews>
  <sheetFormatPr baseColWidth="10" defaultRowHeight="12.75"/>
  <cols>
    <col min="11" max="11" width="24.85546875" bestFit="1" customWidth="1"/>
    <col min="12" max="12" width="34.7109375" customWidth="1"/>
    <col min="20" max="21" width="12.7109375" customWidth="1"/>
    <col min="22" max="22" width="18.42578125" bestFit="1" customWidth="1"/>
    <col min="23" max="30" width="12.7109375" customWidth="1"/>
  </cols>
  <sheetData>
    <row r="1" spans="12:43">
      <c r="AQ1">
        <v>2018</v>
      </c>
    </row>
    <row r="2" spans="12:43">
      <c r="L2" s="350" t="s">
        <v>399</v>
      </c>
      <c r="AQ2">
        <f>+AQ1+1</f>
        <v>2019</v>
      </c>
    </row>
    <row r="3" spans="12:43">
      <c r="AQ3">
        <f t="shared" ref="AQ3:AQ13" si="0">+AQ2+1</f>
        <v>2020</v>
      </c>
    </row>
    <row r="4" spans="12:43">
      <c r="AQ4">
        <f t="shared" si="0"/>
        <v>2021</v>
      </c>
    </row>
    <row r="5" spans="12:43">
      <c r="AQ5">
        <f t="shared" si="0"/>
        <v>2022</v>
      </c>
    </row>
    <row r="6" spans="12:43">
      <c r="AQ6">
        <f t="shared" si="0"/>
        <v>2023</v>
      </c>
    </row>
    <row r="7" spans="12:43">
      <c r="AQ7">
        <f t="shared" si="0"/>
        <v>2024</v>
      </c>
    </row>
    <row r="8" spans="12:43">
      <c r="AF8" s="355">
        <v>2022</v>
      </c>
      <c r="AQ8">
        <f t="shared" si="0"/>
        <v>2025</v>
      </c>
    </row>
    <row r="9" spans="12:43">
      <c r="AQ9">
        <f t="shared" si="0"/>
        <v>2026</v>
      </c>
    </row>
    <row r="10" spans="12:43">
      <c r="AQ10">
        <f t="shared" si="0"/>
        <v>2027</v>
      </c>
    </row>
    <row r="11" spans="12:43">
      <c r="AQ11">
        <f t="shared" si="0"/>
        <v>2028</v>
      </c>
    </row>
    <row r="12" spans="12:43">
      <c r="AQ12">
        <f t="shared" si="0"/>
        <v>2029</v>
      </c>
    </row>
    <row r="13" spans="12:43">
      <c r="AQ13">
        <f t="shared" si="0"/>
        <v>2030</v>
      </c>
    </row>
    <row r="26" spans="12:22" ht="18" customHeight="1">
      <c r="M26" s="353">
        <v>2017</v>
      </c>
      <c r="N26" s="353">
        <v>2018</v>
      </c>
      <c r="O26" s="353">
        <v>2019</v>
      </c>
      <c r="P26" s="353">
        <v>2020</v>
      </c>
      <c r="Q26" s="353">
        <v>2021</v>
      </c>
      <c r="R26" s="353">
        <v>2022</v>
      </c>
      <c r="S26" s="353">
        <v>2023</v>
      </c>
    </row>
    <row r="27" spans="12:22" ht="15" customHeight="1" thickBot="1">
      <c r="L27" s="352" t="s">
        <v>284</v>
      </c>
      <c r="M27" s="354">
        <v>4.0899999999999999E-2</v>
      </c>
      <c r="N27" s="354">
        <v>3.1800000000000002E-2</v>
      </c>
      <c r="O27" s="354">
        <v>3.7999999999999999E-2</v>
      </c>
      <c r="P27" s="354">
        <v>1.61E-2</v>
      </c>
      <c r="Q27" s="354">
        <v>5.62E-2</v>
      </c>
      <c r="R27" s="354">
        <v>0.13120000000000001</v>
      </c>
      <c r="S27" s="354">
        <f>9.28%</f>
        <v>9.2799999999999994E-2</v>
      </c>
      <c r="V27" s="491" t="s">
        <v>400</v>
      </c>
    </row>
    <row r="28" spans="12:22" ht="13.5" thickBot="1">
      <c r="V28" s="486">
        <v>2024</v>
      </c>
    </row>
    <row r="29" spans="12:22">
      <c r="L29" s="356" t="s">
        <v>295</v>
      </c>
      <c r="M29" s="357"/>
      <c r="N29" s="357"/>
      <c r="O29" s="357"/>
      <c r="P29" s="357"/>
      <c r="Q29" s="383" t="s">
        <v>299</v>
      </c>
    </row>
    <row r="30" spans="12:22">
      <c r="L30" s="355"/>
    </row>
    <row r="31" spans="12:22" ht="13.5" thickBot="1">
      <c r="L31" s="650"/>
      <c r="M31" s="650"/>
      <c r="N31" s="649" t="s">
        <v>288</v>
      </c>
      <c r="O31" s="649"/>
      <c r="P31" s="649"/>
    </row>
    <row r="32" spans="12:22" ht="14.25" customHeight="1" thickBot="1">
      <c r="L32" s="359" t="s">
        <v>290</v>
      </c>
      <c r="M32" s="364" t="s">
        <v>289</v>
      </c>
      <c r="N32" s="364">
        <v>2018</v>
      </c>
      <c r="O32" s="364">
        <v>2019</v>
      </c>
      <c r="P32" s="364">
        <v>2020</v>
      </c>
      <c r="Q32" s="364">
        <v>2021</v>
      </c>
      <c r="R32" s="364">
        <v>2022</v>
      </c>
      <c r="S32" s="479">
        <v>2023</v>
      </c>
      <c r="T32" s="481">
        <v>2024</v>
      </c>
      <c r="V32" s="481">
        <f t="shared" ref="V32:V38" si="1">+_xlfn.XLOOKUP($V$28,$N$32:$T$32,N32:T32,"-",0)</f>
        <v>2024</v>
      </c>
    </row>
    <row r="33" spans="12:22" ht="13.7" customHeight="1">
      <c r="L33" s="360" t="s">
        <v>285</v>
      </c>
      <c r="M33" s="365">
        <v>490</v>
      </c>
      <c r="N33" s="363">
        <f>+M33*(1+$M$27)</f>
        <v>510.041</v>
      </c>
      <c r="O33" s="363">
        <f>+N33*(1+$N$27)</f>
        <v>526.26030379999997</v>
      </c>
      <c r="P33" s="392">
        <f>+O33*(1+$O$27)</f>
        <v>546.25819534439995</v>
      </c>
      <c r="Q33" s="363">
        <f t="shared" ref="Q33:Q38" si="2">+P33*(1+$P$27)</f>
        <v>555.05295228944476</v>
      </c>
      <c r="R33" s="363">
        <f t="shared" ref="R33:R37" si="3">+Q33*(1+$Q$27)</f>
        <v>586.24692820811163</v>
      </c>
      <c r="S33" s="480">
        <f>+ROUND(R33*(1+$R$27),2)</f>
        <v>663.16</v>
      </c>
      <c r="T33" s="484">
        <f>+ROUND(S33*(1+$S$27),2)</f>
        <v>724.7</v>
      </c>
      <c r="V33" s="488">
        <f t="shared" si="1"/>
        <v>724.7</v>
      </c>
    </row>
    <row r="34" spans="12:22" ht="13.7" customHeight="1">
      <c r="L34" s="360" t="s">
        <v>286</v>
      </c>
      <c r="M34" s="365">
        <v>930</v>
      </c>
      <c r="N34" s="363">
        <f>+M34*(1+$M$27)</f>
        <v>968.03699999999992</v>
      </c>
      <c r="O34" s="363">
        <f>+N34*(1+$N$27)</f>
        <v>998.82057659999998</v>
      </c>
      <c r="P34" s="392">
        <f>+O34*(1+$O$27)</f>
        <v>1036.7757585108</v>
      </c>
      <c r="Q34" s="363">
        <f t="shared" si="2"/>
        <v>1053.4678482228239</v>
      </c>
      <c r="R34" s="363">
        <f t="shared" si="3"/>
        <v>1112.6727412929467</v>
      </c>
      <c r="S34" s="480">
        <f>+ROUND(R34*(1+$R$27),2)</f>
        <v>1258.6600000000001</v>
      </c>
      <c r="T34" s="484">
        <f t="shared" ref="T34:T36" si="4">+ROUND(S34*(1+$S$27),2)</f>
        <v>1375.46</v>
      </c>
      <c r="V34" s="489">
        <f t="shared" si="1"/>
        <v>1375.46</v>
      </c>
    </row>
    <row r="35" spans="12:22" ht="13.7" customHeight="1">
      <c r="L35" s="360" t="s">
        <v>16</v>
      </c>
      <c r="M35" s="365">
        <v>469</v>
      </c>
      <c r="N35" s="363">
        <f>+M35*(1+$M$27)</f>
        <v>488.18209999999999</v>
      </c>
      <c r="O35" s="363">
        <f>+N35*(1+$N$27)</f>
        <v>503.70629078000002</v>
      </c>
      <c r="P35" s="392">
        <f>+O35*(1+$O$27)</f>
        <v>522.84712982964004</v>
      </c>
      <c r="Q35" s="363">
        <v>531.27</v>
      </c>
      <c r="R35" s="363">
        <v>561.12</v>
      </c>
      <c r="S35" s="480">
        <f>+ROUND(R35*(1+R27),2)</f>
        <v>634.74</v>
      </c>
      <c r="T35" s="484">
        <f>+ROUND(S35*(1+$S$27)+0.01,2)</f>
        <v>693.65</v>
      </c>
      <c r="V35" s="489">
        <f t="shared" si="1"/>
        <v>693.65</v>
      </c>
    </row>
    <row r="36" spans="12:22" ht="13.7" customHeight="1">
      <c r="L36" s="360" t="s">
        <v>287</v>
      </c>
      <c r="M36" s="365">
        <v>490</v>
      </c>
      <c r="N36" s="363">
        <f>+M36*(1+$M$27)</f>
        <v>510.041</v>
      </c>
      <c r="O36" s="363">
        <f>+N36*(1+$N$27)</f>
        <v>526.26030379999997</v>
      </c>
      <c r="P36" s="392">
        <f>+O36*(1+$O$27)</f>
        <v>546.25819534439995</v>
      </c>
      <c r="Q36" s="363">
        <f t="shared" si="2"/>
        <v>555.05295228944476</v>
      </c>
      <c r="R36" s="363">
        <f t="shared" si="3"/>
        <v>586.24692820811163</v>
      </c>
      <c r="S36" s="480">
        <f>+ROUND(R36*(1+$R$27),2)</f>
        <v>663.16</v>
      </c>
      <c r="T36" s="484">
        <f t="shared" si="4"/>
        <v>724.7</v>
      </c>
      <c r="V36" s="489">
        <f t="shared" si="1"/>
        <v>724.7</v>
      </c>
    </row>
    <row r="37" spans="12:22" ht="13.7" customHeight="1">
      <c r="L37" s="360" t="s">
        <v>246</v>
      </c>
      <c r="M37" s="365"/>
      <c r="N37" s="363">
        <v>478.42</v>
      </c>
      <c r="O37" s="363">
        <v>493.63</v>
      </c>
      <c r="P37" s="392">
        <v>512.39</v>
      </c>
      <c r="Q37" s="363">
        <f t="shared" si="2"/>
        <v>520.63947899999994</v>
      </c>
      <c r="R37" s="363">
        <f t="shared" si="3"/>
        <v>549.8994177198</v>
      </c>
      <c r="S37" s="480">
        <f>+ROUND(R37*(1+$R$27),2)</f>
        <v>622.04999999999995</v>
      </c>
      <c r="T37" s="484">
        <f>+ROUND(S37*(1+$S$27)-0.01,2)</f>
        <v>679.77</v>
      </c>
      <c r="V37" s="489">
        <f t="shared" si="1"/>
        <v>679.77</v>
      </c>
    </row>
    <row r="38" spans="12:22" ht="13.7" customHeight="1" thickBot="1">
      <c r="L38" s="360" t="s">
        <v>292</v>
      </c>
      <c r="M38" s="365"/>
      <c r="N38" s="363">
        <v>622.20000000000005</v>
      </c>
      <c r="O38" s="363">
        <v>641.99</v>
      </c>
      <c r="P38" s="392">
        <v>666.38</v>
      </c>
      <c r="Q38" s="363">
        <f t="shared" si="2"/>
        <v>677.10871799999995</v>
      </c>
      <c r="R38" s="363">
        <f>+Q38*(1+$Q$27)+0.01</f>
        <v>715.17222795160001</v>
      </c>
      <c r="S38" s="480">
        <f>+ROUND(R38*(1+$R$27),0)</f>
        <v>809</v>
      </c>
      <c r="T38" s="485">
        <f>+ROUND(S38*(1+$S$27)-0.01,2)</f>
        <v>884.07</v>
      </c>
      <c r="V38" s="490">
        <f t="shared" si="1"/>
        <v>884.07</v>
      </c>
    </row>
    <row r="39" spans="12:22">
      <c r="O39" s="363"/>
    </row>
    <row r="40" spans="12:22">
      <c r="O40" s="482"/>
    </row>
    <row r="41" spans="12:22">
      <c r="O41" s="482"/>
    </row>
    <row r="42" spans="12:22">
      <c r="O42" s="482"/>
    </row>
    <row r="43" spans="12:22">
      <c r="O43" s="482"/>
    </row>
    <row r="44" spans="12:22">
      <c r="O44" s="482"/>
    </row>
    <row r="45" spans="12:22">
      <c r="O45" s="482"/>
    </row>
    <row r="46" spans="12:22">
      <c r="O46" s="482"/>
    </row>
    <row r="47" spans="12:22">
      <c r="O47" s="482"/>
    </row>
    <row r="48" spans="12:22">
      <c r="O48" s="482"/>
    </row>
    <row r="49" spans="12:17">
      <c r="O49" s="482"/>
    </row>
    <row r="50" spans="12:17">
      <c r="O50" s="482"/>
    </row>
    <row r="51" spans="12:17">
      <c r="O51" s="482"/>
    </row>
    <row r="52" spans="12:17">
      <c r="O52" s="482"/>
    </row>
    <row r="53" spans="12:17">
      <c r="O53" s="482"/>
    </row>
    <row r="54" spans="12:17">
      <c r="O54" s="482"/>
    </row>
    <row r="55" spans="12:17">
      <c r="O55" s="482"/>
    </row>
    <row r="56" spans="12:17">
      <c r="O56" s="482"/>
    </row>
    <row r="57" spans="12:17">
      <c r="O57" s="482"/>
    </row>
    <row r="58" spans="12:17">
      <c r="O58" s="482"/>
    </row>
    <row r="59" spans="12:17">
      <c r="O59" s="482"/>
    </row>
    <row r="60" spans="12:17">
      <c r="L60" s="390"/>
      <c r="M60" s="390"/>
      <c r="N60" s="390"/>
      <c r="O60" s="390"/>
      <c r="P60" s="391"/>
    </row>
    <row r="61" spans="12:17">
      <c r="P61" s="351"/>
    </row>
    <row r="62" spans="12:17">
      <c r="L62" s="356" t="s">
        <v>297</v>
      </c>
      <c r="M62" s="357"/>
      <c r="N62" s="357"/>
      <c r="O62" s="357"/>
      <c r="P62" s="358"/>
      <c r="Q62" s="383" t="s">
        <v>299</v>
      </c>
    </row>
    <row r="63" spans="12:17">
      <c r="P63" s="351"/>
    </row>
    <row r="64" spans="12:17" ht="13.5" thickBot="1">
      <c r="L64" s="368" t="s">
        <v>291</v>
      </c>
      <c r="M64" s="651" t="s">
        <v>288</v>
      </c>
      <c r="N64" s="649"/>
      <c r="O64" s="649"/>
      <c r="P64" s="649"/>
    </row>
    <row r="65" spans="12:22">
      <c r="L65" s="367" t="s">
        <v>290</v>
      </c>
      <c r="M65" s="361">
        <v>2017</v>
      </c>
      <c r="N65" s="361">
        <v>2018</v>
      </c>
      <c r="O65" s="361">
        <v>2019</v>
      </c>
      <c r="P65" s="361">
        <v>2020</v>
      </c>
      <c r="Q65" s="364">
        <v>2021</v>
      </c>
      <c r="R65" s="364">
        <v>2022</v>
      </c>
      <c r="S65" s="364">
        <v>2023</v>
      </c>
      <c r="T65" s="364">
        <v>2024</v>
      </c>
      <c r="V65" s="481">
        <f>+_xlfn.XLOOKUP($V$28,$N$32:$T$32,N65:T65,"-",0)</f>
        <v>2024</v>
      </c>
    </row>
    <row r="66" spans="12:22">
      <c r="L66" s="360" t="s">
        <v>285</v>
      </c>
      <c r="M66" s="362">
        <v>965.24</v>
      </c>
      <c r="N66" s="363">
        <f>+M66*(1+$M$27)</f>
        <v>1004.718316</v>
      </c>
      <c r="O66" s="363">
        <f>+N66*(1+$N$27)</f>
        <v>1036.6683584488001</v>
      </c>
      <c r="P66" s="363">
        <f>+O66*(1+$O$27)</f>
        <v>1076.0617560698545</v>
      </c>
      <c r="Q66" s="363">
        <v>1093.3800000000001</v>
      </c>
      <c r="R66" s="363">
        <v>1154.83</v>
      </c>
      <c r="S66" s="363">
        <f>+R66*(1+$R$27)</f>
        <v>1306.3436959999999</v>
      </c>
      <c r="T66" s="435">
        <f>+S66*(1+$S$27)</f>
        <v>1427.5723909888</v>
      </c>
      <c r="V66" s="487">
        <f>+_xlfn.XLOOKUP($V$28,$N$65:$T$65,N66:T66,"-",0)</f>
        <v>1427.5723909888</v>
      </c>
    </row>
    <row r="67" spans="12:22">
      <c r="L67" s="360" t="s">
        <v>286</v>
      </c>
      <c r="M67" s="362">
        <v>1021.31</v>
      </c>
      <c r="N67" s="378">
        <f>+M67*(1+$M$27)</f>
        <v>1063.0815789999999</v>
      </c>
      <c r="O67" s="363">
        <f>+N67*(1+$N$27)</f>
        <v>1096.8875732121999</v>
      </c>
      <c r="P67" s="363">
        <f>+O67*(1+$O$27)</f>
        <v>1138.5693009942636</v>
      </c>
      <c r="Q67" s="363">
        <f>+P67*(1+$P$27)</f>
        <v>1156.9002667402713</v>
      </c>
      <c r="R67" s="363">
        <v>1221.92</v>
      </c>
      <c r="S67" s="363">
        <f>+R67*(1+$R$27)</f>
        <v>1382.2359040000001</v>
      </c>
      <c r="T67" s="435">
        <f t="shared" ref="T67:T68" si="5">+S67*(1+$S$27)</f>
        <v>1510.5073958912001</v>
      </c>
      <c r="V67" s="487">
        <f t="shared" ref="V67:V68" si="6">+_xlfn.XLOOKUP($V$28,$N$65:$T$65,N67:T67,"-",0)</f>
        <v>1510.5073958912001</v>
      </c>
    </row>
    <row r="68" spans="12:22">
      <c r="L68" s="360" t="s">
        <v>16</v>
      </c>
      <c r="M68" s="362">
        <v>639.51</v>
      </c>
      <c r="N68" s="363">
        <f>+M68*(1+$M$27)</f>
        <v>665.66595899999993</v>
      </c>
      <c r="O68" s="363">
        <f>+N68*(1+$N$27)+0.006</f>
        <v>686.84013649619999</v>
      </c>
      <c r="P68" s="363">
        <f>+O68*(1+$O$27)</f>
        <v>712.94006168305566</v>
      </c>
      <c r="Q68" s="363">
        <f>+P68*(1+$P$27)</f>
        <v>724.41839667615284</v>
      </c>
      <c r="R68" s="363">
        <v>765.13</v>
      </c>
      <c r="S68" s="363">
        <v>865.51</v>
      </c>
      <c r="T68" s="435">
        <f t="shared" si="5"/>
        <v>945.82932800000003</v>
      </c>
      <c r="V68" s="487">
        <f t="shared" si="6"/>
        <v>945.82932800000003</v>
      </c>
    </row>
    <row r="82" spans="12:22">
      <c r="L82" s="356" t="s">
        <v>296</v>
      </c>
      <c r="M82" s="357"/>
      <c r="N82" s="357"/>
      <c r="O82" s="357"/>
      <c r="P82" s="357"/>
      <c r="Q82" s="383" t="s">
        <v>307</v>
      </c>
    </row>
    <row r="83" spans="12:22">
      <c r="L83" t="s">
        <v>340</v>
      </c>
    </row>
    <row r="84" spans="12:22">
      <c r="M84" s="647" t="s">
        <v>288</v>
      </c>
      <c r="N84" s="647"/>
      <c r="O84" s="647"/>
      <c r="P84" s="648"/>
    </row>
    <row r="85" spans="12:22" ht="13.5" thickBot="1">
      <c r="N85" s="369"/>
      <c r="O85" s="370"/>
      <c r="P85" s="366"/>
    </row>
    <row r="86" spans="12:22">
      <c r="L86" s="359" t="s">
        <v>290</v>
      </c>
      <c r="M86" s="376">
        <v>2017</v>
      </c>
      <c r="N86" s="377">
        <v>2018</v>
      </c>
      <c r="O86" s="377">
        <v>2019</v>
      </c>
      <c r="P86" s="377">
        <v>2020</v>
      </c>
      <c r="Q86" s="364">
        <v>2021</v>
      </c>
      <c r="R86" s="364">
        <v>2022</v>
      </c>
      <c r="S86" s="364">
        <v>2023</v>
      </c>
      <c r="T86" s="461">
        <v>2024</v>
      </c>
      <c r="V86" s="481">
        <f>+_xlfn.XLOOKUP($V$28,$N$32:$T$32,N86:T86,"-",0)</f>
        <v>2024</v>
      </c>
    </row>
    <row r="87" spans="12:22">
      <c r="L87" s="360" t="s">
        <v>293</v>
      </c>
      <c r="M87" s="373">
        <v>29</v>
      </c>
      <c r="N87" s="373">
        <v>30</v>
      </c>
      <c r="O87" s="373">
        <v>32</v>
      </c>
      <c r="P87" s="373">
        <v>33</v>
      </c>
      <c r="Q87" s="373">
        <v>34</v>
      </c>
      <c r="R87" s="373">
        <v>36</v>
      </c>
      <c r="S87" s="373"/>
      <c r="T87" s="373"/>
      <c r="U87" t="str">
        <f>+L87</f>
        <v>Gas Natural</v>
      </c>
      <c r="V87" s="487">
        <f>+_xlfn.XLOOKUP($V$28,$M$86:$T$86,M87:T87,"-",0)</f>
        <v>0</v>
      </c>
    </row>
    <row r="88" spans="12:22">
      <c r="L88" s="360" t="s">
        <v>294</v>
      </c>
      <c r="M88" s="373">
        <v>95</v>
      </c>
      <c r="N88" s="373">
        <v>100</v>
      </c>
      <c r="O88" s="373">
        <v>104</v>
      </c>
      <c r="P88" s="373">
        <v>109</v>
      </c>
      <c r="Q88" s="373">
        <v>112</v>
      </c>
      <c r="R88" s="373">
        <v>119</v>
      </c>
      <c r="S88" s="373">
        <v>152.91999999999999</v>
      </c>
      <c r="T88" s="373"/>
      <c r="U88" t="str">
        <f>+L88</f>
        <v>GLP</v>
      </c>
      <c r="V88" s="487">
        <f t="shared" ref="V88:V92" si="7">+_xlfn.XLOOKUP($V$28,$M$86:$T$86,M88:T88,"-",0)</f>
        <v>0</v>
      </c>
    </row>
    <row r="89" spans="12:22">
      <c r="L89" s="360" t="s">
        <v>285</v>
      </c>
      <c r="M89" s="375">
        <v>135</v>
      </c>
      <c r="N89" s="375">
        <v>142</v>
      </c>
      <c r="O89" s="375">
        <v>148</v>
      </c>
      <c r="P89" s="375">
        <v>155</v>
      </c>
      <c r="Q89" s="375">
        <v>159</v>
      </c>
      <c r="R89" s="492">
        <v>169</v>
      </c>
      <c r="S89" s="492">
        <v>169</v>
      </c>
      <c r="T89" s="492">
        <f>+ROUND(S89*(1+$S$27+1%),2)</f>
        <v>186.37</v>
      </c>
      <c r="U89" t="str">
        <f t="shared" ref="U89:U93" si="8">+L89</f>
        <v>GMC</v>
      </c>
      <c r="V89" s="487">
        <f t="shared" si="7"/>
        <v>186.37</v>
      </c>
    </row>
    <row r="90" spans="12:22">
      <c r="L90" s="360" t="s">
        <v>341</v>
      </c>
      <c r="M90" s="373">
        <v>148</v>
      </c>
      <c r="N90" s="373">
        <v>156</v>
      </c>
      <c r="O90" s="373">
        <v>162</v>
      </c>
      <c r="P90" s="373">
        <v>170</v>
      </c>
      <c r="Q90" s="373">
        <v>174</v>
      </c>
      <c r="R90" s="373">
        <v>186</v>
      </c>
      <c r="S90" s="373">
        <v>230.52</v>
      </c>
      <c r="T90" s="373">
        <v>254.22</v>
      </c>
      <c r="U90" t="str">
        <f t="shared" si="8"/>
        <v>Jet</v>
      </c>
      <c r="V90" s="487">
        <f t="shared" si="7"/>
        <v>254.22</v>
      </c>
    </row>
    <row r="91" spans="12:22">
      <c r="L91" s="360" t="s">
        <v>16</v>
      </c>
      <c r="M91" s="375">
        <v>152</v>
      </c>
      <c r="N91" s="375">
        <v>160</v>
      </c>
      <c r="O91" s="375">
        <v>166</v>
      </c>
      <c r="P91" s="375">
        <v>174</v>
      </c>
      <c r="Q91" s="375">
        <v>179</v>
      </c>
      <c r="R91" s="492">
        <v>191</v>
      </c>
      <c r="S91" s="492">
        <v>191</v>
      </c>
      <c r="T91" s="492">
        <f>+ROUND(S91*(1+$S$27+1%),2)</f>
        <v>210.63</v>
      </c>
      <c r="U91" t="str">
        <f t="shared" si="8"/>
        <v>ACPM</v>
      </c>
      <c r="V91" s="487">
        <f t="shared" si="7"/>
        <v>210.63</v>
      </c>
    </row>
    <row r="92" spans="12:22">
      <c r="L92" s="360" t="s">
        <v>238</v>
      </c>
      <c r="M92" s="373">
        <v>177</v>
      </c>
      <c r="N92" s="373">
        <v>186</v>
      </c>
      <c r="O92" s="373">
        <v>194</v>
      </c>
      <c r="P92" s="373">
        <v>203</v>
      </c>
      <c r="Q92" s="373">
        <v>208</v>
      </c>
      <c r="R92" s="373">
        <v>222</v>
      </c>
      <c r="S92" s="373">
        <v>271.61</v>
      </c>
      <c r="T92" s="373">
        <v>299.52999999999997</v>
      </c>
      <c r="U92" t="str">
        <f t="shared" si="8"/>
        <v>Fuel Oil</v>
      </c>
      <c r="V92" s="487">
        <f t="shared" si="7"/>
        <v>299.52999999999997</v>
      </c>
    </row>
    <row r="93" spans="12:22">
      <c r="L93" s="371" t="s">
        <v>298</v>
      </c>
      <c r="M93" s="372">
        <v>15000</v>
      </c>
      <c r="N93" s="372">
        <v>15764</v>
      </c>
      <c r="O93" s="372">
        <v>16422</v>
      </c>
      <c r="P93" s="372">
        <v>17211</v>
      </c>
      <c r="Q93" s="372">
        <v>17660</v>
      </c>
      <c r="R93" s="372">
        <v>18829</v>
      </c>
      <c r="S93" s="372">
        <v>23394.6</v>
      </c>
      <c r="T93" s="372">
        <f>+ROUND(S93*(1+$S$27+1%),2)</f>
        <v>25799.56</v>
      </c>
      <c r="U93" t="str">
        <f t="shared" si="8"/>
        <v>Tarifa $/ton CO2</v>
      </c>
      <c r="V93" s="487"/>
    </row>
    <row r="94" spans="12:22">
      <c r="N94" s="379">
        <f>+N93/M93</f>
        <v>1.0509333333333333</v>
      </c>
      <c r="O94" s="379">
        <f>+O93/N93</f>
        <v>1.0417406749555951</v>
      </c>
      <c r="P94" s="379">
        <f>+P93/O93</f>
        <v>1.0480453050785532</v>
      </c>
      <c r="Q94" s="379">
        <f>+Q93/P93</f>
        <v>1.0260879669978502</v>
      </c>
      <c r="R94" s="379">
        <f>+R93/Q93</f>
        <v>1.0661947904869762</v>
      </c>
      <c r="T94" s="379"/>
      <c r="U94" s="388"/>
    </row>
    <row r="95" spans="12:22">
      <c r="N95" s="483"/>
      <c r="O95" s="483"/>
      <c r="P95" s="483"/>
      <c r="Q95" s="483"/>
      <c r="R95" s="379"/>
      <c r="S95" s="379"/>
      <c r="T95" s="379"/>
    </row>
    <row r="96" spans="12:22">
      <c r="L96" s="351"/>
      <c r="S96" s="379"/>
    </row>
    <row r="97" spans="12:12">
      <c r="L97" s="351"/>
    </row>
    <row r="98" spans="12:12">
      <c r="L98" s="351"/>
    </row>
    <row r="99" spans="12:12">
      <c r="L99" s="351"/>
    </row>
    <row r="100" spans="12:12">
      <c r="L100" s="351"/>
    </row>
    <row r="126" spans="12:16">
      <c r="L126" s="356" t="s">
        <v>301</v>
      </c>
      <c r="M126" s="357"/>
      <c r="N126" s="357"/>
      <c r="O126" s="357"/>
      <c r="P126" s="357"/>
    </row>
    <row r="128" spans="12:16">
      <c r="L128" s="351" t="s">
        <v>321</v>
      </c>
    </row>
    <row r="145" spans="11:22">
      <c r="L145" s="356" t="s">
        <v>302</v>
      </c>
      <c r="M145" s="357"/>
      <c r="N145" s="357"/>
      <c r="O145" s="357"/>
      <c r="P145" s="357"/>
    </row>
    <row r="147" spans="11:22">
      <c r="L147" s="351" t="s">
        <v>303</v>
      </c>
    </row>
    <row r="149" spans="11:22" ht="13.5" thickBot="1"/>
    <row r="150" spans="11:22">
      <c r="K150" s="359" t="s">
        <v>290</v>
      </c>
      <c r="L150" s="376">
        <v>2014</v>
      </c>
      <c r="M150" s="377">
        <v>2017</v>
      </c>
      <c r="N150" s="377">
        <v>2018</v>
      </c>
      <c r="O150" s="377">
        <v>2019</v>
      </c>
      <c r="P150" s="361">
        <v>2020</v>
      </c>
      <c r="Q150" s="361">
        <v>2021</v>
      </c>
      <c r="R150" s="361">
        <v>2022</v>
      </c>
      <c r="S150" s="361">
        <v>2023</v>
      </c>
      <c r="T150" s="432">
        <v>2024</v>
      </c>
      <c r="U150" s="432"/>
      <c r="V150" s="481">
        <v>2025</v>
      </c>
    </row>
    <row r="151" spans="11:22">
      <c r="K151" s="360" t="s">
        <v>304</v>
      </c>
      <c r="L151" s="385">
        <v>6.82</v>
      </c>
      <c r="M151" s="373"/>
      <c r="N151" s="373"/>
      <c r="O151" s="374"/>
      <c r="P151" s="374"/>
      <c r="Q151" s="374"/>
      <c r="R151" s="374"/>
      <c r="S151" s="423"/>
      <c r="T151" s="433"/>
      <c r="V151" s="487"/>
    </row>
    <row r="152" spans="11:22">
      <c r="K152" s="360" t="s">
        <v>305</v>
      </c>
      <c r="L152" s="385">
        <v>3.7</v>
      </c>
      <c r="M152" s="386"/>
      <c r="N152" s="386"/>
      <c r="O152" s="387"/>
      <c r="P152" s="387"/>
      <c r="Q152" s="387"/>
      <c r="R152" s="387"/>
      <c r="S152" s="424"/>
      <c r="T152" s="434"/>
      <c r="V152" s="487"/>
    </row>
    <row r="153" spans="11:22">
      <c r="K153" s="360" t="s">
        <v>306</v>
      </c>
      <c r="L153" s="386"/>
      <c r="M153" s="386">
        <v>7.45</v>
      </c>
      <c r="N153" s="386">
        <f>7.45*(1+3%)</f>
        <v>7.6735000000000007</v>
      </c>
      <c r="O153" s="386">
        <f>+N153*(1+3%)</f>
        <v>7.9037050000000013</v>
      </c>
      <c r="P153" s="389">
        <f>+O153*(1+3%)</f>
        <v>8.1408161500000009</v>
      </c>
      <c r="Q153" s="386">
        <f>+ROUND(ROUND(P153,2)*(1+3%),4)</f>
        <v>8.3841999999999999</v>
      </c>
      <c r="R153" s="386">
        <f>+ROUND(Q153,2)*(1+3%)</f>
        <v>8.6314000000000011</v>
      </c>
      <c r="S153" s="422">
        <v>8.89</v>
      </c>
      <c r="T153" s="422">
        <v>9.16</v>
      </c>
      <c r="V153" s="487">
        <v>9.43</v>
      </c>
    </row>
    <row r="154" spans="11:22">
      <c r="K154" s="360"/>
      <c r="L154" s="385"/>
      <c r="M154" s="386"/>
      <c r="N154" s="386"/>
      <c r="O154" s="386"/>
      <c r="P154" s="387"/>
      <c r="Q154" s="387"/>
      <c r="R154" s="387"/>
      <c r="S154" s="424"/>
      <c r="T154" s="422"/>
    </row>
    <row r="155" spans="11:22">
      <c r="Q155" s="388"/>
    </row>
    <row r="156" spans="11:22">
      <c r="L156" s="350" t="s">
        <v>328</v>
      </c>
      <c r="N156" s="388"/>
    </row>
    <row r="159" spans="11:22">
      <c r="L159" s="355" t="s">
        <v>310</v>
      </c>
    </row>
    <row r="160" spans="11:22">
      <c r="L160" s="400" t="s">
        <v>309</v>
      </c>
    </row>
    <row r="167" spans="11:11">
      <c r="K167" s="351" t="s">
        <v>402</v>
      </c>
    </row>
  </sheetData>
  <mergeCells count="4">
    <mergeCell ref="M84:P84"/>
    <mergeCell ref="N31:P31"/>
    <mergeCell ref="L31:M31"/>
    <mergeCell ref="M64:P64"/>
  </mergeCells>
  <dataValidations count="1">
    <dataValidation type="list" allowBlank="1" showInputMessage="1" showErrorMessage="1" sqref="V28" xr:uid="{AB220424-2014-4962-871E-63662D2B12E0}">
      <formula1>$AQ$1:$AQ$13</formula1>
    </dataValidation>
  </dataValidations>
  <hyperlinks>
    <hyperlink ref="L156" r:id="rId1" xr:uid="{2ACC0BBF-1320-49F0-94C1-0D77CE3EE7A3}"/>
  </hyperlinks>
  <pageMargins left="0.7" right="0.7" top="0.75" bottom="0.75" header="0.3" footer="0.3"/>
  <pageSetup orientation="portrait" verticalDpi="300" r:id="rId2"/>
  <ignoredErrors>
    <ignoredError sqref="V86" formulaRange="1"/>
  </ignoredError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0EAF8-67C4-44FB-B70C-9085861E669B}">
  <sheetPr codeName="Hoja9">
    <pageSetUpPr fitToPage="1"/>
  </sheetPr>
  <dimension ref="A1:AW46"/>
  <sheetViews>
    <sheetView showGridLines="0" zoomScale="85" zoomScaleNormal="85" workbookViewId="0">
      <selection sqref="A1:I1"/>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14" width="7.85546875" style="5"/>
    <col min="15" max="15" width="13.85546875" style="5" bestFit="1" customWidth="1"/>
    <col min="16" max="16" width="9.5703125" style="5" bestFit="1" customWidth="1"/>
    <col min="17" max="26" width="7.85546875" style="5"/>
    <col min="27" max="27" width="18.28515625" style="5" bestFit="1" customWidth="1"/>
    <col min="28" max="28" width="18" style="5" bestFit="1" customWidth="1"/>
    <col min="29" max="29" width="22.140625" style="5" bestFit="1" customWidth="1"/>
    <col min="30" max="30" width="20" style="5" bestFit="1" customWidth="1"/>
    <col min="31" max="31" width="6.5703125" style="5" bestFit="1" customWidth="1"/>
    <col min="32" max="32" width="7.140625" style="5" bestFit="1" customWidth="1"/>
    <col min="33" max="33" width="5.28515625" style="5" bestFit="1" customWidth="1"/>
    <col min="34" max="34" width="18.140625" style="5" bestFit="1" customWidth="1"/>
    <col min="35" max="35" width="11.85546875" style="5" bestFit="1" customWidth="1"/>
    <col min="36" max="36" width="15.42578125" style="5" bestFit="1" customWidth="1"/>
    <col min="37" max="37" width="17.7109375" style="5" bestFit="1" customWidth="1"/>
    <col min="38" max="38" width="7.42578125" style="5" bestFit="1" customWidth="1"/>
    <col min="39" max="39" width="10.140625" style="5" bestFit="1" customWidth="1"/>
    <col min="40" max="40" width="24.5703125" style="5" bestFit="1" customWidth="1"/>
    <col min="41" max="41" width="12.42578125" style="5" bestFit="1" customWidth="1"/>
    <col min="42" max="42" width="10.85546875" style="5" bestFit="1" customWidth="1"/>
    <col min="43" max="43" width="20" style="5" bestFit="1" customWidth="1"/>
    <col min="44" max="44" width="14.28515625" style="5" bestFit="1" customWidth="1"/>
    <col min="45" max="45" width="17.28515625" style="5" bestFit="1" customWidth="1"/>
    <col min="46" max="46" width="16.42578125" style="5" bestFit="1" customWidth="1"/>
    <col min="47" max="47" width="11" style="5" bestFit="1" customWidth="1"/>
    <col min="48" max="48" width="9.85546875" style="5" customWidth="1"/>
    <col min="49" max="16384" width="7.85546875" style="5"/>
  </cols>
  <sheetData>
    <row r="1" spans="1:49"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9"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10128.02</v>
      </c>
      <c r="AQ2" s="576" t="s">
        <v>373</v>
      </c>
      <c r="AR2" s="572">
        <v>1</v>
      </c>
      <c r="AS2" s="572" t="s">
        <v>374</v>
      </c>
      <c r="AT2" s="576" t="s">
        <v>395</v>
      </c>
      <c r="AU2" s="574" t="str">
        <f t="shared" ref="AU2:AU7" si="0">+TEXT($B$4,"DD.MM.YYYY")</f>
        <v>31.08.2024</v>
      </c>
      <c r="AV2" s="574" t="str">
        <f t="shared" ref="AV2:AV7" si="1">+TEXT($G$4,"DD.MM.YYYY")</f>
        <v>02.09.2024</v>
      </c>
      <c r="AW2" s="5"/>
    </row>
    <row r="3" spans="1:49"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10510.3</v>
      </c>
      <c r="AQ3" s="576" t="s">
        <v>373</v>
      </c>
      <c r="AR3" s="572">
        <v>1</v>
      </c>
      <c r="AS3" s="572" t="s">
        <v>374</v>
      </c>
      <c r="AT3" s="576" t="s">
        <v>395</v>
      </c>
      <c r="AU3" s="574" t="str">
        <f t="shared" si="0"/>
        <v>31.08.2024</v>
      </c>
      <c r="AV3" s="574" t="str">
        <f t="shared" si="1"/>
        <v>02.09.2024</v>
      </c>
    </row>
    <row r="4" spans="1:49" ht="18.75">
      <c r="A4" s="600" t="s">
        <v>421</v>
      </c>
      <c r="B4" s="599">
        <v>45535</v>
      </c>
      <c r="C4" s="585"/>
      <c r="D4" s="598"/>
      <c r="F4" s="579" t="s">
        <v>422</v>
      </c>
      <c r="G4" s="599">
        <v>45537</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10043.719999999999</v>
      </c>
      <c r="AQ4" s="576" t="s">
        <v>373</v>
      </c>
      <c r="AR4" s="572">
        <v>1</v>
      </c>
      <c r="AS4" s="572" t="s">
        <v>374</v>
      </c>
      <c r="AT4" s="576" t="s">
        <v>395</v>
      </c>
      <c r="AU4" s="574" t="str">
        <f t="shared" si="0"/>
        <v>31.08.2024</v>
      </c>
      <c r="AV4" s="574" t="str">
        <f t="shared" si="1"/>
        <v>02.09.2024</v>
      </c>
    </row>
    <row r="5" spans="1:49" ht="15.75" thickBot="1">
      <c r="A5" s="597"/>
      <c r="B5" s="596">
        <v>0</v>
      </c>
      <c r="C5" s="596">
        <v>0.02</v>
      </c>
      <c r="D5" s="596">
        <v>0</v>
      </c>
      <c r="E5" s="596">
        <v>0.02</v>
      </c>
      <c r="F5" s="596">
        <v>0</v>
      </c>
      <c r="G5" s="595">
        <v>0.02</v>
      </c>
      <c r="H5" s="595">
        <v>0</v>
      </c>
      <c r="I5" s="595">
        <v>0.02</v>
      </c>
      <c r="J5" s="596">
        <v>0</v>
      </c>
      <c r="K5" s="584">
        <v>0</v>
      </c>
      <c r="AA5" s="594" t="s">
        <v>371</v>
      </c>
      <c r="AB5" s="594">
        <v>929</v>
      </c>
      <c r="AC5" s="594" t="s">
        <v>372</v>
      </c>
      <c r="AD5" s="594"/>
      <c r="AE5" s="594"/>
      <c r="AF5" s="594">
        <v>2000</v>
      </c>
      <c r="AG5" s="594"/>
      <c r="AH5" s="594"/>
      <c r="AI5" s="594"/>
      <c r="AJ5" s="594"/>
      <c r="AK5" s="594"/>
      <c r="AL5" s="594"/>
      <c r="AM5" s="594" t="s">
        <v>393</v>
      </c>
      <c r="AN5" s="594"/>
      <c r="AO5" s="594">
        <v>30000009291</v>
      </c>
      <c r="AP5" s="593">
        <f>+ROUND($F$7*98%,2)</f>
        <v>10128.02</v>
      </c>
      <c r="AQ5" s="592" t="s">
        <v>373</v>
      </c>
      <c r="AR5" s="594">
        <v>1</v>
      </c>
      <c r="AS5" s="594" t="s">
        <v>374</v>
      </c>
      <c r="AT5" s="592" t="s">
        <v>395</v>
      </c>
      <c r="AU5" s="591" t="str">
        <f t="shared" si="0"/>
        <v>31.08.2024</v>
      </c>
      <c r="AV5" s="591" t="str">
        <f t="shared" si="1"/>
        <v>02.09.2024</v>
      </c>
    </row>
    <row r="6" spans="1:49"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10510.3</v>
      </c>
      <c r="AQ6" s="592" t="s">
        <v>373</v>
      </c>
      <c r="AR6" s="594">
        <v>1</v>
      </c>
      <c r="AS6" s="594" t="s">
        <v>374</v>
      </c>
      <c r="AT6" s="592" t="s">
        <v>395</v>
      </c>
      <c r="AU6" s="591" t="str">
        <f t="shared" si="0"/>
        <v>31.08.2024</v>
      </c>
      <c r="AV6" s="591" t="str">
        <f t="shared" si="1"/>
        <v>02.09.2024</v>
      </c>
    </row>
    <row r="7" spans="1:49" ht="27.6" customHeight="1">
      <c r="A7" s="70" t="s">
        <v>200</v>
      </c>
      <c r="B7" s="562">
        <v>10248.69</v>
      </c>
      <c r="C7" s="565">
        <f>+B7</f>
        <v>10248.69</v>
      </c>
      <c r="D7" s="562">
        <v>10248.69</v>
      </c>
      <c r="E7" s="565">
        <f>+D7</f>
        <v>10248.69</v>
      </c>
      <c r="F7" s="562">
        <v>10334.709999999999</v>
      </c>
      <c r="G7" s="565">
        <f>+F7</f>
        <v>10334.709999999999</v>
      </c>
      <c r="H7" s="562">
        <v>10724.8</v>
      </c>
      <c r="I7" s="565">
        <f>+H7</f>
        <v>10724.8</v>
      </c>
      <c r="J7" s="565">
        <f>+B7</f>
        <v>10248.69</v>
      </c>
      <c r="K7" s="564">
        <f>+J7</f>
        <v>10248.69</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10043.719999999999</v>
      </c>
      <c r="AQ7" s="592" t="s">
        <v>373</v>
      </c>
      <c r="AR7" s="594">
        <v>1</v>
      </c>
      <c r="AS7" s="594" t="s">
        <v>374</v>
      </c>
      <c r="AT7" s="592" t="s">
        <v>395</v>
      </c>
      <c r="AU7" s="591" t="str">
        <f t="shared" si="0"/>
        <v>31.08.2024</v>
      </c>
      <c r="AV7" s="591" t="str">
        <f t="shared" si="1"/>
        <v>02.09.2024</v>
      </c>
    </row>
    <row r="8" spans="1:49" ht="27.6" customHeight="1">
      <c r="A8" s="232" t="s">
        <v>407</v>
      </c>
      <c r="B8" s="349">
        <f>+D8</f>
        <v>0</v>
      </c>
      <c r="C8" s="224">
        <f>+BIODIESEL!$B$7</f>
        <v>21572.3</v>
      </c>
      <c r="D8" s="246">
        <v>0</v>
      </c>
      <c r="E8" s="224">
        <f>+BIODIESEL!$B$7</f>
        <v>21572.3</v>
      </c>
      <c r="F8" s="349">
        <v>0</v>
      </c>
      <c r="G8" s="224">
        <f>+BIODIESEL!$B$7</f>
        <v>21572.3</v>
      </c>
      <c r="H8" s="349">
        <v>0</v>
      </c>
      <c r="I8" s="224">
        <v>17266.965714285714</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ref="AU8:AU11" si="2">+TEXT($B$4,"DD.MM.YYYY")</f>
        <v>31.08.2024</v>
      </c>
      <c r="AV8" s="574" t="str">
        <f t="shared" ref="AV8:AV11" si="3">+TEXT($G$4,"DD.MM.YYYY")</f>
        <v>02.09.2024</v>
      </c>
    </row>
    <row r="9" spans="1:49" ht="35.450000000000003" customHeight="1">
      <c r="A9" s="248" t="s">
        <v>139</v>
      </c>
      <c r="B9" s="224">
        <f>+ROUND(B8*B5,2)+B7*(1-B5)</f>
        <v>10248.69</v>
      </c>
      <c r="C9" s="224">
        <f>+ROUND(C8*C5,2)+C7*(1-C5)</f>
        <v>10475.166200000001</v>
      </c>
      <c r="D9" s="247">
        <f>+D8*D5+D7*(1-D5)</f>
        <v>10248.69</v>
      </c>
      <c r="E9" s="224">
        <f>+ROUND(E8*E5,2)+E7*(1-E5)</f>
        <v>10475.166200000001</v>
      </c>
      <c r="F9" s="224">
        <f>+ROUND(F8*F5,2)+F7*(1-F5)</f>
        <v>10334.709999999999</v>
      </c>
      <c r="G9" s="224">
        <f>ROUND((G8*G5),2)+ROUND(G7*(1-G5),2)</f>
        <v>10559.470000000001</v>
      </c>
      <c r="H9" s="224">
        <f>+ROUND(H8*H5,2)+H7*(1-H5)</f>
        <v>10724.8</v>
      </c>
      <c r="I9" s="224">
        <f>+ROUND(I8*I5,2)+I7*(1-I5)</f>
        <v>10855.643999999998</v>
      </c>
      <c r="J9" s="318">
        <f>+J7</f>
        <v>10248.69</v>
      </c>
      <c r="K9" s="291">
        <f>+K7</f>
        <v>10248.69</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345.34</v>
      </c>
      <c r="AQ9" s="576" t="s">
        <v>373</v>
      </c>
      <c r="AR9" s="572">
        <v>1</v>
      </c>
      <c r="AS9" s="572" t="s">
        <v>374</v>
      </c>
      <c r="AT9" s="576" t="s">
        <v>395</v>
      </c>
      <c r="AU9" s="574" t="str">
        <f t="shared" si="2"/>
        <v>31.08.2024</v>
      </c>
      <c r="AV9" s="574" t="str">
        <f t="shared" si="3"/>
        <v>02.09.2024</v>
      </c>
    </row>
    <row r="10" spans="1:49"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2"/>
        <v>31.08.2024</v>
      </c>
      <c r="AV10" s="574" t="str">
        <f t="shared" si="3"/>
        <v>02.09.2024</v>
      </c>
    </row>
    <row r="11" spans="1:49"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4">+(S10-S9)/S9</f>
        <v>0</v>
      </c>
      <c r="T11" s="330">
        <f t="shared" si="4"/>
        <v>-8.6521733848730145E-2</v>
      </c>
      <c r="U11" s="330">
        <f t="shared" si="4"/>
        <v>0</v>
      </c>
      <c r="V11" s="330">
        <f t="shared" si="4"/>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2"/>
        <v>31.08.2024</v>
      </c>
      <c r="AV11" s="591" t="str">
        <f t="shared" si="3"/>
        <v>02.09.2024</v>
      </c>
    </row>
    <row r="12" spans="1:49"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9"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9"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9"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10043.719999999999</v>
      </c>
      <c r="AQ15" s="576" t="s">
        <v>373</v>
      </c>
      <c r="AR15" s="572">
        <v>1</v>
      </c>
      <c r="AS15" s="572" t="s">
        <v>374</v>
      </c>
      <c r="AT15" s="576" t="s">
        <v>395</v>
      </c>
      <c r="AU15" s="574" t="str">
        <f t="shared" ref="AU15:AU17" si="5">+TEXT($B$4,"DD.MM.YYYY")</f>
        <v>31.08.2024</v>
      </c>
      <c r="AV15" s="574" t="str">
        <f t="shared" ref="AV15:AV17" si="6">+TEXT($G$4,"DD.MM.YYYY")</f>
        <v>02.09.2024</v>
      </c>
    </row>
    <row r="16" spans="1:49"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10248.69</v>
      </c>
      <c r="AQ16" s="576" t="s">
        <v>373</v>
      </c>
      <c r="AR16" s="572">
        <v>1</v>
      </c>
      <c r="AS16" s="572" t="s">
        <v>374</v>
      </c>
      <c r="AT16" s="576" t="s">
        <v>395</v>
      </c>
      <c r="AU16" s="574" t="str">
        <f t="shared" si="5"/>
        <v>31.08.2024</v>
      </c>
      <c r="AV16" s="574" t="str">
        <f t="shared" si="6"/>
        <v>02.09.2024</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5"/>
        <v>31.08.2024</v>
      </c>
      <c r="AV17" s="574" t="str">
        <f t="shared" si="6"/>
        <v>02.09.2024</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7">+E18</f>
        <v>(5)</v>
      </c>
      <c r="I18" s="411" t="str">
        <f t="shared" si="7"/>
        <v>(5)</v>
      </c>
      <c r="J18" s="411" t="str">
        <f t="shared" si="7"/>
        <v>(5)</v>
      </c>
      <c r="K18" s="561" t="str">
        <f t="shared" si="7"/>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YPjLanY0aywoQALLs6GlqnTM/LCLr4+mT/aVBuIT+5TlG69hD9LiBBleJ4Va9IuxneR1NPpctn8aFw/nGbMJCw==" saltValue="e/r548xY5+DCV3oMuDIBpw==" spinCount="100000" sheet="1" objects="1" scenarios="1"/>
  <mergeCells count="9">
    <mergeCell ref="A32:H32"/>
    <mergeCell ref="A33:H33"/>
    <mergeCell ref="A34:E34"/>
    <mergeCell ref="A1:I1"/>
    <mergeCell ref="A2:I2"/>
    <mergeCell ref="A3:I3"/>
    <mergeCell ref="A26:I26"/>
    <mergeCell ref="A28:I28"/>
    <mergeCell ref="A30:I31"/>
  </mergeCells>
  <conditionalFormatting sqref="AA2:AV11">
    <cfRule type="containsText" dxfId="80" priority="10" operator="containsText" text="Seleccione...">
      <formula>NOT(ISERROR(SEARCH("Seleccione...",AA2)))</formula>
    </cfRule>
  </conditionalFormatting>
  <conditionalFormatting sqref="AA15:AV17">
    <cfRule type="containsText" dxfId="79"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56"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1AF412F-2723-48BB-A350-C8D6FCD3D13C}">
          <x14:formula1>
            <xm:f>Fechas!$A$2:$A$831</xm:f>
          </x14:formula1>
          <xm:sqref>B4 G4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DEE6E-2832-42FA-A215-331F639784AE}">
  <sheetPr codeName="Hoja10"/>
  <dimension ref="A1:AV106"/>
  <sheetViews>
    <sheetView showGridLines="0" zoomScale="85" zoomScaleNormal="85" workbookViewId="0">
      <selection sqref="A1:I1"/>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14" width="7.85546875" style="5"/>
    <col min="15" max="15" width="12.7109375" style="5" bestFit="1" customWidth="1"/>
    <col min="16" max="16" width="13.85546875" style="5" bestFit="1" customWidth="1"/>
    <col min="17" max="40" width="7.85546875" style="5"/>
    <col min="41" max="41" width="12.42578125" style="5" bestFit="1" customWidth="1"/>
    <col min="42" max="42" width="8.85546875" style="5" bestFit="1" customWidth="1"/>
    <col min="43" max="46" width="7.85546875" style="5"/>
    <col min="47" max="48" width="9.85546875" style="5" bestFit="1" customWidth="1"/>
    <col min="49" max="16384" width="7.85546875" style="5"/>
  </cols>
  <sheetData>
    <row r="1" spans="1:48"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8"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10207.59</v>
      </c>
      <c r="AQ2" s="576" t="s">
        <v>373</v>
      </c>
      <c r="AR2" s="572">
        <v>1</v>
      </c>
      <c r="AS2" s="572" t="s">
        <v>374</v>
      </c>
      <c r="AT2" s="576" t="s">
        <v>395</v>
      </c>
      <c r="AU2" s="574" t="str">
        <f t="shared" ref="AU2:AU7" si="0">+TEXT($B$4,"DD.MM.YYYY")</f>
        <v>03.09.2024</v>
      </c>
      <c r="AV2" s="574" t="str">
        <f t="shared" ref="AV2:AV7" si="1">+TEXT($G$4,"DD.MM.YYYY")</f>
        <v>09.09.2024</v>
      </c>
    </row>
    <row r="3" spans="1:48"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10592.72</v>
      </c>
      <c r="AQ3" s="576" t="s">
        <v>373</v>
      </c>
      <c r="AR3" s="572">
        <v>1</v>
      </c>
      <c r="AS3" s="572" t="s">
        <v>374</v>
      </c>
      <c r="AT3" s="576" t="s">
        <v>395</v>
      </c>
      <c r="AU3" s="574" t="str">
        <f t="shared" si="0"/>
        <v>03.09.2024</v>
      </c>
      <c r="AV3" s="574" t="str">
        <f t="shared" si="1"/>
        <v>09.09.2024</v>
      </c>
    </row>
    <row r="4" spans="1:48" ht="18.75">
      <c r="A4" s="600" t="s">
        <v>421</v>
      </c>
      <c r="B4" s="599">
        <v>45538</v>
      </c>
      <c r="C4" s="585"/>
      <c r="D4" s="598"/>
      <c r="F4" s="579" t="s">
        <v>422</v>
      </c>
      <c r="G4" s="599">
        <v>45544</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10123.290000000001</v>
      </c>
      <c r="AQ4" s="576" t="s">
        <v>373</v>
      </c>
      <c r="AR4" s="572">
        <v>1</v>
      </c>
      <c r="AS4" s="572" t="s">
        <v>374</v>
      </c>
      <c r="AT4" s="576" t="s">
        <v>395</v>
      </c>
      <c r="AU4" s="574" t="str">
        <f t="shared" si="0"/>
        <v>03.09.2024</v>
      </c>
      <c r="AV4" s="574" t="str">
        <f t="shared" si="1"/>
        <v>09.09.2024</v>
      </c>
    </row>
    <row r="5" spans="1:48" ht="15.75" thickBot="1">
      <c r="A5" s="556"/>
      <c r="B5" s="113">
        <v>0</v>
      </c>
      <c r="C5" s="113">
        <v>0.02</v>
      </c>
      <c r="D5" s="113">
        <v>0</v>
      </c>
      <c r="E5" s="113">
        <v>0.02</v>
      </c>
      <c r="F5" s="113">
        <v>0</v>
      </c>
      <c r="G5" s="557">
        <v>0.02</v>
      </c>
      <c r="H5" s="557">
        <v>0</v>
      </c>
      <c r="I5" s="557">
        <v>0.02</v>
      </c>
      <c r="J5" s="113">
        <v>0</v>
      </c>
      <c r="K5" s="558">
        <v>0</v>
      </c>
      <c r="AA5" s="594" t="s">
        <v>371</v>
      </c>
      <c r="AB5" s="594">
        <v>929</v>
      </c>
      <c r="AC5" s="594" t="s">
        <v>372</v>
      </c>
      <c r="AD5" s="594"/>
      <c r="AE5" s="594"/>
      <c r="AF5" s="594">
        <v>2000</v>
      </c>
      <c r="AG5" s="594"/>
      <c r="AH5" s="594"/>
      <c r="AI5" s="594"/>
      <c r="AJ5" s="594"/>
      <c r="AK5" s="594"/>
      <c r="AL5" s="594"/>
      <c r="AM5" s="594" t="s">
        <v>393</v>
      </c>
      <c r="AN5" s="594"/>
      <c r="AO5" s="594">
        <v>30000009291</v>
      </c>
      <c r="AP5" s="593">
        <f>+ROUND($F$7*98%,2)</f>
        <v>10207.59</v>
      </c>
      <c r="AQ5" s="592" t="s">
        <v>373</v>
      </c>
      <c r="AR5" s="594">
        <v>1</v>
      </c>
      <c r="AS5" s="594" t="s">
        <v>374</v>
      </c>
      <c r="AT5" s="592" t="s">
        <v>395</v>
      </c>
      <c r="AU5" s="591" t="str">
        <f t="shared" si="0"/>
        <v>03.09.2024</v>
      </c>
      <c r="AV5" s="591" t="str">
        <f t="shared" si="1"/>
        <v>09.09.2024</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10592.72</v>
      </c>
      <c r="AQ6" s="592" t="s">
        <v>373</v>
      </c>
      <c r="AR6" s="594">
        <v>1</v>
      </c>
      <c r="AS6" s="594" t="s">
        <v>374</v>
      </c>
      <c r="AT6" s="592" t="s">
        <v>395</v>
      </c>
      <c r="AU6" s="591" t="str">
        <f t="shared" si="0"/>
        <v>03.09.2024</v>
      </c>
      <c r="AV6" s="591" t="str">
        <f t="shared" si="1"/>
        <v>09.09.2024</v>
      </c>
    </row>
    <row r="7" spans="1:48" ht="27.6" customHeight="1">
      <c r="A7" s="70" t="s">
        <v>200</v>
      </c>
      <c r="B7" s="562">
        <v>10329.89</v>
      </c>
      <c r="C7" s="565">
        <f>+B7</f>
        <v>10329.89</v>
      </c>
      <c r="D7" s="562">
        <v>10329.89</v>
      </c>
      <c r="E7" s="565">
        <f>+D7</f>
        <v>10329.89</v>
      </c>
      <c r="F7" s="562">
        <v>10415.91</v>
      </c>
      <c r="G7" s="565">
        <f>+F7</f>
        <v>10415.91</v>
      </c>
      <c r="H7" s="562">
        <v>10808.9</v>
      </c>
      <c r="I7" s="565">
        <f>+H7</f>
        <v>10808.9</v>
      </c>
      <c r="J7" s="565">
        <f>+B7</f>
        <v>10329.89</v>
      </c>
      <c r="K7" s="564">
        <f>+J7</f>
        <v>10329.89</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10123.290000000001</v>
      </c>
      <c r="AQ7" s="592" t="s">
        <v>373</v>
      </c>
      <c r="AR7" s="594">
        <v>1</v>
      </c>
      <c r="AS7" s="594" t="s">
        <v>374</v>
      </c>
      <c r="AT7" s="592" t="s">
        <v>395</v>
      </c>
      <c r="AU7" s="591" t="str">
        <f t="shared" si="0"/>
        <v>03.09.2024</v>
      </c>
      <c r="AV7" s="591" t="str">
        <f t="shared" si="1"/>
        <v>09.09.2024</v>
      </c>
    </row>
    <row r="8" spans="1:48" ht="27.6" customHeight="1">
      <c r="A8" s="232" t="s">
        <v>407</v>
      </c>
      <c r="B8" s="349">
        <f>+D8</f>
        <v>0</v>
      </c>
      <c r="C8" s="224">
        <f>+BIODIESEL!$B$7</f>
        <v>21572.3</v>
      </c>
      <c r="D8" s="246">
        <v>0</v>
      </c>
      <c r="E8" s="224">
        <f>+BIODIESEL!$B$7</f>
        <v>21572.3</v>
      </c>
      <c r="F8" s="349">
        <v>0</v>
      </c>
      <c r="G8" s="224">
        <f>+BIODIESEL!$B$7</f>
        <v>21572.3</v>
      </c>
      <c r="H8" s="349">
        <v>0</v>
      </c>
      <c r="I8" s="224">
        <v>17266.965714285714</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ref="AU8:AU11" si="2">+TEXT($B$4,"DD.MM.YYYY")</f>
        <v>03.09.2024</v>
      </c>
      <c r="AV8" s="574" t="str">
        <f t="shared" ref="AV8:AV11" si="3">+TEXT($G$4,"DD.MM.YYYY")</f>
        <v>09.09.2024</v>
      </c>
    </row>
    <row r="9" spans="1:48" ht="35.450000000000003" customHeight="1">
      <c r="A9" s="248" t="s">
        <v>139</v>
      </c>
      <c r="B9" s="224">
        <f>+ROUND(B8*B5,2)+B7*(1-B5)</f>
        <v>10329.89</v>
      </c>
      <c r="C9" s="224">
        <f>+ROUND(C8*C5,2)+C7*(1-C5)</f>
        <v>10554.742200000001</v>
      </c>
      <c r="D9" s="247">
        <f>+D8*D5+D7*(1-D5)</f>
        <v>10329.89</v>
      </c>
      <c r="E9" s="224">
        <f>+ROUND(E8*E5,2)+E7*(1-E5)</f>
        <v>10554.742200000001</v>
      </c>
      <c r="F9" s="224">
        <f>+ROUND(F8*F5,2)+F7*(1-F5)</f>
        <v>10415.91</v>
      </c>
      <c r="G9" s="224">
        <f>ROUND((G8*G5),2)+ROUND(G7*(1-G5),2)</f>
        <v>10639.04</v>
      </c>
      <c r="H9" s="224">
        <f>+ROUND(H8*H5,2)+H7*(1-H5)</f>
        <v>10808.9</v>
      </c>
      <c r="I9" s="224">
        <f>+ROUND(I8*I5,2)+I7*(1-I5)</f>
        <v>10938.062</v>
      </c>
      <c r="J9" s="318">
        <f>+J7</f>
        <v>10329.89</v>
      </c>
      <c r="K9" s="291">
        <f>+K7</f>
        <v>10329.89</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345.34</v>
      </c>
      <c r="AQ9" s="576" t="s">
        <v>373</v>
      </c>
      <c r="AR9" s="572">
        <v>1</v>
      </c>
      <c r="AS9" s="572" t="s">
        <v>374</v>
      </c>
      <c r="AT9" s="576" t="s">
        <v>395</v>
      </c>
      <c r="AU9" s="574" t="str">
        <f t="shared" si="2"/>
        <v>03.09.2024</v>
      </c>
      <c r="AV9" s="574" t="str">
        <f t="shared" si="3"/>
        <v>09.09.2024</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2"/>
        <v>03.09.2024</v>
      </c>
      <c r="AV10" s="574" t="str">
        <f t="shared" si="3"/>
        <v>09.09.2024</v>
      </c>
    </row>
    <row r="11" spans="1:48"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4">+(S10-S9)/S9</f>
        <v>0</v>
      </c>
      <c r="T11" s="330">
        <f t="shared" si="4"/>
        <v>-8.6521733848730145E-2</v>
      </c>
      <c r="U11" s="330">
        <f t="shared" si="4"/>
        <v>0</v>
      </c>
      <c r="V11" s="330">
        <f t="shared" si="4"/>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2"/>
        <v>03.09.2024</v>
      </c>
      <c r="AV11" s="591" t="str">
        <f t="shared" si="3"/>
        <v>09.09.2024</v>
      </c>
    </row>
    <row r="12" spans="1:48"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8"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8"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10123.290000000001</v>
      </c>
      <c r="AQ15" s="576" t="s">
        <v>373</v>
      </c>
      <c r="AR15" s="572">
        <v>1</v>
      </c>
      <c r="AS15" s="572" t="s">
        <v>374</v>
      </c>
      <c r="AT15" s="576" t="s">
        <v>395</v>
      </c>
      <c r="AU15" s="574" t="str">
        <f t="shared" ref="AU15:AU17" si="5">+TEXT($B$4,"DD.MM.YYYY")</f>
        <v>03.09.2024</v>
      </c>
      <c r="AV15" s="574" t="str">
        <f t="shared" ref="AV15:AV17" si="6">+TEXT($G$4,"DD.MM.YYYY")</f>
        <v>09.09.2024</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10329.89</v>
      </c>
      <c r="AQ16" s="576" t="s">
        <v>373</v>
      </c>
      <c r="AR16" s="572">
        <v>1</v>
      </c>
      <c r="AS16" s="572" t="s">
        <v>374</v>
      </c>
      <c r="AT16" s="576" t="s">
        <v>395</v>
      </c>
      <c r="AU16" s="574" t="str">
        <f t="shared" si="5"/>
        <v>03.09.2024</v>
      </c>
      <c r="AV16" s="574" t="str">
        <f t="shared" si="6"/>
        <v>09.09.2024</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5"/>
        <v>03.09.2024</v>
      </c>
      <c r="AV17" s="574" t="str">
        <f t="shared" si="6"/>
        <v>09.09.2024</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7">+E18</f>
        <v>(5)</v>
      </c>
      <c r="I18" s="411" t="str">
        <f t="shared" si="7"/>
        <v>(5)</v>
      </c>
      <c r="J18" s="411" t="str">
        <f t="shared" si="7"/>
        <v>(5)</v>
      </c>
      <c r="K18" s="561" t="str">
        <f t="shared" si="7"/>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row r="100" spans="1:22" ht="15" thickBot="1">
      <c r="A100" s="5" t="s">
        <v>349</v>
      </c>
      <c r="B100" s="5" t="s">
        <v>350</v>
      </c>
      <c r="C100" s="5" t="s">
        <v>351</v>
      </c>
      <c r="D100" s="5" t="s">
        <v>352</v>
      </c>
      <c r="E100" s="5" t="s">
        <v>353</v>
      </c>
      <c r="F100" s="5" t="s">
        <v>354</v>
      </c>
      <c r="G100" s="5" t="s">
        <v>355</v>
      </c>
      <c r="H100" s="5" t="s">
        <v>356</v>
      </c>
      <c r="I100" s="5" t="s">
        <v>357</v>
      </c>
      <c r="J100" s="5" t="s">
        <v>358</v>
      </c>
      <c r="K100" s="5" t="s">
        <v>359</v>
      </c>
      <c r="L100" s="5" t="s">
        <v>360</v>
      </c>
      <c r="M100" s="5" t="s">
        <v>361</v>
      </c>
      <c r="N100" s="5" t="s">
        <v>362</v>
      </c>
      <c r="O100" s="5" t="s">
        <v>363</v>
      </c>
      <c r="P100" s="5" t="s">
        <v>364</v>
      </c>
      <c r="Q100" s="5" t="s">
        <v>365</v>
      </c>
      <c r="R100" s="5" t="s">
        <v>366</v>
      </c>
      <c r="S100" s="5" t="s">
        <v>367</v>
      </c>
      <c r="T100" s="5" t="s">
        <v>368</v>
      </c>
      <c r="U100" s="5" t="s">
        <v>369</v>
      </c>
      <c r="V100" s="5" t="s">
        <v>370</v>
      </c>
    </row>
    <row r="101" spans="1:22" ht="15.75" thickBot="1">
      <c r="A101" s="469" t="s">
        <v>371</v>
      </c>
      <c r="B101" s="470">
        <v>929</v>
      </c>
      <c r="C101" s="471" t="s">
        <v>372</v>
      </c>
      <c r="D101" s="471"/>
      <c r="E101" s="471"/>
      <c r="F101" s="469">
        <v>2000</v>
      </c>
      <c r="G101" s="471"/>
      <c r="H101" s="471"/>
      <c r="I101" s="471"/>
      <c r="J101" s="471"/>
      <c r="K101" s="471"/>
      <c r="L101" s="471"/>
      <c r="M101" s="471" t="s">
        <v>393</v>
      </c>
      <c r="N101" s="471"/>
      <c r="O101" s="471">
        <v>30000002129</v>
      </c>
      <c r="P101" s="472">
        <f>+ROUND($F$7*98%,2)</f>
        <v>10207.59</v>
      </c>
      <c r="Q101" s="471" t="s">
        <v>373</v>
      </c>
      <c r="R101" s="471">
        <v>1</v>
      </c>
      <c r="S101" s="471" t="s">
        <v>374</v>
      </c>
      <c r="T101" s="471" t="s">
        <v>395</v>
      </c>
      <c r="U101" s="473" t="s">
        <v>419</v>
      </c>
      <c r="V101" s="473" t="s">
        <v>420</v>
      </c>
    </row>
    <row r="102" spans="1:22" ht="15.75" thickBot="1">
      <c r="A102" s="474" t="s">
        <v>371</v>
      </c>
      <c r="B102" s="442">
        <v>929</v>
      </c>
      <c r="C102" s="445" t="s">
        <v>372</v>
      </c>
      <c r="D102" s="445"/>
      <c r="E102" s="445"/>
      <c r="F102" s="474">
        <v>3010</v>
      </c>
      <c r="G102" s="443"/>
      <c r="H102" s="443"/>
      <c r="I102" s="443"/>
      <c r="J102" s="443"/>
      <c r="K102" s="443"/>
      <c r="L102" s="443"/>
      <c r="M102" s="445" t="s">
        <v>393</v>
      </c>
      <c r="N102" s="443"/>
      <c r="O102" s="443">
        <v>30000002129</v>
      </c>
      <c r="P102" s="472">
        <f>+ROUND($I$7*98%,2)</f>
        <v>10592.72</v>
      </c>
      <c r="Q102" s="443" t="s">
        <v>373</v>
      </c>
      <c r="R102" s="443">
        <v>1</v>
      </c>
      <c r="S102" s="443" t="s">
        <v>374</v>
      </c>
      <c r="T102" s="445" t="s">
        <v>395</v>
      </c>
      <c r="U102" s="571" t="str">
        <f>+U101</f>
        <v>03.09.2024</v>
      </c>
      <c r="V102" s="571" t="str">
        <f>+V101</f>
        <v>09.09.2024</v>
      </c>
    </row>
    <row r="103" spans="1:22" ht="15.75" thickBot="1">
      <c r="A103" s="475" t="s">
        <v>371</v>
      </c>
      <c r="B103" s="476">
        <v>929</v>
      </c>
      <c r="C103" s="477" t="s">
        <v>372</v>
      </c>
      <c r="D103" s="477"/>
      <c r="E103" s="477"/>
      <c r="F103" s="475">
        <v>4502</v>
      </c>
      <c r="G103" s="477"/>
      <c r="H103" s="477"/>
      <c r="I103" s="477"/>
      <c r="J103" s="477"/>
      <c r="K103" s="477"/>
      <c r="L103" s="477"/>
      <c r="M103" s="477" t="s">
        <v>393</v>
      </c>
      <c r="N103" s="477"/>
      <c r="O103" s="477">
        <v>30000002129</v>
      </c>
      <c r="P103" s="472">
        <f>+ROUND($D$7*98%,2)</f>
        <v>10123.290000000001</v>
      </c>
      <c r="Q103" s="477" t="s">
        <v>373</v>
      </c>
      <c r="R103" s="477">
        <v>1</v>
      </c>
      <c r="S103" s="477" t="s">
        <v>374</v>
      </c>
      <c r="T103" s="477" t="s">
        <v>395</v>
      </c>
      <c r="U103" s="571" t="str">
        <f t="shared" ref="U103:U106" si="8">+U102</f>
        <v>03.09.2024</v>
      </c>
      <c r="V103" s="571" t="str">
        <f t="shared" ref="V103:V106" si="9">+V102</f>
        <v>09.09.2024</v>
      </c>
    </row>
    <row r="104" spans="1:22" ht="15.75" thickBot="1">
      <c r="A104" s="469" t="s">
        <v>371</v>
      </c>
      <c r="B104" s="470">
        <v>929</v>
      </c>
      <c r="C104" s="471" t="s">
        <v>372</v>
      </c>
      <c r="D104" s="471"/>
      <c r="E104" s="471"/>
      <c r="F104" s="469">
        <v>2000</v>
      </c>
      <c r="G104" s="471"/>
      <c r="H104" s="471"/>
      <c r="I104" s="471"/>
      <c r="J104" s="471"/>
      <c r="K104" s="471"/>
      <c r="L104" s="471"/>
      <c r="M104" s="471" t="s">
        <v>393</v>
      </c>
      <c r="N104" s="471"/>
      <c r="O104" s="471">
        <v>30000009291</v>
      </c>
      <c r="P104" s="472">
        <f>+ROUND($F$7*98%,2)</f>
        <v>10207.59</v>
      </c>
      <c r="Q104" s="471" t="s">
        <v>373</v>
      </c>
      <c r="R104" s="471">
        <v>1</v>
      </c>
      <c r="S104" s="471" t="s">
        <v>374</v>
      </c>
      <c r="T104" s="471" t="s">
        <v>395</v>
      </c>
      <c r="U104" s="571" t="str">
        <f t="shared" si="8"/>
        <v>03.09.2024</v>
      </c>
      <c r="V104" s="571" t="str">
        <f t="shared" si="9"/>
        <v>09.09.2024</v>
      </c>
    </row>
    <row r="105" spans="1:22" ht="15.75" thickBot="1">
      <c r="A105" s="474" t="s">
        <v>371</v>
      </c>
      <c r="B105" s="442">
        <v>929</v>
      </c>
      <c r="C105" s="445" t="s">
        <v>372</v>
      </c>
      <c r="D105" s="445"/>
      <c r="E105" s="445"/>
      <c r="F105" s="474">
        <v>3010</v>
      </c>
      <c r="G105" s="443"/>
      <c r="H105" s="443"/>
      <c r="I105" s="443"/>
      <c r="J105" s="443"/>
      <c r="K105" s="443"/>
      <c r="L105" s="443"/>
      <c r="M105" s="445" t="s">
        <v>393</v>
      </c>
      <c r="N105" s="443"/>
      <c r="O105" s="471">
        <v>30000009291</v>
      </c>
      <c r="P105" s="472">
        <f>+ROUND($I$7*98%,2)</f>
        <v>10592.72</v>
      </c>
      <c r="Q105" s="443" t="s">
        <v>373</v>
      </c>
      <c r="R105" s="443">
        <v>1</v>
      </c>
      <c r="S105" s="443" t="s">
        <v>374</v>
      </c>
      <c r="T105" s="445" t="s">
        <v>395</v>
      </c>
      <c r="U105" s="571" t="str">
        <f t="shared" si="8"/>
        <v>03.09.2024</v>
      </c>
      <c r="V105" s="571" t="str">
        <f t="shared" si="9"/>
        <v>09.09.2024</v>
      </c>
    </row>
    <row r="106" spans="1:22" ht="15.75" thickBot="1">
      <c r="A106" s="475" t="s">
        <v>371</v>
      </c>
      <c r="B106" s="476">
        <v>929</v>
      </c>
      <c r="C106" s="477" t="s">
        <v>372</v>
      </c>
      <c r="D106" s="477"/>
      <c r="E106" s="477"/>
      <c r="F106" s="475">
        <v>4502</v>
      </c>
      <c r="G106" s="477"/>
      <c r="H106" s="477"/>
      <c r="I106" s="477"/>
      <c r="J106" s="477"/>
      <c r="K106" s="477"/>
      <c r="L106" s="477"/>
      <c r="M106" s="477" t="s">
        <v>393</v>
      </c>
      <c r="N106" s="477"/>
      <c r="O106" s="471">
        <v>30000009291</v>
      </c>
      <c r="P106" s="472">
        <f>+ROUND($D$7*98%,2)</f>
        <v>10123.290000000001</v>
      </c>
      <c r="Q106" s="477" t="s">
        <v>373</v>
      </c>
      <c r="R106" s="477">
        <v>1</v>
      </c>
      <c r="S106" s="477" t="s">
        <v>374</v>
      </c>
      <c r="T106" s="477" t="s">
        <v>395</v>
      </c>
      <c r="U106" s="571" t="str">
        <f t="shared" si="8"/>
        <v>03.09.2024</v>
      </c>
      <c r="V106" s="571" t="str">
        <f t="shared" si="9"/>
        <v>09.09.2024</v>
      </c>
    </row>
  </sheetData>
  <sheetProtection algorithmName="SHA-512" hashValue="FOQKskInkHvHzX2GYxQvGFpCoNcfwhOD3/bWzcvYOxJP17MkB138sVsz9hVaJjLdG8D1DqtW4HnzGRqo94hhFw==" saltValue="4Z+RtLihOjaK0s32nqpyeA==" spinCount="100000" sheet="1" objects="1" scenarios="1"/>
  <mergeCells count="9">
    <mergeCell ref="A32:H32"/>
    <mergeCell ref="A33:H33"/>
    <mergeCell ref="A34:E34"/>
    <mergeCell ref="A1:I1"/>
    <mergeCell ref="A2:I2"/>
    <mergeCell ref="A3:I3"/>
    <mergeCell ref="A26:I26"/>
    <mergeCell ref="A28:I28"/>
    <mergeCell ref="A30:I31"/>
  </mergeCells>
  <conditionalFormatting sqref="A101:V106">
    <cfRule type="containsText" dxfId="78" priority="28" operator="containsText" text="Seleccione...">
      <formula>NOT(ISERROR(SEARCH("Seleccione...",A101)))</formula>
    </cfRule>
  </conditionalFormatting>
  <conditionalFormatting sqref="AA2:AV11">
    <cfRule type="containsText" dxfId="77" priority="9" operator="containsText" text="Seleccione...">
      <formula>NOT(ISERROR(SEARCH("Seleccione...",AA2)))</formula>
    </cfRule>
  </conditionalFormatting>
  <conditionalFormatting sqref="AA15:AV17">
    <cfRule type="containsText" dxfId="76"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C5017D0-AD5D-4F74-95AA-CD7952BD7F03}">
          <x14:formula1>
            <xm:f>Fechas!$A$2:$A$831</xm:f>
          </x14:formula1>
          <xm:sqref>B4 G4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3ED1F-35F4-49CD-8657-418E2CB7D41E}">
  <sheetPr codeName="Hoja11"/>
  <dimension ref="A1:AV46"/>
  <sheetViews>
    <sheetView showGridLines="0" zoomScale="85" zoomScaleNormal="85" workbookViewId="0">
      <selection sqref="A1:I1"/>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12.42578125" style="5" bestFit="1" customWidth="1"/>
    <col min="42" max="42" width="8.85546875" style="5" bestFit="1" customWidth="1"/>
    <col min="43" max="43" width="20" style="5" bestFit="1" customWidth="1"/>
    <col min="44" max="44" width="14.28515625" style="5" bestFit="1" customWidth="1"/>
    <col min="45" max="45" width="17.28515625" style="5" bestFit="1" customWidth="1"/>
    <col min="46" max="46" width="16.42578125" style="5" bestFit="1" customWidth="1"/>
    <col min="47" max="48" width="9.85546875" style="5" bestFit="1" customWidth="1"/>
    <col min="49" max="16384" width="7.85546875" style="5"/>
  </cols>
  <sheetData>
    <row r="1" spans="1:48"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8"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10481.33</v>
      </c>
      <c r="AQ2" s="576" t="s">
        <v>373</v>
      </c>
      <c r="AR2" s="572">
        <v>1</v>
      </c>
      <c r="AS2" s="572" t="s">
        <v>374</v>
      </c>
      <c r="AT2" s="576" t="s">
        <v>395</v>
      </c>
      <c r="AU2" s="574" t="str">
        <f t="shared" ref="AU2:AU7" si="0">+TEXT($B$4,"DD.MM.YYYY")</f>
        <v>10.09.2024</v>
      </c>
      <c r="AV2" s="574" t="str">
        <f t="shared" ref="AV2:AV7" si="1">+TEXT($G$4,"DD.MM.YYYY")</f>
        <v>16.09.2024</v>
      </c>
    </row>
    <row r="3" spans="1:48"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10876.26</v>
      </c>
      <c r="AQ3" s="576" t="s">
        <v>373</v>
      </c>
      <c r="AR3" s="572">
        <v>1</v>
      </c>
      <c r="AS3" s="572" t="s">
        <v>374</v>
      </c>
      <c r="AT3" s="576" t="s">
        <v>395</v>
      </c>
      <c r="AU3" s="574" t="str">
        <f t="shared" si="0"/>
        <v>10.09.2024</v>
      </c>
      <c r="AV3" s="574" t="str">
        <f t="shared" si="1"/>
        <v>16.09.2024</v>
      </c>
    </row>
    <row r="4" spans="1:48" ht="18.75">
      <c r="A4" s="600" t="s">
        <v>421</v>
      </c>
      <c r="B4" s="599">
        <v>45545</v>
      </c>
      <c r="C4" s="585"/>
      <c r="D4" s="598"/>
      <c r="F4" s="579" t="s">
        <v>422</v>
      </c>
      <c r="G4" s="599">
        <v>45551</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10397.030000000001</v>
      </c>
      <c r="AQ4" s="576" t="s">
        <v>373</v>
      </c>
      <c r="AR4" s="572">
        <v>1</v>
      </c>
      <c r="AS4" s="572" t="s">
        <v>374</v>
      </c>
      <c r="AT4" s="576" t="s">
        <v>395</v>
      </c>
      <c r="AU4" s="574" t="str">
        <f t="shared" si="0"/>
        <v>10.09.2024</v>
      </c>
      <c r="AV4" s="574" t="str">
        <f t="shared" si="1"/>
        <v>16.09.2024</v>
      </c>
    </row>
    <row r="5" spans="1:48" ht="15.75" thickBot="1">
      <c r="A5" s="556"/>
      <c r="B5" s="113">
        <v>0</v>
      </c>
      <c r="C5" s="113">
        <v>0.02</v>
      </c>
      <c r="D5" s="113">
        <v>0</v>
      </c>
      <c r="E5" s="113">
        <v>0.02</v>
      </c>
      <c r="F5" s="113">
        <v>0</v>
      </c>
      <c r="G5" s="557">
        <v>0.02</v>
      </c>
      <c r="H5" s="557">
        <v>0</v>
      </c>
      <c r="I5" s="557">
        <v>0.02</v>
      </c>
      <c r="J5" s="113">
        <v>0</v>
      </c>
      <c r="K5" s="558">
        <v>0</v>
      </c>
      <c r="AA5" s="594" t="s">
        <v>371</v>
      </c>
      <c r="AB5" s="594">
        <v>929</v>
      </c>
      <c r="AC5" s="594" t="s">
        <v>372</v>
      </c>
      <c r="AD5" s="594"/>
      <c r="AE5" s="594"/>
      <c r="AF5" s="594">
        <v>2000</v>
      </c>
      <c r="AG5" s="594"/>
      <c r="AH5" s="594"/>
      <c r="AI5" s="594"/>
      <c r="AJ5" s="594"/>
      <c r="AK5" s="594"/>
      <c r="AL5" s="594"/>
      <c r="AM5" s="594" t="s">
        <v>393</v>
      </c>
      <c r="AN5" s="594"/>
      <c r="AO5" s="594">
        <v>30000009291</v>
      </c>
      <c r="AP5" s="593">
        <f>+ROUND($F$7*98%,2)</f>
        <v>10481.33</v>
      </c>
      <c r="AQ5" s="592" t="s">
        <v>373</v>
      </c>
      <c r="AR5" s="594">
        <v>1</v>
      </c>
      <c r="AS5" s="594" t="s">
        <v>374</v>
      </c>
      <c r="AT5" s="592" t="s">
        <v>395</v>
      </c>
      <c r="AU5" s="591" t="str">
        <f t="shared" si="0"/>
        <v>10.09.2024</v>
      </c>
      <c r="AV5" s="591" t="str">
        <f t="shared" si="1"/>
        <v>16.09.2024</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10876.26</v>
      </c>
      <c r="AQ6" s="592" t="s">
        <v>373</v>
      </c>
      <c r="AR6" s="594">
        <v>1</v>
      </c>
      <c r="AS6" s="594" t="s">
        <v>374</v>
      </c>
      <c r="AT6" s="592" t="s">
        <v>395</v>
      </c>
      <c r="AU6" s="591" t="str">
        <f t="shared" si="0"/>
        <v>10.09.2024</v>
      </c>
      <c r="AV6" s="591" t="str">
        <f t="shared" si="1"/>
        <v>16.09.2024</v>
      </c>
    </row>
    <row r="7" spans="1:48" ht="27.6" customHeight="1">
      <c r="A7" s="70" t="s">
        <v>200</v>
      </c>
      <c r="B7" s="562">
        <v>10609.21</v>
      </c>
      <c r="C7" s="565">
        <f>+B7</f>
        <v>10609.21</v>
      </c>
      <c r="D7" s="562">
        <v>10609.21</v>
      </c>
      <c r="E7" s="565">
        <f>+D7</f>
        <v>10609.21</v>
      </c>
      <c r="F7" s="562">
        <v>10695.23</v>
      </c>
      <c r="G7" s="565">
        <f>+F7</f>
        <v>10695.23</v>
      </c>
      <c r="H7" s="562">
        <v>11098.22</v>
      </c>
      <c r="I7" s="565">
        <f>+H7</f>
        <v>11098.22</v>
      </c>
      <c r="J7" s="565">
        <f>+B7</f>
        <v>10609.21</v>
      </c>
      <c r="K7" s="564">
        <f>+J7</f>
        <v>10609.21</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10397.030000000001</v>
      </c>
      <c r="AQ7" s="592" t="s">
        <v>373</v>
      </c>
      <c r="AR7" s="594">
        <v>1</v>
      </c>
      <c r="AS7" s="594" t="s">
        <v>374</v>
      </c>
      <c r="AT7" s="592" t="s">
        <v>395</v>
      </c>
      <c r="AU7" s="591" t="str">
        <f t="shared" si="0"/>
        <v>10.09.2024</v>
      </c>
      <c r="AV7" s="591" t="str">
        <f t="shared" si="1"/>
        <v>16.09.2024</v>
      </c>
    </row>
    <row r="8" spans="1:48" ht="27.6" customHeight="1">
      <c r="A8" s="232" t="s">
        <v>407</v>
      </c>
      <c r="B8" s="349">
        <f>+D8</f>
        <v>0</v>
      </c>
      <c r="C8" s="224">
        <f>+BIODIESEL!$B$7</f>
        <v>21572.3</v>
      </c>
      <c r="D8" s="246">
        <v>0</v>
      </c>
      <c r="E8" s="224">
        <f>+BIODIESEL!$B$7</f>
        <v>21572.3</v>
      </c>
      <c r="F8" s="349">
        <v>0</v>
      </c>
      <c r="G8" s="224">
        <f>+BIODIESEL!$B$7</f>
        <v>21572.3</v>
      </c>
      <c r="H8" s="349">
        <v>0</v>
      </c>
      <c r="I8" s="224">
        <v>17266.965714285714</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ref="AU8:AU11" si="2">+TEXT($B$4,"DD.MM.YYYY")</f>
        <v>10.09.2024</v>
      </c>
      <c r="AV8" s="574" t="str">
        <f t="shared" ref="AV8:AV11" si="3">+TEXT($G$4,"DD.MM.YYYY")</f>
        <v>16.09.2024</v>
      </c>
    </row>
    <row r="9" spans="1:48" ht="35.450000000000003" customHeight="1">
      <c r="A9" s="248" t="s">
        <v>139</v>
      </c>
      <c r="B9" s="224">
        <f>+ROUND(B8*B5,2)+B7*(1-B5)</f>
        <v>10609.21</v>
      </c>
      <c r="C9" s="224">
        <f>+ROUND(C8*C5,2)+C7*(1-C5)</f>
        <v>10828.4758</v>
      </c>
      <c r="D9" s="247">
        <f>+D8*D5+D7*(1-D5)</f>
        <v>10609.21</v>
      </c>
      <c r="E9" s="224">
        <f>+ROUND(E8*E5,2)+E7*(1-E5)</f>
        <v>10828.4758</v>
      </c>
      <c r="F9" s="224">
        <f>+ROUND(F8*F5,2)+F7*(1-F5)</f>
        <v>10695.23</v>
      </c>
      <c r="G9" s="224">
        <f>ROUND((G8*G5),2)+ROUND(G7*(1-G5),2)</f>
        <v>10912.78</v>
      </c>
      <c r="H9" s="224">
        <f>+ROUND(H8*H5,2)+H7*(1-H5)</f>
        <v>11098.22</v>
      </c>
      <c r="I9" s="224">
        <f>+ROUND(I8*I5,2)+I7*(1-I5)</f>
        <v>11221.595599999999</v>
      </c>
      <c r="J9" s="318">
        <f>+J7</f>
        <v>10609.21</v>
      </c>
      <c r="K9" s="291">
        <f>+K7</f>
        <v>10609.21</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345.34</v>
      </c>
      <c r="AQ9" s="576" t="s">
        <v>373</v>
      </c>
      <c r="AR9" s="572">
        <v>1</v>
      </c>
      <c r="AS9" s="572" t="s">
        <v>374</v>
      </c>
      <c r="AT9" s="576" t="s">
        <v>395</v>
      </c>
      <c r="AU9" s="574" t="str">
        <f t="shared" si="2"/>
        <v>10.09.2024</v>
      </c>
      <c r="AV9" s="574" t="str">
        <f t="shared" si="3"/>
        <v>16.09.2024</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2"/>
        <v>10.09.2024</v>
      </c>
      <c r="AV10" s="574" t="str">
        <f t="shared" si="3"/>
        <v>16.09.2024</v>
      </c>
    </row>
    <row r="11" spans="1:48"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4">+(S10-S9)/S9</f>
        <v>0</v>
      </c>
      <c r="T11" s="330">
        <f t="shared" si="4"/>
        <v>-8.6521733848730145E-2</v>
      </c>
      <c r="U11" s="330">
        <f t="shared" si="4"/>
        <v>0</v>
      </c>
      <c r="V11" s="330">
        <f t="shared" si="4"/>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2"/>
        <v>10.09.2024</v>
      </c>
      <c r="AV11" s="591" t="str">
        <f t="shared" si="3"/>
        <v>16.09.2024</v>
      </c>
    </row>
    <row r="12" spans="1:48"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8"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8"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10397.030000000001</v>
      </c>
      <c r="AQ15" s="576" t="s">
        <v>373</v>
      </c>
      <c r="AR15" s="572">
        <v>1</v>
      </c>
      <c r="AS15" s="572" t="s">
        <v>374</v>
      </c>
      <c r="AT15" s="576" t="s">
        <v>395</v>
      </c>
      <c r="AU15" s="574" t="str">
        <f t="shared" ref="AU15:AU17" si="5">+TEXT($B$4,"DD.MM.YYYY")</f>
        <v>10.09.2024</v>
      </c>
      <c r="AV15" s="574" t="str">
        <f t="shared" ref="AV15:AV17" si="6">+TEXT($G$4,"DD.MM.YYYY")</f>
        <v>16.09.2024</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10609.21</v>
      </c>
      <c r="AQ16" s="576" t="s">
        <v>373</v>
      </c>
      <c r="AR16" s="572">
        <v>1</v>
      </c>
      <c r="AS16" s="572" t="s">
        <v>374</v>
      </c>
      <c r="AT16" s="576" t="s">
        <v>395</v>
      </c>
      <c r="AU16" s="574" t="str">
        <f t="shared" si="5"/>
        <v>10.09.2024</v>
      </c>
      <c r="AV16" s="574" t="str">
        <f t="shared" si="6"/>
        <v>16.09.2024</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5"/>
        <v>10.09.2024</v>
      </c>
      <c r="AV17" s="574" t="str">
        <f t="shared" si="6"/>
        <v>16.09.2024</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7">+E18</f>
        <v>(5)</v>
      </c>
      <c r="I18" s="411" t="str">
        <f t="shared" si="7"/>
        <v>(5)</v>
      </c>
      <c r="J18" s="411" t="str">
        <f t="shared" si="7"/>
        <v>(5)</v>
      </c>
      <c r="K18" s="561" t="str">
        <f t="shared" si="7"/>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6wV3abJ+SK8o8xFpF7Fenj9bG/rgwNCJ6OO11GquiGk9A3zFhj+FtLzAJfUVmKiuXKqc08qmKoANei9MxHVGkw==" saltValue="8o7D26KDawEJKMDIDUOTIg==" spinCount="100000" sheet="1" objects="1" scenarios="1"/>
  <mergeCells count="9">
    <mergeCell ref="A32:H32"/>
    <mergeCell ref="A33:H33"/>
    <mergeCell ref="A34:E34"/>
    <mergeCell ref="A1:I1"/>
    <mergeCell ref="A2:I2"/>
    <mergeCell ref="A3:I3"/>
    <mergeCell ref="A26:I26"/>
    <mergeCell ref="A28:I28"/>
    <mergeCell ref="A30:I31"/>
  </mergeCells>
  <conditionalFormatting sqref="AA2:AV11">
    <cfRule type="containsText" dxfId="75" priority="5" operator="containsText" text="Seleccione...">
      <formula>NOT(ISERROR(SEARCH("Seleccione...",AA2)))</formula>
    </cfRule>
  </conditionalFormatting>
  <conditionalFormatting sqref="AA15:AV17">
    <cfRule type="containsText" dxfId="74"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AAB226F-9E63-406C-9151-59E7658DC7DB}">
          <x14:formula1>
            <xm:f>Fechas!$A$2:$A$831</xm:f>
          </x14:formula1>
          <xm:sqref>B4 G4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F0C49-1F8E-48E9-98E9-9BDD0F45191F}">
  <sheetPr codeName="Hoja12"/>
  <dimension ref="A1:AV46"/>
  <sheetViews>
    <sheetView showGridLines="0" zoomScale="85" zoomScaleNormal="85" workbookViewId="0">
      <selection sqref="A1:I1"/>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12.42578125" style="5" bestFit="1" customWidth="1"/>
    <col min="42" max="42" width="8.85546875" style="5" customWidth="1"/>
    <col min="43" max="43" width="20" style="5" bestFit="1" customWidth="1"/>
    <col min="44" max="46" width="7.85546875" style="5"/>
    <col min="47" max="48" width="9.85546875" style="5" bestFit="1" customWidth="1"/>
    <col min="49" max="16384" width="7.85546875" style="5"/>
  </cols>
  <sheetData>
    <row r="1" spans="1:48"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8"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10629.12</v>
      </c>
      <c r="AQ2" s="576" t="s">
        <v>373</v>
      </c>
      <c r="AR2" s="572">
        <v>1</v>
      </c>
      <c r="AS2" s="572" t="s">
        <v>374</v>
      </c>
      <c r="AT2" s="576" t="s">
        <v>395</v>
      </c>
      <c r="AU2" s="574" t="str">
        <f t="shared" ref="AU2:AU7" si="0">+TEXT($B$4,"DD.MM.YYYY")</f>
        <v>17.09.2024</v>
      </c>
      <c r="AV2" s="574" t="str">
        <f t="shared" ref="AV2:AV7" si="1">+TEXT($G$4,"DD.MM.YYYY")</f>
        <v>23.09.2024</v>
      </c>
    </row>
    <row r="3" spans="1:48"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11029.35</v>
      </c>
      <c r="AQ3" s="576" t="s">
        <v>373</v>
      </c>
      <c r="AR3" s="572">
        <v>1</v>
      </c>
      <c r="AS3" s="572" t="s">
        <v>374</v>
      </c>
      <c r="AT3" s="576" t="s">
        <v>395</v>
      </c>
      <c r="AU3" s="574" t="str">
        <f t="shared" si="0"/>
        <v>17.09.2024</v>
      </c>
      <c r="AV3" s="574" t="str">
        <f t="shared" si="1"/>
        <v>23.09.2024</v>
      </c>
    </row>
    <row r="4" spans="1:48" ht="18.75">
      <c r="A4" s="600" t="s">
        <v>421</v>
      </c>
      <c r="B4" s="599">
        <v>45552</v>
      </c>
      <c r="C4" s="585"/>
      <c r="D4" s="598"/>
      <c r="F4" s="579" t="s">
        <v>422</v>
      </c>
      <c r="G4" s="599">
        <v>45558</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10544.82</v>
      </c>
      <c r="AQ4" s="576" t="s">
        <v>373</v>
      </c>
      <c r="AR4" s="572">
        <v>1</v>
      </c>
      <c r="AS4" s="572" t="s">
        <v>374</v>
      </c>
      <c r="AT4" s="576" t="s">
        <v>395</v>
      </c>
      <c r="AU4" s="574" t="str">
        <f t="shared" si="0"/>
        <v>17.09.2024</v>
      </c>
      <c r="AV4" s="574" t="str">
        <f t="shared" si="1"/>
        <v>23.09.2024</v>
      </c>
    </row>
    <row r="5" spans="1:48" ht="15.75" thickBot="1">
      <c r="A5" s="556"/>
      <c r="B5" s="113">
        <v>0</v>
      </c>
      <c r="C5" s="113">
        <v>0.02</v>
      </c>
      <c r="D5" s="113">
        <v>0</v>
      </c>
      <c r="E5" s="113">
        <v>0.02</v>
      </c>
      <c r="F5" s="113">
        <v>0</v>
      </c>
      <c r="G5" s="557">
        <v>0.02</v>
      </c>
      <c r="H5" s="557">
        <v>0</v>
      </c>
      <c r="I5" s="557">
        <v>0.02</v>
      </c>
      <c r="J5" s="113">
        <v>0</v>
      </c>
      <c r="K5" s="558">
        <v>0</v>
      </c>
      <c r="AA5" s="594" t="s">
        <v>371</v>
      </c>
      <c r="AB5" s="594">
        <v>929</v>
      </c>
      <c r="AC5" s="594" t="s">
        <v>372</v>
      </c>
      <c r="AD5" s="594"/>
      <c r="AE5" s="594"/>
      <c r="AF5" s="594">
        <v>2000</v>
      </c>
      <c r="AG5" s="594"/>
      <c r="AH5" s="594"/>
      <c r="AI5" s="594"/>
      <c r="AJ5" s="594"/>
      <c r="AK5" s="594"/>
      <c r="AL5" s="594"/>
      <c r="AM5" s="594" t="s">
        <v>393</v>
      </c>
      <c r="AN5" s="594"/>
      <c r="AO5" s="594">
        <v>30000009291</v>
      </c>
      <c r="AP5" s="593">
        <f>+ROUND($F$7*98%,2)</f>
        <v>10629.12</v>
      </c>
      <c r="AQ5" s="592" t="s">
        <v>373</v>
      </c>
      <c r="AR5" s="594">
        <v>1</v>
      </c>
      <c r="AS5" s="594" t="s">
        <v>374</v>
      </c>
      <c r="AT5" s="592" t="s">
        <v>395</v>
      </c>
      <c r="AU5" s="591" t="str">
        <f t="shared" si="0"/>
        <v>17.09.2024</v>
      </c>
      <c r="AV5" s="591" t="str">
        <f t="shared" si="1"/>
        <v>23.09.2024</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11029.35</v>
      </c>
      <c r="AQ6" s="592" t="s">
        <v>373</v>
      </c>
      <c r="AR6" s="594">
        <v>1</v>
      </c>
      <c r="AS6" s="594" t="s">
        <v>374</v>
      </c>
      <c r="AT6" s="592" t="s">
        <v>395</v>
      </c>
      <c r="AU6" s="591" t="str">
        <f t="shared" si="0"/>
        <v>17.09.2024</v>
      </c>
      <c r="AV6" s="591" t="str">
        <f t="shared" si="1"/>
        <v>23.09.2024</v>
      </c>
    </row>
    <row r="7" spans="1:48" ht="27.6" customHeight="1">
      <c r="A7" s="70" t="s">
        <v>200</v>
      </c>
      <c r="B7" s="562">
        <v>10760.02</v>
      </c>
      <c r="C7" s="565">
        <f>+B7</f>
        <v>10760.02</v>
      </c>
      <c r="D7" s="562">
        <v>10760.02</v>
      </c>
      <c r="E7" s="565">
        <f>+D7</f>
        <v>10760.02</v>
      </c>
      <c r="F7" s="562">
        <v>10846.04</v>
      </c>
      <c r="G7" s="565">
        <f>+F7</f>
        <v>10846.04</v>
      </c>
      <c r="H7" s="562">
        <v>11254.44</v>
      </c>
      <c r="I7" s="565">
        <f>+H7</f>
        <v>11254.44</v>
      </c>
      <c r="J7" s="565">
        <f>+B7</f>
        <v>10760.02</v>
      </c>
      <c r="K7" s="564">
        <f>+J7</f>
        <v>10760.02</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10544.82</v>
      </c>
      <c r="AQ7" s="592" t="s">
        <v>373</v>
      </c>
      <c r="AR7" s="594">
        <v>1</v>
      </c>
      <c r="AS7" s="594" t="s">
        <v>374</v>
      </c>
      <c r="AT7" s="592" t="s">
        <v>395</v>
      </c>
      <c r="AU7" s="591" t="str">
        <f t="shared" si="0"/>
        <v>17.09.2024</v>
      </c>
      <c r="AV7" s="591" t="str">
        <f t="shared" si="1"/>
        <v>23.09.2024</v>
      </c>
    </row>
    <row r="8" spans="1:48" ht="27.6" customHeight="1">
      <c r="A8" s="232" t="s">
        <v>407</v>
      </c>
      <c r="B8" s="349">
        <f>+D8</f>
        <v>0</v>
      </c>
      <c r="C8" s="224">
        <f>+BIODIESEL!$B$7</f>
        <v>21572.3</v>
      </c>
      <c r="D8" s="246">
        <v>0</v>
      </c>
      <c r="E8" s="224">
        <f>+BIODIESEL!$B$7</f>
        <v>21572.3</v>
      </c>
      <c r="F8" s="349">
        <v>0</v>
      </c>
      <c r="G8" s="224">
        <f>+BIODIESEL!$B$7</f>
        <v>21572.3</v>
      </c>
      <c r="H8" s="349">
        <v>0</v>
      </c>
      <c r="I8" s="224">
        <v>17266.965714285714</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ref="AU8:AU11" si="2">+TEXT($B$4,"DD.MM.YYYY")</f>
        <v>17.09.2024</v>
      </c>
      <c r="AV8" s="574" t="str">
        <f t="shared" ref="AV8:AV11" si="3">+TEXT($G$4,"DD.MM.YYYY")</f>
        <v>23.09.2024</v>
      </c>
    </row>
    <row r="9" spans="1:48" ht="35.450000000000003" customHeight="1">
      <c r="A9" s="248" t="s">
        <v>139</v>
      </c>
      <c r="B9" s="224">
        <f>+ROUND(B8*B5,2)+B7*(1-B5)</f>
        <v>10760.02</v>
      </c>
      <c r="C9" s="224">
        <f>+ROUND(C8*C5,2)+C7*(1-C5)</f>
        <v>10976.269600000001</v>
      </c>
      <c r="D9" s="247">
        <f>+D8*D5+D7*(1-D5)</f>
        <v>10760.02</v>
      </c>
      <c r="E9" s="224">
        <f>+ROUND(E8*E5,2)+E7*(1-E5)</f>
        <v>10976.269600000001</v>
      </c>
      <c r="F9" s="224">
        <f>+ROUND(F8*F5,2)+F7*(1-F5)</f>
        <v>10846.04</v>
      </c>
      <c r="G9" s="224">
        <f>ROUND((G8*G5),2)+ROUND(G7*(1-G5),2)</f>
        <v>11060.570000000002</v>
      </c>
      <c r="H9" s="224">
        <f>+ROUND(H8*H5,2)+H7*(1-H5)</f>
        <v>11254.44</v>
      </c>
      <c r="I9" s="224">
        <f>+ROUND(I8*I5,2)+I7*(1-I5)</f>
        <v>11374.691200000001</v>
      </c>
      <c r="J9" s="318">
        <f>+J7</f>
        <v>10760.02</v>
      </c>
      <c r="K9" s="291">
        <f>+K7</f>
        <v>10760.02</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345.34</v>
      </c>
      <c r="AQ9" s="576" t="s">
        <v>373</v>
      </c>
      <c r="AR9" s="572">
        <v>1</v>
      </c>
      <c r="AS9" s="572" t="s">
        <v>374</v>
      </c>
      <c r="AT9" s="576" t="s">
        <v>395</v>
      </c>
      <c r="AU9" s="574" t="str">
        <f t="shared" si="2"/>
        <v>17.09.2024</v>
      </c>
      <c r="AV9" s="574" t="str">
        <f t="shared" si="3"/>
        <v>23.09.2024</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2"/>
        <v>17.09.2024</v>
      </c>
      <c r="AV10" s="574" t="str">
        <f t="shared" si="3"/>
        <v>23.09.2024</v>
      </c>
    </row>
    <row r="11" spans="1:48"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4">+(S10-S9)/S9</f>
        <v>0</v>
      </c>
      <c r="T11" s="330">
        <f t="shared" si="4"/>
        <v>-8.6521733848730145E-2</v>
      </c>
      <c r="U11" s="330">
        <f t="shared" si="4"/>
        <v>0</v>
      </c>
      <c r="V11" s="330">
        <f t="shared" si="4"/>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2"/>
        <v>17.09.2024</v>
      </c>
      <c r="AV11" s="591" t="str">
        <f t="shared" si="3"/>
        <v>23.09.2024</v>
      </c>
    </row>
    <row r="12" spans="1:48"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8"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8"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10544.82</v>
      </c>
      <c r="AQ15" s="576" t="s">
        <v>373</v>
      </c>
      <c r="AR15" s="572">
        <v>1</v>
      </c>
      <c r="AS15" s="572" t="s">
        <v>374</v>
      </c>
      <c r="AT15" s="576" t="s">
        <v>395</v>
      </c>
      <c r="AU15" s="574" t="str">
        <f t="shared" ref="AU15:AU17" si="5">+TEXT($B$4,"DD.MM.YYYY")</f>
        <v>17.09.2024</v>
      </c>
      <c r="AV15" s="574" t="str">
        <f t="shared" ref="AV15:AV17" si="6">+TEXT($G$4,"DD.MM.YYYY")</f>
        <v>23.09.2024</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10760.02</v>
      </c>
      <c r="AQ16" s="576" t="s">
        <v>373</v>
      </c>
      <c r="AR16" s="572">
        <v>1</v>
      </c>
      <c r="AS16" s="572" t="s">
        <v>374</v>
      </c>
      <c r="AT16" s="576" t="s">
        <v>395</v>
      </c>
      <c r="AU16" s="574" t="str">
        <f t="shared" si="5"/>
        <v>17.09.2024</v>
      </c>
      <c r="AV16" s="574" t="str">
        <f t="shared" si="6"/>
        <v>23.09.2024</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5"/>
        <v>17.09.2024</v>
      </c>
      <c r="AV17" s="574" t="str">
        <f t="shared" si="6"/>
        <v>23.09.2024</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7">+E18</f>
        <v>(5)</v>
      </c>
      <c r="I18" s="411" t="str">
        <f t="shared" si="7"/>
        <v>(5)</v>
      </c>
      <c r="J18" s="411" t="str">
        <f t="shared" si="7"/>
        <v>(5)</v>
      </c>
      <c r="K18" s="561" t="str">
        <f t="shared" si="7"/>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a+wT98GMPgQIUnr68/w3GIr03rRJftyMfO0tN9wkzEjAbmfgy0eIv5kQkRfH3BhnWuiJJbxrfH8Hwo+vAR0CBQ==" saltValue="hbjS/DKZjXQhpBR7ySZ6cg==" spinCount="100000" sheet="1" objects="1" scenarios="1"/>
  <mergeCells count="9">
    <mergeCell ref="A32:H32"/>
    <mergeCell ref="A33:H33"/>
    <mergeCell ref="A34:E34"/>
    <mergeCell ref="A1:I1"/>
    <mergeCell ref="A2:I2"/>
    <mergeCell ref="A3:I3"/>
    <mergeCell ref="A26:I26"/>
    <mergeCell ref="A28:I28"/>
    <mergeCell ref="A30:I31"/>
  </mergeCells>
  <conditionalFormatting sqref="AA2:AV11">
    <cfRule type="containsText" dxfId="73" priority="5" operator="containsText" text="Seleccione...">
      <formula>NOT(ISERROR(SEARCH("Seleccione...",AA2)))</formula>
    </cfRule>
  </conditionalFormatting>
  <conditionalFormatting sqref="AA15:AV17">
    <cfRule type="containsText" dxfId="72"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BE71E3B-3B96-4D60-9703-7D6D0A6EE044}">
          <x14:formula1>
            <xm:f>Fechas!$A$2:$A$831</xm:f>
          </x14:formula1>
          <xm:sqref>B4 G4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16BEA-787D-4C7E-85F2-B3CC93554577}">
  <sheetPr codeName="Hoja13"/>
  <dimension ref="A1:AV46"/>
  <sheetViews>
    <sheetView showGridLines="0" zoomScale="85" zoomScaleNormal="85" workbookViewId="0">
      <selection sqref="A1:I1"/>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12.42578125" style="5" bestFit="1" customWidth="1"/>
    <col min="42" max="42" width="8.85546875" style="5" bestFit="1" customWidth="1"/>
    <col min="43" max="46" width="7.85546875" style="5"/>
    <col min="47" max="48" width="9.85546875" style="5" bestFit="1" customWidth="1"/>
    <col min="49" max="16384" width="7.85546875" style="5"/>
  </cols>
  <sheetData>
    <row r="1" spans="1:48"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8"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10544.96</v>
      </c>
      <c r="AQ2" s="576" t="s">
        <v>373</v>
      </c>
      <c r="AR2" s="572">
        <v>1</v>
      </c>
      <c r="AS2" s="572" t="s">
        <v>374</v>
      </c>
      <c r="AT2" s="576" t="s">
        <v>395</v>
      </c>
      <c r="AU2" s="574" t="str">
        <f t="shared" ref="AU2:AU7" si="0">+TEXT($B$4,"DD.MM.YYYY")</f>
        <v>24.09.2024</v>
      </c>
      <c r="AV2" s="574" t="str">
        <f t="shared" ref="AV2:AV7" si="1">+TEXT($G$4,"DD.MM.YYYY")</f>
        <v>30.09.2024</v>
      </c>
    </row>
    <row r="3" spans="1:48"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10942.17</v>
      </c>
      <c r="AQ3" s="576" t="s">
        <v>373</v>
      </c>
      <c r="AR3" s="572">
        <v>1</v>
      </c>
      <c r="AS3" s="572" t="s">
        <v>374</v>
      </c>
      <c r="AT3" s="576" t="s">
        <v>395</v>
      </c>
      <c r="AU3" s="574" t="str">
        <f t="shared" si="0"/>
        <v>24.09.2024</v>
      </c>
      <c r="AV3" s="574" t="str">
        <f t="shared" si="1"/>
        <v>30.09.2024</v>
      </c>
    </row>
    <row r="4" spans="1:48" ht="18.75">
      <c r="A4" s="600" t="s">
        <v>421</v>
      </c>
      <c r="B4" s="599">
        <v>45559</v>
      </c>
      <c r="C4" s="585"/>
      <c r="D4" s="598"/>
      <c r="F4" s="579" t="s">
        <v>422</v>
      </c>
      <c r="G4" s="599">
        <v>45565</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10460.66</v>
      </c>
      <c r="AQ4" s="576" t="s">
        <v>373</v>
      </c>
      <c r="AR4" s="572">
        <v>1</v>
      </c>
      <c r="AS4" s="572" t="s">
        <v>374</v>
      </c>
      <c r="AT4" s="576" t="s">
        <v>395</v>
      </c>
      <c r="AU4" s="574" t="str">
        <f t="shared" si="0"/>
        <v>24.09.2024</v>
      </c>
      <c r="AV4" s="574" t="str">
        <f t="shared" si="1"/>
        <v>30.09.2024</v>
      </c>
    </row>
    <row r="5" spans="1:48" ht="15.75" thickBot="1">
      <c r="A5" s="556"/>
      <c r="B5" s="113">
        <v>0</v>
      </c>
      <c r="C5" s="113">
        <v>0.02</v>
      </c>
      <c r="D5" s="113">
        <v>0</v>
      </c>
      <c r="E5" s="113">
        <v>0.02</v>
      </c>
      <c r="F5" s="113">
        <v>0</v>
      </c>
      <c r="G5" s="557">
        <v>0.02</v>
      </c>
      <c r="H5" s="557">
        <v>0</v>
      </c>
      <c r="I5" s="557">
        <v>0.02</v>
      </c>
      <c r="J5" s="113">
        <v>0</v>
      </c>
      <c r="K5" s="558">
        <v>0</v>
      </c>
      <c r="AA5" s="594" t="s">
        <v>371</v>
      </c>
      <c r="AB5" s="594">
        <v>929</v>
      </c>
      <c r="AC5" s="594" t="s">
        <v>372</v>
      </c>
      <c r="AD5" s="594"/>
      <c r="AE5" s="594"/>
      <c r="AF5" s="594">
        <v>2000</v>
      </c>
      <c r="AG5" s="594"/>
      <c r="AH5" s="594"/>
      <c r="AI5" s="594"/>
      <c r="AJ5" s="594"/>
      <c r="AK5" s="594"/>
      <c r="AL5" s="594"/>
      <c r="AM5" s="594" t="s">
        <v>393</v>
      </c>
      <c r="AN5" s="594"/>
      <c r="AO5" s="594">
        <v>30000009291</v>
      </c>
      <c r="AP5" s="593">
        <f>+ROUND($F$7*98%,2)</f>
        <v>10544.96</v>
      </c>
      <c r="AQ5" s="592" t="s">
        <v>373</v>
      </c>
      <c r="AR5" s="594">
        <v>1</v>
      </c>
      <c r="AS5" s="594" t="s">
        <v>374</v>
      </c>
      <c r="AT5" s="592" t="s">
        <v>395</v>
      </c>
      <c r="AU5" s="591" t="str">
        <f t="shared" si="0"/>
        <v>24.09.2024</v>
      </c>
      <c r="AV5" s="591" t="str">
        <f t="shared" si="1"/>
        <v>30.09.2024</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10942.17</v>
      </c>
      <c r="AQ6" s="592" t="s">
        <v>373</v>
      </c>
      <c r="AR6" s="594">
        <v>1</v>
      </c>
      <c r="AS6" s="594" t="s">
        <v>374</v>
      </c>
      <c r="AT6" s="592" t="s">
        <v>395</v>
      </c>
      <c r="AU6" s="591" t="str">
        <f t="shared" si="0"/>
        <v>24.09.2024</v>
      </c>
      <c r="AV6" s="591" t="str">
        <f t="shared" si="1"/>
        <v>30.09.2024</v>
      </c>
    </row>
    <row r="7" spans="1:48" ht="27.6" customHeight="1">
      <c r="A7" s="70" t="s">
        <v>200</v>
      </c>
      <c r="B7" s="562">
        <v>10674.14</v>
      </c>
      <c r="C7" s="565">
        <f>+B7</f>
        <v>10674.14</v>
      </c>
      <c r="D7" s="562">
        <v>10674.14</v>
      </c>
      <c r="E7" s="565">
        <f>+D7</f>
        <v>10674.14</v>
      </c>
      <c r="F7" s="562">
        <v>10760.16</v>
      </c>
      <c r="G7" s="565">
        <f>+F7</f>
        <v>10760.16</v>
      </c>
      <c r="H7" s="562">
        <v>11165.48</v>
      </c>
      <c r="I7" s="565">
        <f>+H7</f>
        <v>11165.48</v>
      </c>
      <c r="J7" s="565">
        <f>+B7</f>
        <v>10674.14</v>
      </c>
      <c r="K7" s="564">
        <f>+J7</f>
        <v>10674.14</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10460.66</v>
      </c>
      <c r="AQ7" s="592" t="s">
        <v>373</v>
      </c>
      <c r="AR7" s="594">
        <v>1</v>
      </c>
      <c r="AS7" s="594" t="s">
        <v>374</v>
      </c>
      <c r="AT7" s="592" t="s">
        <v>395</v>
      </c>
      <c r="AU7" s="591" t="str">
        <f t="shared" si="0"/>
        <v>24.09.2024</v>
      </c>
      <c r="AV7" s="591" t="str">
        <f t="shared" si="1"/>
        <v>30.09.2024</v>
      </c>
    </row>
    <row r="8" spans="1:48" ht="27.6" customHeight="1">
      <c r="A8" s="232" t="s">
        <v>407</v>
      </c>
      <c r="B8" s="349">
        <f>+D8</f>
        <v>0</v>
      </c>
      <c r="C8" s="224">
        <f>+BIODIESEL!$B$7</f>
        <v>21572.3</v>
      </c>
      <c r="D8" s="246">
        <v>0</v>
      </c>
      <c r="E8" s="224">
        <f>+BIODIESEL!$B$7</f>
        <v>21572.3</v>
      </c>
      <c r="F8" s="349">
        <v>0</v>
      </c>
      <c r="G8" s="224">
        <f>+BIODIESEL!$B$7</f>
        <v>21572.3</v>
      </c>
      <c r="H8" s="349">
        <v>0</v>
      </c>
      <c r="I8" s="224">
        <v>17266.965714285714</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ref="AU8:AU11" si="2">+TEXT($B$4,"DD.MM.YYYY")</f>
        <v>24.09.2024</v>
      </c>
      <c r="AV8" s="574" t="str">
        <f t="shared" ref="AV8:AV11" si="3">+TEXT($G$4,"DD.MM.YYYY")</f>
        <v>30.09.2024</v>
      </c>
    </row>
    <row r="9" spans="1:48" ht="35.450000000000003" customHeight="1">
      <c r="A9" s="248" t="s">
        <v>139</v>
      </c>
      <c r="B9" s="224">
        <f>+ROUND(B8*B5,2)+B7*(1-B5)</f>
        <v>10674.14</v>
      </c>
      <c r="C9" s="224">
        <f>+ROUND(C8*C5,2)+C7*(1-C5)</f>
        <v>10892.1072</v>
      </c>
      <c r="D9" s="247">
        <f>+D8*D5+D7*(1-D5)</f>
        <v>10674.14</v>
      </c>
      <c r="E9" s="224">
        <f>+ROUND(E8*E5,2)+E7*(1-E5)</f>
        <v>10892.1072</v>
      </c>
      <c r="F9" s="224">
        <f>+ROUND(F8*F5,2)+F7*(1-F5)</f>
        <v>10760.16</v>
      </c>
      <c r="G9" s="224">
        <f>ROUND((G8*G5),2)+ROUND(G7*(1-G5),2)</f>
        <v>10976.41</v>
      </c>
      <c r="H9" s="224">
        <f>+ROUND(H8*H5,2)+H7*(1-H5)</f>
        <v>11165.48</v>
      </c>
      <c r="I9" s="224">
        <f>+ROUND(I8*I5,2)+I7*(1-I5)</f>
        <v>11287.510399999999</v>
      </c>
      <c r="J9" s="318">
        <f>+J7</f>
        <v>10674.14</v>
      </c>
      <c r="K9" s="291">
        <f>+K7</f>
        <v>10674.14</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345.34</v>
      </c>
      <c r="AQ9" s="576" t="s">
        <v>373</v>
      </c>
      <c r="AR9" s="572">
        <v>1</v>
      </c>
      <c r="AS9" s="572" t="s">
        <v>374</v>
      </c>
      <c r="AT9" s="576" t="s">
        <v>395</v>
      </c>
      <c r="AU9" s="574" t="str">
        <f t="shared" si="2"/>
        <v>24.09.2024</v>
      </c>
      <c r="AV9" s="574" t="str">
        <f t="shared" si="3"/>
        <v>30.09.2024</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2"/>
        <v>24.09.2024</v>
      </c>
      <c r="AV10" s="574" t="str">
        <f t="shared" si="3"/>
        <v>30.09.2024</v>
      </c>
    </row>
    <row r="11" spans="1:48"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4">+(S10-S9)/S9</f>
        <v>0</v>
      </c>
      <c r="T11" s="330">
        <f t="shared" si="4"/>
        <v>-8.6521733848730145E-2</v>
      </c>
      <c r="U11" s="330">
        <f t="shared" si="4"/>
        <v>0</v>
      </c>
      <c r="V11" s="330">
        <f t="shared" si="4"/>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2"/>
        <v>24.09.2024</v>
      </c>
      <c r="AV11" s="591" t="str">
        <f t="shared" si="3"/>
        <v>30.09.2024</v>
      </c>
    </row>
    <row r="12" spans="1:48"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8"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8"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10460.66</v>
      </c>
      <c r="AQ15" s="576" t="s">
        <v>373</v>
      </c>
      <c r="AR15" s="572">
        <v>1</v>
      </c>
      <c r="AS15" s="572" t="s">
        <v>374</v>
      </c>
      <c r="AT15" s="576" t="s">
        <v>395</v>
      </c>
      <c r="AU15" s="574" t="str">
        <f t="shared" ref="AU15:AU17" si="5">+TEXT($B$4,"DD.MM.YYYY")</f>
        <v>24.09.2024</v>
      </c>
      <c r="AV15" s="574" t="str">
        <f t="shared" ref="AV15:AV17" si="6">+TEXT($G$4,"DD.MM.YYYY")</f>
        <v>30.09.2024</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10674.14</v>
      </c>
      <c r="AQ16" s="576" t="s">
        <v>373</v>
      </c>
      <c r="AR16" s="572">
        <v>1</v>
      </c>
      <c r="AS16" s="572" t="s">
        <v>374</v>
      </c>
      <c r="AT16" s="576" t="s">
        <v>395</v>
      </c>
      <c r="AU16" s="574" t="str">
        <f t="shared" si="5"/>
        <v>24.09.2024</v>
      </c>
      <c r="AV16" s="574" t="str">
        <f t="shared" si="6"/>
        <v>30.09.2024</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5"/>
        <v>24.09.2024</v>
      </c>
      <c r="AV17" s="574" t="str">
        <f t="shared" si="6"/>
        <v>30.09.2024</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7">+E18</f>
        <v>(5)</v>
      </c>
      <c r="I18" s="411" t="str">
        <f t="shared" si="7"/>
        <v>(5)</v>
      </c>
      <c r="J18" s="411" t="str">
        <f t="shared" si="7"/>
        <v>(5)</v>
      </c>
      <c r="K18" s="561" t="str">
        <f t="shared" si="7"/>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uELxnFlp4l0ZdW1UOKR5nvEOr2no4IV36BQm5unOmeTx+h3c7Nf3HpA8ajB9J0jwvhzISY23in2xDWM6/m4cxQ==" saltValue="HEvKWrGjr41ElsU6daxhHg==" spinCount="100000" sheet="1" objects="1" scenarios="1"/>
  <mergeCells count="9">
    <mergeCell ref="A32:H32"/>
    <mergeCell ref="A33:H33"/>
    <mergeCell ref="A34:E34"/>
    <mergeCell ref="A1:I1"/>
    <mergeCell ref="A2:I2"/>
    <mergeCell ref="A3:I3"/>
    <mergeCell ref="A26:I26"/>
    <mergeCell ref="A28:I28"/>
    <mergeCell ref="A30:I31"/>
  </mergeCells>
  <conditionalFormatting sqref="AA2:AV11">
    <cfRule type="containsText" dxfId="71" priority="5" operator="containsText" text="Seleccione...">
      <formula>NOT(ISERROR(SEARCH("Seleccione...",AA2)))</formula>
    </cfRule>
  </conditionalFormatting>
  <conditionalFormatting sqref="AA15:AV17">
    <cfRule type="containsText" dxfId="70"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7F833014-4637-48F8-8C40-68B934CA9330}">
          <x14:formula1>
            <xm:f>Fechas!$A$2:$A$831</xm:f>
          </x14:formula1>
          <xm:sqref>B4 G4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79BA7-689C-47BC-92DE-33661B6E10F6}">
  <sheetPr codeName="Hoja14"/>
  <dimension ref="A1:AW42"/>
  <sheetViews>
    <sheetView showGridLines="0" zoomScale="85" zoomScaleNormal="85" workbookViewId="0">
      <selection sqref="A1:E1"/>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26" width="7.85546875" style="5"/>
    <col min="27" max="27" width="10.7109375" style="5" bestFit="1" customWidth="1"/>
    <col min="28" max="41" width="7.85546875" style="5"/>
    <col min="42" max="42" width="12.140625" style="5" bestFit="1" customWidth="1"/>
    <col min="43" max="43" width="8.85546875" style="5" bestFit="1" customWidth="1"/>
    <col min="44" max="47" width="7.85546875" style="5"/>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8090.93</v>
      </c>
      <c r="AR2" s="583" t="s">
        <v>373</v>
      </c>
      <c r="AS2" s="583">
        <v>1</v>
      </c>
      <c r="AT2" s="581" t="s">
        <v>374</v>
      </c>
      <c r="AU2" s="580" t="s">
        <v>395</v>
      </c>
      <c r="AV2" s="574" t="str">
        <f>+TEXT($B$4,"DD.MM.YYYY")</f>
        <v>31.08.2024</v>
      </c>
      <c r="AW2" s="574" t="str">
        <f>+TEXT($B$5,"DD.MM.YYYY")</f>
        <v>02.09.2024</v>
      </c>
    </row>
    <row r="3" spans="1:49" ht="24.75" customHeight="1">
      <c r="A3" s="768" t="s">
        <v>21</v>
      </c>
      <c r="B3" s="769"/>
      <c r="C3" s="769"/>
      <c r="D3" s="769"/>
      <c r="E3" s="769"/>
      <c r="F3" s="310"/>
      <c r="G3" s="310"/>
      <c r="H3" s="310"/>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8722.5</v>
      </c>
      <c r="AR3" s="602" t="s">
        <v>373</v>
      </c>
      <c r="AS3" s="602">
        <v>1</v>
      </c>
      <c r="AT3" s="604" t="s">
        <v>374</v>
      </c>
      <c r="AU3" s="605" t="s">
        <v>395</v>
      </c>
      <c r="AV3" s="574" t="str">
        <f>+TEXT($B$4,"DD.MM.YYYY")</f>
        <v>31.08.2024</v>
      </c>
      <c r="AW3" s="574" t="str">
        <f>+TEXT($B$5,"DD.MM.YYYY")</f>
        <v>02.09.2024</v>
      </c>
    </row>
    <row r="4" spans="1:49" ht="24.75" customHeight="1">
      <c r="A4" s="600" t="s">
        <v>421</v>
      </c>
      <c r="B4" s="599">
        <v>45535</v>
      </c>
      <c r="C4" s="590"/>
      <c r="D4" s="590"/>
      <c r="E4" s="590"/>
      <c r="F4" s="310"/>
      <c r="G4" s="310"/>
      <c r="H4" s="310"/>
      <c r="J4" s="525"/>
      <c r="K4" s="525"/>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31.08.2024</v>
      </c>
      <c r="AW4" s="574" t="str">
        <f>+TEXT($B$5,"DD.MM.YYYY")</f>
        <v>02.09.2024</v>
      </c>
    </row>
    <row r="5" spans="1:49" ht="18.75">
      <c r="A5" s="579" t="s">
        <v>422</v>
      </c>
      <c r="B5" s="599">
        <v>45537</v>
      </c>
      <c r="C5" s="585"/>
      <c r="D5" s="598"/>
      <c r="E5" s="585"/>
      <c r="I5" s="585"/>
      <c r="AB5" s="575" t="s">
        <v>378</v>
      </c>
      <c r="AC5" s="575">
        <v>929</v>
      </c>
      <c r="AD5" s="583" t="s">
        <v>372</v>
      </c>
      <c r="AE5" s="583"/>
      <c r="AF5" s="583"/>
      <c r="AG5" s="583">
        <v>2000</v>
      </c>
      <c r="AH5" s="583"/>
      <c r="AI5" s="583"/>
      <c r="AJ5" s="583"/>
      <c r="AK5" s="583"/>
      <c r="AL5" s="583"/>
      <c r="AM5" s="583"/>
      <c r="AN5" s="583" t="s">
        <v>424</v>
      </c>
      <c r="AO5" s="583"/>
      <c r="AP5" s="583">
        <v>30000000003</v>
      </c>
      <c r="AQ5" s="582">
        <f>+ROUND($D$8,2)</f>
        <v>8900.51</v>
      </c>
      <c r="AR5" s="583" t="s">
        <v>373</v>
      </c>
      <c r="AS5" s="583">
        <v>1</v>
      </c>
      <c r="AT5" s="581" t="s">
        <v>374</v>
      </c>
      <c r="AU5" s="580" t="s">
        <v>395</v>
      </c>
      <c r="AV5" s="574" t="str">
        <f>+TEXT($B$4,"DD.MM.YYYY")</f>
        <v>31.08.2024</v>
      </c>
      <c r="AW5" s="574" t="str">
        <f>+TEXT($B$5,"DD.MM.YYYY")</f>
        <v>02.09.2024</v>
      </c>
    </row>
    <row r="6" spans="1:49" ht="15.75" thickBot="1">
      <c r="A6" s="556"/>
      <c r="B6" s="113">
        <v>0</v>
      </c>
      <c r="C6" s="113">
        <v>0.02</v>
      </c>
      <c r="D6" s="113">
        <v>0</v>
      </c>
      <c r="E6" s="557">
        <v>0.02</v>
      </c>
    </row>
    <row r="7" spans="1:49" ht="72.75" customHeight="1" thickTop="1">
      <c r="A7" s="244" t="s">
        <v>14</v>
      </c>
      <c r="B7" s="245" t="s">
        <v>412</v>
      </c>
      <c r="C7" s="245" t="s">
        <v>413</v>
      </c>
      <c r="D7" s="245" t="s">
        <v>414</v>
      </c>
      <c r="E7" s="245" t="s">
        <v>415</v>
      </c>
    </row>
    <row r="8" spans="1:49" ht="27.6" customHeight="1">
      <c r="A8" s="70" t="s">
        <v>408</v>
      </c>
      <c r="B8" s="562">
        <v>8986.5292917999996</v>
      </c>
      <c r="C8" s="565">
        <f>+B8</f>
        <v>8986.5292917999996</v>
      </c>
      <c r="D8" s="562">
        <v>8900.5092917999991</v>
      </c>
      <c r="E8" s="565">
        <f>+D8</f>
        <v>8900.5092917999991</v>
      </c>
      <c r="H8" s="341"/>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342"/>
      <c r="J9" s="342"/>
      <c r="K9" s="342"/>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8176.95</v>
      </c>
      <c r="AR9" s="583" t="s">
        <v>373</v>
      </c>
      <c r="AS9" s="583">
        <v>1</v>
      </c>
      <c r="AT9" s="581" t="s">
        <v>374</v>
      </c>
      <c r="AU9" s="580" t="s">
        <v>395</v>
      </c>
      <c r="AV9" s="574" t="str">
        <f>+TEXT($B$4,"DD.MM.YYYY")</f>
        <v>31.08.2024</v>
      </c>
      <c r="AW9" s="574" t="str">
        <f>+TEXT($B$5,"DD.MM.YYYY")</f>
        <v>02.09.2024</v>
      </c>
    </row>
    <row r="10" spans="1:49" ht="35.450000000000003" customHeight="1">
      <c r="A10" s="248" t="s">
        <v>139</v>
      </c>
      <c r="B10" s="224">
        <f t="shared" ref="B10" si="0">+ROUND(B9*B6,2)+B8*(1-B6)</f>
        <v>8986.5292917999996</v>
      </c>
      <c r="C10" s="224">
        <f>+ROUND(C9*C6,2)+C8*(1-C6)</f>
        <v>9238.2487059640007</v>
      </c>
      <c r="D10" s="224">
        <f t="shared" ref="D10:E10" si="1">+ROUND(D9*D6,2)+D8*(1-D6)</f>
        <v>8900.5092917999991</v>
      </c>
      <c r="E10" s="224">
        <f t="shared" si="1"/>
        <v>9153.9491059640004</v>
      </c>
      <c r="F10" s="310"/>
      <c r="G10" s="329" t="s">
        <v>138</v>
      </c>
      <c r="H10" s="342"/>
      <c r="I10" s="26">
        <v>6978.4077749146245</v>
      </c>
      <c r="J10" s="26">
        <v>6875.1811988924737</v>
      </c>
      <c r="K10" s="26">
        <v>7272.6860170874797</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8806.7999999999993</v>
      </c>
      <c r="AR10" s="602" t="s">
        <v>373</v>
      </c>
      <c r="AS10" s="602">
        <v>1</v>
      </c>
      <c r="AT10" s="604" t="s">
        <v>374</v>
      </c>
      <c r="AU10" s="605" t="s">
        <v>395</v>
      </c>
      <c r="AV10" s="574" t="str">
        <f>+TEXT($B$4,"DD.MM.YYYY")</f>
        <v>31.08.2024</v>
      </c>
      <c r="AW10" s="574" t="str">
        <f>+TEXT($B$5,"DD.MM.YYYY")</f>
        <v>02.09.2024</v>
      </c>
    </row>
    <row r="11" spans="1:49" ht="35.450000000000003" customHeight="1">
      <c r="A11" s="248" t="s">
        <v>410</v>
      </c>
      <c r="B11" s="570">
        <v>8176.9512973800011</v>
      </c>
      <c r="C11" s="224"/>
      <c r="D11" s="570">
        <v>8090.9312973799997</v>
      </c>
      <c r="E11" s="224"/>
      <c r="F11" s="310"/>
      <c r="G11" s="329"/>
      <c r="H11" s="342"/>
      <c r="I11" s="26"/>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31.08.2024</v>
      </c>
      <c r="AW11" s="574" t="str">
        <f>+TEXT($B$5,"DD.MM.YYYY")</f>
        <v>02.09.2024</v>
      </c>
    </row>
    <row r="12" spans="1:49" ht="27.6" customHeight="1">
      <c r="A12" s="232" t="s">
        <v>47</v>
      </c>
      <c r="B12" s="224">
        <f>+'COMBUSTIBLES '!E8</f>
        <v>9.43</v>
      </c>
      <c r="C12" s="224">
        <f>+B12</f>
        <v>9.43</v>
      </c>
      <c r="D12" s="224">
        <f>+C12</f>
        <v>9.43</v>
      </c>
      <c r="E12" s="224">
        <f>+BIODIESEL!D14</f>
        <v>9.43</v>
      </c>
      <c r="H12" s="26">
        <v>6474.0480291453787</v>
      </c>
      <c r="I12" s="26">
        <v>6414.6173003313961</v>
      </c>
      <c r="J12" s="26">
        <v>6875.1811988924737</v>
      </c>
      <c r="K12" s="26">
        <v>6660.1986685624715</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8986.5300000000007</v>
      </c>
      <c r="AR12" s="583" t="s">
        <v>373</v>
      </c>
      <c r="AS12" s="583">
        <v>1</v>
      </c>
      <c r="AT12" s="581" t="s">
        <v>374</v>
      </c>
      <c r="AU12" s="580" t="s">
        <v>395</v>
      </c>
      <c r="AV12" s="574" t="str">
        <f>+TEXT($B$4,"DD.MM.YYYY")</f>
        <v>31.08.2024</v>
      </c>
      <c r="AW12" s="574" t="str">
        <f>+TEXT($B$5,"DD.MM.YYYY")</f>
        <v>02.09.2024</v>
      </c>
    </row>
    <row r="13" spans="1:49" ht="27.6" customHeight="1">
      <c r="A13" s="232"/>
      <c r="B13" s="247"/>
      <c r="C13" s="247"/>
      <c r="D13" s="247"/>
      <c r="E13" s="247"/>
      <c r="H13" s="26"/>
      <c r="I13" s="26"/>
      <c r="J13" s="26"/>
      <c r="K13" s="26"/>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26"/>
      <c r="J14" s="26"/>
      <c r="K14" s="26"/>
      <c r="L14" s="26"/>
      <c r="M14" s="26"/>
      <c r="N14" s="26"/>
      <c r="O14" s="26"/>
      <c r="P14" s="26"/>
      <c r="Q14" s="26"/>
      <c r="R14" s="26"/>
      <c r="S14" s="26"/>
      <c r="T14" s="26"/>
    </row>
    <row r="15" spans="1:49" s="26" customFormat="1" ht="15.95" customHeight="1">
      <c r="A15" s="569"/>
      <c r="B15" s="16"/>
      <c r="C15" s="16"/>
    </row>
    <row r="16" spans="1:49" s="26" customFormat="1" ht="15.95" customHeight="1">
      <c r="A16" s="301"/>
      <c r="B16" s="16"/>
      <c r="C16" s="16"/>
    </row>
    <row r="17" spans="1:5" s="26" customFormat="1" ht="15.95" customHeight="1">
      <c r="A17" s="431" t="s">
        <v>409</v>
      </c>
      <c r="B17" s="16"/>
      <c r="C17" s="16"/>
    </row>
    <row r="18" spans="1:5" s="26" customFormat="1" ht="18" customHeight="1">
      <c r="A18" s="12" t="s">
        <v>141</v>
      </c>
      <c r="B18" s="16"/>
      <c r="C18" s="16"/>
    </row>
    <row r="19" spans="1:5" s="14" customFormat="1" ht="15">
      <c r="B19" s="13"/>
      <c r="C19" s="13"/>
    </row>
    <row r="20" spans="1:5" s="14" customFormat="1" ht="15">
      <c r="A20" s="12"/>
      <c r="B20" s="13"/>
      <c r="C20" s="13"/>
    </row>
    <row r="21" spans="1:5" s="14" customFormat="1" ht="11.25" customHeight="1">
      <c r="A21" s="12"/>
      <c r="B21" s="13"/>
      <c r="C21" s="13"/>
    </row>
    <row r="22" spans="1:5" s="14" customFormat="1" ht="246.6" customHeight="1">
      <c r="A22" s="773" t="s">
        <v>416</v>
      </c>
      <c r="B22" s="773"/>
      <c r="C22" s="773"/>
      <c r="D22" s="773"/>
      <c r="E22" s="773"/>
    </row>
    <row r="23" spans="1:5" s="14" customFormat="1" ht="8.4499999999999993" customHeight="1">
      <c r="A23" s="12"/>
      <c r="B23" s="13"/>
      <c r="C23" s="13"/>
    </row>
    <row r="24" spans="1:5" s="14" customFormat="1" ht="30.75" customHeight="1">
      <c r="A24" s="770"/>
      <c r="B24" s="770"/>
      <c r="C24" s="770"/>
      <c r="D24" s="770"/>
      <c r="E24" s="770"/>
    </row>
    <row r="25" spans="1:5" s="14" customFormat="1" ht="9.6" customHeight="1">
      <c r="A25" s="12"/>
      <c r="B25" s="13"/>
      <c r="C25" s="13"/>
    </row>
    <row r="26" spans="1:5" s="14" customFormat="1" ht="14.25" customHeight="1">
      <c r="A26" s="771"/>
      <c r="B26" s="771"/>
      <c r="C26" s="771"/>
      <c r="D26" s="771"/>
      <c r="E26" s="771"/>
    </row>
    <row r="27" spans="1:5" ht="70.900000000000006" customHeight="1">
      <c r="A27" s="771"/>
      <c r="B27" s="771"/>
      <c r="C27" s="771"/>
      <c r="D27" s="771"/>
      <c r="E27" s="771"/>
    </row>
    <row r="28" spans="1:5" ht="23.65" customHeight="1">
      <c r="A28" s="764"/>
      <c r="B28" s="764"/>
      <c r="C28" s="764"/>
      <c r="D28" s="764"/>
      <c r="E28" s="764"/>
    </row>
    <row r="29" spans="1:5">
      <c r="A29" s="764"/>
      <c r="B29" s="764"/>
      <c r="C29" s="764"/>
      <c r="D29" s="764"/>
      <c r="E29" s="764"/>
    </row>
    <row r="30" spans="1:5" ht="203.25" customHeight="1"/>
    <row r="32" spans="1:5">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guK0IpjdH/5Y74tPUhjl8dUpWwP64EmahuDFeR9rQjztnRc2RYnCEuC7Sr3/4WUVUPUZr3/vmRh7UwsQdIDBaA==" saltValue="UcVMnlhPhsk7aEbGJcXpXA=="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69" priority="5" operator="containsText" text="Seleccione...">
      <formula>NOT(ISERROR(SEARCH("Seleccione...",AV2)))</formula>
    </cfRule>
  </conditionalFormatting>
  <conditionalFormatting sqref="AV9:AW12">
    <cfRule type="containsText" dxfId="68"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542CF7B-DB69-4897-87CC-EB68D23866DA}">
          <x14:formula1>
            <xm:f>Fechas!$A$2:$A$831</xm:f>
          </x14:formula1>
          <xm:sqref>B4:B5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B09F-6F28-4B33-B739-6C593CD11970}">
  <sheetPr codeName="Hoja15"/>
  <dimension ref="A1:AW42"/>
  <sheetViews>
    <sheetView showGridLines="0" zoomScale="85" zoomScaleNormal="85" workbookViewId="0">
      <selection sqref="A1:E1"/>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26" width="7.85546875" style="5"/>
    <col min="27" max="27" width="10.7109375" style="5" bestFit="1" customWidth="1"/>
    <col min="28" max="28" width="17.7109375" style="5" bestFit="1" customWidth="1"/>
    <col min="29" max="29" width="18" style="5" bestFit="1" customWidth="1"/>
    <col min="30" max="30" width="22.140625" style="5" bestFit="1" customWidth="1"/>
    <col min="31" max="31" width="20" style="5" bestFit="1" customWidth="1"/>
    <col min="32" max="32" width="6.42578125" style="5" bestFit="1" customWidth="1"/>
    <col min="33" max="33" width="6.5703125" style="5" bestFit="1" customWidth="1"/>
    <col min="34" max="34" width="5" style="5" bestFit="1" customWidth="1"/>
    <col min="35" max="35" width="17.28515625" style="5" bestFit="1" customWidth="1"/>
    <col min="36" max="36" width="12.140625" style="5" bestFit="1" customWidth="1"/>
    <col min="37" max="37" width="15.85546875" style="5" bestFit="1" customWidth="1"/>
    <col min="38" max="38" width="17.42578125" style="5" bestFit="1" customWidth="1"/>
    <col min="39" max="39" width="7.42578125" style="5" bestFit="1" customWidth="1"/>
    <col min="40" max="40" width="10.42578125" style="5" bestFit="1" customWidth="1"/>
    <col min="41" max="41" width="24.5703125" style="5" bestFit="1" customWidth="1"/>
    <col min="42" max="42" width="12.140625" style="5" bestFit="1" customWidth="1"/>
    <col min="43" max="43" width="8" style="5" bestFit="1" customWidth="1"/>
    <col min="44" max="44" width="20.140625" style="5" bestFit="1" customWidth="1"/>
    <col min="45" max="45" width="13.7109375" style="5" bestFit="1" customWidth="1"/>
    <col min="46" max="46" width="17.5703125" style="5" bestFit="1" customWidth="1"/>
    <col min="47" max="47" width="15.85546875" style="5" bestFit="1" customWidth="1"/>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8048.78</v>
      </c>
      <c r="AR2" s="583" t="s">
        <v>373</v>
      </c>
      <c r="AS2" s="583">
        <v>1</v>
      </c>
      <c r="AT2" s="581" t="s">
        <v>374</v>
      </c>
      <c r="AU2" s="580" t="s">
        <v>395</v>
      </c>
      <c r="AV2" s="574" t="str">
        <f>+TEXT($B$4,"DD.MM.YYYY")</f>
        <v>03.09.2024</v>
      </c>
      <c r="AW2" s="574" t="str">
        <f>+TEXT($B$5,"DD.MM.YYYY")</f>
        <v>09.09.2024</v>
      </c>
    </row>
    <row r="3" spans="1:49" ht="24.75" customHeight="1">
      <c r="A3" s="768" t="s">
        <v>21</v>
      </c>
      <c r="B3" s="769"/>
      <c r="C3" s="769"/>
      <c r="D3" s="769"/>
      <c r="E3" s="769"/>
      <c r="F3" s="310"/>
      <c r="G3" s="310"/>
      <c r="H3" s="310"/>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8900.06</v>
      </c>
      <c r="AR3" s="602" t="s">
        <v>373</v>
      </c>
      <c r="AS3" s="602">
        <v>1</v>
      </c>
      <c r="AT3" s="604" t="s">
        <v>374</v>
      </c>
      <c r="AU3" s="605" t="s">
        <v>395</v>
      </c>
      <c r="AV3" s="574" t="str">
        <f>+TEXT($B$4,"DD.MM.YYYY")</f>
        <v>03.09.2024</v>
      </c>
      <c r="AW3" s="574" t="str">
        <f>+TEXT($B$5,"DD.MM.YYYY")</f>
        <v>09.09.2024</v>
      </c>
    </row>
    <row r="4" spans="1:49" ht="24.75" customHeight="1">
      <c r="A4" s="600" t="s">
        <v>421</v>
      </c>
      <c r="B4" s="599">
        <v>45538</v>
      </c>
      <c r="C4" s="590"/>
      <c r="D4" s="590"/>
      <c r="E4" s="590"/>
      <c r="F4" s="310"/>
      <c r="G4" s="310"/>
      <c r="H4" s="310"/>
      <c r="J4" s="525"/>
      <c r="K4" s="525"/>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03.09.2024</v>
      </c>
      <c r="AW4" s="574" t="str">
        <f>+TEXT($B$5,"DD.MM.YYYY")</f>
        <v>09.09.2024</v>
      </c>
    </row>
    <row r="5" spans="1:49" ht="18.75">
      <c r="A5" s="579" t="s">
        <v>422</v>
      </c>
      <c r="B5" s="599">
        <v>45544</v>
      </c>
      <c r="C5" s="585"/>
      <c r="D5" s="598"/>
      <c r="E5" s="585"/>
      <c r="AB5" s="575" t="s">
        <v>378</v>
      </c>
      <c r="AC5" s="575">
        <v>929</v>
      </c>
      <c r="AD5" s="583" t="s">
        <v>372</v>
      </c>
      <c r="AE5" s="583"/>
      <c r="AF5" s="583"/>
      <c r="AG5" s="583">
        <v>2000</v>
      </c>
      <c r="AH5" s="583"/>
      <c r="AI5" s="583"/>
      <c r="AJ5" s="583"/>
      <c r="AK5" s="583"/>
      <c r="AL5" s="583"/>
      <c r="AM5" s="583"/>
      <c r="AN5" s="583" t="s">
        <v>424</v>
      </c>
      <c r="AO5" s="583"/>
      <c r="AP5" s="583">
        <v>30000000003</v>
      </c>
      <c r="AQ5" s="582">
        <f>+ROUND($D$8,2)</f>
        <v>9081.69</v>
      </c>
      <c r="AR5" s="583" t="s">
        <v>373</v>
      </c>
      <c r="AS5" s="583">
        <v>1</v>
      </c>
      <c r="AT5" s="581" t="s">
        <v>374</v>
      </c>
      <c r="AU5" s="580" t="s">
        <v>395</v>
      </c>
      <c r="AV5" s="574" t="str">
        <f>+TEXT($B$4,"DD.MM.YYYY")</f>
        <v>03.09.2024</v>
      </c>
      <c r="AW5" s="574" t="str">
        <f>+TEXT($B$5,"DD.MM.YYYY")</f>
        <v>09.09.2024</v>
      </c>
    </row>
    <row r="6" spans="1:49" ht="15.75" thickBot="1">
      <c r="A6" s="556"/>
      <c r="B6" s="113">
        <v>0</v>
      </c>
      <c r="C6" s="113">
        <v>0.02</v>
      </c>
      <c r="D6" s="113">
        <v>0</v>
      </c>
      <c r="E6" s="557">
        <v>0.02</v>
      </c>
    </row>
    <row r="7" spans="1:49" ht="72.75" customHeight="1" thickTop="1">
      <c r="A7" s="244" t="s">
        <v>14</v>
      </c>
      <c r="B7" s="245" t="s">
        <v>412</v>
      </c>
      <c r="C7" s="245" t="s">
        <v>413</v>
      </c>
      <c r="D7" s="245" t="s">
        <v>414</v>
      </c>
      <c r="E7" s="245" t="s">
        <v>415</v>
      </c>
    </row>
    <row r="8" spans="1:49" ht="27.6" customHeight="1">
      <c r="A8" s="70" t="s">
        <v>408</v>
      </c>
      <c r="B8" s="562">
        <v>9167.711073399998</v>
      </c>
      <c r="C8" s="565">
        <f>+B8</f>
        <v>9167.711073399998</v>
      </c>
      <c r="D8" s="562">
        <v>9081.6910733999994</v>
      </c>
      <c r="E8" s="565">
        <f>+D8</f>
        <v>9081.6910733999994</v>
      </c>
      <c r="H8" s="341"/>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342"/>
      <c r="J9" s="342"/>
      <c r="K9" s="342"/>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8134.8</v>
      </c>
      <c r="AR9" s="583" t="s">
        <v>373</v>
      </c>
      <c r="AS9" s="583">
        <v>1</v>
      </c>
      <c r="AT9" s="581" t="s">
        <v>374</v>
      </c>
      <c r="AU9" s="580" t="s">
        <v>395</v>
      </c>
      <c r="AV9" s="574" t="str">
        <f>+TEXT($B$4,"DD.MM.YYYY")</f>
        <v>03.09.2024</v>
      </c>
      <c r="AW9" s="574" t="str">
        <f>+TEXT($B$5,"DD.MM.YYYY")</f>
        <v>09.09.2024</v>
      </c>
    </row>
    <row r="10" spans="1:49" ht="35.450000000000003" customHeight="1">
      <c r="A10" s="248" t="s">
        <v>139</v>
      </c>
      <c r="B10" s="224">
        <f t="shared" ref="B10" si="0">+ROUND(B9*B6,2)+B8*(1-B6)</f>
        <v>9167.711073399998</v>
      </c>
      <c r="C10" s="224">
        <f>+ROUND(C9*C6,2)+C8*(1-C6)</f>
        <v>9415.8068519319986</v>
      </c>
      <c r="D10" s="224">
        <f t="shared" ref="D10:E10" si="1">+ROUND(D9*D6,2)+D8*(1-D6)</f>
        <v>9081.6910733999994</v>
      </c>
      <c r="E10" s="224">
        <f t="shared" si="1"/>
        <v>9331.5072519320001</v>
      </c>
      <c r="F10" s="310"/>
      <c r="G10" s="329" t="s">
        <v>138</v>
      </c>
      <c r="H10" s="342"/>
      <c r="I10" s="26">
        <v>6978.4077749146245</v>
      </c>
      <c r="J10" s="26">
        <v>6875.1811988924737</v>
      </c>
      <c r="K10" s="26">
        <v>7272.6860170874797</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8984.36</v>
      </c>
      <c r="AR10" s="602" t="s">
        <v>373</v>
      </c>
      <c r="AS10" s="602">
        <v>1</v>
      </c>
      <c r="AT10" s="604" t="s">
        <v>374</v>
      </c>
      <c r="AU10" s="605" t="s">
        <v>395</v>
      </c>
      <c r="AV10" s="574" t="str">
        <f>+TEXT($B$4,"DD.MM.YYYY")</f>
        <v>03.09.2024</v>
      </c>
      <c r="AW10" s="574" t="str">
        <f>+TEXT($B$5,"DD.MM.YYYY")</f>
        <v>09.09.2024</v>
      </c>
    </row>
    <row r="11" spans="1:49" ht="35.450000000000003" customHeight="1">
      <c r="A11" s="248" t="s">
        <v>410</v>
      </c>
      <c r="B11" s="570">
        <v>8134.8008605999985</v>
      </c>
      <c r="C11" s="224"/>
      <c r="D11" s="570">
        <v>8048.780860599999</v>
      </c>
      <c r="E11" s="224"/>
      <c r="F11" s="310"/>
      <c r="G11" s="329"/>
      <c r="H11" s="342"/>
      <c r="I11" s="26"/>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03.09.2024</v>
      </c>
      <c r="AW11" s="574" t="str">
        <f>+TEXT($B$5,"DD.MM.YYYY")</f>
        <v>09.09.2024</v>
      </c>
    </row>
    <row r="12" spans="1:49" ht="27.6" customHeight="1">
      <c r="A12" s="232" t="s">
        <v>47</v>
      </c>
      <c r="B12" s="224">
        <f>+'COMBUSTIBLES '!E8</f>
        <v>9.43</v>
      </c>
      <c r="C12" s="224">
        <f>+B12</f>
        <v>9.43</v>
      </c>
      <c r="D12" s="224">
        <f>+C12</f>
        <v>9.43</v>
      </c>
      <c r="E12" s="224">
        <f>+BIODIESEL!D14</f>
        <v>9.43</v>
      </c>
      <c r="H12" s="26">
        <v>6474.0480291453787</v>
      </c>
      <c r="I12" s="26">
        <v>6414.6173003313961</v>
      </c>
      <c r="J12" s="26">
        <v>6875.1811988924737</v>
      </c>
      <c r="K12" s="26">
        <v>6660.1986685624715</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9167.7099999999991</v>
      </c>
      <c r="AR12" s="583" t="s">
        <v>373</v>
      </c>
      <c r="AS12" s="583">
        <v>1</v>
      </c>
      <c r="AT12" s="581" t="s">
        <v>374</v>
      </c>
      <c r="AU12" s="580" t="s">
        <v>395</v>
      </c>
      <c r="AV12" s="574" t="str">
        <f>+TEXT($B$4,"DD.MM.YYYY")</f>
        <v>03.09.2024</v>
      </c>
      <c r="AW12" s="574" t="str">
        <f>+TEXT($B$5,"DD.MM.YYYY")</f>
        <v>09.09.2024</v>
      </c>
    </row>
    <row r="13" spans="1:49" ht="27.6" customHeight="1">
      <c r="A13" s="232"/>
      <c r="B13" s="247"/>
      <c r="C13" s="247"/>
      <c r="D13" s="247"/>
      <c r="E13" s="247"/>
      <c r="H13" s="26"/>
      <c r="I13" s="26"/>
      <c r="J13" s="26"/>
      <c r="K13" s="26"/>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26"/>
      <c r="J14" s="26"/>
      <c r="K14" s="26"/>
      <c r="L14" s="26"/>
      <c r="M14" s="26"/>
      <c r="N14" s="26"/>
      <c r="O14" s="26"/>
      <c r="P14" s="26"/>
      <c r="Q14" s="26"/>
      <c r="R14" s="26"/>
      <c r="S14" s="26"/>
      <c r="T14" s="26"/>
    </row>
    <row r="15" spans="1:49" s="26" customFormat="1" ht="15.95" customHeight="1">
      <c r="A15" s="569"/>
      <c r="B15" s="16"/>
      <c r="C15" s="16"/>
    </row>
    <row r="16" spans="1:49" s="26" customFormat="1" ht="15.95" customHeight="1">
      <c r="A16" s="301"/>
      <c r="B16" s="16"/>
      <c r="C16" s="16"/>
    </row>
    <row r="17" spans="1:5" s="26" customFormat="1" ht="15.95" customHeight="1">
      <c r="A17" s="431" t="s">
        <v>409</v>
      </c>
      <c r="B17" s="16"/>
      <c r="C17" s="16"/>
    </row>
    <row r="18" spans="1:5" s="26" customFormat="1" ht="18" customHeight="1">
      <c r="A18" s="12" t="s">
        <v>141</v>
      </c>
      <c r="B18" s="16"/>
      <c r="C18" s="16"/>
    </row>
    <row r="19" spans="1:5" s="14" customFormat="1" ht="15">
      <c r="B19" s="13"/>
      <c r="C19" s="13"/>
    </row>
    <row r="20" spans="1:5" s="14" customFormat="1" ht="15">
      <c r="A20" s="12"/>
      <c r="B20" s="13"/>
      <c r="C20" s="13"/>
    </row>
    <row r="21" spans="1:5" s="14" customFormat="1" ht="11.25" customHeight="1">
      <c r="A21" s="12"/>
      <c r="B21" s="13"/>
      <c r="C21" s="13"/>
    </row>
    <row r="22" spans="1:5" s="14" customFormat="1" ht="246.6" customHeight="1">
      <c r="A22" s="773" t="s">
        <v>416</v>
      </c>
      <c r="B22" s="773"/>
      <c r="C22" s="773"/>
      <c r="D22" s="773"/>
      <c r="E22" s="773"/>
    </row>
    <row r="23" spans="1:5" s="14" customFormat="1" ht="8.4499999999999993" customHeight="1">
      <c r="A23" s="12"/>
      <c r="B23" s="13"/>
      <c r="C23" s="13"/>
    </row>
    <row r="24" spans="1:5" s="14" customFormat="1" ht="30.75" customHeight="1">
      <c r="A24" s="770"/>
      <c r="B24" s="770"/>
      <c r="C24" s="770"/>
      <c r="D24" s="770"/>
      <c r="E24" s="770"/>
    </row>
    <row r="25" spans="1:5" s="14" customFormat="1" ht="9.6" customHeight="1">
      <c r="A25" s="12"/>
      <c r="B25" s="13"/>
      <c r="C25" s="13"/>
    </row>
    <row r="26" spans="1:5" s="14" customFormat="1" ht="14.25" customHeight="1">
      <c r="A26" s="771"/>
      <c r="B26" s="771"/>
      <c r="C26" s="771"/>
      <c r="D26" s="771"/>
      <c r="E26" s="771"/>
    </row>
    <row r="27" spans="1:5" ht="70.900000000000006" customHeight="1">
      <c r="A27" s="771"/>
      <c r="B27" s="771"/>
      <c r="C27" s="771"/>
      <c r="D27" s="771"/>
      <c r="E27" s="771"/>
    </row>
    <row r="28" spans="1:5" ht="23.65" customHeight="1">
      <c r="A28" s="764"/>
      <c r="B28" s="764"/>
      <c r="C28" s="764"/>
      <c r="D28" s="764"/>
      <c r="E28" s="764"/>
    </row>
    <row r="29" spans="1:5">
      <c r="A29" s="764"/>
      <c r="B29" s="764"/>
      <c r="C29" s="764"/>
      <c r="D29" s="764"/>
      <c r="E29" s="764"/>
    </row>
    <row r="30" spans="1:5" ht="203.25" customHeight="1"/>
    <row r="32" spans="1:5">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wW5nwZOZXhffrQm5Ke4I1rXkkceYF7651/r45Ad9dUAJ/NWJbdmXN02keVkJh2e8+OgPDu7zeV67cYZtB0iIDA==" saltValue="Uv7nXbkF7J7aQ1gF+R+Fug=="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67" priority="5" operator="containsText" text="Seleccione...">
      <formula>NOT(ISERROR(SEARCH("Seleccione...",AV2)))</formula>
    </cfRule>
  </conditionalFormatting>
  <conditionalFormatting sqref="AV9:AW12">
    <cfRule type="containsText" dxfId="66"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2C8F28-43BD-4957-AABC-12F7D4885342}">
          <x14:formula1>
            <xm:f>Fechas!$A$2:$A$831</xm:f>
          </x14:formula1>
          <xm:sqref>B4:B5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5C3AA-AAB8-40EE-A538-30CE6DD43947}">
  <sheetPr codeName="Hoja16"/>
  <dimension ref="A1:AW42"/>
  <sheetViews>
    <sheetView showGridLines="0" zoomScale="85" zoomScaleNormal="85" workbookViewId="0">
      <selection sqref="A1:E1"/>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26" width="7.85546875" style="5"/>
    <col min="27" max="27" width="10.7109375" style="5" bestFit="1" customWidth="1"/>
    <col min="28" max="28" width="17.7109375" style="5" bestFit="1" customWidth="1"/>
    <col min="29" max="29" width="18" style="5" bestFit="1" customWidth="1"/>
    <col min="30" max="30" width="22.140625" style="5" bestFit="1" customWidth="1"/>
    <col min="31" max="31" width="20" style="5" bestFit="1" customWidth="1"/>
    <col min="32" max="32" width="6.42578125" style="5" bestFit="1" customWidth="1"/>
    <col min="33" max="33" width="6.5703125" style="5" bestFit="1" customWidth="1"/>
    <col min="34" max="34" width="5" style="5" bestFit="1" customWidth="1"/>
    <col min="35" max="35" width="17.28515625" style="5" bestFit="1" customWidth="1"/>
    <col min="36" max="36" width="12.140625" style="5" bestFit="1" customWidth="1"/>
    <col min="37" max="37" width="15.85546875" style="5" bestFit="1" customWidth="1"/>
    <col min="38" max="38" width="17.42578125" style="5" bestFit="1" customWidth="1"/>
    <col min="39" max="39" width="7.42578125" style="5" bestFit="1" customWidth="1"/>
    <col min="40" max="40" width="10.42578125" style="5" bestFit="1" customWidth="1"/>
    <col min="41" max="41" width="24.5703125" style="5" bestFit="1" customWidth="1"/>
    <col min="42" max="42" width="12.140625" style="5" bestFit="1" customWidth="1"/>
    <col min="43" max="43" width="8" style="5" bestFit="1" customWidth="1"/>
    <col min="44" max="44" width="20.140625" style="5" bestFit="1" customWidth="1"/>
    <col min="45" max="45" width="13.7109375" style="5" bestFit="1" customWidth="1"/>
    <col min="46" max="46" width="17.5703125" style="5" bestFit="1" customWidth="1"/>
    <col min="47" max="47" width="15.85546875" style="5" bestFit="1" customWidth="1"/>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7631.69</v>
      </c>
      <c r="AR2" s="583" t="s">
        <v>373</v>
      </c>
      <c r="AS2" s="583">
        <v>1</v>
      </c>
      <c r="AT2" s="581" t="s">
        <v>374</v>
      </c>
      <c r="AU2" s="580" t="s">
        <v>395</v>
      </c>
      <c r="AV2" s="574" t="str">
        <f>+TEXT($B$4,"DD.MM.YYYY")</f>
        <v>10.09.2024</v>
      </c>
      <c r="AW2" s="574" t="str">
        <f>+TEXT($B$5,"DD.MM.YYYY")</f>
        <v>16.09.2024</v>
      </c>
    </row>
    <row r="3" spans="1:49" ht="24.75" customHeight="1">
      <c r="A3" s="768" t="s">
        <v>21</v>
      </c>
      <c r="B3" s="769"/>
      <c r="C3" s="769"/>
      <c r="D3" s="769"/>
      <c r="E3" s="769"/>
      <c r="F3" s="310"/>
      <c r="G3" s="310"/>
      <c r="H3" s="310"/>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8673.42</v>
      </c>
      <c r="AR3" s="602" t="s">
        <v>373</v>
      </c>
      <c r="AS3" s="602">
        <v>1</v>
      </c>
      <c r="AT3" s="604" t="s">
        <v>374</v>
      </c>
      <c r="AU3" s="605" t="s">
        <v>395</v>
      </c>
      <c r="AV3" s="574" t="str">
        <f>+TEXT($B$4,"DD.MM.YYYY")</f>
        <v>10.09.2024</v>
      </c>
      <c r="AW3" s="574" t="str">
        <f>+TEXT($B$5,"DD.MM.YYYY")</f>
        <v>16.09.2024</v>
      </c>
    </row>
    <row r="4" spans="1:49" ht="24.75" customHeight="1">
      <c r="A4" s="600" t="s">
        <v>421</v>
      </c>
      <c r="B4" s="599">
        <v>45545</v>
      </c>
      <c r="C4" s="590"/>
      <c r="D4" s="590"/>
      <c r="E4" s="590"/>
      <c r="F4" s="310"/>
      <c r="G4" s="310"/>
      <c r="H4" s="310"/>
      <c r="J4" s="525"/>
      <c r="K4" s="525"/>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10.09.2024</v>
      </c>
      <c r="AW4" s="574" t="str">
        <f>+TEXT($B$5,"DD.MM.YYYY")</f>
        <v>16.09.2024</v>
      </c>
    </row>
    <row r="5" spans="1:49" ht="18.75">
      <c r="A5" s="579" t="s">
        <v>422</v>
      </c>
      <c r="B5" s="599">
        <v>45551</v>
      </c>
      <c r="C5" s="585"/>
      <c r="D5" s="598"/>
      <c r="E5" s="585"/>
      <c r="AB5" s="575" t="s">
        <v>378</v>
      </c>
      <c r="AC5" s="575">
        <v>929</v>
      </c>
      <c r="AD5" s="583" t="s">
        <v>372</v>
      </c>
      <c r="AE5" s="583"/>
      <c r="AF5" s="583"/>
      <c r="AG5" s="583">
        <v>2000</v>
      </c>
      <c r="AH5" s="583"/>
      <c r="AI5" s="583"/>
      <c r="AJ5" s="583"/>
      <c r="AK5" s="583"/>
      <c r="AL5" s="583"/>
      <c r="AM5" s="583"/>
      <c r="AN5" s="583" t="s">
        <v>424</v>
      </c>
      <c r="AO5" s="583"/>
      <c r="AP5" s="583">
        <v>30000000003</v>
      </c>
      <c r="AQ5" s="582">
        <f>+ROUND($D$8,2)</f>
        <v>8850.43</v>
      </c>
      <c r="AR5" s="583" t="s">
        <v>373</v>
      </c>
      <c r="AS5" s="583">
        <v>1</v>
      </c>
      <c r="AT5" s="581" t="s">
        <v>374</v>
      </c>
      <c r="AU5" s="580" t="s">
        <v>395</v>
      </c>
      <c r="AV5" s="574" t="str">
        <f>+TEXT($B$4,"DD.MM.YYYY")</f>
        <v>10.09.2024</v>
      </c>
      <c r="AW5" s="574" t="str">
        <f>+TEXT($B$5,"DD.MM.YYYY")</f>
        <v>16.09.2024</v>
      </c>
    </row>
    <row r="6" spans="1:49" ht="15.75" thickBot="1">
      <c r="A6" s="556"/>
      <c r="B6" s="113">
        <v>0</v>
      </c>
      <c r="C6" s="113">
        <v>0.02</v>
      </c>
      <c r="D6" s="113">
        <v>0</v>
      </c>
      <c r="E6" s="557">
        <v>0.02</v>
      </c>
    </row>
    <row r="7" spans="1:49" ht="72.75" customHeight="1" thickTop="1">
      <c r="A7" s="244" t="s">
        <v>14</v>
      </c>
      <c r="B7" s="245" t="s">
        <v>412</v>
      </c>
      <c r="C7" s="245" t="s">
        <v>413</v>
      </c>
      <c r="D7" s="245" t="s">
        <v>414</v>
      </c>
      <c r="E7" s="245" t="s">
        <v>415</v>
      </c>
    </row>
    <row r="8" spans="1:49" ht="27.6" customHeight="1">
      <c r="A8" s="70" t="s">
        <v>408</v>
      </c>
      <c r="B8" s="562">
        <v>8936.4459901999999</v>
      </c>
      <c r="C8" s="565">
        <f>+B8</f>
        <v>8936.4459901999999</v>
      </c>
      <c r="D8" s="562">
        <v>8850.4259901999994</v>
      </c>
      <c r="E8" s="565">
        <f>+D8</f>
        <v>8850.4259901999994</v>
      </c>
      <c r="H8" s="341"/>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342"/>
      <c r="J9" s="342"/>
      <c r="K9" s="342"/>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7717.71</v>
      </c>
      <c r="AR9" s="583" t="s">
        <v>373</v>
      </c>
      <c r="AS9" s="583">
        <v>1</v>
      </c>
      <c r="AT9" s="581" t="s">
        <v>374</v>
      </c>
      <c r="AU9" s="580" t="s">
        <v>395</v>
      </c>
      <c r="AV9" s="574" t="str">
        <f>+TEXT($B$4,"DD.MM.YYYY")</f>
        <v>10.09.2024</v>
      </c>
      <c r="AW9" s="574" t="str">
        <f>+TEXT($B$5,"DD.MM.YYYY")</f>
        <v>16.09.2024</v>
      </c>
    </row>
    <row r="10" spans="1:49" ht="35.450000000000003" customHeight="1">
      <c r="A10" s="248" t="s">
        <v>139</v>
      </c>
      <c r="B10" s="224">
        <f t="shared" ref="B10" si="0">+ROUND(B9*B6,2)+B8*(1-B6)</f>
        <v>8936.4459901999999</v>
      </c>
      <c r="C10" s="224">
        <f>+ROUND(C9*C6,2)+C8*(1-C6)</f>
        <v>9189.1670703960008</v>
      </c>
      <c r="D10" s="224">
        <f t="shared" ref="D10:E10" si="1">+ROUND(D9*D6,2)+D8*(1-D6)</f>
        <v>8850.4259901999994</v>
      </c>
      <c r="E10" s="224">
        <f t="shared" si="1"/>
        <v>9104.8674703960005</v>
      </c>
      <c r="F10" s="310"/>
      <c r="G10" s="329" t="s">
        <v>138</v>
      </c>
      <c r="H10" s="342"/>
      <c r="I10" s="26">
        <v>6978.4077749146245</v>
      </c>
      <c r="J10" s="26">
        <v>6875.1811988924737</v>
      </c>
      <c r="K10" s="26">
        <v>7272.6860170874797</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8757.7199999999993</v>
      </c>
      <c r="AR10" s="602" t="s">
        <v>373</v>
      </c>
      <c r="AS10" s="602">
        <v>1</v>
      </c>
      <c r="AT10" s="604" t="s">
        <v>374</v>
      </c>
      <c r="AU10" s="605" t="s">
        <v>395</v>
      </c>
      <c r="AV10" s="574" t="str">
        <f>+TEXT($B$4,"DD.MM.YYYY")</f>
        <v>10.09.2024</v>
      </c>
      <c r="AW10" s="574" t="str">
        <f>+TEXT($B$5,"DD.MM.YYYY")</f>
        <v>16.09.2024</v>
      </c>
    </row>
    <row r="11" spans="1:49" ht="35.450000000000003" customHeight="1">
      <c r="A11" s="248" t="s">
        <v>410</v>
      </c>
      <c r="B11" s="570">
        <v>7717.7073432000007</v>
      </c>
      <c r="C11" s="224"/>
      <c r="D11" s="570">
        <v>7631.6873431999993</v>
      </c>
      <c r="E11" s="224"/>
      <c r="F11" s="310"/>
      <c r="G11" s="329"/>
      <c r="H11" s="342"/>
      <c r="I11" s="26"/>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10.09.2024</v>
      </c>
      <c r="AW11" s="574" t="str">
        <f>+TEXT($B$5,"DD.MM.YYYY")</f>
        <v>16.09.2024</v>
      </c>
    </row>
    <row r="12" spans="1:49" ht="27.6" customHeight="1">
      <c r="A12" s="232" t="s">
        <v>47</v>
      </c>
      <c r="B12" s="224">
        <f>+'COMBUSTIBLES '!E8</f>
        <v>9.43</v>
      </c>
      <c r="C12" s="224">
        <f>+B12</f>
        <v>9.43</v>
      </c>
      <c r="D12" s="224">
        <f>+C12</f>
        <v>9.43</v>
      </c>
      <c r="E12" s="224">
        <f>+BIODIESEL!D14</f>
        <v>9.43</v>
      </c>
      <c r="H12" s="26">
        <v>6474.0480291453787</v>
      </c>
      <c r="I12" s="26">
        <v>6414.6173003313961</v>
      </c>
      <c r="J12" s="26">
        <v>6875.1811988924737</v>
      </c>
      <c r="K12" s="26">
        <v>6660.1986685624715</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8936.4500000000007</v>
      </c>
      <c r="AR12" s="583" t="s">
        <v>373</v>
      </c>
      <c r="AS12" s="583">
        <v>1</v>
      </c>
      <c r="AT12" s="581" t="s">
        <v>374</v>
      </c>
      <c r="AU12" s="580" t="s">
        <v>395</v>
      </c>
      <c r="AV12" s="574" t="str">
        <f>+TEXT($B$4,"DD.MM.YYYY")</f>
        <v>10.09.2024</v>
      </c>
      <c r="AW12" s="574" t="str">
        <f>+TEXT($B$5,"DD.MM.YYYY")</f>
        <v>16.09.2024</v>
      </c>
    </row>
    <row r="13" spans="1:49" ht="27.6" customHeight="1">
      <c r="A13" s="232"/>
      <c r="B13" s="247"/>
      <c r="C13" s="247"/>
      <c r="D13" s="247"/>
      <c r="E13" s="247"/>
      <c r="H13" s="26"/>
      <c r="I13" s="26"/>
      <c r="J13" s="26"/>
      <c r="K13" s="26"/>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26"/>
      <c r="J14" s="26"/>
      <c r="K14" s="26"/>
      <c r="L14" s="26"/>
      <c r="M14" s="26"/>
      <c r="N14" s="26"/>
      <c r="O14" s="26"/>
      <c r="P14" s="26"/>
      <c r="Q14" s="26"/>
      <c r="R14" s="26"/>
      <c r="S14" s="26"/>
      <c r="T14" s="26"/>
    </row>
    <row r="15" spans="1:49" s="26" customFormat="1" ht="15.95" customHeight="1">
      <c r="A15" s="569"/>
      <c r="B15" s="16"/>
      <c r="C15" s="16"/>
    </row>
    <row r="16" spans="1:49" s="26" customFormat="1" ht="15.95" customHeight="1">
      <c r="A16" s="301"/>
      <c r="B16" s="16"/>
      <c r="C16" s="16"/>
    </row>
    <row r="17" spans="1:5" s="26" customFormat="1" ht="15.95" customHeight="1">
      <c r="A17" s="431" t="s">
        <v>409</v>
      </c>
      <c r="B17" s="16"/>
      <c r="C17" s="16"/>
    </row>
    <row r="18" spans="1:5" s="26" customFormat="1" ht="18" customHeight="1">
      <c r="A18" s="12" t="s">
        <v>141</v>
      </c>
      <c r="B18" s="16"/>
      <c r="C18" s="16"/>
    </row>
    <row r="19" spans="1:5" s="14" customFormat="1" ht="15">
      <c r="B19" s="13"/>
      <c r="C19" s="13"/>
    </row>
    <row r="20" spans="1:5" s="14" customFormat="1" ht="15">
      <c r="A20" s="12"/>
      <c r="B20" s="13"/>
      <c r="C20" s="13"/>
    </row>
    <row r="21" spans="1:5" s="14" customFormat="1" ht="11.25" customHeight="1">
      <c r="A21" s="12"/>
      <c r="B21" s="13"/>
      <c r="C21" s="13"/>
    </row>
    <row r="22" spans="1:5" s="14" customFormat="1" ht="246.6" customHeight="1">
      <c r="A22" s="773" t="s">
        <v>416</v>
      </c>
      <c r="B22" s="773"/>
      <c r="C22" s="773"/>
      <c r="D22" s="773"/>
      <c r="E22" s="773"/>
    </row>
    <row r="23" spans="1:5" s="14" customFormat="1" ht="8.4499999999999993" customHeight="1">
      <c r="A23" s="12"/>
      <c r="B23" s="13"/>
      <c r="C23" s="13"/>
    </row>
    <row r="24" spans="1:5" s="14" customFormat="1" ht="30.75" customHeight="1">
      <c r="A24" s="770"/>
      <c r="B24" s="770"/>
      <c r="C24" s="770"/>
      <c r="D24" s="770"/>
      <c r="E24" s="770"/>
    </row>
    <row r="25" spans="1:5" s="14" customFormat="1" ht="9.6" customHeight="1">
      <c r="A25" s="12"/>
      <c r="B25" s="13"/>
      <c r="C25" s="13"/>
    </row>
    <row r="26" spans="1:5" s="14" customFormat="1" ht="14.25" customHeight="1">
      <c r="A26" s="771"/>
      <c r="B26" s="771"/>
      <c r="C26" s="771"/>
      <c r="D26" s="771"/>
      <c r="E26" s="771"/>
    </row>
    <row r="27" spans="1:5" ht="70.900000000000006" customHeight="1">
      <c r="A27" s="771"/>
      <c r="B27" s="771"/>
      <c r="C27" s="771"/>
      <c r="D27" s="771"/>
      <c r="E27" s="771"/>
    </row>
    <row r="28" spans="1:5" ht="23.65" customHeight="1">
      <c r="A28" s="764"/>
      <c r="B28" s="764"/>
      <c r="C28" s="764"/>
      <c r="D28" s="764"/>
      <c r="E28" s="764"/>
    </row>
    <row r="29" spans="1:5">
      <c r="A29" s="764"/>
      <c r="B29" s="764"/>
      <c r="C29" s="764"/>
      <c r="D29" s="764"/>
      <c r="E29" s="764"/>
    </row>
    <row r="30" spans="1:5" ht="203.25" customHeight="1"/>
    <row r="32" spans="1:5">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dOy54hU6u41QD+PEvY6p3Q94TcUq8Tn++zm+LWTZ9KwZle9deh+av9aaIa/Og24bunrr0A7OU+yeoE1wGtObXA==" saltValue="grM7ZGh2Q92H3yGYYXx4BQ=="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65" priority="5" operator="containsText" text="Seleccione...">
      <formula>NOT(ISERROR(SEARCH("Seleccione...",AV2)))</formula>
    </cfRule>
  </conditionalFormatting>
  <conditionalFormatting sqref="AV9:AW12">
    <cfRule type="containsText" dxfId="64"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0289817-C380-4D7D-8A47-558C792F4B91}">
          <x14:formula1>
            <xm:f>Fechas!$A$2:$A$831</xm:f>
          </x14:formula1>
          <xm:sqref>B4:B5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751C5-41A8-4E4B-980B-863C73D04ED0}">
  <sheetPr codeName="Hoja17"/>
  <dimension ref="A1:AW42"/>
  <sheetViews>
    <sheetView showGridLines="0" zoomScale="85" zoomScaleNormal="85" workbookViewId="0">
      <selection sqref="A1:E1"/>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26" width="7.85546875" style="5"/>
    <col min="27" max="27" width="10.7109375" style="5" bestFit="1" customWidth="1"/>
    <col min="28" max="41" width="7.85546875" style="5"/>
    <col min="42" max="42" width="12.140625" style="5" bestFit="1" customWidth="1"/>
    <col min="43" max="47" width="7.85546875" style="5"/>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7551.32</v>
      </c>
      <c r="AR2" s="583" t="s">
        <v>373</v>
      </c>
      <c r="AS2" s="583">
        <v>1</v>
      </c>
      <c r="AT2" s="581" t="s">
        <v>374</v>
      </c>
      <c r="AU2" s="580" t="s">
        <v>395</v>
      </c>
      <c r="AV2" s="574" t="str">
        <f>+TEXT($B$4,"DD.MM.YYYY")</f>
        <v>17.09.2024</v>
      </c>
      <c r="AW2" s="574" t="str">
        <f>+TEXT($B$5,"DD.MM.YYYY")</f>
        <v>23.09.2024</v>
      </c>
    </row>
    <row r="3" spans="1:49" ht="24.75" customHeight="1">
      <c r="A3" s="768" t="s">
        <v>21</v>
      </c>
      <c r="B3" s="769"/>
      <c r="C3" s="769"/>
      <c r="D3" s="769"/>
      <c r="E3" s="769"/>
      <c r="F3" s="310"/>
      <c r="G3" s="310"/>
      <c r="H3" s="310"/>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8441.26</v>
      </c>
      <c r="AR3" s="602" t="s">
        <v>373</v>
      </c>
      <c r="AS3" s="602">
        <v>1</v>
      </c>
      <c r="AT3" s="604" t="s">
        <v>374</v>
      </c>
      <c r="AU3" s="605" t="s">
        <v>395</v>
      </c>
      <c r="AV3" s="574" t="str">
        <f>+TEXT($B$4,"DD.MM.YYYY")</f>
        <v>17.09.2024</v>
      </c>
      <c r="AW3" s="574" t="str">
        <f>+TEXT($B$5,"DD.MM.YYYY")</f>
        <v>23.09.2024</v>
      </c>
    </row>
    <row r="4" spans="1:49" ht="24.75" customHeight="1">
      <c r="A4" s="600" t="s">
        <v>421</v>
      </c>
      <c r="B4" s="599">
        <v>45552</v>
      </c>
      <c r="C4" s="590"/>
      <c r="D4" s="590"/>
      <c r="E4" s="590"/>
      <c r="F4" s="310"/>
      <c r="G4" s="310"/>
      <c r="H4" s="310"/>
      <c r="J4" s="525"/>
      <c r="K4" s="525"/>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17.09.2024</v>
      </c>
      <c r="AW4" s="574" t="str">
        <f>+TEXT($B$5,"DD.MM.YYYY")</f>
        <v>23.09.2024</v>
      </c>
    </row>
    <row r="5" spans="1:49" ht="18.75">
      <c r="A5" s="579" t="s">
        <v>422</v>
      </c>
      <c r="B5" s="599">
        <v>45558</v>
      </c>
      <c r="C5" s="585"/>
      <c r="D5" s="598"/>
      <c r="E5" s="585"/>
      <c r="AB5" s="575" t="s">
        <v>378</v>
      </c>
      <c r="AC5" s="575">
        <v>929</v>
      </c>
      <c r="AD5" s="583" t="s">
        <v>372</v>
      </c>
      <c r="AE5" s="583"/>
      <c r="AF5" s="583"/>
      <c r="AG5" s="583">
        <v>2000</v>
      </c>
      <c r="AH5" s="583"/>
      <c r="AI5" s="583"/>
      <c r="AJ5" s="583"/>
      <c r="AK5" s="583"/>
      <c r="AL5" s="583"/>
      <c r="AM5" s="583"/>
      <c r="AN5" s="583" t="s">
        <v>424</v>
      </c>
      <c r="AO5" s="583"/>
      <c r="AP5" s="583">
        <v>30000000003</v>
      </c>
      <c r="AQ5" s="582">
        <f>+ROUND($D$8,2)</f>
        <v>8613.5300000000007</v>
      </c>
      <c r="AR5" s="583" t="s">
        <v>373</v>
      </c>
      <c r="AS5" s="583">
        <v>1</v>
      </c>
      <c r="AT5" s="581" t="s">
        <v>374</v>
      </c>
      <c r="AU5" s="580" t="s">
        <v>395</v>
      </c>
      <c r="AV5" s="574" t="str">
        <f>+TEXT($B$4,"DD.MM.YYYY")</f>
        <v>17.09.2024</v>
      </c>
      <c r="AW5" s="574" t="str">
        <f>+TEXT($B$5,"DD.MM.YYYY")</f>
        <v>23.09.2024</v>
      </c>
    </row>
    <row r="6" spans="1:49" ht="15.75" thickBot="1">
      <c r="A6" s="556"/>
      <c r="B6" s="113">
        <v>0</v>
      </c>
      <c r="C6" s="113">
        <v>0.02</v>
      </c>
      <c r="D6" s="113">
        <v>0</v>
      </c>
      <c r="E6" s="557">
        <v>0.02</v>
      </c>
    </row>
    <row r="7" spans="1:49" ht="72.75" customHeight="1" thickTop="1">
      <c r="A7" s="244" t="s">
        <v>14</v>
      </c>
      <c r="B7" s="245" t="s">
        <v>412</v>
      </c>
      <c r="C7" s="245" t="s">
        <v>413</v>
      </c>
      <c r="D7" s="245" t="s">
        <v>414</v>
      </c>
      <c r="E7" s="245" t="s">
        <v>415</v>
      </c>
    </row>
    <row r="8" spans="1:49" ht="27.6" customHeight="1">
      <c r="A8" s="70" t="s">
        <v>408</v>
      </c>
      <c r="B8" s="562">
        <v>8699.5505171999994</v>
      </c>
      <c r="C8" s="565">
        <f>+B8</f>
        <v>8699.5505171999994</v>
      </c>
      <c r="D8" s="562">
        <v>8613.5305171999989</v>
      </c>
      <c r="E8" s="565">
        <f>+D8</f>
        <v>8613.5305171999989</v>
      </c>
      <c r="H8" s="341"/>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342"/>
      <c r="J9" s="342"/>
      <c r="K9" s="342"/>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7637.34</v>
      </c>
      <c r="AR9" s="583" t="s">
        <v>373</v>
      </c>
      <c r="AS9" s="583">
        <v>1</v>
      </c>
      <c r="AT9" s="581" t="s">
        <v>374</v>
      </c>
      <c r="AU9" s="580" t="s">
        <v>395</v>
      </c>
      <c r="AV9" s="574" t="str">
        <f>+TEXT($B$4,"DD.MM.YYYY")</f>
        <v>17.09.2024</v>
      </c>
      <c r="AW9" s="574" t="str">
        <f>+TEXT($B$5,"DD.MM.YYYY")</f>
        <v>23.09.2024</v>
      </c>
    </row>
    <row r="10" spans="1:49" ht="35.450000000000003" customHeight="1">
      <c r="A10" s="248" t="s">
        <v>139</v>
      </c>
      <c r="B10" s="224">
        <f t="shared" ref="B10" si="0">+ROUND(B9*B6,2)+B8*(1-B6)</f>
        <v>8699.5505171999994</v>
      </c>
      <c r="C10" s="224">
        <f>+ROUND(C9*C6,2)+C8*(1-C6)</f>
        <v>8957.0095068560004</v>
      </c>
      <c r="D10" s="224">
        <f t="shared" ref="D10:E10" si="1">+ROUND(D9*D6,2)+D8*(1-D6)</f>
        <v>8613.5305171999989</v>
      </c>
      <c r="E10" s="224">
        <f t="shared" si="1"/>
        <v>8872.7099068560001</v>
      </c>
      <c r="F10" s="310"/>
      <c r="G10" s="329" t="s">
        <v>138</v>
      </c>
      <c r="H10" s="342"/>
      <c r="I10" s="26">
        <v>6978.4077749146245</v>
      </c>
      <c r="J10" s="26">
        <v>6875.1811988924737</v>
      </c>
      <c r="K10" s="26">
        <v>7272.6860170874797</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8525.56</v>
      </c>
      <c r="AR10" s="602" t="s">
        <v>373</v>
      </c>
      <c r="AS10" s="602">
        <v>1</v>
      </c>
      <c r="AT10" s="604" t="s">
        <v>374</v>
      </c>
      <c r="AU10" s="605" t="s">
        <v>395</v>
      </c>
      <c r="AV10" s="574" t="str">
        <f>+TEXT($B$4,"DD.MM.YYYY")</f>
        <v>17.09.2024</v>
      </c>
      <c r="AW10" s="574" t="str">
        <f>+TEXT($B$5,"DD.MM.YYYY")</f>
        <v>23.09.2024</v>
      </c>
    </row>
    <row r="11" spans="1:49" ht="35.450000000000003" customHeight="1">
      <c r="A11" s="248" t="s">
        <v>410</v>
      </c>
      <c r="B11" s="570">
        <v>7637.3446362999994</v>
      </c>
      <c r="C11" s="224"/>
      <c r="D11" s="570">
        <v>7551.324636299998</v>
      </c>
      <c r="E11" s="224"/>
      <c r="F11" s="310"/>
      <c r="G11" s="329"/>
      <c r="H11" s="342"/>
      <c r="I11" s="26"/>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17.09.2024</v>
      </c>
      <c r="AW11" s="574" t="str">
        <f>+TEXT($B$5,"DD.MM.YYYY")</f>
        <v>23.09.2024</v>
      </c>
    </row>
    <row r="12" spans="1:49" ht="27.6" customHeight="1">
      <c r="A12" s="232" t="s">
        <v>47</v>
      </c>
      <c r="B12" s="224">
        <f>+'COMBUSTIBLES '!E8</f>
        <v>9.43</v>
      </c>
      <c r="C12" s="224">
        <f>+B12</f>
        <v>9.43</v>
      </c>
      <c r="D12" s="224">
        <f>+C12</f>
        <v>9.43</v>
      </c>
      <c r="E12" s="224">
        <f>+BIODIESEL!D14</f>
        <v>9.43</v>
      </c>
      <c r="H12" s="26">
        <v>6474.0480291453787</v>
      </c>
      <c r="I12" s="26">
        <v>6414.6173003313961</v>
      </c>
      <c r="J12" s="26">
        <v>6875.1811988924737</v>
      </c>
      <c r="K12" s="26">
        <v>6660.1986685624715</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8699.5499999999993</v>
      </c>
      <c r="AR12" s="583" t="s">
        <v>373</v>
      </c>
      <c r="AS12" s="583">
        <v>1</v>
      </c>
      <c r="AT12" s="581" t="s">
        <v>374</v>
      </c>
      <c r="AU12" s="580" t="s">
        <v>395</v>
      </c>
      <c r="AV12" s="574" t="str">
        <f>+TEXT($B$4,"DD.MM.YYYY")</f>
        <v>17.09.2024</v>
      </c>
      <c r="AW12" s="574" t="str">
        <f>+TEXT($B$5,"DD.MM.YYYY")</f>
        <v>23.09.2024</v>
      </c>
    </row>
    <row r="13" spans="1:49" ht="27.6" customHeight="1">
      <c r="A13" s="232"/>
      <c r="B13" s="247"/>
      <c r="C13" s="247"/>
      <c r="D13" s="247"/>
      <c r="E13" s="247"/>
      <c r="H13" s="26"/>
      <c r="I13" s="26"/>
      <c r="J13" s="26"/>
      <c r="K13" s="26"/>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26"/>
      <c r="J14" s="26"/>
      <c r="K14" s="26"/>
      <c r="L14" s="26"/>
      <c r="M14" s="26"/>
      <c r="N14" s="26"/>
      <c r="O14" s="26"/>
      <c r="P14" s="26"/>
      <c r="Q14" s="26"/>
      <c r="R14" s="26"/>
      <c r="S14" s="26"/>
      <c r="T14" s="26"/>
    </row>
    <row r="15" spans="1:49" s="26" customFormat="1" ht="15.95" customHeight="1">
      <c r="A15" s="569"/>
      <c r="B15" s="16"/>
      <c r="C15" s="16"/>
    </row>
    <row r="16" spans="1:49" s="26" customFormat="1" ht="15.95" customHeight="1">
      <c r="A16" s="301"/>
      <c r="B16" s="16"/>
      <c r="C16" s="16"/>
    </row>
    <row r="17" spans="1:5" s="26" customFormat="1" ht="15.95" customHeight="1">
      <c r="A17" s="431" t="s">
        <v>409</v>
      </c>
      <c r="B17" s="16"/>
      <c r="C17" s="16"/>
    </row>
    <row r="18" spans="1:5" s="26" customFormat="1" ht="18" customHeight="1">
      <c r="A18" s="12" t="s">
        <v>141</v>
      </c>
      <c r="B18" s="16"/>
      <c r="C18" s="16"/>
    </row>
    <row r="19" spans="1:5" s="14" customFormat="1" ht="15">
      <c r="B19" s="13"/>
      <c r="C19" s="13"/>
    </row>
    <row r="20" spans="1:5" s="14" customFormat="1" ht="15">
      <c r="A20" s="12"/>
      <c r="B20" s="13"/>
      <c r="C20" s="13"/>
    </row>
    <row r="21" spans="1:5" s="14" customFormat="1" ht="11.25" customHeight="1">
      <c r="A21" s="12"/>
      <c r="B21" s="13"/>
      <c r="C21" s="13"/>
    </row>
    <row r="22" spans="1:5" s="14" customFormat="1" ht="246.6" customHeight="1">
      <c r="A22" s="773" t="s">
        <v>416</v>
      </c>
      <c r="B22" s="773"/>
      <c r="C22" s="773"/>
      <c r="D22" s="773"/>
      <c r="E22" s="773"/>
    </row>
    <row r="23" spans="1:5" s="14" customFormat="1" ht="8.4499999999999993" customHeight="1">
      <c r="A23" s="12"/>
      <c r="B23" s="13"/>
      <c r="C23" s="13"/>
    </row>
    <row r="24" spans="1:5" s="14" customFormat="1" ht="30.75" customHeight="1">
      <c r="A24" s="770"/>
      <c r="B24" s="770"/>
      <c r="C24" s="770"/>
      <c r="D24" s="770"/>
      <c r="E24" s="770"/>
    </row>
    <row r="25" spans="1:5" s="14" customFormat="1" ht="9.6" customHeight="1">
      <c r="A25" s="12"/>
      <c r="B25" s="13"/>
      <c r="C25" s="13"/>
    </row>
    <row r="26" spans="1:5" s="14" customFormat="1" ht="14.25" customHeight="1">
      <c r="A26" s="771"/>
      <c r="B26" s="771"/>
      <c r="C26" s="771"/>
      <c r="D26" s="771"/>
      <c r="E26" s="771"/>
    </row>
    <row r="27" spans="1:5" ht="70.900000000000006" customHeight="1">
      <c r="A27" s="771"/>
      <c r="B27" s="771"/>
      <c r="C27" s="771"/>
      <c r="D27" s="771"/>
      <c r="E27" s="771"/>
    </row>
    <row r="28" spans="1:5" ht="23.65" customHeight="1">
      <c r="A28" s="764"/>
      <c r="B28" s="764"/>
      <c r="C28" s="764"/>
      <c r="D28" s="764"/>
      <c r="E28" s="764"/>
    </row>
    <row r="29" spans="1:5">
      <c r="A29" s="764"/>
      <c r="B29" s="764"/>
      <c r="C29" s="764"/>
      <c r="D29" s="764"/>
      <c r="E29" s="764"/>
    </row>
    <row r="30" spans="1:5" ht="203.25" customHeight="1"/>
    <row r="32" spans="1:5">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FpeYGe2LyUJhU+FdlL6+aMGKQxOS8bsQoZD7XcvsrNZAjFqOzz5mbDAXHXnF0p04czPOwO1CnXn4vB7wcyBhkg==" saltValue="xbBq+s5h/T0gNgWUJt+YOA=="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63" priority="5" operator="containsText" text="Seleccione...">
      <formula>NOT(ISERROR(SEARCH("Seleccione...",AV2)))</formula>
    </cfRule>
  </conditionalFormatting>
  <conditionalFormatting sqref="AV9:AW12">
    <cfRule type="containsText" dxfId="62"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3BE03A1-6106-4D2A-88FC-4D6EC0DF0A44}">
          <x14:formula1>
            <xm:f>Fechas!$A$2:$A$831</xm:f>
          </x14:formula1>
          <xm:sqref>B4:B5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0B575-EDEA-4FB7-9D84-4A3737E1EE66}">
  <sheetPr codeName="Hoja18"/>
  <dimension ref="A1:AW42"/>
  <sheetViews>
    <sheetView showGridLines="0" zoomScale="85" zoomScaleNormal="85" workbookViewId="0">
      <selection sqref="A1:E1"/>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26" width="7.85546875" style="5"/>
    <col min="27" max="27" width="10.7109375" style="5" bestFit="1" customWidth="1"/>
    <col min="28" max="41" width="7.85546875" style="5"/>
    <col min="42" max="42" width="12.140625" style="5" bestFit="1" customWidth="1"/>
    <col min="43" max="43" width="8" style="5" bestFit="1" customWidth="1"/>
    <col min="44" max="47" width="7.85546875" style="5"/>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7816.26</v>
      </c>
      <c r="AR2" s="583" t="s">
        <v>373</v>
      </c>
      <c r="AS2" s="583">
        <v>1</v>
      </c>
      <c r="AT2" s="581" t="s">
        <v>374</v>
      </c>
      <c r="AU2" s="580" t="s">
        <v>395</v>
      </c>
      <c r="AV2" s="574" t="str">
        <f>+TEXT($B$4,"DD.MM.YYYY")</f>
        <v>24.09.2024</v>
      </c>
      <c r="AW2" s="574" t="str">
        <f>+TEXT($B$5,"DD.MM.YYYY")</f>
        <v>30.09.2024</v>
      </c>
    </row>
    <row r="3" spans="1:49" ht="24.75" customHeight="1">
      <c r="A3" s="768" t="s">
        <v>21</v>
      </c>
      <c r="B3" s="769"/>
      <c r="C3" s="769"/>
      <c r="D3" s="769"/>
      <c r="E3" s="769"/>
      <c r="F3" s="310"/>
      <c r="G3" s="310"/>
      <c r="H3" s="310"/>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8570.39</v>
      </c>
      <c r="AR3" s="602" t="s">
        <v>373</v>
      </c>
      <c r="AS3" s="602">
        <v>1</v>
      </c>
      <c r="AT3" s="604" t="s">
        <v>374</v>
      </c>
      <c r="AU3" s="605" t="s">
        <v>395</v>
      </c>
      <c r="AV3" s="574" t="str">
        <f>+TEXT($B$4,"DD.MM.YYYY")</f>
        <v>24.09.2024</v>
      </c>
      <c r="AW3" s="574" t="str">
        <f>+TEXT($B$5,"DD.MM.YYYY")</f>
        <v>30.09.2024</v>
      </c>
    </row>
    <row r="4" spans="1:49" ht="24.75" customHeight="1">
      <c r="A4" s="600" t="s">
        <v>421</v>
      </c>
      <c r="B4" s="599">
        <v>45559</v>
      </c>
      <c r="C4" s="590"/>
      <c r="D4" s="590"/>
      <c r="E4" s="590"/>
      <c r="F4" s="310"/>
      <c r="G4" s="310"/>
      <c r="H4" s="310"/>
      <c r="J4" s="525"/>
      <c r="K4" s="525"/>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24.09.2024</v>
      </c>
      <c r="AW4" s="574" t="str">
        <f>+TEXT($B$5,"DD.MM.YYYY")</f>
        <v>30.09.2024</v>
      </c>
    </row>
    <row r="5" spans="1:49" ht="18.75">
      <c r="A5" s="579" t="s">
        <v>422</v>
      </c>
      <c r="B5" s="599">
        <v>45565</v>
      </c>
      <c r="C5" s="585"/>
      <c r="D5" s="598"/>
      <c r="E5" s="585"/>
      <c r="AB5" s="575" t="s">
        <v>378</v>
      </c>
      <c r="AC5" s="575">
        <v>929</v>
      </c>
      <c r="AD5" s="583" t="s">
        <v>372</v>
      </c>
      <c r="AE5" s="583"/>
      <c r="AF5" s="583"/>
      <c r="AG5" s="583">
        <v>2000</v>
      </c>
      <c r="AH5" s="583"/>
      <c r="AI5" s="583"/>
      <c r="AJ5" s="583"/>
      <c r="AK5" s="583"/>
      <c r="AL5" s="583"/>
      <c r="AM5" s="583"/>
      <c r="AN5" s="583" t="s">
        <v>424</v>
      </c>
      <c r="AO5" s="583"/>
      <c r="AP5" s="583">
        <v>30000000003</v>
      </c>
      <c r="AQ5" s="582">
        <f>+ROUND($D$8,2)</f>
        <v>8745.2900000000009</v>
      </c>
      <c r="AR5" s="583" t="s">
        <v>373</v>
      </c>
      <c r="AS5" s="583">
        <v>1</v>
      </c>
      <c r="AT5" s="581" t="s">
        <v>374</v>
      </c>
      <c r="AU5" s="580" t="s">
        <v>395</v>
      </c>
      <c r="AV5" s="574" t="str">
        <f>+TEXT($B$4,"DD.MM.YYYY")</f>
        <v>24.09.2024</v>
      </c>
      <c r="AW5" s="574" t="str">
        <f>+TEXT($B$5,"DD.MM.YYYY")</f>
        <v>30.09.2024</v>
      </c>
    </row>
    <row r="6" spans="1:49" ht="15.75" thickBot="1">
      <c r="A6" s="556"/>
      <c r="B6" s="113">
        <v>0</v>
      </c>
      <c r="C6" s="113">
        <v>0.02</v>
      </c>
      <c r="D6" s="113">
        <v>0</v>
      </c>
      <c r="E6" s="557">
        <v>0.02</v>
      </c>
    </row>
    <row r="7" spans="1:49" ht="72.75" customHeight="1" thickTop="1">
      <c r="A7" s="244" t="s">
        <v>14</v>
      </c>
      <c r="B7" s="245" t="s">
        <v>412</v>
      </c>
      <c r="C7" s="245" t="s">
        <v>413</v>
      </c>
      <c r="D7" s="245" t="s">
        <v>414</v>
      </c>
      <c r="E7" s="245" t="s">
        <v>415</v>
      </c>
    </row>
    <row r="8" spans="1:49" ht="27.6" customHeight="1">
      <c r="A8" s="70" t="s">
        <v>408</v>
      </c>
      <c r="B8" s="562">
        <v>8831.3136699999995</v>
      </c>
      <c r="C8" s="565">
        <f>+B8</f>
        <v>8831.3136699999995</v>
      </c>
      <c r="D8" s="562">
        <v>8745.2936699999991</v>
      </c>
      <c r="E8" s="565">
        <f>+D8</f>
        <v>8745.2936699999991</v>
      </c>
      <c r="H8" s="341"/>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342"/>
      <c r="J9" s="342"/>
      <c r="K9" s="342"/>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7902.28</v>
      </c>
      <c r="AR9" s="583" t="s">
        <v>373</v>
      </c>
      <c r="AS9" s="583">
        <v>1</v>
      </c>
      <c r="AT9" s="581" t="s">
        <v>374</v>
      </c>
      <c r="AU9" s="580" t="s">
        <v>395</v>
      </c>
      <c r="AV9" s="574" t="str">
        <f>+TEXT($B$4,"DD.MM.YYYY")</f>
        <v>24.09.2024</v>
      </c>
      <c r="AW9" s="574" t="str">
        <f>+TEXT($B$5,"DD.MM.YYYY")</f>
        <v>30.09.2024</v>
      </c>
    </row>
    <row r="10" spans="1:49" ht="35.450000000000003" customHeight="1">
      <c r="A10" s="248" t="s">
        <v>139</v>
      </c>
      <c r="B10" s="224">
        <f t="shared" ref="B10" si="0">+ROUND(B9*B6,2)+B8*(1-B6)</f>
        <v>8831.3136699999995</v>
      </c>
      <c r="C10" s="224">
        <f>+ROUND(C9*C6,2)+C8*(1-C6)</f>
        <v>9086.137396600001</v>
      </c>
      <c r="D10" s="224">
        <f t="shared" ref="D10:E10" si="1">+ROUND(D9*D6,2)+D8*(1-D6)</f>
        <v>8745.2936699999991</v>
      </c>
      <c r="E10" s="224">
        <f t="shared" si="1"/>
        <v>9001.8377965999989</v>
      </c>
      <c r="F10" s="310"/>
      <c r="G10" s="329" t="s">
        <v>138</v>
      </c>
      <c r="H10" s="342"/>
      <c r="I10" s="26">
        <v>6978.4077749146245</v>
      </c>
      <c r="J10" s="26">
        <v>6875.1811988924737</v>
      </c>
      <c r="K10" s="26">
        <v>7272.6860170874797</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8654.69</v>
      </c>
      <c r="AR10" s="602" t="s">
        <v>373</v>
      </c>
      <c r="AS10" s="602">
        <v>1</v>
      </c>
      <c r="AT10" s="604" t="s">
        <v>374</v>
      </c>
      <c r="AU10" s="605" t="s">
        <v>395</v>
      </c>
      <c r="AV10" s="574" t="str">
        <f>+TEXT($B$4,"DD.MM.YYYY")</f>
        <v>24.09.2024</v>
      </c>
      <c r="AW10" s="574" t="str">
        <f>+TEXT($B$5,"DD.MM.YYYY")</f>
        <v>30.09.2024</v>
      </c>
    </row>
    <row r="11" spans="1:49" ht="35.450000000000003" customHeight="1">
      <c r="A11" s="248" t="s">
        <v>410</v>
      </c>
      <c r="B11" s="570">
        <v>7902.2801250600005</v>
      </c>
      <c r="C11" s="224"/>
      <c r="D11" s="570">
        <v>7816.2601250600001</v>
      </c>
      <c r="E11" s="224"/>
      <c r="F11" s="310"/>
      <c r="G11" s="329"/>
      <c r="H11" s="342"/>
      <c r="I11" s="26"/>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24.09.2024</v>
      </c>
      <c r="AW11" s="574" t="str">
        <f>+TEXT($B$5,"DD.MM.YYYY")</f>
        <v>30.09.2024</v>
      </c>
    </row>
    <row r="12" spans="1:49" ht="27.6" customHeight="1">
      <c r="A12" s="232" t="s">
        <v>47</v>
      </c>
      <c r="B12" s="224">
        <f>+'COMBUSTIBLES '!E8</f>
        <v>9.43</v>
      </c>
      <c r="C12" s="224">
        <f>+B12</f>
        <v>9.43</v>
      </c>
      <c r="D12" s="224">
        <f>+C12</f>
        <v>9.43</v>
      </c>
      <c r="E12" s="224">
        <f>+BIODIESEL!D14</f>
        <v>9.43</v>
      </c>
      <c r="H12" s="26">
        <v>6474.0480291453787</v>
      </c>
      <c r="I12" s="26">
        <v>6414.6173003313961</v>
      </c>
      <c r="J12" s="26">
        <v>6875.1811988924737</v>
      </c>
      <c r="K12" s="26">
        <v>6660.1986685624715</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8831.31</v>
      </c>
      <c r="AR12" s="583" t="s">
        <v>373</v>
      </c>
      <c r="AS12" s="583">
        <v>1</v>
      </c>
      <c r="AT12" s="581" t="s">
        <v>374</v>
      </c>
      <c r="AU12" s="580" t="s">
        <v>395</v>
      </c>
      <c r="AV12" s="574" t="str">
        <f>+TEXT($B$4,"DD.MM.YYYY")</f>
        <v>24.09.2024</v>
      </c>
      <c r="AW12" s="574" t="str">
        <f>+TEXT($B$5,"DD.MM.YYYY")</f>
        <v>30.09.2024</v>
      </c>
    </row>
    <row r="13" spans="1:49" ht="27.6" customHeight="1">
      <c r="A13" s="232"/>
      <c r="B13" s="247"/>
      <c r="C13" s="247"/>
      <c r="D13" s="247"/>
      <c r="E13" s="247"/>
      <c r="H13" s="26"/>
      <c r="I13" s="26"/>
      <c r="J13" s="26"/>
      <c r="K13" s="26"/>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26"/>
      <c r="J14" s="26"/>
      <c r="K14" s="26"/>
      <c r="L14" s="26"/>
      <c r="M14" s="26"/>
      <c r="N14" s="26"/>
      <c r="O14" s="26"/>
      <c r="P14" s="26"/>
      <c r="Q14" s="26"/>
      <c r="R14" s="26"/>
      <c r="S14" s="26"/>
      <c r="T14" s="26"/>
    </row>
    <row r="15" spans="1:49" s="26" customFormat="1" ht="15.95" customHeight="1">
      <c r="A15" s="569"/>
      <c r="B15" s="16"/>
      <c r="C15" s="16"/>
    </row>
    <row r="16" spans="1:49" s="26" customFormat="1" ht="15.95" customHeight="1">
      <c r="A16" s="301"/>
      <c r="B16" s="16"/>
      <c r="C16" s="16"/>
    </row>
    <row r="17" spans="1:5" s="26" customFormat="1" ht="15.95" customHeight="1">
      <c r="A17" s="431" t="s">
        <v>409</v>
      </c>
      <c r="B17" s="16"/>
      <c r="C17" s="16"/>
    </row>
    <row r="18" spans="1:5" s="26" customFormat="1" ht="18" customHeight="1">
      <c r="A18" s="12" t="s">
        <v>141</v>
      </c>
      <c r="B18" s="16"/>
      <c r="C18" s="16"/>
    </row>
    <row r="19" spans="1:5" s="14" customFormat="1" ht="15">
      <c r="B19" s="13"/>
      <c r="C19" s="13"/>
    </row>
    <row r="20" spans="1:5" s="14" customFormat="1" ht="15">
      <c r="A20" s="12"/>
      <c r="B20" s="13"/>
      <c r="C20" s="13"/>
    </row>
    <row r="21" spans="1:5" s="14" customFormat="1" ht="11.25" customHeight="1">
      <c r="A21" s="12"/>
      <c r="B21" s="13"/>
      <c r="C21" s="13"/>
    </row>
    <row r="22" spans="1:5" s="14" customFormat="1" ht="246.6" customHeight="1">
      <c r="A22" s="773" t="s">
        <v>416</v>
      </c>
      <c r="B22" s="773"/>
      <c r="C22" s="773"/>
      <c r="D22" s="773"/>
      <c r="E22" s="773"/>
    </row>
    <row r="23" spans="1:5" s="14" customFormat="1" ht="8.4499999999999993" customHeight="1">
      <c r="A23" s="12"/>
      <c r="B23" s="13"/>
      <c r="C23" s="13"/>
    </row>
    <row r="24" spans="1:5" s="14" customFormat="1" ht="30.75" customHeight="1">
      <c r="A24" s="770"/>
      <c r="B24" s="770"/>
      <c r="C24" s="770"/>
      <c r="D24" s="770"/>
      <c r="E24" s="770"/>
    </row>
    <row r="25" spans="1:5" s="14" customFormat="1" ht="9.6" customHeight="1">
      <c r="A25" s="12"/>
      <c r="B25" s="13"/>
      <c r="C25" s="13"/>
    </row>
    <row r="26" spans="1:5" s="14" customFormat="1" ht="14.25" customHeight="1">
      <c r="A26" s="771"/>
      <c r="B26" s="771"/>
      <c r="C26" s="771"/>
      <c r="D26" s="771"/>
      <c r="E26" s="771"/>
    </row>
    <row r="27" spans="1:5" ht="70.900000000000006" customHeight="1">
      <c r="A27" s="771"/>
      <c r="B27" s="771"/>
      <c r="C27" s="771"/>
      <c r="D27" s="771"/>
      <c r="E27" s="771"/>
    </row>
    <row r="28" spans="1:5" ht="23.65" customHeight="1">
      <c r="A28" s="764"/>
      <c r="B28" s="764"/>
      <c r="C28" s="764"/>
      <c r="D28" s="764"/>
      <c r="E28" s="764"/>
    </row>
    <row r="29" spans="1:5">
      <c r="A29" s="764"/>
      <c r="B29" s="764"/>
      <c r="C29" s="764"/>
      <c r="D29" s="764"/>
      <c r="E29" s="764"/>
    </row>
    <row r="30" spans="1:5" ht="203.25" customHeight="1"/>
    <row r="32" spans="1:5">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VZc5Wyy7F/F9PFIgaZPljVUxOGoDPSJqOW8aFK/UqzRyoRDvSRB7jRMRmkaeS81gfeStNEPCuW1wAoaFPWIMmA==" saltValue="dVDZMNXlJ3Bps6+iUoYRmw=="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61" priority="5" operator="containsText" text="Seleccione...">
      <formula>NOT(ISERROR(SEARCH("Seleccione...",AV2)))</formula>
    </cfRule>
  </conditionalFormatting>
  <conditionalFormatting sqref="AV9:AW12">
    <cfRule type="containsText" dxfId="60"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B55046-9AD1-4D4A-B3E7-F5932FBC2512}">
          <x14:formula1>
            <xm:f>Fechas!$A$2:$A$831</xm:f>
          </x14:formula1>
          <xm:sqref>B4:B5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C20" sqref="C20"/>
    </sheetView>
  </sheetViews>
  <sheetFormatPr baseColWidth="10" defaultColWidth="10.85546875" defaultRowHeight="12.75"/>
  <cols>
    <col min="1" max="1" width="6.28515625" style="118" customWidth="1"/>
    <col min="2" max="2" width="37.7109375" style="118" customWidth="1"/>
    <col min="3" max="3" width="9" style="118" hidden="1" customWidth="1"/>
    <col min="4" max="4" width="7.28515625" style="118" hidden="1" customWidth="1"/>
    <col min="5" max="5" width="11.7109375" style="118" hidden="1" customWidth="1"/>
    <col min="6" max="7" width="8.7109375" style="118" hidden="1" customWidth="1"/>
    <col min="8" max="8" width="9.85546875" style="118" hidden="1" customWidth="1"/>
    <col min="9" max="9" width="11.28515625" style="118" hidden="1" customWidth="1"/>
    <col min="10" max="10" width="9" style="118" hidden="1" customWidth="1"/>
    <col min="11" max="11" width="9.28515625" style="118" hidden="1" customWidth="1"/>
    <col min="12" max="12" width="12.28515625" style="118" hidden="1" customWidth="1"/>
    <col min="13" max="14" width="11.28515625" style="118" hidden="1" customWidth="1"/>
    <col min="15" max="15" width="15.28515625" style="118" hidden="1" customWidth="1"/>
    <col min="16" max="17" width="11.28515625" style="118" hidden="1" customWidth="1"/>
    <col min="18" max="28" width="11.28515625" style="117" hidden="1" customWidth="1"/>
    <col min="29" max="30" width="10.85546875" style="117" hidden="1" customWidth="1"/>
    <col min="31" max="32" width="10.85546875" style="118" hidden="1" customWidth="1"/>
    <col min="33" max="35" width="10.85546875" style="118" customWidth="1"/>
    <col min="36" max="38" width="10.85546875" style="118"/>
    <col min="39" max="39" width="36.140625" style="118" bestFit="1" customWidth="1"/>
    <col min="40" max="42" width="10.85546875" style="118"/>
    <col min="43" max="43" width="36.140625" style="118" bestFit="1" customWidth="1"/>
    <col min="44" max="16384" width="10.85546875" style="118"/>
  </cols>
  <sheetData>
    <row r="1" spans="1:61" ht="15.75" thickBot="1">
      <c r="A1" s="114"/>
      <c r="B1" s="115"/>
      <c r="C1" s="115"/>
      <c r="D1" s="115"/>
      <c r="E1" s="115"/>
      <c r="F1" s="115"/>
      <c r="G1" s="115"/>
      <c r="H1" s="115"/>
      <c r="I1" s="116"/>
      <c r="J1" s="116"/>
      <c r="K1" s="117"/>
      <c r="L1" s="117"/>
      <c r="M1" s="117"/>
      <c r="N1" s="117"/>
      <c r="O1" s="117"/>
      <c r="P1" s="117"/>
      <c r="Q1" s="117"/>
      <c r="AA1" s="684" t="s">
        <v>48</v>
      </c>
      <c r="AB1" s="684"/>
      <c r="AC1" s="684"/>
      <c r="AD1" s="684" t="s">
        <v>49</v>
      </c>
      <c r="AE1" s="684"/>
      <c r="AF1" s="684"/>
      <c r="AG1" s="684" t="s">
        <v>142</v>
      </c>
      <c r="AH1" s="684"/>
      <c r="AI1" s="684"/>
      <c r="AJ1" s="684" t="s">
        <v>153</v>
      </c>
      <c r="AK1" s="684"/>
      <c r="AL1" s="684"/>
      <c r="AM1" s="115"/>
      <c r="AN1" s="686" t="s">
        <v>214</v>
      </c>
      <c r="AO1" s="686"/>
      <c r="AP1" s="686"/>
      <c r="AQ1" s="115"/>
      <c r="AR1" s="665" t="s">
        <v>229</v>
      </c>
      <c r="AS1" s="666"/>
      <c r="AT1" s="667"/>
      <c r="AU1" s="665" t="s">
        <v>231</v>
      </c>
      <c r="AV1" s="666"/>
      <c r="AW1" s="667"/>
      <c r="AX1" s="665" t="s">
        <v>234</v>
      </c>
      <c r="AY1" s="666"/>
      <c r="AZ1" s="667"/>
      <c r="BA1" s="665" t="s">
        <v>239</v>
      </c>
      <c r="BB1" s="666"/>
      <c r="BC1" s="667"/>
      <c r="BD1" s="665" t="s">
        <v>250</v>
      </c>
      <c r="BE1" s="666"/>
      <c r="BF1" s="667"/>
      <c r="BG1" s="665" t="s">
        <v>251</v>
      </c>
      <c r="BH1" s="666"/>
      <c r="BI1" s="667"/>
    </row>
    <row r="2" spans="1:61" ht="15" customHeight="1">
      <c r="A2" s="679" t="s">
        <v>50</v>
      </c>
      <c r="B2" s="680"/>
      <c r="C2" s="119"/>
      <c r="D2" s="119"/>
      <c r="E2" s="119"/>
      <c r="F2" s="119"/>
      <c r="G2" s="119"/>
      <c r="H2" s="119"/>
      <c r="I2" s="119"/>
      <c r="J2" s="119"/>
      <c r="K2" s="119"/>
      <c r="L2" s="119"/>
      <c r="M2" s="119"/>
      <c r="N2" s="119"/>
      <c r="O2" s="119"/>
      <c r="P2" s="119"/>
      <c r="Q2" s="119"/>
      <c r="R2" s="120"/>
      <c r="S2" s="120"/>
      <c r="T2" s="120"/>
      <c r="U2" s="121"/>
      <c r="V2" s="122" t="s">
        <v>51</v>
      </c>
      <c r="W2" s="123">
        <v>0.04</v>
      </c>
      <c r="X2" s="121"/>
      <c r="Y2" s="124" t="s">
        <v>52</v>
      </c>
      <c r="Z2" s="123">
        <v>0.04</v>
      </c>
      <c r="AA2" s="121" t="s">
        <v>53</v>
      </c>
      <c r="AB2" s="124"/>
      <c r="AC2" s="123">
        <v>0.05</v>
      </c>
      <c r="AD2" s="121" t="s">
        <v>53</v>
      </c>
      <c r="AE2" s="124"/>
      <c r="AF2" s="123">
        <v>0.03</v>
      </c>
      <c r="AG2" s="121" t="s">
        <v>53</v>
      </c>
      <c r="AH2" s="124"/>
      <c r="AI2" s="123">
        <v>0.03</v>
      </c>
      <c r="AJ2" s="121" t="s">
        <v>53</v>
      </c>
      <c r="AK2" s="124"/>
      <c r="AL2" s="123">
        <v>0.03</v>
      </c>
      <c r="AM2" s="267"/>
      <c r="AN2" s="687" t="s">
        <v>53</v>
      </c>
      <c r="AO2" s="688"/>
      <c r="AP2" s="691">
        <v>0.03</v>
      </c>
      <c r="AQ2" s="295"/>
      <c r="AR2" s="668" t="s">
        <v>53</v>
      </c>
      <c r="AS2" s="669"/>
      <c r="AT2" s="672">
        <v>0.03</v>
      </c>
      <c r="AU2" s="668" t="s">
        <v>53</v>
      </c>
      <c r="AV2" s="669"/>
      <c r="AW2" s="672">
        <v>0.03</v>
      </c>
      <c r="AX2" s="668" t="s">
        <v>53</v>
      </c>
      <c r="AY2" s="669"/>
      <c r="AZ2" s="672">
        <v>0.03</v>
      </c>
      <c r="BA2" s="668" t="s">
        <v>53</v>
      </c>
      <c r="BB2" s="669"/>
      <c r="BC2" s="672">
        <v>0.03</v>
      </c>
      <c r="BD2" s="668" t="s">
        <v>53</v>
      </c>
      <c r="BE2" s="669"/>
      <c r="BF2" s="672">
        <v>0.03</v>
      </c>
      <c r="BG2" s="668" t="s">
        <v>53</v>
      </c>
      <c r="BH2" s="669"/>
      <c r="BI2" s="672">
        <v>0.03</v>
      </c>
    </row>
    <row r="3" spans="1:61" ht="55.7" customHeight="1" thickBot="1">
      <c r="A3" s="681"/>
      <c r="B3" s="682"/>
      <c r="C3" s="676" t="s">
        <v>54</v>
      </c>
      <c r="D3" s="677"/>
      <c r="E3" s="678"/>
      <c r="F3" s="676" t="s">
        <v>55</v>
      </c>
      <c r="G3" s="677"/>
      <c r="H3" s="678"/>
      <c r="I3" s="676" t="s">
        <v>56</v>
      </c>
      <c r="J3" s="677"/>
      <c r="K3" s="678"/>
      <c r="L3" s="676" t="s">
        <v>57</v>
      </c>
      <c r="M3" s="677"/>
      <c r="N3" s="678"/>
      <c r="O3" s="676" t="s">
        <v>58</v>
      </c>
      <c r="P3" s="677"/>
      <c r="Q3" s="678"/>
      <c r="R3" s="676" t="s">
        <v>59</v>
      </c>
      <c r="S3" s="677"/>
      <c r="T3" s="678"/>
      <c r="U3" s="676" t="s">
        <v>60</v>
      </c>
      <c r="V3" s="677"/>
      <c r="W3" s="678"/>
      <c r="X3" s="676" t="s">
        <v>61</v>
      </c>
      <c r="Y3" s="677"/>
      <c r="Z3" s="678"/>
      <c r="AA3" s="676"/>
      <c r="AB3" s="677"/>
      <c r="AC3" s="678"/>
      <c r="AD3" s="676"/>
      <c r="AE3" s="677"/>
      <c r="AF3" s="678"/>
      <c r="AG3" s="676"/>
      <c r="AH3" s="677"/>
      <c r="AI3" s="678"/>
      <c r="AJ3" s="676"/>
      <c r="AK3" s="677"/>
      <c r="AL3" s="678"/>
      <c r="AM3" s="268"/>
      <c r="AN3" s="689"/>
      <c r="AO3" s="690"/>
      <c r="AP3" s="692"/>
      <c r="AQ3" s="296"/>
      <c r="AR3" s="670"/>
      <c r="AS3" s="671"/>
      <c r="AT3" s="673"/>
      <c r="AU3" s="670"/>
      <c r="AV3" s="671"/>
      <c r="AW3" s="673"/>
      <c r="AX3" s="670"/>
      <c r="AY3" s="671"/>
      <c r="AZ3" s="673"/>
      <c r="BA3" s="670"/>
      <c r="BB3" s="671"/>
      <c r="BC3" s="673"/>
      <c r="BD3" s="670"/>
      <c r="BE3" s="671"/>
      <c r="BF3" s="673"/>
      <c r="BG3" s="670"/>
      <c r="BH3" s="671"/>
      <c r="BI3" s="673"/>
    </row>
    <row r="4" spans="1:61" ht="48.75" thickBot="1">
      <c r="A4" s="125"/>
      <c r="B4" s="126"/>
      <c r="C4" s="127" t="s">
        <v>62</v>
      </c>
      <c r="D4" s="127" t="s">
        <v>63</v>
      </c>
      <c r="E4" s="127" t="s">
        <v>64</v>
      </c>
      <c r="F4" s="128" t="s">
        <v>65</v>
      </c>
      <c r="G4" s="128" t="s">
        <v>63</v>
      </c>
      <c r="H4" s="128" t="s">
        <v>64</v>
      </c>
      <c r="I4" s="128" t="s">
        <v>66</v>
      </c>
      <c r="J4" s="128" t="s">
        <v>63</v>
      </c>
      <c r="K4" s="128" t="s">
        <v>64</v>
      </c>
      <c r="L4" s="128" t="s">
        <v>67</v>
      </c>
      <c r="M4" s="128" t="s">
        <v>63</v>
      </c>
      <c r="N4" s="128" t="s">
        <v>64</v>
      </c>
      <c r="O4" s="128" t="s">
        <v>67</v>
      </c>
      <c r="P4" s="128" t="s">
        <v>63</v>
      </c>
      <c r="Q4" s="128" t="s">
        <v>64</v>
      </c>
      <c r="R4" s="128" t="s">
        <v>67</v>
      </c>
      <c r="S4" s="128" t="s">
        <v>63</v>
      </c>
      <c r="T4" s="128" t="s">
        <v>64</v>
      </c>
      <c r="U4" s="128" t="s">
        <v>68</v>
      </c>
      <c r="V4" s="128" t="s">
        <v>63</v>
      </c>
      <c r="W4" s="128" t="s">
        <v>64</v>
      </c>
      <c r="X4" s="128" t="s">
        <v>68</v>
      </c>
      <c r="Y4" s="128" t="s">
        <v>63</v>
      </c>
      <c r="Z4" s="128" t="s">
        <v>64</v>
      </c>
      <c r="AA4" s="128" t="s">
        <v>68</v>
      </c>
      <c r="AB4" s="128" t="s">
        <v>63</v>
      </c>
      <c r="AC4" s="128" t="s">
        <v>64</v>
      </c>
      <c r="AD4" s="128" t="s">
        <v>69</v>
      </c>
      <c r="AE4" s="129" t="s">
        <v>63</v>
      </c>
      <c r="AF4" s="128" t="s">
        <v>64</v>
      </c>
      <c r="AG4" s="128" t="s">
        <v>154</v>
      </c>
      <c r="AH4" s="129" t="s">
        <v>63</v>
      </c>
      <c r="AI4" s="128" t="s">
        <v>64</v>
      </c>
      <c r="AJ4" s="128" t="s">
        <v>166</v>
      </c>
      <c r="AK4" s="129" t="s">
        <v>63</v>
      </c>
      <c r="AL4" s="128" t="s">
        <v>64</v>
      </c>
      <c r="AM4" s="269"/>
      <c r="AN4" s="270" t="s">
        <v>215</v>
      </c>
      <c r="AO4" s="270" t="s">
        <v>63</v>
      </c>
      <c r="AP4" s="270" t="s">
        <v>64</v>
      </c>
      <c r="AQ4" s="297"/>
      <c r="AR4" s="298" t="s">
        <v>215</v>
      </c>
      <c r="AS4" s="298" t="s">
        <v>63</v>
      </c>
      <c r="AT4" s="298" t="s">
        <v>64</v>
      </c>
      <c r="AU4" s="298" t="s">
        <v>215</v>
      </c>
      <c r="AV4" s="298" t="s">
        <v>63</v>
      </c>
      <c r="AW4" s="298" t="s">
        <v>64</v>
      </c>
      <c r="AX4" s="298" t="s">
        <v>215</v>
      </c>
      <c r="AY4" s="298" t="s">
        <v>63</v>
      </c>
      <c r="AZ4" s="298" t="s">
        <v>64</v>
      </c>
      <c r="BA4" s="298" t="s">
        <v>215</v>
      </c>
      <c r="BB4" s="298" t="s">
        <v>63</v>
      </c>
      <c r="BC4" s="298" t="s">
        <v>64</v>
      </c>
      <c r="BD4" s="298" t="s">
        <v>215</v>
      </c>
      <c r="BE4" s="298" t="s">
        <v>63</v>
      </c>
      <c r="BF4" s="298" t="s">
        <v>64</v>
      </c>
      <c r="BG4" s="298" t="s">
        <v>215</v>
      </c>
      <c r="BH4" s="298" t="s">
        <v>63</v>
      </c>
      <c r="BI4" s="298" t="s">
        <v>64</v>
      </c>
    </row>
    <row r="5" spans="1:61" ht="15">
      <c r="A5" s="130"/>
      <c r="B5" s="80" t="s">
        <v>70</v>
      </c>
      <c r="C5" s="84">
        <v>12</v>
      </c>
      <c r="D5" s="85">
        <v>12</v>
      </c>
      <c r="E5" s="86">
        <v>504</v>
      </c>
      <c r="F5" s="87">
        <v>34</v>
      </c>
      <c r="G5" s="85">
        <v>34</v>
      </c>
      <c r="H5" s="86">
        <v>1428</v>
      </c>
      <c r="I5" s="85">
        <v>35.869999999999997</v>
      </c>
      <c r="J5" s="85">
        <v>35.869999999999997</v>
      </c>
      <c r="K5" s="86">
        <v>1506.54</v>
      </c>
      <c r="L5" s="85">
        <v>37.663499999999999</v>
      </c>
      <c r="M5" s="85">
        <v>37.663499999999999</v>
      </c>
      <c r="N5" s="86">
        <v>1581.867</v>
      </c>
      <c r="O5" s="85">
        <v>39.358357499999997</v>
      </c>
      <c r="P5" s="85">
        <v>39.358357499999997</v>
      </c>
      <c r="Q5" s="86">
        <v>1653.0510149999998</v>
      </c>
      <c r="R5" s="85">
        <v>39.358357499999997</v>
      </c>
      <c r="S5" s="85">
        <v>39.358357499999997</v>
      </c>
      <c r="T5" s="86">
        <v>1653.0510149999998</v>
      </c>
      <c r="U5" s="85">
        <v>40.932691800000001</v>
      </c>
      <c r="V5" s="85">
        <v>40.932691800000001</v>
      </c>
      <c r="W5" s="86">
        <v>1719.1730556</v>
      </c>
      <c r="X5" s="85"/>
      <c r="Y5" s="85"/>
      <c r="Z5" s="86"/>
      <c r="AA5" s="85"/>
      <c r="AB5" s="85"/>
      <c r="AC5" s="86"/>
      <c r="AD5" s="85"/>
      <c r="AE5" s="89"/>
      <c r="AF5" s="86"/>
      <c r="AG5" s="85"/>
      <c r="AH5" s="89"/>
      <c r="AI5" s="86"/>
      <c r="AJ5" s="85"/>
      <c r="AK5" s="89"/>
      <c r="AL5" s="86"/>
      <c r="AM5" s="80" t="s">
        <v>70</v>
      </c>
      <c r="AN5" s="85"/>
      <c r="AO5" s="89"/>
      <c r="AP5" s="86"/>
      <c r="AQ5" s="80" t="s">
        <v>70</v>
      </c>
      <c r="AR5" s="85"/>
      <c r="AS5" s="89"/>
      <c r="AT5" s="86"/>
      <c r="AU5" s="85"/>
      <c r="AV5" s="89"/>
      <c r="AW5" s="86"/>
      <c r="AX5" s="85"/>
      <c r="AY5" s="89"/>
      <c r="AZ5" s="86"/>
      <c r="BA5" s="85"/>
      <c r="BB5" s="89"/>
      <c r="BC5" s="86"/>
      <c r="BD5" s="85"/>
      <c r="BE5" s="89"/>
      <c r="BF5" s="86"/>
      <c r="BG5" s="85"/>
      <c r="BH5" s="89"/>
      <c r="BI5" s="86"/>
    </row>
    <row r="6" spans="1:61" ht="15" thickBot="1">
      <c r="A6" s="90">
        <v>420</v>
      </c>
      <c r="B6" s="81" t="s">
        <v>71</v>
      </c>
      <c r="C6" s="91">
        <v>15</v>
      </c>
      <c r="D6" s="92">
        <v>15</v>
      </c>
      <c r="E6" s="93">
        <v>630</v>
      </c>
      <c r="F6" s="94">
        <v>34</v>
      </c>
      <c r="G6" s="92">
        <v>34</v>
      </c>
      <c r="H6" s="93">
        <v>1428</v>
      </c>
      <c r="I6" s="92">
        <v>35.869999999999997</v>
      </c>
      <c r="J6" s="92">
        <v>35.869999999999997</v>
      </c>
      <c r="K6" s="93">
        <v>1506.54</v>
      </c>
      <c r="L6" s="92">
        <v>37.663499999999999</v>
      </c>
      <c r="M6" s="92">
        <v>37.663499999999999</v>
      </c>
      <c r="N6" s="93">
        <v>1581.867</v>
      </c>
      <c r="O6" s="92">
        <v>39.358357499999997</v>
      </c>
      <c r="P6" s="92">
        <v>39.358357499999997</v>
      </c>
      <c r="Q6" s="93">
        <v>1653.0510149999998</v>
      </c>
      <c r="R6" s="92">
        <v>39.358357499999997</v>
      </c>
      <c r="S6" s="92">
        <v>39.358357499999997</v>
      </c>
      <c r="T6" s="93">
        <v>1653.0510149999998</v>
      </c>
      <c r="U6" s="92">
        <v>40.932691800000001</v>
      </c>
      <c r="V6" s="92">
        <v>40.932691800000001</v>
      </c>
      <c r="W6" s="93">
        <v>1719.1730556</v>
      </c>
      <c r="X6" s="92"/>
      <c r="Y6" s="92"/>
      <c r="Z6" s="93"/>
      <c r="AA6" s="92"/>
      <c r="AB6" s="92"/>
      <c r="AC6" s="93"/>
      <c r="AD6" s="92"/>
      <c r="AE6" s="96"/>
      <c r="AF6" s="93"/>
      <c r="AG6" s="92"/>
      <c r="AH6" s="96"/>
      <c r="AI6" s="93"/>
      <c r="AJ6" s="92"/>
      <c r="AK6" s="96"/>
      <c r="AL6" s="93"/>
      <c r="AM6" s="81" t="s">
        <v>71</v>
      </c>
      <c r="AN6" s="92"/>
      <c r="AO6" s="96"/>
      <c r="AP6" s="93"/>
      <c r="AQ6" s="81" t="s">
        <v>71</v>
      </c>
      <c r="AR6" s="92"/>
      <c r="AS6" s="96"/>
      <c r="AT6" s="93"/>
      <c r="AU6" s="92"/>
      <c r="AV6" s="96"/>
      <c r="AW6" s="93"/>
      <c r="AX6" s="92"/>
      <c r="AY6" s="96"/>
      <c r="AZ6" s="93"/>
      <c r="BA6" s="92"/>
      <c r="BB6" s="96"/>
      <c r="BC6" s="93"/>
      <c r="BD6" s="92"/>
      <c r="BE6" s="96"/>
      <c r="BF6" s="93"/>
      <c r="BG6" s="92"/>
      <c r="BH6" s="96"/>
      <c r="BI6" s="93"/>
    </row>
    <row r="7" spans="1:61" ht="14.25">
      <c r="A7" s="90"/>
      <c r="B7" s="131" t="s">
        <v>72</v>
      </c>
      <c r="C7" s="91"/>
      <c r="D7" s="92"/>
      <c r="E7" s="93"/>
      <c r="F7" s="94"/>
      <c r="G7" s="92"/>
      <c r="H7" s="93"/>
      <c r="I7" s="92"/>
      <c r="J7" s="92"/>
      <c r="K7" s="93"/>
      <c r="L7" s="92"/>
      <c r="M7" s="92"/>
      <c r="N7" s="93"/>
      <c r="O7" s="92"/>
      <c r="P7" s="92"/>
      <c r="Q7" s="93"/>
      <c r="R7" s="92"/>
      <c r="S7" s="92"/>
      <c r="T7" s="93"/>
      <c r="U7" s="92">
        <v>56.7</v>
      </c>
      <c r="V7" s="92">
        <v>56.7</v>
      </c>
      <c r="W7" s="93">
        <v>2381.4</v>
      </c>
      <c r="X7" s="92">
        <v>58.968000000000004</v>
      </c>
      <c r="Y7" s="92">
        <v>58.968000000000004</v>
      </c>
      <c r="Z7" s="93">
        <v>2476.6559999999999</v>
      </c>
      <c r="AA7" s="92">
        <v>61.916400000000003</v>
      </c>
      <c r="AB7" s="92">
        <v>61.916400000000003</v>
      </c>
      <c r="AC7" s="93">
        <v>2600.4888000000001</v>
      </c>
      <c r="AD7" s="92">
        <v>63.78</v>
      </c>
      <c r="AE7" s="96">
        <v>63.78</v>
      </c>
      <c r="AF7" s="93">
        <f>AE7*42</f>
        <v>2678.76</v>
      </c>
      <c r="AG7" s="92">
        <f>AD7*(1+$AI$2)</f>
        <v>65.693399999999997</v>
      </c>
      <c r="AH7" s="96">
        <f>AE7*(1+$AI$2)</f>
        <v>65.693399999999997</v>
      </c>
      <c r="AI7" s="93">
        <f>AH7*42</f>
        <v>2759.1228000000001</v>
      </c>
      <c r="AJ7" s="92">
        <f>AG7*(1+$AI$2)</f>
        <v>67.664202000000003</v>
      </c>
      <c r="AK7" s="96">
        <f>AH7*(1+$AI$2)</f>
        <v>67.664202000000003</v>
      </c>
      <c r="AL7" s="93">
        <f>AK7*42</f>
        <v>2841.8964840000003</v>
      </c>
      <c r="AM7" s="253" t="s">
        <v>72</v>
      </c>
      <c r="AN7" s="271">
        <v>69.694128060000011</v>
      </c>
      <c r="AO7" s="272">
        <v>69.694128060000011</v>
      </c>
      <c r="AP7" s="273">
        <v>2927.1533785200004</v>
      </c>
      <c r="AQ7" s="253" t="s">
        <v>72</v>
      </c>
      <c r="AR7" s="271">
        <f>AN7*(1+$AT$2)</f>
        <v>71.784951901800014</v>
      </c>
      <c r="AS7" s="272">
        <f>AO7*(1+$AT$2)</f>
        <v>71.784951901800014</v>
      </c>
      <c r="AT7" s="273">
        <f>AP7*(1+$AT$2)</f>
        <v>3014.9679798756006</v>
      </c>
      <c r="AU7" s="271">
        <f>AR7*(1+$AW$2)</f>
        <v>73.938500458854023</v>
      </c>
      <c r="AV7" s="272">
        <f>AS7*(1+$AW$2)</f>
        <v>73.938500458854023</v>
      </c>
      <c r="AW7" s="273">
        <f>AT7*(1+$AW$2)</f>
        <v>3105.4170192718689</v>
      </c>
      <c r="AX7" s="271">
        <f>AU7*(1+$AZ$2)</f>
        <v>76.156655472619647</v>
      </c>
      <c r="AY7" s="272">
        <f>AV7*(1+$AZ$2)</f>
        <v>76.156655472619647</v>
      </c>
      <c r="AZ7" s="273">
        <f>AW7*(1+$AZ$2)</f>
        <v>3198.5795298500252</v>
      </c>
      <c r="BA7" s="271">
        <f>AX7*(1+$BC$2)</f>
        <v>78.441355136798236</v>
      </c>
      <c r="BB7" s="272">
        <f t="shared" ref="BB7:BB38" si="0">AY7*(1+$BC$2)</f>
        <v>78.441355136798236</v>
      </c>
      <c r="BC7" s="273">
        <f t="shared" ref="BC7:BC38" si="1">AZ7*(1+$BC$2)</f>
        <v>3294.5369157455261</v>
      </c>
      <c r="BD7" s="271">
        <f t="shared" ref="BD7:BD38" si="2">BA7*(1+$BF$2)</f>
        <v>80.794595790902179</v>
      </c>
      <c r="BE7" s="272">
        <f t="shared" ref="BE7:BE38" si="3">BB7*(1+$BF$2)</f>
        <v>80.794595790902179</v>
      </c>
      <c r="BF7" s="273">
        <f t="shared" ref="BF7:BF38" si="4">BC7*(1+$BF$2)</f>
        <v>3393.3730232178918</v>
      </c>
      <c r="BG7" s="271">
        <f t="shared" ref="BG7:BG61" si="5">BD7*(1+$BF$2)</f>
        <v>83.218433664629245</v>
      </c>
      <c r="BH7" s="272">
        <f t="shared" ref="BH7:BH61" si="6">BE7*(1+$BF$2)</f>
        <v>83.218433664629245</v>
      </c>
      <c r="BI7" s="273">
        <f t="shared" ref="BI7:BI61" si="7">BF7*(1+$BF$2)</f>
        <v>3495.1742139144285</v>
      </c>
    </row>
    <row r="8" spans="1:61" ht="14.25">
      <c r="A8" s="90"/>
      <c r="B8" s="132" t="s">
        <v>73</v>
      </c>
      <c r="C8" s="91"/>
      <c r="D8" s="92"/>
      <c r="E8" s="93"/>
      <c r="F8" s="94"/>
      <c r="G8" s="92"/>
      <c r="H8" s="93"/>
      <c r="I8" s="92"/>
      <c r="J8" s="92"/>
      <c r="K8" s="93"/>
      <c r="L8" s="92"/>
      <c r="M8" s="92"/>
      <c r="N8" s="93"/>
      <c r="O8" s="92"/>
      <c r="P8" s="92"/>
      <c r="Q8" s="93"/>
      <c r="R8" s="92"/>
      <c r="S8" s="92"/>
      <c r="T8" s="93"/>
      <c r="U8" s="92">
        <v>56.7</v>
      </c>
      <c r="V8" s="92">
        <v>56.7</v>
      </c>
      <c r="W8" s="93">
        <v>2381.4</v>
      </c>
      <c r="X8" s="92">
        <v>58.968000000000004</v>
      </c>
      <c r="Y8" s="92">
        <v>58.968000000000004</v>
      </c>
      <c r="Z8" s="93">
        <v>2476.6559999999999</v>
      </c>
      <c r="AA8" s="92">
        <v>61.916400000000003</v>
      </c>
      <c r="AB8" s="92">
        <v>61.916400000000003</v>
      </c>
      <c r="AC8" s="93">
        <v>2600.4888000000001</v>
      </c>
      <c r="AD8" s="92">
        <v>63.78</v>
      </c>
      <c r="AE8" s="96">
        <v>63.78</v>
      </c>
      <c r="AF8" s="93">
        <f>AE8*42</f>
        <v>2678.76</v>
      </c>
      <c r="AG8" s="92">
        <f t="shared" ref="AG8:AH47" si="8">AD8*(1+$AI$2)</f>
        <v>65.693399999999997</v>
      </c>
      <c r="AH8" s="96">
        <f t="shared" si="8"/>
        <v>65.693399999999997</v>
      </c>
      <c r="AI8" s="93">
        <f>AH8*42</f>
        <v>2759.1228000000001</v>
      </c>
      <c r="AJ8" s="92">
        <f t="shared" ref="AJ8:AK20" si="9">AG8*(1+$AI$2)</f>
        <v>67.664202000000003</v>
      </c>
      <c r="AK8" s="96">
        <f t="shared" si="9"/>
        <v>67.664202000000003</v>
      </c>
      <c r="AL8" s="93">
        <f>AK8*42</f>
        <v>2841.8964840000003</v>
      </c>
      <c r="AM8" s="254" t="s">
        <v>73</v>
      </c>
      <c r="AN8" s="274">
        <v>69.694128060000011</v>
      </c>
      <c r="AO8" s="275">
        <v>69.694128060000011</v>
      </c>
      <c r="AP8" s="276">
        <v>2927.1533785200004</v>
      </c>
      <c r="AQ8" s="254" t="s">
        <v>73</v>
      </c>
      <c r="AR8" s="274">
        <f t="shared" ref="AR8:AR61" si="10">AN8*(1+$AT$2)</f>
        <v>71.784951901800014</v>
      </c>
      <c r="AS8" s="275">
        <f t="shared" ref="AS8:AS61" si="11">AO8*(1+$AT$2)</f>
        <v>71.784951901800014</v>
      </c>
      <c r="AT8" s="276">
        <f t="shared" ref="AT8:AT61" si="12">AP8*(1+$AT$2)</f>
        <v>3014.9679798756006</v>
      </c>
      <c r="AU8" s="274">
        <f t="shared" ref="AU8:AU61" si="13">AR8*(1+$AW$2)</f>
        <v>73.938500458854023</v>
      </c>
      <c r="AV8" s="275">
        <f t="shared" ref="AV8:AV61" si="14">AS8*(1+$AW$2)</f>
        <v>73.938500458854023</v>
      </c>
      <c r="AW8" s="276">
        <f t="shared" ref="AW8:AW61" si="15">AT8*(1+$AW$2)</f>
        <v>3105.4170192718689</v>
      </c>
      <c r="AX8" s="274">
        <f t="shared" ref="AX8:AX61" si="16">AU8*(1+$AZ$2)</f>
        <v>76.156655472619647</v>
      </c>
      <c r="AY8" s="275">
        <f t="shared" ref="AY8:AY61" si="17">AV8*(1+$AZ$2)</f>
        <v>76.156655472619647</v>
      </c>
      <c r="AZ8" s="276">
        <f t="shared" ref="AZ8:AZ61" si="18">AW8*(1+$AZ$2)</f>
        <v>3198.5795298500252</v>
      </c>
      <c r="BA8" s="274">
        <f t="shared" ref="BA8:BA38" si="19">AX8*(1+$BC$2)</f>
        <v>78.441355136798236</v>
      </c>
      <c r="BB8" s="275">
        <f t="shared" si="0"/>
        <v>78.441355136798236</v>
      </c>
      <c r="BC8" s="276">
        <f t="shared" si="1"/>
        <v>3294.5369157455261</v>
      </c>
      <c r="BD8" s="274">
        <f t="shared" si="2"/>
        <v>80.794595790902179</v>
      </c>
      <c r="BE8" s="275">
        <f t="shared" si="3"/>
        <v>80.794595790902179</v>
      </c>
      <c r="BF8" s="276">
        <f t="shared" si="4"/>
        <v>3393.3730232178918</v>
      </c>
      <c r="BG8" s="274">
        <f t="shared" si="5"/>
        <v>83.218433664629245</v>
      </c>
      <c r="BH8" s="275">
        <f t="shared" si="6"/>
        <v>83.218433664629245</v>
      </c>
      <c r="BI8" s="276">
        <f t="shared" si="7"/>
        <v>3495.1742139144285</v>
      </c>
    </row>
    <row r="9" spans="1:61" ht="15" thickBot="1">
      <c r="A9" s="133">
        <v>422</v>
      </c>
      <c r="B9" s="134" t="s">
        <v>74</v>
      </c>
      <c r="C9" s="135">
        <v>50</v>
      </c>
      <c r="D9" s="136">
        <v>50</v>
      </c>
      <c r="E9" s="137">
        <v>2100</v>
      </c>
      <c r="F9" s="138">
        <v>69</v>
      </c>
      <c r="G9" s="136">
        <v>69</v>
      </c>
      <c r="H9" s="137">
        <v>2898</v>
      </c>
      <c r="I9" s="136">
        <v>72.795000000000002</v>
      </c>
      <c r="J9" s="136">
        <v>72.8</v>
      </c>
      <c r="K9" s="137">
        <v>3057.6</v>
      </c>
      <c r="L9" s="136">
        <v>76.434750000000008</v>
      </c>
      <c r="M9" s="136">
        <v>76.434750000000008</v>
      </c>
      <c r="N9" s="137">
        <v>3210.2595000000001</v>
      </c>
      <c r="O9" s="136">
        <v>79.874313749999999</v>
      </c>
      <c r="P9" s="136">
        <v>79.874313749999999</v>
      </c>
      <c r="Q9" s="137">
        <v>3354.7211775000001</v>
      </c>
      <c r="R9" s="136">
        <v>79.874313749999999</v>
      </c>
      <c r="S9" s="136">
        <v>79.874313749999999</v>
      </c>
      <c r="T9" s="137">
        <v>3354.7211775000001</v>
      </c>
      <c r="U9" s="136">
        <v>83.069286300000002</v>
      </c>
      <c r="V9" s="136">
        <v>83.069286300000002</v>
      </c>
      <c r="W9" s="137">
        <v>3488.9100246000003</v>
      </c>
      <c r="X9" s="136">
        <v>86.392057751999999</v>
      </c>
      <c r="Y9" s="136">
        <v>86.392057751999999</v>
      </c>
      <c r="Z9" s="137">
        <v>3628.4664255839998</v>
      </c>
      <c r="AA9" s="136">
        <v>90.711660639599998</v>
      </c>
      <c r="AB9" s="136">
        <v>90.711660639599998</v>
      </c>
      <c r="AC9" s="137">
        <v>3809.8897468631999</v>
      </c>
      <c r="AD9" s="136">
        <f>93.43+0.01</f>
        <v>93.440000000000012</v>
      </c>
      <c r="AE9" s="139">
        <f>93.43+0.01</f>
        <v>93.440000000000012</v>
      </c>
      <c r="AF9" s="137">
        <f t="shared" ref="AF9:AF54" si="20">AE9*42</f>
        <v>3924.4800000000005</v>
      </c>
      <c r="AG9" s="136">
        <f t="shared" si="8"/>
        <v>96.243200000000016</v>
      </c>
      <c r="AH9" s="139">
        <f t="shared" si="8"/>
        <v>96.243200000000016</v>
      </c>
      <c r="AI9" s="137">
        <f t="shared" ref="AI9:AI59" si="21">AH9*42</f>
        <v>4042.2144000000008</v>
      </c>
      <c r="AJ9" s="136">
        <f t="shared" si="9"/>
        <v>99.130496000000022</v>
      </c>
      <c r="AK9" s="139">
        <f t="shared" si="9"/>
        <v>99.130496000000022</v>
      </c>
      <c r="AL9" s="137">
        <f t="shared" ref="AL9:AL57" si="22">AK9*42</f>
        <v>4163.4808320000011</v>
      </c>
      <c r="AM9" s="255" t="s">
        <v>74</v>
      </c>
      <c r="AN9" s="277">
        <v>102.10441088000003</v>
      </c>
      <c r="AO9" s="278">
        <v>102.10441088000003</v>
      </c>
      <c r="AP9" s="279">
        <v>4288.3852569600012</v>
      </c>
      <c r="AQ9" s="255" t="s">
        <v>74</v>
      </c>
      <c r="AR9" s="277">
        <f t="shared" si="10"/>
        <v>105.16754320640004</v>
      </c>
      <c r="AS9" s="278">
        <f t="shared" si="11"/>
        <v>105.16754320640004</v>
      </c>
      <c r="AT9" s="279">
        <f t="shared" si="12"/>
        <v>4417.0368146688015</v>
      </c>
      <c r="AU9" s="277">
        <f t="shared" si="13"/>
        <v>108.32256950259205</v>
      </c>
      <c r="AV9" s="278">
        <f t="shared" si="14"/>
        <v>108.32256950259205</v>
      </c>
      <c r="AW9" s="279">
        <f t="shared" si="15"/>
        <v>4549.5479191088652</v>
      </c>
      <c r="AX9" s="277">
        <f t="shared" si="16"/>
        <v>111.57224658766981</v>
      </c>
      <c r="AY9" s="278">
        <f t="shared" si="17"/>
        <v>111.57224658766981</v>
      </c>
      <c r="AZ9" s="279">
        <f t="shared" si="18"/>
        <v>4686.0343566821311</v>
      </c>
      <c r="BA9" s="277">
        <f t="shared" si="19"/>
        <v>114.91941398529991</v>
      </c>
      <c r="BB9" s="278">
        <f t="shared" si="0"/>
        <v>114.91941398529991</v>
      </c>
      <c r="BC9" s="279">
        <f t="shared" si="1"/>
        <v>4826.6153873825951</v>
      </c>
      <c r="BD9" s="277">
        <f t="shared" si="2"/>
        <v>118.36699640485891</v>
      </c>
      <c r="BE9" s="278">
        <f t="shared" si="3"/>
        <v>118.36699640485891</v>
      </c>
      <c r="BF9" s="279">
        <f t="shared" si="4"/>
        <v>4971.4138490040732</v>
      </c>
      <c r="BG9" s="277">
        <f t="shared" si="5"/>
        <v>121.91800629700468</v>
      </c>
      <c r="BH9" s="278">
        <f t="shared" si="6"/>
        <v>121.91800629700468</v>
      </c>
      <c r="BI9" s="279">
        <f t="shared" si="7"/>
        <v>5120.5562644741958</v>
      </c>
    </row>
    <row r="10" spans="1:61" ht="15">
      <c r="A10" s="140"/>
      <c r="B10" s="81" t="s">
        <v>75</v>
      </c>
      <c r="C10" s="91">
        <v>42</v>
      </c>
      <c r="D10" s="92">
        <v>42</v>
      </c>
      <c r="E10" s="93">
        <v>1764</v>
      </c>
      <c r="F10" s="105">
        <v>42</v>
      </c>
      <c r="G10" s="92">
        <v>42</v>
      </c>
      <c r="H10" s="93">
        <v>1764</v>
      </c>
      <c r="I10" s="92">
        <v>44.31</v>
      </c>
      <c r="J10" s="92">
        <v>44.31</v>
      </c>
      <c r="K10" s="93">
        <v>1861.02</v>
      </c>
      <c r="L10" s="92">
        <v>46.525500000000001</v>
      </c>
      <c r="M10" s="92">
        <v>46.525500000000001</v>
      </c>
      <c r="N10" s="93">
        <v>1954.0710000000001</v>
      </c>
      <c r="O10" s="92">
        <v>48.619147499999997</v>
      </c>
      <c r="P10" s="92">
        <v>48.619147499999997</v>
      </c>
      <c r="Q10" s="93">
        <v>2042.004195</v>
      </c>
      <c r="R10" s="92">
        <v>48.619147499999997</v>
      </c>
      <c r="S10" s="92">
        <v>48.619147499999997</v>
      </c>
      <c r="T10" s="93">
        <v>2042.004195</v>
      </c>
      <c r="U10" s="92">
        <v>50.563913399999997</v>
      </c>
      <c r="V10" s="92">
        <v>50.563913399999997</v>
      </c>
      <c r="W10" s="93">
        <v>2123.6843627999997</v>
      </c>
      <c r="X10" s="92">
        <v>52.576469936000002</v>
      </c>
      <c r="Y10" s="92">
        <v>52.576469936000002</v>
      </c>
      <c r="Z10" s="93">
        <v>2208.211737312</v>
      </c>
      <c r="AA10" s="92">
        <v>55.205293432800005</v>
      </c>
      <c r="AB10" s="92">
        <v>55.205293432800005</v>
      </c>
      <c r="AC10" s="93">
        <v>2318.6223241776001</v>
      </c>
      <c r="AD10" s="92">
        <v>56.87</v>
      </c>
      <c r="AE10" s="96">
        <v>56.87</v>
      </c>
      <c r="AF10" s="93">
        <f t="shared" si="20"/>
        <v>2388.54</v>
      </c>
      <c r="AG10" s="92">
        <f t="shared" si="8"/>
        <v>58.576099999999997</v>
      </c>
      <c r="AH10" s="96">
        <f t="shared" si="8"/>
        <v>58.576099999999997</v>
      </c>
      <c r="AI10" s="93">
        <f t="shared" si="21"/>
        <v>2460.1961999999999</v>
      </c>
      <c r="AJ10" s="92">
        <f t="shared" si="9"/>
        <v>60.333382999999998</v>
      </c>
      <c r="AK10" s="96">
        <f t="shared" si="9"/>
        <v>60.333382999999998</v>
      </c>
      <c r="AL10" s="93">
        <f t="shared" si="22"/>
        <v>2534.002086</v>
      </c>
      <c r="AM10" s="256" t="s">
        <v>75</v>
      </c>
      <c r="AN10" s="274">
        <v>62.143384490000003</v>
      </c>
      <c r="AO10" s="275">
        <v>62.143384490000003</v>
      </c>
      <c r="AP10" s="276">
        <v>2610.0221485800002</v>
      </c>
      <c r="AQ10" s="256" t="s">
        <v>75</v>
      </c>
      <c r="AR10" s="274">
        <f t="shared" si="10"/>
        <v>64.007686024700007</v>
      </c>
      <c r="AS10" s="275">
        <f t="shared" si="11"/>
        <v>64.007686024700007</v>
      </c>
      <c r="AT10" s="276">
        <f t="shared" si="12"/>
        <v>2688.3228130374005</v>
      </c>
      <c r="AU10" s="274">
        <f t="shared" si="13"/>
        <v>65.927916605441013</v>
      </c>
      <c r="AV10" s="275">
        <f t="shared" si="14"/>
        <v>65.927916605441013</v>
      </c>
      <c r="AW10" s="276">
        <f t="shared" si="15"/>
        <v>2768.9724974285227</v>
      </c>
      <c r="AX10" s="274">
        <f t="shared" si="16"/>
        <v>67.905754103604238</v>
      </c>
      <c r="AY10" s="275">
        <f t="shared" si="17"/>
        <v>67.905754103604238</v>
      </c>
      <c r="AZ10" s="276">
        <f t="shared" si="18"/>
        <v>2852.0416723513786</v>
      </c>
      <c r="BA10" s="274">
        <f t="shared" si="19"/>
        <v>69.942926726712372</v>
      </c>
      <c r="BB10" s="275">
        <f t="shared" si="0"/>
        <v>69.942926726712372</v>
      </c>
      <c r="BC10" s="276">
        <f t="shared" si="1"/>
        <v>2937.6029225219199</v>
      </c>
      <c r="BD10" s="274">
        <f t="shared" si="2"/>
        <v>72.041214528513748</v>
      </c>
      <c r="BE10" s="275">
        <f t="shared" si="3"/>
        <v>72.041214528513748</v>
      </c>
      <c r="BF10" s="276">
        <f t="shared" si="4"/>
        <v>3025.7310101975777</v>
      </c>
      <c r="BG10" s="274">
        <f t="shared" si="5"/>
        <v>74.202450964369163</v>
      </c>
      <c r="BH10" s="275">
        <f t="shared" si="6"/>
        <v>74.202450964369163</v>
      </c>
      <c r="BI10" s="276">
        <f t="shared" si="7"/>
        <v>3116.5029405035052</v>
      </c>
    </row>
    <row r="11" spans="1:61" ht="15.75" thickBot="1">
      <c r="A11" s="141"/>
      <c r="B11" s="134" t="s">
        <v>76</v>
      </c>
      <c r="C11" s="135">
        <v>42</v>
      </c>
      <c r="D11" s="92">
        <v>42</v>
      </c>
      <c r="E11" s="93">
        <v>1764</v>
      </c>
      <c r="F11" s="105">
        <v>42</v>
      </c>
      <c r="G11" s="92">
        <v>42</v>
      </c>
      <c r="H11" s="93">
        <v>1764</v>
      </c>
      <c r="I11" s="142">
        <v>44.31</v>
      </c>
      <c r="J11" s="136">
        <v>44.31</v>
      </c>
      <c r="K11" s="137">
        <v>1861.02</v>
      </c>
      <c r="L11" s="142">
        <v>46.525500000000001</v>
      </c>
      <c r="M11" s="136">
        <v>46.525500000000001</v>
      </c>
      <c r="N11" s="137">
        <v>1954.0710000000001</v>
      </c>
      <c r="O11" s="142">
        <v>48.619147499999997</v>
      </c>
      <c r="P11" s="136">
        <v>48.619147499999997</v>
      </c>
      <c r="Q11" s="137">
        <v>2042.004195</v>
      </c>
      <c r="R11" s="142">
        <v>48.619147499999997</v>
      </c>
      <c r="S11" s="136">
        <v>48.619147499999997</v>
      </c>
      <c r="T11" s="137">
        <v>2042.004195</v>
      </c>
      <c r="U11" s="142">
        <v>50.563913399999997</v>
      </c>
      <c r="V11" s="136">
        <v>50.563913399999997</v>
      </c>
      <c r="W11" s="137">
        <v>2123.6843627999997</v>
      </c>
      <c r="X11" s="136">
        <v>52.576469936000002</v>
      </c>
      <c r="Y11" s="136">
        <v>52.576469936000002</v>
      </c>
      <c r="Z11" s="137">
        <v>2208.211737312</v>
      </c>
      <c r="AA11" s="136">
        <v>55.205293432800005</v>
      </c>
      <c r="AB11" s="136">
        <v>55.205293432800005</v>
      </c>
      <c r="AC11" s="137">
        <v>2318.6223241776001</v>
      </c>
      <c r="AD11" s="136">
        <v>56.87</v>
      </c>
      <c r="AE11" s="139">
        <v>56.87</v>
      </c>
      <c r="AF11" s="137">
        <f t="shared" si="20"/>
        <v>2388.54</v>
      </c>
      <c r="AG11" s="136">
        <f t="shared" si="8"/>
        <v>58.576099999999997</v>
      </c>
      <c r="AH11" s="139">
        <f t="shared" si="8"/>
        <v>58.576099999999997</v>
      </c>
      <c r="AI11" s="137">
        <f t="shared" si="21"/>
        <v>2460.1961999999999</v>
      </c>
      <c r="AJ11" s="136">
        <f t="shared" si="9"/>
        <v>60.333382999999998</v>
      </c>
      <c r="AK11" s="139">
        <f t="shared" si="9"/>
        <v>60.333382999999998</v>
      </c>
      <c r="AL11" s="137">
        <f t="shared" si="22"/>
        <v>2534.002086</v>
      </c>
      <c r="AM11" s="255" t="s">
        <v>76</v>
      </c>
      <c r="AN11" s="277">
        <v>62.143384490000003</v>
      </c>
      <c r="AO11" s="278">
        <v>62.143384490000003</v>
      </c>
      <c r="AP11" s="279">
        <v>2610.0221485800002</v>
      </c>
      <c r="AQ11" s="255" t="s">
        <v>76</v>
      </c>
      <c r="AR11" s="277">
        <f t="shared" si="10"/>
        <v>64.007686024700007</v>
      </c>
      <c r="AS11" s="278">
        <f t="shared" si="11"/>
        <v>64.007686024700007</v>
      </c>
      <c r="AT11" s="279">
        <f t="shared" si="12"/>
        <v>2688.3228130374005</v>
      </c>
      <c r="AU11" s="277">
        <f t="shared" si="13"/>
        <v>65.927916605441013</v>
      </c>
      <c r="AV11" s="278">
        <f t="shared" si="14"/>
        <v>65.927916605441013</v>
      </c>
      <c r="AW11" s="279">
        <f t="shared" si="15"/>
        <v>2768.9724974285227</v>
      </c>
      <c r="AX11" s="277">
        <f t="shared" si="16"/>
        <v>67.905754103604238</v>
      </c>
      <c r="AY11" s="278">
        <f t="shared" si="17"/>
        <v>67.905754103604238</v>
      </c>
      <c r="AZ11" s="279">
        <f t="shared" si="18"/>
        <v>2852.0416723513786</v>
      </c>
      <c r="BA11" s="277">
        <f t="shared" si="19"/>
        <v>69.942926726712372</v>
      </c>
      <c r="BB11" s="278">
        <f t="shared" si="0"/>
        <v>69.942926726712372</v>
      </c>
      <c r="BC11" s="279">
        <f t="shared" si="1"/>
        <v>2937.6029225219199</v>
      </c>
      <c r="BD11" s="277">
        <f t="shared" si="2"/>
        <v>72.041214528513748</v>
      </c>
      <c r="BE11" s="278">
        <f t="shared" si="3"/>
        <v>72.041214528513748</v>
      </c>
      <c r="BF11" s="279">
        <f t="shared" si="4"/>
        <v>3025.7310101975777</v>
      </c>
      <c r="BG11" s="277">
        <f t="shared" si="5"/>
        <v>74.202450964369163</v>
      </c>
      <c r="BH11" s="278">
        <f t="shared" si="6"/>
        <v>74.202450964369163</v>
      </c>
      <c r="BI11" s="279">
        <f t="shared" si="7"/>
        <v>3116.5029405035052</v>
      </c>
    </row>
    <row r="12" spans="1:61" ht="14.25">
      <c r="A12" s="90">
        <v>210</v>
      </c>
      <c r="B12" s="81" t="s">
        <v>77</v>
      </c>
      <c r="C12" s="91">
        <v>15</v>
      </c>
      <c r="D12" s="85">
        <v>15</v>
      </c>
      <c r="E12" s="86">
        <v>630</v>
      </c>
      <c r="F12" s="87">
        <v>35.32</v>
      </c>
      <c r="G12" s="85">
        <v>35.32</v>
      </c>
      <c r="H12" s="86">
        <v>1483.44</v>
      </c>
      <c r="I12" s="92">
        <v>37.262599999999999</v>
      </c>
      <c r="J12" s="92">
        <v>37.26</v>
      </c>
      <c r="K12" s="93">
        <v>1564.9199999999998</v>
      </c>
      <c r="L12" s="92">
        <v>39.125729999999997</v>
      </c>
      <c r="M12" s="92">
        <v>39.125729999999997</v>
      </c>
      <c r="N12" s="93">
        <v>1643.2806599999999</v>
      </c>
      <c r="O12" s="92">
        <v>40.886387849999991</v>
      </c>
      <c r="P12" s="92">
        <v>40.886387849999991</v>
      </c>
      <c r="Q12" s="93">
        <v>1717.2282896999996</v>
      </c>
      <c r="R12" s="92">
        <v>63.55</v>
      </c>
      <c r="S12" s="92">
        <v>63.55</v>
      </c>
      <c r="T12" s="93">
        <v>2669.1</v>
      </c>
      <c r="U12" s="92">
        <v>66.091999999999999</v>
      </c>
      <c r="V12" s="92">
        <v>66.091999999999999</v>
      </c>
      <c r="W12" s="93">
        <v>2775.864</v>
      </c>
      <c r="X12" s="92">
        <v>68.725679999999997</v>
      </c>
      <c r="Y12" s="92">
        <v>68.725679999999997</v>
      </c>
      <c r="Z12" s="93">
        <v>2886.47856</v>
      </c>
      <c r="AA12" s="92">
        <v>72.161963999999998</v>
      </c>
      <c r="AB12" s="92">
        <v>72.161963999999998</v>
      </c>
      <c r="AC12" s="93">
        <v>3030.8024879999998</v>
      </c>
      <c r="AD12" s="92">
        <v>74.319999999999993</v>
      </c>
      <c r="AE12" s="96">
        <v>74.319999999999993</v>
      </c>
      <c r="AF12" s="93">
        <f t="shared" si="20"/>
        <v>3121.4399999999996</v>
      </c>
      <c r="AG12" s="92">
        <f t="shared" si="8"/>
        <v>76.549599999999998</v>
      </c>
      <c r="AH12" s="96">
        <f t="shared" si="8"/>
        <v>76.549599999999998</v>
      </c>
      <c r="AI12" s="93">
        <f t="shared" si="21"/>
        <v>3215.0832</v>
      </c>
      <c r="AJ12" s="92">
        <f t="shared" si="9"/>
        <v>78.846087999999995</v>
      </c>
      <c r="AK12" s="96">
        <f t="shared" si="9"/>
        <v>78.846087999999995</v>
      </c>
      <c r="AL12" s="93">
        <f t="shared" si="22"/>
        <v>3311.5356959999999</v>
      </c>
      <c r="AM12" s="256" t="s">
        <v>77</v>
      </c>
      <c r="AN12" s="274">
        <v>81.211470640000002</v>
      </c>
      <c r="AO12" s="275">
        <v>81.211470640000002</v>
      </c>
      <c r="AP12" s="276">
        <v>3410.8817668800002</v>
      </c>
      <c r="AQ12" s="256" t="s">
        <v>77</v>
      </c>
      <c r="AR12" s="274">
        <f t="shared" si="10"/>
        <v>83.647814759200003</v>
      </c>
      <c r="AS12" s="275">
        <f t="shared" si="11"/>
        <v>83.647814759200003</v>
      </c>
      <c r="AT12" s="276">
        <f t="shared" si="12"/>
        <v>3513.2082198864005</v>
      </c>
      <c r="AU12" s="274">
        <f t="shared" si="13"/>
        <v>86.157249201976001</v>
      </c>
      <c r="AV12" s="275">
        <f t="shared" si="14"/>
        <v>86.157249201976001</v>
      </c>
      <c r="AW12" s="276">
        <f t="shared" si="15"/>
        <v>3618.6044664829924</v>
      </c>
      <c r="AX12" s="274">
        <f t="shared" si="16"/>
        <v>88.741966678035283</v>
      </c>
      <c r="AY12" s="275">
        <f t="shared" si="17"/>
        <v>88.741966678035283</v>
      </c>
      <c r="AZ12" s="276">
        <f t="shared" si="18"/>
        <v>3727.1626004774821</v>
      </c>
      <c r="BA12" s="274">
        <f t="shared" si="19"/>
        <v>91.404225678376349</v>
      </c>
      <c r="BB12" s="275">
        <f t="shared" si="0"/>
        <v>91.404225678376349</v>
      </c>
      <c r="BC12" s="276">
        <f t="shared" si="1"/>
        <v>3838.9774784918068</v>
      </c>
      <c r="BD12" s="274">
        <f t="shared" si="2"/>
        <v>94.14635244872764</v>
      </c>
      <c r="BE12" s="275">
        <f t="shared" si="3"/>
        <v>94.14635244872764</v>
      </c>
      <c r="BF12" s="276">
        <f t="shared" si="4"/>
        <v>3954.1468028465611</v>
      </c>
      <c r="BG12" s="274">
        <f t="shared" si="5"/>
        <v>96.970743022189467</v>
      </c>
      <c r="BH12" s="275">
        <f t="shared" si="6"/>
        <v>96.970743022189467</v>
      </c>
      <c r="BI12" s="276">
        <f t="shared" si="7"/>
        <v>4072.7712069319582</v>
      </c>
    </row>
    <row r="13" spans="1:61" ht="14.25">
      <c r="A13" s="90">
        <v>212</v>
      </c>
      <c r="B13" s="81" t="s">
        <v>78</v>
      </c>
      <c r="C13" s="91">
        <v>75</v>
      </c>
      <c r="D13" s="92">
        <v>75</v>
      </c>
      <c r="E13" s="93">
        <v>3150</v>
      </c>
      <c r="F13" s="94">
        <v>94</v>
      </c>
      <c r="G13" s="92">
        <v>94</v>
      </c>
      <c r="H13" s="93">
        <v>3948</v>
      </c>
      <c r="I13" s="92">
        <v>99.17</v>
      </c>
      <c r="J13" s="92">
        <v>99.17</v>
      </c>
      <c r="K13" s="93">
        <v>4165.1400000000003</v>
      </c>
      <c r="L13" s="92">
        <v>104.1285</v>
      </c>
      <c r="M13" s="92">
        <v>104.1285</v>
      </c>
      <c r="N13" s="93">
        <v>4373.3969999999999</v>
      </c>
      <c r="O13" s="92">
        <v>108.81428249999999</v>
      </c>
      <c r="P13" s="92">
        <v>108.81428249999999</v>
      </c>
      <c r="Q13" s="93">
        <v>4570.1998649999996</v>
      </c>
      <c r="R13" s="92">
        <v>108.81428249999999</v>
      </c>
      <c r="S13" s="92">
        <v>108.81428249999999</v>
      </c>
      <c r="T13" s="93">
        <v>4570.1998649999996</v>
      </c>
      <c r="U13" s="92">
        <v>113.1668538</v>
      </c>
      <c r="V13" s="92">
        <v>113.1668538</v>
      </c>
      <c r="W13" s="93">
        <v>4753.0078596000003</v>
      </c>
      <c r="X13" s="92">
        <v>117.703527952</v>
      </c>
      <c r="Y13" s="92">
        <v>117.703527952</v>
      </c>
      <c r="Z13" s="93">
        <v>4943.5481739839997</v>
      </c>
      <c r="AA13" s="92">
        <v>123.58870434960001</v>
      </c>
      <c r="AB13" s="92">
        <v>123.58870434960001</v>
      </c>
      <c r="AC13" s="93">
        <v>5190.7255826832006</v>
      </c>
      <c r="AD13" s="92">
        <v>127.3</v>
      </c>
      <c r="AE13" s="96">
        <v>127.3</v>
      </c>
      <c r="AF13" s="93">
        <f t="shared" si="20"/>
        <v>5346.5999999999995</v>
      </c>
      <c r="AG13" s="92">
        <f t="shared" si="8"/>
        <v>131.119</v>
      </c>
      <c r="AH13" s="96">
        <f t="shared" si="8"/>
        <v>131.119</v>
      </c>
      <c r="AI13" s="93">
        <f t="shared" si="21"/>
        <v>5506.9979999999996</v>
      </c>
      <c r="AJ13" s="92">
        <f t="shared" si="9"/>
        <v>135.05257</v>
      </c>
      <c r="AK13" s="96">
        <f t="shared" si="9"/>
        <v>135.05257</v>
      </c>
      <c r="AL13" s="93">
        <f t="shared" si="22"/>
        <v>5672.2079400000002</v>
      </c>
      <c r="AM13" s="256" t="s">
        <v>78</v>
      </c>
      <c r="AN13" s="274">
        <v>139.10414710000001</v>
      </c>
      <c r="AO13" s="275">
        <v>139.10414710000001</v>
      </c>
      <c r="AP13" s="276">
        <v>5842.3741782000006</v>
      </c>
      <c r="AQ13" s="256" t="s">
        <v>78</v>
      </c>
      <c r="AR13" s="274">
        <f t="shared" si="10"/>
        <v>143.27727151300002</v>
      </c>
      <c r="AS13" s="275">
        <f t="shared" si="11"/>
        <v>143.27727151300002</v>
      </c>
      <c r="AT13" s="276">
        <f t="shared" si="12"/>
        <v>6017.645403546001</v>
      </c>
      <c r="AU13" s="274">
        <f t="shared" si="13"/>
        <v>147.57558965839002</v>
      </c>
      <c r="AV13" s="275">
        <f t="shared" si="14"/>
        <v>147.57558965839002</v>
      </c>
      <c r="AW13" s="276">
        <f t="shared" si="15"/>
        <v>6198.1747656523812</v>
      </c>
      <c r="AX13" s="274">
        <f t="shared" si="16"/>
        <v>152.00285734814173</v>
      </c>
      <c r="AY13" s="275">
        <f t="shared" si="17"/>
        <v>152.00285734814173</v>
      </c>
      <c r="AZ13" s="276">
        <f t="shared" si="18"/>
        <v>6384.1200086219524</v>
      </c>
      <c r="BA13" s="274">
        <f t="shared" si="19"/>
        <v>156.56294306858598</v>
      </c>
      <c r="BB13" s="275">
        <f t="shared" si="0"/>
        <v>156.56294306858598</v>
      </c>
      <c r="BC13" s="276">
        <f t="shared" si="1"/>
        <v>6575.6436088806113</v>
      </c>
      <c r="BD13" s="274">
        <f t="shared" si="2"/>
        <v>161.25983136064357</v>
      </c>
      <c r="BE13" s="275">
        <f t="shared" si="3"/>
        <v>161.25983136064357</v>
      </c>
      <c r="BF13" s="276">
        <f t="shared" si="4"/>
        <v>6772.9129171470295</v>
      </c>
      <c r="BG13" s="274">
        <f t="shared" si="5"/>
        <v>166.0976263014629</v>
      </c>
      <c r="BH13" s="275">
        <f t="shared" si="6"/>
        <v>166.0976263014629</v>
      </c>
      <c r="BI13" s="276">
        <f t="shared" si="7"/>
        <v>6976.1003046614405</v>
      </c>
    </row>
    <row r="14" spans="1:61" ht="15" thickBot="1">
      <c r="A14" s="143">
        <v>214</v>
      </c>
      <c r="B14" s="144" t="s">
        <v>79</v>
      </c>
      <c r="C14" s="145">
        <v>31.701030927835053</v>
      </c>
      <c r="D14" s="146">
        <v>31.7</v>
      </c>
      <c r="E14" s="147">
        <v>1331.36</v>
      </c>
      <c r="F14" s="145">
        <v>39.731958762886599</v>
      </c>
      <c r="G14" s="146">
        <v>39.731958762886599</v>
      </c>
      <c r="H14" s="147">
        <v>1668.7422680412371</v>
      </c>
      <c r="I14" s="146">
        <v>41.917216494845363</v>
      </c>
      <c r="J14" s="146">
        <v>41.92</v>
      </c>
      <c r="K14" s="147">
        <v>1760.64</v>
      </c>
      <c r="L14" s="146">
        <v>44.01307731958763</v>
      </c>
      <c r="M14" s="146">
        <v>44.01307731958763</v>
      </c>
      <c r="N14" s="147">
        <v>1848.5492474226805</v>
      </c>
      <c r="O14" s="146">
        <v>45.993665798969069</v>
      </c>
      <c r="P14" s="146">
        <v>45.993665798969069</v>
      </c>
      <c r="Q14" s="147">
        <v>1931.7339635567009</v>
      </c>
      <c r="R14" s="146">
        <v>81.040000000000006</v>
      </c>
      <c r="S14" s="146">
        <v>81.040000000000006</v>
      </c>
      <c r="T14" s="147">
        <v>3403.6800000000003</v>
      </c>
      <c r="U14" s="146">
        <v>84.281600000000012</v>
      </c>
      <c r="V14" s="146">
        <v>84.281600000000012</v>
      </c>
      <c r="W14" s="147">
        <v>3539.8272000000006</v>
      </c>
      <c r="X14" s="146">
        <v>87.652864000000008</v>
      </c>
      <c r="Y14" s="146">
        <v>87.652864000000008</v>
      </c>
      <c r="Z14" s="147">
        <v>3681.4202880000003</v>
      </c>
      <c r="AA14" s="146">
        <v>92.035507200000012</v>
      </c>
      <c r="AB14" s="146">
        <v>92.035507200000012</v>
      </c>
      <c r="AC14" s="147">
        <v>3865.4913024000007</v>
      </c>
      <c r="AD14" s="146">
        <v>94.8</v>
      </c>
      <c r="AE14" s="139">
        <v>94.8</v>
      </c>
      <c r="AF14" s="147">
        <f t="shared" si="20"/>
        <v>3981.6</v>
      </c>
      <c r="AG14" s="146">
        <f t="shared" si="8"/>
        <v>97.644000000000005</v>
      </c>
      <c r="AH14" s="139">
        <f t="shared" si="8"/>
        <v>97.644000000000005</v>
      </c>
      <c r="AI14" s="147">
        <f t="shared" si="21"/>
        <v>4101.0480000000007</v>
      </c>
      <c r="AJ14" s="146">
        <f t="shared" si="9"/>
        <v>100.57332000000001</v>
      </c>
      <c r="AK14" s="139">
        <f t="shared" si="9"/>
        <v>100.57332000000001</v>
      </c>
      <c r="AL14" s="147">
        <f>AK14*42</f>
        <v>4224.0794400000004</v>
      </c>
      <c r="AM14" s="256" t="s">
        <v>79</v>
      </c>
      <c r="AN14" s="274">
        <v>103.59051960000001</v>
      </c>
      <c r="AO14" s="275">
        <v>103.59051960000001</v>
      </c>
      <c r="AP14" s="276">
        <v>4350.8018232000004</v>
      </c>
      <c r="AQ14" s="256" t="s">
        <v>79</v>
      </c>
      <c r="AR14" s="274">
        <f t="shared" si="10"/>
        <v>106.69823518800001</v>
      </c>
      <c r="AS14" s="275">
        <f t="shared" si="11"/>
        <v>106.69823518800001</v>
      </c>
      <c r="AT14" s="276">
        <f t="shared" si="12"/>
        <v>4481.3258778960007</v>
      </c>
      <c r="AU14" s="274">
        <f t="shared" si="13"/>
        <v>109.89918224364001</v>
      </c>
      <c r="AV14" s="275">
        <f t="shared" si="14"/>
        <v>109.89918224364001</v>
      </c>
      <c r="AW14" s="276">
        <f t="shared" si="15"/>
        <v>4615.7656542328805</v>
      </c>
      <c r="AX14" s="274">
        <f t="shared" si="16"/>
        <v>113.19615771094922</v>
      </c>
      <c r="AY14" s="275">
        <f t="shared" si="17"/>
        <v>113.19615771094922</v>
      </c>
      <c r="AZ14" s="276">
        <f t="shared" si="18"/>
        <v>4754.2386238598674</v>
      </c>
      <c r="BA14" s="274">
        <f t="shared" si="19"/>
        <v>116.5920424422777</v>
      </c>
      <c r="BB14" s="275">
        <f t="shared" si="0"/>
        <v>116.5920424422777</v>
      </c>
      <c r="BC14" s="276">
        <f t="shared" si="1"/>
        <v>4896.8657825756636</v>
      </c>
      <c r="BD14" s="274">
        <f t="shared" si="2"/>
        <v>120.08980371554604</v>
      </c>
      <c r="BE14" s="275">
        <f t="shared" si="3"/>
        <v>120.08980371554604</v>
      </c>
      <c r="BF14" s="276">
        <f t="shared" si="4"/>
        <v>5043.7717560529336</v>
      </c>
      <c r="BG14" s="274">
        <f t="shared" si="5"/>
        <v>123.69249782701243</v>
      </c>
      <c r="BH14" s="275">
        <f t="shared" si="6"/>
        <v>123.69249782701243</v>
      </c>
      <c r="BI14" s="276">
        <f t="shared" si="7"/>
        <v>5195.0849087345214</v>
      </c>
    </row>
    <row r="15" spans="1:61" ht="15" thickBot="1">
      <c r="A15" s="90">
        <v>210</v>
      </c>
      <c r="B15" s="81" t="s">
        <v>77</v>
      </c>
      <c r="C15" s="91">
        <v>15</v>
      </c>
      <c r="D15" s="92">
        <v>15</v>
      </c>
      <c r="E15" s="93">
        <v>630</v>
      </c>
      <c r="F15" s="148">
        <v>35.32</v>
      </c>
      <c r="G15" s="85">
        <v>35.32</v>
      </c>
      <c r="H15" s="93">
        <v>1483.44</v>
      </c>
      <c r="I15" s="92">
        <v>37.262599999999999</v>
      </c>
      <c r="J15" s="92">
        <v>37.26</v>
      </c>
      <c r="K15" s="93">
        <v>1564.9199999999998</v>
      </c>
      <c r="L15" s="92">
        <v>39.125729999999997</v>
      </c>
      <c r="M15" s="92">
        <v>39.125729999999997</v>
      </c>
      <c r="N15" s="93">
        <v>1643.2806599999999</v>
      </c>
      <c r="O15" s="92">
        <v>40.886387849999991</v>
      </c>
      <c r="P15" s="92">
        <v>40.886387849999991</v>
      </c>
      <c r="Q15" s="93">
        <v>1717.2282896999996</v>
      </c>
      <c r="R15" s="92">
        <v>63.55</v>
      </c>
      <c r="S15" s="92">
        <v>63.55</v>
      </c>
      <c r="T15" s="93">
        <v>2669.1</v>
      </c>
      <c r="U15" s="92">
        <v>66.091999999999999</v>
      </c>
      <c r="V15" s="92">
        <v>66.091999999999999</v>
      </c>
      <c r="W15" s="93">
        <v>2775.864</v>
      </c>
      <c r="X15" s="92">
        <v>68.725679999999997</v>
      </c>
      <c r="Y15" s="92">
        <v>68.725679999999997</v>
      </c>
      <c r="Z15" s="93">
        <v>2886.47856</v>
      </c>
      <c r="AA15" s="92">
        <v>72.161963999999998</v>
      </c>
      <c r="AB15" s="92">
        <v>72.161963999999998</v>
      </c>
      <c r="AC15" s="93">
        <v>3030.8024879999998</v>
      </c>
      <c r="AD15" s="92">
        <v>74.319999999999993</v>
      </c>
      <c r="AE15" s="96">
        <v>74.319999999999993</v>
      </c>
      <c r="AF15" s="93">
        <f t="shared" si="20"/>
        <v>3121.4399999999996</v>
      </c>
      <c r="AG15" s="92">
        <f t="shared" si="8"/>
        <v>76.549599999999998</v>
      </c>
      <c r="AH15" s="96">
        <f t="shared" si="8"/>
        <v>76.549599999999998</v>
      </c>
      <c r="AI15" s="93">
        <f t="shared" si="21"/>
        <v>3215.0832</v>
      </c>
      <c r="AJ15" s="92">
        <f t="shared" si="9"/>
        <v>78.846087999999995</v>
      </c>
      <c r="AK15" s="96">
        <f t="shared" si="9"/>
        <v>78.846087999999995</v>
      </c>
      <c r="AL15" s="93">
        <f t="shared" si="22"/>
        <v>3311.5356959999999</v>
      </c>
      <c r="AM15" s="257" t="s">
        <v>211</v>
      </c>
      <c r="AN15" s="277">
        <v>0.45629000000000003</v>
      </c>
      <c r="AO15" s="278">
        <v>104.04680960000002</v>
      </c>
      <c r="AP15" s="279">
        <v>4369.9660032000002</v>
      </c>
      <c r="AQ15" s="257" t="s">
        <v>211</v>
      </c>
      <c r="AR15" s="277">
        <f t="shared" si="10"/>
        <v>0.46997870000000003</v>
      </c>
      <c r="AS15" s="278">
        <f t="shared" si="11"/>
        <v>107.16821388800003</v>
      </c>
      <c r="AT15" s="279">
        <f t="shared" si="12"/>
        <v>4501.0649832960007</v>
      </c>
      <c r="AU15" s="277">
        <f t="shared" si="13"/>
        <v>0.48407806100000006</v>
      </c>
      <c r="AV15" s="278">
        <f t="shared" si="14"/>
        <v>110.38326030464003</v>
      </c>
      <c r="AW15" s="279">
        <f t="shared" si="15"/>
        <v>4636.0969327948806</v>
      </c>
      <c r="AX15" s="277">
        <f t="shared" si="16"/>
        <v>0.49860040283000007</v>
      </c>
      <c r="AY15" s="278">
        <f t="shared" si="17"/>
        <v>113.69475811377923</v>
      </c>
      <c r="AZ15" s="279">
        <f t="shared" si="18"/>
        <v>4775.1798407787273</v>
      </c>
      <c r="BA15" s="277">
        <f t="shared" si="19"/>
        <v>0.51355841491490006</v>
      </c>
      <c r="BB15" s="278">
        <f t="shared" si="0"/>
        <v>117.10560085719261</v>
      </c>
      <c r="BC15" s="279">
        <f t="shared" si="1"/>
        <v>4918.4352360020894</v>
      </c>
      <c r="BD15" s="277">
        <f t="shared" si="2"/>
        <v>0.52896516736234711</v>
      </c>
      <c r="BE15" s="278">
        <f t="shared" si="3"/>
        <v>120.6187688829084</v>
      </c>
      <c r="BF15" s="279">
        <f t="shared" si="4"/>
        <v>5065.9882930821523</v>
      </c>
      <c r="BG15" s="277">
        <f t="shared" si="5"/>
        <v>0.54483412238321749</v>
      </c>
      <c r="BH15" s="278">
        <f t="shared" si="6"/>
        <v>124.23733194939565</v>
      </c>
      <c r="BI15" s="279">
        <f t="shared" si="7"/>
        <v>5217.9679418746173</v>
      </c>
    </row>
    <row r="16" spans="1:61" ht="14.25">
      <c r="A16" s="90">
        <v>260</v>
      </c>
      <c r="B16" s="81" t="s">
        <v>80</v>
      </c>
      <c r="C16" s="91">
        <v>100</v>
      </c>
      <c r="D16" s="92">
        <v>100</v>
      </c>
      <c r="E16" s="93">
        <v>4200</v>
      </c>
      <c r="F16" s="105">
        <v>106.32</v>
      </c>
      <c r="G16" s="92">
        <v>106.32</v>
      </c>
      <c r="H16" s="93">
        <v>4465.4399999999996</v>
      </c>
      <c r="I16" s="92">
        <v>112.16759999999999</v>
      </c>
      <c r="J16" s="92">
        <v>112.16759999999999</v>
      </c>
      <c r="K16" s="93">
        <v>4711.0391999999993</v>
      </c>
      <c r="L16" s="92">
        <v>117.77598</v>
      </c>
      <c r="M16" s="92">
        <v>117.77598</v>
      </c>
      <c r="N16" s="93">
        <v>4946.5911599999999</v>
      </c>
      <c r="O16" s="92">
        <v>123.0758991</v>
      </c>
      <c r="P16" s="92">
        <v>123.0758991</v>
      </c>
      <c r="Q16" s="93">
        <v>5169.1877622000002</v>
      </c>
      <c r="R16" s="92">
        <v>123.0758991</v>
      </c>
      <c r="S16" s="92">
        <v>123.0758991</v>
      </c>
      <c r="T16" s="93">
        <v>5169.1877622000002</v>
      </c>
      <c r="U16" s="92">
        <v>127.99893506400001</v>
      </c>
      <c r="V16" s="92">
        <v>127.99893506400001</v>
      </c>
      <c r="W16" s="93">
        <v>5375.9552726880002</v>
      </c>
      <c r="X16" s="92">
        <v>133.12389246656002</v>
      </c>
      <c r="Y16" s="92">
        <v>133.12389246656002</v>
      </c>
      <c r="Z16" s="93">
        <v>5591.203483595521</v>
      </c>
      <c r="AA16" s="92">
        <v>139.78008708988804</v>
      </c>
      <c r="AB16" s="92">
        <v>139.78008708988804</v>
      </c>
      <c r="AC16" s="93">
        <v>5870.7636577752974</v>
      </c>
      <c r="AD16" s="92">
        <v>143.97</v>
      </c>
      <c r="AE16" s="96">
        <v>143.97</v>
      </c>
      <c r="AF16" s="93">
        <f t="shared" si="20"/>
        <v>6046.74</v>
      </c>
      <c r="AG16" s="92">
        <f t="shared" si="8"/>
        <v>148.28909999999999</v>
      </c>
      <c r="AH16" s="96">
        <f t="shared" si="8"/>
        <v>148.28909999999999</v>
      </c>
      <c r="AI16" s="93">
        <f t="shared" si="21"/>
        <v>6228.1421999999993</v>
      </c>
      <c r="AJ16" s="92">
        <f t="shared" si="9"/>
        <v>152.737773</v>
      </c>
      <c r="AK16" s="96">
        <f t="shared" si="9"/>
        <v>152.737773</v>
      </c>
      <c r="AL16" s="93">
        <f>AK16*42</f>
        <v>6414.9864660000003</v>
      </c>
      <c r="AM16" s="256" t="s">
        <v>77</v>
      </c>
      <c r="AN16" s="274">
        <v>81.211470640000002</v>
      </c>
      <c r="AO16" s="275">
        <v>81.211470640000002</v>
      </c>
      <c r="AP16" s="276">
        <v>3410.8817668800002</v>
      </c>
      <c r="AQ16" s="256" t="s">
        <v>77</v>
      </c>
      <c r="AR16" s="274">
        <f t="shared" si="10"/>
        <v>83.647814759200003</v>
      </c>
      <c r="AS16" s="275">
        <f t="shared" si="11"/>
        <v>83.647814759200003</v>
      </c>
      <c r="AT16" s="276">
        <f t="shared" si="12"/>
        <v>3513.2082198864005</v>
      </c>
      <c r="AU16" s="274">
        <f t="shared" si="13"/>
        <v>86.157249201976001</v>
      </c>
      <c r="AV16" s="275">
        <f t="shared" si="14"/>
        <v>86.157249201976001</v>
      </c>
      <c r="AW16" s="276">
        <f t="shared" si="15"/>
        <v>3618.6044664829924</v>
      </c>
      <c r="AX16" s="274">
        <f t="shared" si="16"/>
        <v>88.741966678035283</v>
      </c>
      <c r="AY16" s="275">
        <f t="shared" si="17"/>
        <v>88.741966678035283</v>
      </c>
      <c r="AZ16" s="276">
        <f t="shared" si="18"/>
        <v>3727.1626004774821</v>
      </c>
      <c r="BA16" s="274">
        <f t="shared" si="19"/>
        <v>91.404225678376349</v>
      </c>
      <c r="BB16" s="275">
        <f t="shared" si="0"/>
        <v>91.404225678376349</v>
      </c>
      <c r="BC16" s="276">
        <f t="shared" si="1"/>
        <v>3838.9774784918068</v>
      </c>
      <c r="BD16" s="274">
        <f t="shared" si="2"/>
        <v>94.14635244872764</v>
      </c>
      <c r="BE16" s="275">
        <f t="shared" si="3"/>
        <v>94.14635244872764</v>
      </c>
      <c r="BF16" s="276">
        <f t="shared" si="4"/>
        <v>3954.1468028465611</v>
      </c>
      <c r="BG16" s="274">
        <f t="shared" si="5"/>
        <v>96.970743022189467</v>
      </c>
      <c r="BH16" s="275">
        <f t="shared" si="6"/>
        <v>96.970743022189467</v>
      </c>
      <c r="BI16" s="276">
        <f t="shared" si="7"/>
        <v>4072.7712069319582</v>
      </c>
    </row>
    <row r="17" spans="1:61" ht="15" thickBot="1">
      <c r="A17" s="133">
        <v>224</v>
      </c>
      <c r="B17" s="149" t="s">
        <v>81</v>
      </c>
      <c r="C17" s="135">
        <v>106.75</v>
      </c>
      <c r="D17" s="136">
        <v>206.75</v>
      </c>
      <c r="E17" s="137">
        <v>8683.5</v>
      </c>
      <c r="F17" s="150">
        <v>129</v>
      </c>
      <c r="G17" s="136">
        <v>235.32</v>
      </c>
      <c r="H17" s="137">
        <v>9883.44</v>
      </c>
      <c r="I17" s="142">
        <v>136.095</v>
      </c>
      <c r="J17" s="136">
        <v>248.27259999999998</v>
      </c>
      <c r="K17" s="137">
        <v>10427.449199999999</v>
      </c>
      <c r="L17" s="142">
        <v>142.89975000000001</v>
      </c>
      <c r="M17" s="136">
        <v>260.67573000000004</v>
      </c>
      <c r="N17" s="137">
        <v>10948.380660000003</v>
      </c>
      <c r="O17" s="142">
        <v>149.33023875000001</v>
      </c>
      <c r="P17" s="136">
        <v>272.40613784999999</v>
      </c>
      <c r="Q17" s="137">
        <v>11441.0577897</v>
      </c>
      <c r="R17" s="142">
        <v>149.33023875000001</v>
      </c>
      <c r="S17" s="136">
        <v>272.40613784999999</v>
      </c>
      <c r="T17" s="137">
        <v>11441.0577897</v>
      </c>
      <c r="U17" s="142">
        <v>155.30344830000001</v>
      </c>
      <c r="V17" s="136">
        <v>283.30238336400004</v>
      </c>
      <c r="W17" s="137">
        <v>11898.700101288001</v>
      </c>
      <c r="X17" s="136">
        <v>161.50558623200004</v>
      </c>
      <c r="Y17" s="136">
        <v>294.62947869856009</v>
      </c>
      <c r="Z17" s="137">
        <v>12374.438105339525</v>
      </c>
      <c r="AA17" s="136">
        <v>169.58086554360005</v>
      </c>
      <c r="AB17" s="136">
        <v>309.36095263348807</v>
      </c>
      <c r="AC17" s="137">
        <v>12993.160010606498</v>
      </c>
      <c r="AD17" s="136">
        <v>174.67</v>
      </c>
      <c r="AE17" s="139">
        <v>318.64</v>
      </c>
      <c r="AF17" s="137">
        <f t="shared" si="20"/>
        <v>13382.88</v>
      </c>
      <c r="AG17" s="136">
        <f t="shared" si="8"/>
        <v>179.9101</v>
      </c>
      <c r="AH17" s="139">
        <f t="shared" si="8"/>
        <v>328.19920000000002</v>
      </c>
      <c r="AI17" s="137">
        <f>AH17*42</f>
        <v>13784.366400000001</v>
      </c>
      <c r="AJ17" s="136">
        <f t="shared" si="9"/>
        <v>185.30740299999999</v>
      </c>
      <c r="AK17" s="139">
        <f t="shared" si="9"/>
        <v>338.04517600000003</v>
      </c>
      <c r="AL17" s="137">
        <f t="shared" si="22"/>
        <v>14197.897392000001</v>
      </c>
      <c r="AM17" s="256" t="s">
        <v>80</v>
      </c>
      <c r="AN17" s="274">
        <v>157.31990619000001</v>
      </c>
      <c r="AO17" s="275">
        <v>157.31990619000001</v>
      </c>
      <c r="AP17" s="276">
        <v>6607.4360599800002</v>
      </c>
      <c r="AQ17" s="256" t="s">
        <v>80</v>
      </c>
      <c r="AR17" s="274">
        <f t="shared" si="10"/>
        <v>162.03950337570001</v>
      </c>
      <c r="AS17" s="275">
        <f t="shared" si="11"/>
        <v>162.03950337570001</v>
      </c>
      <c r="AT17" s="276">
        <f t="shared" si="12"/>
        <v>6805.6591417794007</v>
      </c>
      <c r="AU17" s="274">
        <f t="shared" si="13"/>
        <v>166.900688476971</v>
      </c>
      <c r="AV17" s="275">
        <f t="shared" si="14"/>
        <v>166.900688476971</v>
      </c>
      <c r="AW17" s="276">
        <f t="shared" si="15"/>
        <v>7009.8289160327831</v>
      </c>
      <c r="AX17" s="274">
        <f t="shared" si="16"/>
        <v>171.90770913128014</v>
      </c>
      <c r="AY17" s="275">
        <f t="shared" si="17"/>
        <v>171.90770913128014</v>
      </c>
      <c r="AZ17" s="276">
        <f t="shared" si="18"/>
        <v>7220.1237835137672</v>
      </c>
      <c r="BA17" s="274">
        <f t="shared" si="19"/>
        <v>177.06494040521855</v>
      </c>
      <c r="BB17" s="275">
        <f t="shared" si="0"/>
        <v>177.06494040521855</v>
      </c>
      <c r="BC17" s="276">
        <f t="shared" si="1"/>
        <v>7436.7274970191802</v>
      </c>
      <c r="BD17" s="274">
        <f t="shared" si="2"/>
        <v>182.3768886173751</v>
      </c>
      <c r="BE17" s="275">
        <f t="shared" si="3"/>
        <v>182.3768886173751</v>
      </c>
      <c r="BF17" s="276">
        <f t="shared" si="4"/>
        <v>7659.8293219297557</v>
      </c>
      <c r="BG17" s="274">
        <f t="shared" si="5"/>
        <v>187.84819527589636</v>
      </c>
      <c r="BH17" s="275">
        <f t="shared" si="6"/>
        <v>187.84819527589636</v>
      </c>
      <c r="BI17" s="276">
        <f t="shared" si="7"/>
        <v>7889.6242015876487</v>
      </c>
    </row>
    <row r="18" spans="1:61" ht="15" thickBot="1">
      <c r="A18" s="90">
        <v>210</v>
      </c>
      <c r="B18" s="81" t="s">
        <v>77</v>
      </c>
      <c r="C18" s="91">
        <v>15</v>
      </c>
      <c r="D18" s="92">
        <v>15</v>
      </c>
      <c r="E18" s="93">
        <v>630</v>
      </c>
      <c r="F18" s="148">
        <v>35.32</v>
      </c>
      <c r="G18" s="85">
        <v>35.32</v>
      </c>
      <c r="H18" s="93">
        <v>1483.44</v>
      </c>
      <c r="I18" s="92">
        <v>37.262599999999999</v>
      </c>
      <c r="J18" s="92">
        <v>37.26</v>
      </c>
      <c r="K18" s="93">
        <v>1564.9199999999998</v>
      </c>
      <c r="L18" s="92">
        <v>39.125729999999997</v>
      </c>
      <c r="M18" s="92">
        <v>39.125729999999997</v>
      </c>
      <c r="N18" s="93">
        <v>1643.2806599999999</v>
      </c>
      <c r="O18" s="92">
        <v>40.886387849999991</v>
      </c>
      <c r="P18" s="92">
        <v>40.886387849999991</v>
      </c>
      <c r="Q18" s="93">
        <v>1717.2282896999996</v>
      </c>
      <c r="R18" s="92">
        <v>63.55</v>
      </c>
      <c r="S18" s="92">
        <v>63.55</v>
      </c>
      <c r="T18" s="93">
        <v>2669.1</v>
      </c>
      <c r="U18" s="92">
        <v>66.091999999999999</v>
      </c>
      <c r="V18" s="92">
        <v>66.091999999999999</v>
      </c>
      <c r="W18" s="93">
        <v>2775.864</v>
      </c>
      <c r="X18" s="92">
        <v>68.725679999999997</v>
      </c>
      <c r="Y18" s="92">
        <v>68.725679999999997</v>
      </c>
      <c r="Z18" s="93">
        <v>2886.47856</v>
      </c>
      <c r="AA18" s="92">
        <v>72.161963999999998</v>
      </c>
      <c r="AB18" s="92">
        <v>72.161963999999998</v>
      </c>
      <c r="AC18" s="93">
        <v>3030.8024879999998</v>
      </c>
      <c r="AD18" s="92">
        <v>74.319999999999993</v>
      </c>
      <c r="AE18" s="96">
        <v>74.319999999999993</v>
      </c>
      <c r="AF18" s="93">
        <f t="shared" si="20"/>
        <v>3121.4399999999996</v>
      </c>
      <c r="AG18" s="92">
        <f t="shared" si="8"/>
        <v>76.549599999999998</v>
      </c>
      <c r="AH18" s="96">
        <f t="shared" si="8"/>
        <v>76.549599999999998</v>
      </c>
      <c r="AI18" s="93">
        <f t="shared" si="21"/>
        <v>3215.0832</v>
      </c>
      <c r="AJ18" s="92">
        <f t="shared" si="9"/>
        <v>78.846087999999995</v>
      </c>
      <c r="AK18" s="96">
        <f t="shared" si="9"/>
        <v>78.846087999999995</v>
      </c>
      <c r="AL18" s="93">
        <f t="shared" si="22"/>
        <v>3311.5356959999999</v>
      </c>
      <c r="AM18" s="258" t="s">
        <v>81</v>
      </c>
      <c r="AN18" s="277">
        <v>190.86662508999999</v>
      </c>
      <c r="AO18" s="278">
        <v>348.18653128000005</v>
      </c>
      <c r="AP18" s="279">
        <v>14623.83431376</v>
      </c>
      <c r="AQ18" s="258" t="s">
        <v>81</v>
      </c>
      <c r="AR18" s="277">
        <f t="shared" si="10"/>
        <v>196.59262384269999</v>
      </c>
      <c r="AS18" s="278">
        <f t="shared" si="11"/>
        <v>358.63212721840006</v>
      </c>
      <c r="AT18" s="279">
        <f t="shared" si="12"/>
        <v>15062.549343172801</v>
      </c>
      <c r="AU18" s="277">
        <f t="shared" si="13"/>
        <v>202.49040255798099</v>
      </c>
      <c r="AV18" s="278">
        <f t="shared" si="14"/>
        <v>369.39109103495207</v>
      </c>
      <c r="AW18" s="279">
        <f t="shared" si="15"/>
        <v>15514.425823467986</v>
      </c>
      <c r="AX18" s="277">
        <f t="shared" si="16"/>
        <v>208.56511463472043</v>
      </c>
      <c r="AY18" s="278">
        <f t="shared" si="17"/>
        <v>380.47282376600066</v>
      </c>
      <c r="AZ18" s="279">
        <f t="shared" si="18"/>
        <v>15979.858598172026</v>
      </c>
      <c r="BA18" s="277">
        <f t="shared" si="19"/>
        <v>214.82206807376204</v>
      </c>
      <c r="BB18" s="278">
        <f t="shared" si="0"/>
        <v>391.8870084789807</v>
      </c>
      <c r="BC18" s="279">
        <f t="shared" si="1"/>
        <v>16459.254356117188</v>
      </c>
      <c r="BD18" s="277">
        <f t="shared" si="2"/>
        <v>221.26673011597489</v>
      </c>
      <c r="BE18" s="278">
        <f t="shared" si="3"/>
        <v>403.64361873335014</v>
      </c>
      <c r="BF18" s="279">
        <f t="shared" si="4"/>
        <v>16953.031986800703</v>
      </c>
      <c r="BG18" s="277">
        <f t="shared" si="5"/>
        <v>227.90473201945414</v>
      </c>
      <c r="BH18" s="278">
        <f t="shared" si="6"/>
        <v>415.75292729535067</v>
      </c>
      <c r="BI18" s="279">
        <f t="shared" si="7"/>
        <v>17461.622946404725</v>
      </c>
    </row>
    <row r="19" spans="1:61" ht="14.25">
      <c r="A19" s="90">
        <v>260</v>
      </c>
      <c r="B19" s="81" t="s">
        <v>80</v>
      </c>
      <c r="C19" s="91">
        <v>100</v>
      </c>
      <c r="D19" s="92">
        <v>100</v>
      </c>
      <c r="E19" s="93">
        <v>4200</v>
      </c>
      <c r="F19" s="105">
        <v>106.32</v>
      </c>
      <c r="G19" s="92">
        <v>106.32</v>
      </c>
      <c r="H19" s="93">
        <v>4465.4399999999996</v>
      </c>
      <c r="I19" s="92">
        <v>112.16759999999999</v>
      </c>
      <c r="J19" s="92">
        <v>112.16759999999999</v>
      </c>
      <c r="K19" s="93">
        <v>4711.0391999999993</v>
      </c>
      <c r="L19" s="92">
        <v>117.77598</v>
      </c>
      <c r="M19" s="92">
        <v>117.77598</v>
      </c>
      <c r="N19" s="93">
        <v>4946.5911599999999</v>
      </c>
      <c r="O19" s="92">
        <v>123.0758991</v>
      </c>
      <c r="P19" s="92">
        <v>123.0758991</v>
      </c>
      <c r="Q19" s="93">
        <v>5169.1877622000002</v>
      </c>
      <c r="R19" s="92">
        <v>123.0758991</v>
      </c>
      <c r="S19" s="92">
        <v>123.0758991</v>
      </c>
      <c r="T19" s="93">
        <v>5169.1877622000002</v>
      </c>
      <c r="U19" s="92">
        <v>127.99893506400001</v>
      </c>
      <c r="V19" s="92">
        <v>127.99893506400001</v>
      </c>
      <c r="W19" s="93">
        <v>5375.9552726880002</v>
      </c>
      <c r="X19" s="92">
        <v>133.11889246656003</v>
      </c>
      <c r="Y19" s="92">
        <v>133.11889246656003</v>
      </c>
      <c r="Z19" s="93">
        <v>5590.993483595521</v>
      </c>
      <c r="AA19" s="92">
        <v>139.78008708988804</v>
      </c>
      <c r="AB19" s="92">
        <v>139.78008708988804</v>
      </c>
      <c r="AC19" s="93">
        <v>5870.7636577752974</v>
      </c>
      <c r="AD19" s="92">
        <v>143.97</v>
      </c>
      <c r="AE19" s="96">
        <v>143.97</v>
      </c>
      <c r="AF19" s="93">
        <f t="shared" si="20"/>
        <v>6046.74</v>
      </c>
      <c r="AG19" s="92">
        <f t="shared" si="8"/>
        <v>148.28909999999999</v>
      </c>
      <c r="AH19" s="96">
        <f t="shared" si="8"/>
        <v>148.28909999999999</v>
      </c>
      <c r="AI19" s="93">
        <f t="shared" si="21"/>
        <v>6228.1421999999993</v>
      </c>
      <c r="AJ19" s="92">
        <f t="shared" si="9"/>
        <v>152.737773</v>
      </c>
      <c r="AK19" s="96">
        <f t="shared" si="9"/>
        <v>152.737773</v>
      </c>
      <c r="AL19" s="93">
        <f t="shared" si="22"/>
        <v>6414.9864660000003</v>
      </c>
      <c r="AM19" s="256" t="s">
        <v>77</v>
      </c>
      <c r="AN19" s="274">
        <v>81.211470640000002</v>
      </c>
      <c r="AO19" s="275">
        <v>81.211470640000002</v>
      </c>
      <c r="AP19" s="276">
        <v>3410.8817668800002</v>
      </c>
      <c r="AQ19" s="256" t="s">
        <v>77</v>
      </c>
      <c r="AR19" s="274">
        <f t="shared" si="10"/>
        <v>83.647814759200003</v>
      </c>
      <c r="AS19" s="275">
        <f t="shared" si="11"/>
        <v>83.647814759200003</v>
      </c>
      <c r="AT19" s="276">
        <f t="shared" si="12"/>
        <v>3513.2082198864005</v>
      </c>
      <c r="AU19" s="274">
        <f t="shared" si="13"/>
        <v>86.157249201976001</v>
      </c>
      <c r="AV19" s="275">
        <f t="shared" si="14"/>
        <v>86.157249201976001</v>
      </c>
      <c r="AW19" s="276">
        <f t="shared" si="15"/>
        <v>3618.6044664829924</v>
      </c>
      <c r="AX19" s="274">
        <f t="shared" si="16"/>
        <v>88.741966678035283</v>
      </c>
      <c r="AY19" s="275">
        <f t="shared" si="17"/>
        <v>88.741966678035283</v>
      </c>
      <c r="AZ19" s="276">
        <f t="shared" si="18"/>
        <v>3727.1626004774821</v>
      </c>
      <c r="BA19" s="274">
        <f t="shared" si="19"/>
        <v>91.404225678376349</v>
      </c>
      <c r="BB19" s="275">
        <f t="shared" si="0"/>
        <v>91.404225678376349</v>
      </c>
      <c r="BC19" s="276">
        <f t="shared" si="1"/>
        <v>3838.9774784918068</v>
      </c>
      <c r="BD19" s="274">
        <f t="shared" si="2"/>
        <v>94.14635244872764</v>
      </c>
      <c r="BE19" s="275">
        <f t="shared" si="3"/>
        <v>94.14635244872764</v>
      </c>
      <c r="BF19" s="276">
        <f t="shared" si="4"/>
        <v>3954.1468028465611</v>
      </c>
      <c r="BG19" s="274">
        <f t="shared" si="5"/>
        <v>96.970743022189467</v>
      </c>
      <c r="BH19" s="275">
        <f t="shared" si="6"/>
        <v>96.970743022189467</v>
      </c>
      <c r="BI19" s="276">
        <f t="shared" si="7"/>
        <v>4072.7712069319582</v>
      </c>
    </row>
    <row r="20" spans="1:61" ht="14.25">
      <c r="A20" s="97">
        <v>231</v>
      </c>
      <c r="B20" s="82" t="s">
        <v>82</v>
      </c>
      <c r="C20" s="98">
        <v>22.089552238805972</v>
      </c>
      <c r="D20" s="99">
        <v>122.09</v>
      </c>
      <c r="E20" s="100">
        <v>5127.78</v>
      </c>
      <c r="F20" s="98">
        <v>22.089552238805972</v>
      </c>
      <c r="G20" s="99">
        <v>128.40955223880596</v>
      </c>
      <c r="H20" s="100">
        <v>5393.2011940298498</v>
      </c>
      <c r="I20" s="98">
        <v>23.3044776119403</v>
      </c>
      <c r="J20" s="99">
        <v>135.47207761194028</v>
      </c>
      <c r="K20" s="100">
        <v>5689.827259701492</v>
      </c>
      <c r="L20" s="98">
        <v>24.469701492537315</v>
      </c>
      <c r="M20" s="99">
        <v>142.24568149253733</v>
      </c>
      <c r="N20" s="100">
        <v>5974.3186226865682</v>
      </c>
      <c r="O20" s="98">
        <v>25.570838059701494</v>
      </c>
      <c r="P20" s="99">
        <v>148.6467371597015</v>
      </c>
      <c r="Q20" s="100">
        <v>6243.1629607074628</v>
      </c>
      <c r="R20" s="98">
        <v>25.570838059701494</v>
      </c>
      <c r="S20" s="99">
        <v>148.6467371597015</v>
      </c>
      <c r="T20" s="100">
        <v>6243.1629607074628</v>
      </c>
      <c r="U20" s="98">
        <v>26.593671582089556</v>
      </c>
      <c r="V20" s="99">
        <v>154.59260664608956</v>
      </c>
      <c r="W20" s="100">
        <v>6492.8894791357616</v>
      </c>
      <c r="X20" s="99">
        <v>27.647418445373138</v>
      </c>
      <c r="Y20" s="99">
        <v>160.76631091193318</v>
      </c>
      <c r="Z20" s="100">
        <v>6752.1850583011937</v>
      </c>
      <c r="AA20" s="99">
        <v>29.029789367641797</v>
      </c>
      <c r="AB20" s="99">
        <v>168.80987645752984</v>
      </c>
      <c r="AC20" s="100">
        <v>7090.0148112162533</v>
      </c>
      <c r="AD20" s="99">
        <v>29.9</v>
      </c>
      <c r="AE20" s="96">
        <v>173.87</v>
      </c>
      <c r="AF20" s="100">
        <f t="shared" si="20"/>
        <v>7302.54</v>
      </c>
      <c r="AG20" s="99">
        <f t="shared" si="8"/>
        <v>30.797000000000001</v>
      </c>
      <c r="AH20" s="96">
        <f t="shared" si="8"/>
        <v>179.08610000000002</v>
      </c>
      <c r="AI20" s="100">
        <f t="shared" si="21"/>
        <v>7521.6162000000004</v>
      </c>
      <c r="AJ20" s="99">
        <f t="shared" si="9"/>
        <v>31.72091</v>
      </c>
      <c r="AK20" s="96">
        <f t="shared" si="9"/>
        <v>184.45868300000001</v>
      </c>
      <c r="AL20" s="100">
        <f>AK20*42</f>
        <v>7747.2646860000004</v>
      </c>
      <c r="AM20" s="256" t="s">
        <v>80</v>
      </c>
      <c r="AN20" s="274">
        <v>157.31990619000001</v>
      </c>
      <c r="AO20" s="275">
        <v>157.31990619000001</v>
      </c>
      <c r="AP20" s="276">
        <v>6607.4360599800002</v>
      </c>
      <c r="AQ20" s="256" t="s">
        <v>80</v>
      </c>
      <c r="AR20" s="274">
        <f t="shared" si="10"/>
        <v>162.03950337570001</v>
      </c>
      <c r="AS20" s="275">
        <f t="shared" si="11"/>
        <v>162.03950337570001</v>
      </c>
      <c r="AT20" s="276">
        <f t="shared" si="12"/>
        <v>6805.6591417794007</v>
      </c>
      <c r="AU20" s="274">
        <f t="shared" si="13"/>
        <v>166.900688476971</v>
      </c>
      <c r="AV20" s="275">
        <f t="shared" si="14"/>
        <v>166.900688476971</v>
      </c>
      <c r="AW20" s="276">
        <f t="shared" si="15"/>
        <v>7009.8289160327831</v>
      </c>
      <c r="AX20" s="274">
        <f t="shared" si="16"/>
        <v>171.90770913128014</v>
      </c>
      <c r="AY20" s="275">
        <f t="shared" si="17"/>
        <v>171.90770913128014</v>
      </c>
      <c r="AZ20" s="276">
        <f t="shared" si="18"/>
        <v>7220.1237835137672</v>
      </c>
      <c r="BA20" s="274">
        <f t="shared" si="19"/>
        <v>177.06494040521855</v>
      </c>
      <c r="BB20" s="275">
        <f t="shared" si="0"/>
        <v>177.06494040521855</v>
      </c>
      <c r="BC20" s="276">
        <f t="shared" si="1"/>
        <v>7436.7274970191802</v>
      </c>
      <c r="BD20" s="274">
        <f t="shared" si="2"/>
        <v>182.3768886173751</v>
      </c>
      <c r="BE20" s="275">
        <f t="shared" si="3"/>
        <v>182.3768886173751</v>
      </c>
      <c r="BF20" s="276">
        <f t="shared" si="4"/>
        <v>7659.8293219297557</v>
      </c>
      <c r="BG20" s="274">
        <f t="shared" si="5"/>
        <v>187.84819527589636</v>
      </c>
      <c r="BH20" s="275">
        <f t="shared" si="6"/>
        <v>187.84819527589636</v>
      </c>
      <c r="BI20" s="276">
        <f t="shared" si="7"/>
        <v>7889.6242015876487</v>
      </c>
    </row>
    <row r="21" spans="1:61" ht="14.25">
      <c r="A21" s="90">
        <v>221</v>
      </c>
      <c r="B21" s="81" t="s">
        <v>83</v>
      </c>
      <c r="C21" s="91">
        <v>40</v>
      </c>
      <c r="D21" s="92">
        <v>140</v>
      </c>
      <c r="E21" s="93">
        <v>5880</v>
      </c>
      <c r="F21" s="105">
        <v>40</v>
      </c>
      <c r="G21" s="92">
        <v>146.32</v>
      </c>
      <c r="H21" s="93">
        <v>6145.44</v>
      </c>
      <c r="I21" s="92">
        <v>42.2</v>
      </c>
      <c r="J21" s="92">
        <v>154.36759999999998</v>
      </c>
      <c r="K21" s="93">
        <v>6483.4391999999989</v>
      </c>
      <c r="L21" s="92">
        <v>44.31</v>
      </c>
      <c r="M21" s="92">
        <v>162.08598000000001</v>
      </c>
      <c r="N21" s="93">
        <v>6807.6111600000004</v>
      </c>
      <c r="O21" s="92">
        <v>46.30395</v>
      </c>
      <c r="P21" s="92">
        <v>169.3798491</v>
      </c>
      <c r="Q21" s="93">
        <v>7113.9536621999996</v>
      </c>
      <c r="R21" s="92">
        <v>46.30395</v>
      </c>
      <c r="S21" s="92">
        <v>169.3798491</v>
      </c>
      <c r="T21" s="93">
        <v>7113.9536621999996</v>
      </c>
      <c r="U21" s="92">
        <v>48.156108000000003</v>
      </c>
      <c r="V21" s="92">
        <v>176.15504306400001</v>
      </c>
      <c r="W21" s="93">
        <v>7398.5118086880002</v>
      </c>
      <c r="X21" s="92">
        <v>50.092352320000003</v>
      </c>
      <c r="Y21" s="92">
        <v>183.21124478656003</v>
      </c>
      <c r="Z21" s="93">
        <v>7694.8722810355212</v>
      </c>
      <c r="AA21" s="92">
        <v>52.58696993600001</v>
      </c>
      <c r="AB21" s="92">
        <v>192.36705702588804</v>
      </c>
      <c r="AC21" s="93">
        <v>8079.416395087298</v>
      </c>
      <c r="AD21" s="92">
        <v>54.17</v>
      </c>
      <c r="AE21" s="96">
        <v>198.14</v>
      </c>
      <c r="AF21" s="93">
        <f t="shared" si="20"/>
        <v>8321.8799999999992</v>
      </c>
      <c r="AG21" s="92">
        <f>AD21*(1+$AI$2)-0.01</f>
        <v>55.785100000000007</v>
      </c>
      <c r="AH21" s="96">
        <f t="shared" si="8"/>
        <v>204.08419999999998</v>
      </c>
      <c r="AI21" s="93">
        <f t="shared" si="21"/>
        <v>8571.536399999999</v>
      </c>
      <c r="AJ21" s="92">
        <f>AG21*(1+$AI$2)-0.01</f>
        <v>57.448653000000007</v>
      </c>
      <c r="AK21" s="96">
        <f>AH21*(1+$AI$2)-0.02</f>
        <v>210.18672599999996</v>
      </c>
      <c r="AL21" s="93">
        <f t="shared" si="22"/>
        <v>8827.8424919999979</v>
      </c>
      <c r="AM21" s="256" t="s">
        <v>82</v>
      </c>
      <c r="AN21" s="274">
        <v>32.672537300000002</v>
      </c>
      <c r="AO21" s="275">
        <v>189.99244349</v>
      </c>
      <c r="AP21" s="276">
        <v>7979.6826265800009</v>
      </c>
      <c r="AQ21" s="256" t="s">
        <v>82</v>
      </c>
      <c r="AR21" s="274">
        <f t="shared" si="10"/>
        <v>33.652713419000001</v>
      </c>
      <c r="AS21" s="275">
        <f t="shared" si="11"/>
        <v>195.69221679470002</v>
      </c>
      <c r="AT21" s="276">
        <f t="shared" si="12"/>
        <v>8219.0731053774016</v>
      </c>
      <c r="AU21" s="274">
        <f t="shared" si="13"/>
        <v>34.662294821570001</v>
      </c>
      <c r="AV21" s="275">
        <f t="shared" si="14"/>
        <v>201.56298329854101</v>
      </c>
      <c r="AW21" s="276">
        <f t="shared" si="15"/>
        <v>8465.6452985387241</v>
      </c>
      <c r="AX21" s="274">
        <f t="shared" si="16"/>
        <v>35.702163666217103</v>
      </c>
      <c r="AY21" s="275">
        <f t="shared" si="17"/>
        <v>207.60987279749725</v>
      </c>
      <c r="AZ21" s="276">
        <f t="shared" si="18"/>
        <v>8719.6146574948853</v>
      </c>
      <c r="BA21" s="274">
        <f t="shared" si="19"/>
        <v>36.773228576203614</v>
      </c>
      <c r="BB21" s="275">
        <f t="shared" si="0"/>
        <v>213.83816898142217</v>
      </c>
      <c r="BC21" s="276">
        <f t="shared" si="1"/>
        <v>8981.2030972197317</v>
      </c>
      <c r="BD21" s="274">
        <f t="shared" si="2"/>
        <v>37.876425433489722</v>
      </c>
      <c r="BE21" s="275">
        <f t="shared" si="3"/>
        <v>220.25331405086484</v>
      </c>
      <c r="BF21" s="276">
        <f t="shared" si="4"/>
        <v>9250.639190136324</v>
      </c>
      <c r="BG21" s="274">
        <f t="shared" si="5"/>
        <v>39.012718196494411</v>
      </c>
      <c r="BH21" s="275">
        <f t="shared" si="6"/>
        <v>226.86091347239079</v>
      </c>
      <c r="BI21" s="276">
        <f t="shared" si="7"/>
        <v>9528.1583658404143</v>
      </c>
    </row>
    <row r="22" spans="1:61" ht="14.25">
      <c r="A22" s="90">
        <v>225</v>
      </c>
      <c r="B22" s="81" t="s">
        <v>84</v>
      </c>
      <c r="C22" s="91">
        <v>19.07</v>
      </c>
      <c r="D22" s="92">
        <v>159.07</v>
      </c>
      <c r="E22" s="93">
        <v>6680.94</v>
      </c>
      <c r="F22" s="105">
        <v>74</v>
      </c>
      <c r="G22" s="92">
        <v>220.32</v>
      </c>
      <c r="H22" s="93">
        <v>9253.44</v>
      </c>
      <c r="I22" s="92">
        <v>78.069999999999993</v>
      </c>
      <c r="J22" s="92">
        <v>232.43759999999997</v>
      </c>
      <c r="K22" s="93">
        <v>9762.3791999999994</v>
      </c>
      <c r="L22" s="92">
        <v>81.973500000000001</v>
      </c>
      <c r="M22" s="92">
        <v>244.05948000000001</v>
      </c>
      <c r="N22" s="93">
        <v>10250.498160000001</v>
      </c>
      <c r="O22" s="92">
        <v>85.662307499999997</v>
      </c>
      <c r="P22" s="92">
        <v>255.0421566</v>
      </c>
      <c r="Q22" s="93">
        <v>10711.770577200001</v>
      </c>
      <c r="R22" s="92">
        <v>85.662307499999997</v>
      </c>
      <c r="S22" s="92">
        <v>255.0421566</v>
      </c>
      <c r="T22" s="93">
        <v>10711.770577200001</v>
      </c>
      <c r="U22" s="92">
        <v>89.088799800000004</v>
      </c>
      <c r="V22" s="92">
        <v>265.24384286400004</v>
      </c>
      <c r="W22" s="93">
        <v>11140.241400288001</v>
      </c>
      <c r="X22" s="92">
        <v>92.642351791999999</v>
      </c>
      <c r="Y22" s="92">
        <v>275.85359657856003</v>
      </c>
      <c r="Z22" s="93">
        <v>11585.851056299522</v>
      </c>
      <c r="AA22" s="92">
        <v>97.284469381600005</v>
      </c>
      <c r="AB22" s="92">
        <v>289.65152640748806</v>
      </c>
      <c r="AC22" s="93">
        <v>12165.364109114498</v>
      </c>
      <c r="AD22" s="92">
        <v>100.2</v>
      </c>
      <c r="AE22" s="96">
        <v>298.33999999999997</v>
      </c>
      <c r="AF22" s="93">
        <f t="shared" si="20"/>
        <v>12530.279999999999</v>
      </c>
      <c r="AG22" s="92">
        <f t="shared" si="8"/>
        <v>103.206</v>
      </c>
      <c r="AH22" s="96">
        <f t="shared" si="8"/>
        <v>307.29019999999997</v>
      </c>
      <c r="AI22" s="93">
        <f t="shared" si="21"/>
        <v>12906.188399999999</v>
      </c>
      <c r="AJ22" s="92">
        <f t="shared" ref="AJ22:AK35" si="23">AG22*(1+$AI$2)</f>
        <v>106.30218000000001</v>
      </c>
      <c r="AK22" s="96">
        <f>AH22*(1+$AI$2)-0.02</f>
        <v>316.48890599999999</v>
      </c>
      <c r="AL22" s="93">
        <f t="shared" si="22"/>
        <v>13292.534051999999</v>
      </c>
      <c r="AM22" s="256" t="s">
        <v>83</v>
      </c>
      <c r="AN22" s="274">
        <v>59.172112590000012</v>
      </c>
      <c r="AO22" s="275">
        <v>216.49232777999998</v>
      </c>
      <c r="AP22" s="276">
        <v>9092.6777667599981</v>
      </c>
      <c r="AQ22" s="256" t="s">
        <v>83</v>
      </c>
      <c r="AR22" s="274">
        <f t="shared" si="10"/>
        <v>60.947275967700016</v>
      </c>
      <c r="AS22" s="275">
        <f t="shared" si="11"/>
        <v>222.98709761339998</v>
      </c>
      <c r="AT22" s="276">
        <f t="shared" si="12"/>
        <v>9365.4580997627982</v>
      </c>
      <c r="AU22" s="274">
        <f t="shared" si="13"/>
        <v>62.775694246731021</v>
      </c>
      <c r="AV22" s="275">
        <f t="shared" si="14"/>
        <v>229.67671054180198</v>
      </c>
      <c r="AW22" s="276">
        <f t="shared" si="15"/>
        <v>9646.4218427556825</v>
      </c>
      <c r="AX22" s="274">
        <f t="shared" si="16"/>
        <v>64.658965074132951</v>
      </c>
      <c r="AY22" s="275">
        <f t="shared" si="17"/>
        <v>236.56701185805605</v>
      </c>
      <c r="AZ22" s="276">
        <f t="shared" si="18"/>
        <v>9935.8144980383531</v>
      </c>
      <c r="BA22" s="274">
        <f t="shared" si="19"/>
        <v>66.598734026356937</v>
      </c>
      <c r="BB22" s="275">
        <f t="shared" si="0"/>
        <v>243.66402221379775</v>
      </c>
      <c r="BC22" s="276">
        <f t="shared" si="1"/>
        <v>10233.888932979504</v>
      </c>
      <c r="BD22" s="274">
        <f t="shared" si="2"/>
        <v>68.596696047147645</v>
      </c>
      <c r="BE22" s="275">
        <f t="shared" si="3"/>
        <v>250.97394288021169</v>
      </c>
      <c r="BF22" s="276">
        <f t="shared" si="4"/>
        <v>10540.905600968888</v>
      </c>
      <c r="BG22" s="274">
        <f t="shared" si="5"/>
        <v>70.654596928562071</v>
      </c>
      <c r="BH22" s="275">
        <f t="shared" si="6"/>
        <v>258.50316116661804</v>
      </c>
      <c r="BI22" s="276">
        <f t="shared" si="7"/>
        <v>10857.132768997955</v>
      </c>
    </row>
    <row r="23" spans="1:61" ht="14.25">
      <c r="A23" s="90">
        <v>228</v>
      </c>
      <c r="B23" s="81" t="s">
        <v>85</v>
      </c>
      <c r="C23" s="91">
        <v>47.68</v>
      </c>
      <c r="D23" s="92">
        <v>206.75</v>
      </c>
      <c r="E23" s="93">
        <v>8683.5</v>
      </c>
      <c r="F23" s="105">
        <v>15</v>
      </c>
      <c r="G23" s="92">
        <v>235.32</v>
      </c>
      <c r="H23" s="93">
        <v>9883.44</v>
      </c>
      <c r="I23" s="92">
        <v>15.824999999999999</v>
      </c>
      <c r="J23" s="92">
        <v>248.27259999999995</v>
      </c>
      <c r="K23" s="93">
        <v>10427.449199999997</v>
      </c>
      <c r="L23" s="92">
        <v>16.616250000000001</v>
      </c>
      <c r="M23" s="92">
        <v>260.67572999999999</v>
      </c>
      <c r="N23" s="93">
        <v>10948.380659999999</v>
      </c>
      <c r="O23" s="92">
        <v>17.372289375000001</v>
      </c>
      <c r="P23" s="92">
        <v>272.41444597499998</v>
      </c>
      <c r="Q23" s="93">
        <v>11441.406730949999</v>
      </c>
      <c r="R23" s="92">
        <v>17.363981249999998</v>
      </c>
      <c r="S23" s="92">
        <v>272.40613784999999</v>
      </c>
      <c r="T23" s="93">
        <v>11441.0577897</v>
      </c>
      <c r="U23" s="92">
        <v>18.058540499999999</v>
      </c>
      <c r="V23" s="92">
        <v>283.30238336400004</v>
      </c>
      <c r="W23" s="93">
        <v>11898.700101288001</v>
      </c>
      <c r="X23" s="92">
        <v>18.780882120000001</v>
      </c>
      <c r="Y23" s="92">
        <v>294.63447869856003</v>
      </c>
      <c r="Z23" s="93">
        <v>12374.648105339522</v>
      </c>
      <c r="AA23" s="92">
        <v>19.709926226</v>
      </c>
      <c r="AB23" s="92">
        <v>309.36145263348806</v>
      </c>
      <c r="AC23" s="93">
        <v>12993.181010606499</v>
      </c>
      <c r="AD23" s="92">
        <v>20.3</v>
      </c>
      <c r="AE23" s="96">
        <v>318.64</v>
      </c>
      <c r="AF23" s="93">
        <f t="shared" si="20"/>
        <v>13382.88</v>
      </c>
      <c r="AG23" s="92">
        <f t="shared" si="8"/>
        <v>20.909000000000002</v>
      </c>
      <c r="AH23" s="96">
        <f t="shared" si="8"/>
        <v>328.19920000000002</v>
      </c>
      <c r="AI23" s="93">
        <f t="shared" si="21"/>
        <v>13784.366400000001</v>
      </c>
      <c r="AJ23" s="92">
        <f>AG23*(1+$AI$2)+0.03</f>
        <v>21.566270000000003</v>
      </c>
      <c r="AK23" s="96">
        <f>AH23*(1+$AI$2)</f>
        <v>338.04517600000003</v>
      </c>
      <c r="AL23" s="93">
        <f t="shared" si="22"/>
        <v>14197.897392000001</v>
      </c>
      <c r="AM23" s="256" t="s">
        <v>84</v>
      </c>
      <c r="AN23" s="274">
        <v>109.49124540000001</v>
      </c>
      <c r="AO23" s="275">
        <v>325.98357318000001</v>
      </c>
      <c r="AP23" s="276">
        <v>13691.31007356</v>
      </c>
      <c r="AQ23" s="256" t="s">
        <v>84</v>
      </c>
      <c r="AR23" s="274">
        <f t="shared" si="10"/>
        <v>112.77598276200001</v>
      </c>
      <c r="AS23" s="275">
        <f t="shared" si="11"/>
        <v>335.76308037540002</v>
      </c>
      <c r="AT23" s="276">
        <f t="shared" si="12"/>
        <v>14102.049375766801</v>
      </c>
      <c r="AU23" s="274">
        <f t="shared" si="13"/>
        <v>116.15926224486002</v>
      </c>
      <c r="AV23" s="275">
        <f t="shared" si="14"/>
        <v>345.83597278666201</v>
      </c>
      <c r="AW23" s="276">
        <f t="shared" si="15"/>
        <v>14525.110857039805</v>
      </c>
      <c r="AX23" s="274">
        <f t="shared" si="16"/>
        <v>119.64404011220581</v>
      </c>
      <c r="AY23" s="275">
        <f t="shared" si="17"/>
        <v>356.21105197026191</v>
      </c>
      <c r="AZ23" s="276">
        <f t="shared" si="18"/>
        <v>14960.864182751</v>
      </c>
      <c r="BA23" s="274">
        <f t="shared" si="19"/>
        <v>123.233361315572</v>
      </c>
      <c r="BB23" s="275">
        <f t="shared" si="0"/>
        <v>366.89738352936979</v>
      </c>
      <c r="BC23" s="276">
        <f t="shared" si="1"/>
        <v>15409.69010823353</v>
      </c>
      <c r="BD23" s="274">
        <f t="shared" si="2"/>
        <v>126.93036215503916</v>
      </c>
      <c r="BE23" s="275">
        <f t="shared" si="3"/>
        <v>377.9043050352509</v>
      </c>
      <c r="BF23" s="276">
        <f t="shared" si="4"/>
        <v>15871.980811480536</v>
      </c>
      <c r="BG23" s="274">
        <f t="shared" si="5"/>
        <v>130.73827301969035</v>
      </c>
      <c r="BH23" s="275">
        <f t="shared" si="6"/>
        <v>389.24143418630842</v>
      </c>
      <c r="BI23" s="276">
        <f t="shared" si="7"/>
        <v>16348.140235824952</v>
      </c>
    </row>
    <row r="24" spans="1:61" ht="15" thickBot="1">
      <c r="A24" s="133">
        <v>227</v>
      </c>
      <c r="B24" s="149" t="s">
        <v>86</v>
      </c>
      <c r="C24" s="142">
        <v>0</v>
      </c>
      <c r="D24" s="136">
        <v>0</v>
      </c>
      <c r="E24" s="137">
        <v>0</v>
      </c>
      <c r="F24" s="136">
        <v>0</v>
      </c>
      <c r="G24" s="136">
        <v>0</v>
      </c>
      <c r="H24" s="137">
        <v>0</v>
      </c>
      <c r="I24" s="142">
        <v>0</v>
      </c>
      <c r="J24" s="136">
        <v>0</v>
      </c>
      <c r="K24" s="137">
        <v>0</v>
      </c>
      <c r="L24" s="142">
        <v>0</v>
      </c>
      <c r="M24" s="136">
        <v>0</v>
      </c>
      <c r="N24" s="137">
        <v>0</v>
      </c>
      <c r="O24" s="142">
        <v>0</v>
      </c>
      <c r="P24" s="136">
        <v>0</v>
      </c>
      <c r="Q24" s="137">
        <v>0</v>
      </c>
      <c r="R24" s="142">
        <v>0</v>
      </c>
      <c r="S24" s="136">
        <v>0</v>
      </c>
      <c r="T24" s="137">
        <v>0</v>
      </c>
      <c r="U24" s="142">
        <v>0</v>
      </c>
      <c r="V24" s="136">
        <v>0</v>
      </c>
      <c r="W24" s="137">
        <v>0</v>
      </c>
      <c r="X24" s="136">
        <v>0</v>
      </c>
      <c r="Y24" s="136">
        <v>0</v>
      </c>
      <c r="Z24" s="137">
        <v>0</v>
      </c>
      <c r="AA24" s="136">
        <v>0</v>
      </c>
      <c r="AB24" s="136">
        <v>0</v>
      </c>
      <c r="AC24" s="137">
        <v>0</v>
      </c>
      <c r="AD24" s="136">
        <v>0</v>
      </c>
      <c r="AE24" s="139">
        <v>0</v>
      </c>
      <c r="AF24" s="137">
        <f t="shared" si="20"/>
        <v>0</v>
      </c>
      <c r="AG24" s="136">
        <f t="shared" si="8"/>
        <v>0</v>
      </c>
      <c r="AH24" s="139">
        <f t="shared" si="8"/>
        <v>0</v>
      </c>
      <c r="AI24" s="137">
        <f t="shared" si="21"/>
        <v>0</v>
      </c>
      <c r="AJ24" s="136">
        <f t="shared" si="23"/>
        <v>0</v>
      </c>
      <c r="AK24" s="139">
        <f t="shared" si="23"/>
        <v>0</v>
      </c>
      <c r="AL24" s="137">
        <f t="shared" si="22"/>
        <v>0</v>
      </c>
      <c r="AM24" s="256" t="s">
        <v>85</v>
      </c>
      <c r="AN24" s="274">
        <v>22.213258100000004</v>
      </c>
      <c r="AO24" s="275">
        <v>348.18653128000005</v>
      </c>
      <c r="AP24" s="276">
        <v>14623.83431376</v>
      </c>
      <c r="AQ24" s="256" t="s">
        <v>85</v>
      </c>
      <c r="AR24" s="274">
        <f t="shared" si="10"/>
        <v>22.879655843000005</v>
      </c>
      <c r="AS24" s="275">
        <f t="shared" si="11"/>
        <v>358.63212721840006</v>
      </c>
      <c r="AT24" s="276">
        <f t="shared" si="12"/>
        <v>15062.549343172801</v>
      </c>
      <c r="AU24" s="274">
        <f t="shared" si="13"/>
        <v>23.566045518290007</v>
      </c>
      <c r="AV24" s="275">
        <f t="shared" si="14"/>
        <v>369.39109103495207</v>
      </c>
      <c r="AW24" s="276">
        <f t="shared" si="15"/>
        <v>15514.425823467986</v>
      </c>
      <c r="AX24" s="274">
        <f t="shared" si="16"/>
        <v>24.273026883838707</v>
      </c>
      <c r="AY24" s="275">
        <f t="shared" si="17"/>
        <v>380.47282376600066</v>
      </c>
      <c r="AZ24" s="276">
        <f t="shared" si="18"/>
        <v>15979.858598172026</v>
      </c>
      <c r="BA24" s="274">
        <f t="shared" si="19"/>
        <v>25.001217690353869</v>
      </c>
      <c r="BB24" s="275">
        <f t="shared" si="0"/>
        <v>391.8870084789807</v>
      </c>
      <c r="BC24" s="276">
        <f t="shared" si="1"/>
        <v>16459.254356117188</v>
      </c>
      <c r="BD24" s="274">
        <f t="shared" si="2"/>
        <v>25.751254221064485</v>
      </c>
      <c r="BE24" s="275">
        <f t="shared" si="3"/>
        <v>403.64361873335014</v>
      </c>
      <c r="BF24" s="276">
        <f t="shared" si="4"/>
        <v>16953.031986800703</v>
      </c>
      <c r="BG24" s="274">
        <f t="shared" si="5"/>
        <v>26.523791847696419</v>
      </c>
      <c r="BH24" s="275">
        <f t="shared" si="6"/>
        <v>415.75292729535067</v>
      </c>
      <c r="BI24" s="276">
        <f t="shared" si="7"/>
        <v>17461.622946404725</v>
      </c>
    </row>
    <row r="25" spans="1:61" ht="15" thickBot="1">
      <c r="A25" s="90">
        <v>210</v>
      </c>
      <c r="B25" s="81" t="s">
        <v>77</v>
      </c>
      <c r="C25" s="91">
        <v>15</v>
      </c>
      <c r="D25" s="92">
        <v>15</v>
      </c>
      <c r="E25" s="93">
        <v>630</v>
      </c>
      <c r="F25" s="148">
        <v>35.32</v>
      </c>
      <c r="G25" s="85">
        <v>35.32</v>
      </c>
      <c r="H25" s="93">
        <v>1483.44</v>
      </c>
      <c r="I25" s="92">
        <v>37.262599999999999</v>
      </c>
      <c r="J25" s="92">
        <v>37.262599999999999</v>
      </c>
      <c r="K25" s="93">
        <v>1565.0291999999999</v>
      </c>
      <c r="L25" s="92">
        <v>39.125729999999997</v>
      </c>
      <c r="M25" s="92">
        <v>39.125729999999997</v>
      </c>
      <c r="N25" s="93">
        <v>1643.2806599999999</v>
      </c>
      <c r="O25" s="92">
        <v>40.886387849999991</v>
      </c>
      <c r="P25" s="92">
        <v>40.886387849999991</v>
      </c>
      <c r="Q25" s="93">
        <v>1717.2282896999996</v>
      </c>
      <c r="R25" s="92">
        <v>63.55</v>
      </c>
      <c r="S25" s="92">
        <v>63.55</v>
      </c>
      <c r="T25" s="93">
        <v>2669.1</v>
      </c>
      <c r="U25" s="92">
        <v>66.091999999999999</v>
      </c>
      <c r="V25" s="92">
        <v>66.091999999999999</v>
      </c>
      <c r="W25" s="93">
        <v>2775.864</v>
      </c>
      <c r="X25" s="92">
        <v>68.725679999999997</v>
      </c>
      <c r="Y25" s="92">
        <v>68.725679999999997</v>
      </c>
      <c r="Z25" s="93">
        <v>2886.47856</v>
      </c>
      <c r="AA25" s="92">
        <v>72.161963999999998</v>
      </c>
      <c r="AB25" s="92">
        <v>72.161963999999998</v>
      </c>
      <c r="AC25" s="93">
        <v>3030.8024879999998</v>
      </c>
      <c r="AD25" s="92">
        <v>74.319999999999993</v>
      </c>
      <c r="AE25" s="96">
        <v>74.319999999999993</v>
      </c>
      <c r="AF25" s="93">
        <f t="shared" si="20"/>
        <v>3121.4399999999996</v>
      </c>
      <c r="AG25" s="92">
        <f t="shared" si="8"/>
        <v>76.549599999999998</v>
      </c>
      <c r="AH25" s="96">
        <f t="shared" si="8"/>
        <v>76.549599999999998</v>
      </c>
      <c r="AI25" s="93">
        <f t="shared" si="21"/>
        <v>3215.0832</v>
      </c>
      <c r="AJ25" s="92">
        <f t="shared" si="23"/>
        <v>78.846087999999995</v>
      </c>
      <c r="AK25" s="96">
        <f t="shared" si="23"/>
        <v>78.846087999999995</v>
      </c>
      <c r="AL25" s="93">
        <f t="shared" si="22"/>
        <v>3311.5356959999999</v>
      </c>
      <c r="AM25" s="258" t="s">
        <v>86</v>
      </c>
      <c r="AN25" s="277">
        <v>0</v>
      </c>
      <c r="AO25" s="278">
        <v>0</v>
      </c>
      <c r="AP25" s="279">
        <v>0</v>
      </c>
      <c r="AQ25" s="258" t="s">
        <v>86</v>
      </c>
      <c r="AR25" s="277">
        <f t="shared" si="10"/>
        <v>0</v>
      </c>
      <c r="AS25" s="278">
        <f t="shared" si="11"/>
        <v>0</v>
      </c>
      <c r="AT25" s="279">
        <f t="shared" si="12"/>
        <v>0</v>
      </c>
      <c r="AU25" s="277">
        <f t="shared" si="13"/>
        <v>0</v>
      </c>
      <c r="AV25" s="278">
        <f t="shared" si="14"/>
        <v>0</v>
      </c>
      <c r="AW25" s="279">
        <f t="shared" si="15"/>
        <v>0</v>
      </c>
      <c r="AX25" s="277">
        <f t="shared" si="16"/>
        <v>0</v>
      </c>
      <c r="AY25" s="278">
        <f t="shared" si="17"/>
        <v>0</v>
      </c>
      <c r="AZ25" s="279">
        <f t="shared" si="18"/>
        <v>0</v>
      </c>
      <c r="BA25" s="277">
        <f t="shared" si="19"/>
        <v>0</v>
      </c>
      <c r="BB25" s="278">
        <f t="shared" si="0"/>
        <v>0</v>
      </c>
      <c r="BC25" s="279">
        <f t="shared" si="1"/>
        <v>0</v>
      </c>
      <c r="BD25" s="277">
        <f t="shared" si="2"/>
        <v>0</v>
      </c>
      <c r="BE25" s="278">
        <f t="shared" si="3"/>
        <v>0</v>
      </c>
      <c r="BF25" s="279">
        <f t="shared" si="4"/>
        <v>0</v>
      </c>
      <c r="BG25" s="277">
        <f t="shared" si="5"/>
        <v>0</v>
      </c>
      <c r="BH25" s="278">
        <f t="shared" si="6"/>
        <v>0</v>
      </c>
      <c r="BI25" s="279">
        <f t="shared" si="7"/>
        <v>0</v>
      </c>
    </row>
    <row r="26" spans="1:61" ht="14.25">
      <c r="A26" s="90">
        <v>260</v>
      </c>
      <c r="B26" s="81" t="s">
        <v>80</v>
      </c>
      <c r="C26" s="91">
        <v>100</v>
      </c>
      <c r="D26" s="92">
        <v>100</v>
      </c>
      <c r="E26" s="93">
        <v>4200</v>
      </c>
      <c r="F26" s="105">
        <v>106.32</v>
      </c>
      <c r="G26" s="92">
        <v>106.32</v>
      </c>
      <c r="H26" s="93">
        <v>4465.4399999999996</v>
      </c>
      <c r="I26" s="92">
        <v>112.16759999999999</v>
      </c>
      <c r="J26" s="92">
        <v>112.16759999999999</v>
      </c>
      <c r="K26" s="93">
        <v>4711.0391999999993</v>
      </c>
      <c r="L26" s="92">
        <v>117.77598</v>
      </c>
      <c r="M26" s="92">
        <v>117.77598</v>
      </c>
      <c r="N26" s="93">
        <v>4946.5911599999999</v>
      </c>
      <c r="O26" s="92">
        <v>123.0758991</v>
      </c>
      <c r="P26" s="92">
        <v>123.0758991</v>
      </c>
      <c r="Q26" s="93">
        <v>5169.1877622000002</v>
      </c>
      <c r="R26" s="92">
        <v>123.0758991</v>
      </c>
      <c r="S26" s="92">
        <v>123.0758991</v>
      </c>
      <c r="T26" s="93">
        <v>5169.1877622000002</v>
      </c>
      <c r="U26" s="92">
        <v>127.99893506400001</v>
      </c>
      <c r="V26" s="92">
        <v>127.99893506400001</v>
      </c>
      <c r="W26" s="93">
        <v>5375.9552726880002</v>
      </c>
      <c r="X26" s="92">
        <v>133.11889246656003</v>
      </c>
      <c r="Y26" s="92">
        <v>133.11889246656003</v>
      </c>
      <c r="Z26" s="93">
        <v>5590.993483595521</v>
      </c>
      <c r="AA26" s="92">
        <v>139.78008708988804</v>
      </c>
      <c r="AB26" s="92">
        <v>139.78008708988804</v>
      </c>
      <c r="AC26" s="93">
        <v>5870.7636577752974</v>
      </c>
      <c r="AD26" s="92">
        <v>143.97</v>
      </c>
      <c r="AE26" s="96">
        <v>143.97</v>
      </c>
      <c r="AF26" s="93">
        <f t="shared" si="20"/>
        <v>6046.74</v>
      </c>
      <c r="AG26" s="92">
        <f t="shared" si="8"/>
        <v>148.28909999999999</v>
      </c>
      <c r="AH26" s="96">
        <f t="shared" si="8"/>
        <v>148.28909999999999</v>
      </c>
      <c r="AI26" s="93">
        <f t="shared" si="21"/>
        <v>6228.1421999999993</v>
      </c>
      <c r="AJ26" s="92">
        <f t="shared" si="23"/>
        <v>152.737773</v>
      </c>
      <c r="AK26" s="96">
        <f t="shared" si="23"/>
        <v>152.737773</v>
      </c>
      <c r="AL26" s="93">
        <f t="shared" si="22"/>
        <v>6414.9864660000003</v>
      </c>
      <c r="AM26" s="256" t="s">
        <v>77</v>
      </c>
      <c r="AN26" s="274">
        <v>81.211470640000002</v>
      </c>
      <c r="AO26" s="275">
        <v>81.211470640000002</v>
      </c>
      <c r="AP26" s="276">
        <v>3410.8817668800002</v>
      </c>
      <c r="AQ26" s="256" t="s">
        <v>77</v>
      </c>
      <c r="AR26" s="274">
        <f t="shared" si="10"/>
        <v>83.647814759200003</v>
      </c>
      <c r="AS26" s="275">
        <f t="shared" si="11"/>
        <v>83.647814759200003</v>
      </c>
      <c r="AT26" s="276">
        <f t="shared" si="12"/>
        <v>3513.2082198864005</v>
      </c>
      <c r="AU26" s="274">
        <f t="shared" si="13"/>
        <v>86.157249201976001</v>
      </c>
      <c r="AV26" s="275">
        <f t="shared" si="14"/>
        <v>86.157249201976001</v>
      </c>
      <c r="AW26" s="276">
        <f t="shared" si="15"/>
        <v>3618.6044664829924</v>
      </c>
      <c r="AX26" s="274">
        <f t="shared" si="16"/>
        <v>88.741966678035283</v>
      </c>
      <c r="AY26" s="275">
        <f t="shared" si="17"/>
        <v>88.741966678035283</v>
      </c>
      <c r="AZ26" s="276">
        <f t="shared" si="18"/>
        <v>3727.1626004774821</v>
      </c>
      <c r="BA26" s="274">
        <f t="shared" si="19"/>
        <v>91.404225678376349</v>
      </c>
      <c r="BB26" s="275">
        <f t="shared" si="0"/>
        <v>91.404225678376349</v>
      </c>
      <c r="BC26" s="276">
        <f t="shared" si="1"/>
        <v>3838.9774784918068</v>
      </c>
      <c r="BD26" s="274">
        <f t="shared" si="2"/>
        <v>94.14635244872764</v>
      </c>
      <c r="BE26" s="275">
        <f t="shared" si="3"/>
        <v>94.14635244872764</v>
      </c>
      <c r="BF26" s="276">
        <f t="shared" si="4"/>
        <v>3954.1468028465611</v>
      </c>
      <c r="BG26" s="274">
        <f t="shared" si="5"/>
        <v>96.970743022189467</v>
      </c>
      <c r="BH26" s="275">
        <f t="shared" si="6"/>
        <v>96.970743022189467</v>
      </c>
      <c r="BI26" s="276">
        <f t="shared" si="7"/>
        <v>4072.7712069319582</v>
      </c>
    </row>
    <row r="27" spans="1:61" ht="14.25">
      <c r="A27" s="97">
        <v>231</v>
      </c>
      <c r="B27" s="82" t="s">
        <v>82</v>
      </c>
      <c r="C27" s="98">
        <v>22.089552238805972</v>
      </c>
      <c r="D27" s="99">
        <v>122.09</v>
      </c>
      <c r="E27" s="100">
        <v>5127.78</v>
      </c>
      <c r="F27" s="98">
        <v>22.089552238805972</v>
      </c>
      <c r="G27" s="99">
        <v>128.40955223880596</v>
      </c>
      <c r="H27" s="100">
        <v>5393.2011940298498</v>
      </c>
      <c r="I27" s="98">
        <v>23.3044776119403</v>
      </c>
      <c r="J27" s="99">
        <v>135.47207761194028</v>
      </c>
      <c r="K27" s="100">
        <v>5689.827259701492</v>
      </c>
      <c r="L27" s="99">
        <v>24.469701492537315</v>
      </c>
      <c r="M27" s="99">
        <v>142.24568149253733</v>
      </c>
      <c r="N27" s="100">
        <v>5974.3186226865682</v>
      </c>
      <c r="O27" s="99">
        <v>25.570838059701494</v>
      </c>
      <c r="P27" s="99">
        <v>148.6467371597015</v>
      </c>
      <c r="Q27" s="100">
        <v>6243.1629607074628</v>
      </c>
      <c r="R27" s="99">
        <v>25.570838059701494</v>
      </c>
      <c r="S27" s="99">
        <v>148.6467371597015</v>
      </c>
      <c r="T27" s="100">
        <v>6243.1629607074628</v>
      </c>
      <c r="U27" s="99">
        <v>26.593671582089556</v>
      </c>
      <c r="V27" s="99">
        <v>154.59260664608956</v>
      </c>
      <c r="W27" s="100">
        <v>6492.8894791357616</v>
      </c>
      <c r="X27" s="99">
        <v>27.647418445373138</v>
      </c>
      <c r="Y27" s="99">
        <v>160.76631091193318</v>
      </c>
      <c r="Z27" s="100">
        <v>6752.1850583011937</v>
      </c>
      <c r="AA27" s="99">
        <v>29.029789367641797</v>
      </c>
      <c r="AB27" s="99">
        <v>168.80987645752984</v>
      </c>
      <c r="AC27" s="100">
        <v>7090.0148112162533</v>
      </c>
      <c r="AD27" s="99">
        <v>29.9</v>
      </c>
      <c r="AE27" s="96">
        <v>173.87</v>
      </c>
      <c r="AF27" s="100">
        <f t="shared" si="20"/>
        <v>7302.54</v>
      </c>
      <c r="AG27" s="99">
        <f t="shared" si="8"/>
        <v>30.797000000000001</v>
      </c>
      <c r="AH27" s="96">
        <f t="shared" si="8"/>
        <v>179.08610000000002</v>
      </c>
      <c r="AI27" s="100">
        <f t="shared" si="21"/>
        <v>7521.6162000000004</v>
      </c>
      <c r="AJ27" s="99">
        <f t="shared" si="23"/>
        <v>31.72091</v>
      </c>
      <c r="AK27" s="96">
        <f t="shared" si="23"/>
        <v>184.45868300000001</v>
      </c>
      <c r="AL27" s="100">
        <f t="shared" si="22"/>
        <v>7747.2646860000004</v>
      </c>
      <c r="AM27" s="256" t="s">
        <v>80</v>
      </c>
      <c r="AN27" s="274">
        <v>157.31990619000001</v>
      </c>
      <c r="AO27" s="275">
        <v>157.31990619000001</v>
      </c>
      <c r="AP27" s="276">
        <v>6607.4360599800002</v>
      </c>
      <c r="AQ27" s="256" t="s">
        <v>80</v>
      </c>
      <c r="AR27" s="274">
        <f t="shared" si="10"/>
        <v>162.03950337570001</v>
      </c>
      <c r="AS27" s="275">
        <f t="shared" si="11"/>
        <v>162.03950337570001</v>
      </c>
      <c r="AT27" s="276">
        <f t="shared" si="12"/>
        <v>6805.6591417794007</v>
      </c>
      <c r="AU27" s="274">
        <f t="shared" si="13"/>
        <v>166.900688476971</v>
      </c>
      <c r="AV27" s="275">
        <f t="shared" si="14"/>
        <v>166.900688476971</v>
      </c>
      <c r="AW27" s="276">
        <f t="shared" si="15"/>
        <v>7009.8289160327831</v>
      </c>
      <c r="AX27" s="274">
        <f t="shared" si="16"/>
        <v>171.90770913128014</v>
      </c>
      <c r="AY27" s="275">
        <f t="shared" si="17"/>
        <v>171.90770913128014</v>
      </c>
      <c r="AZ27" s="276">
        <f t="shared" si="18"/>
        <v>7220.1237835137672</v>
      </c>
      <c r="BA27" s="274">
        <f t="shared" si="19"/>
        <v>177.06494040521855</v>
      </c>
      <c r="BB27" s="275">
        <f t="shared" si="0"/>
        <v>177.06494040521855</v>
      </c>
      <c r="BC27" s="276">
        <f t="shared" si="1"/>
        <v>7436.7274970191802</v>
      </c>
      <c r="BD27" s="274">
        <f t="shared" si="2"/>
        <v>182.3768886173751</v>
      </c>
      <c r="BE27" s="275">
        <f t="shared" si="3"/>
        <v>182.3768886173751</v>
      </c>
      <c r="BF27" s="276">
        <f t="shared" si="4"/>
        <v>7659.8293219297557</v>
      </c>
      <c r="BG27" s="274">
        <f t="shared" si="5"/>
        <v>187.84819527589636</v>
      </c>
      <c r="BH27" s="275">
        <f t="shared" si="6"/>
        <v>187.84819527589636</v>
      </c>
      <c r="BI27" s="276">
        <f t="shared" si="7"/>
        <v>7889.6242015876487</v>
      </c>
    </row>
    <row r="28" spans="1:61" ht="14.25">
      <c r="A28" s="90">
        <v>221</v>
      </c>
      <c r="B28" s="81" t="s">
        <v>83</v>
      </c>
      <c r="C28" s="91">
        <v>40</v>
      </c>
      <c r="D28" s="92">
        <v>140</v>
      </c>
      <c r="E28" s="93">
        <v>5880</v>
      </c>
      <c r="F28" s="105">
        <v>40</v>
      </c>
      <c r="G28" s="92">
        <v>146.32</v>
      </c>
      <c r="H28" s="93">
        <v>6145.44</v>
      </c>
      <c r="I28" s="92">
        <v>42.2</v>
      </c>
      <c r="J28" s="92">
        <v>154.36759999999998</v>
      </c>
      <c r="K28" s="93">
        <v>6483.4391999999989</v>
      </c>
      <c r="L28" s="92">
        <v>44.31</v>
      </c>
      <c r="M28" s="92">
        <v>162.08598000000001</v>
      </c>
      <c r="N28" s="93">
        <v>6807.6111600000004</v>
      </c>
      <c r="O28" s="92">
        <v>46.30395</v>
      </c>
      <c r="P28" s="92">
        <v>169.3798491</v>
      </c>
      <c r="Q28" s="93">
        <v>7113.9536621999996</v>
      </c>
      <c r="R28" s="92">
        <v>46.30395</v>
      </c>
      <c r="S28" s="92">
        <v>169.3798491</v>
      </c>
      <c r="T28" s="93">
        <v>7113.9536621999996</v>
      </c>
      <c r="U28" s="92">
        <v>48.156108000000003</v>
      </c>
      <c r="V28" s="92">
        <v>176.15504306400001</v>
      </c>
      <c r="W28" s="93">
        <v>7398.5118086880002</v>
      </c>
      <c r="X28" s="92">
        <v>50.092352320000003</v>
      </c>
      <c r="Y28" s="92">
        <v>183.21124478656003</v>
      </c>
      <c r="Z28" s="93">
        <v>7694.8722810355212</v>
      </c>
      <c r="AA28" s="92">
        <v>52.58696993600001</v>
      </c>
      <c r="AB28" s="92">
        <v>192.36705702588804</v>
      </c>
      <c r="AC28" s="93">
        <v>8079.416395087298</v>
      </c>
      <c r="AD28" s="92">
        <v>54.17</v>
      </c>
      <c r="AE28" s="96">
        <v>198.14</v>
      </c>
      <c r="AF28" s="93">
        <f t="shared" si="20"/>
        <v>8321.8799999999992</v>
      </c>
      <c r="AG28" s="92">
        <f>AD28*(1+$AI$2)-0.01</f>
        <v>55.785100000000007</v>
      </c>
      <c r="AH28" s="96">
        <f t="shared" si="8"/>
        <v>204.08419999999998</v>
      </c>
      <c r="AI28" s="93">
        <f t="shared" si="21"/>
        <v>8571.536399999999</v>
      </c>
      <c r="AJ28" s="92">
        <f>AG28*(1+$AI$2)-0.01</f>
        <v>57.448653000000007</v>
      </c>
      <c r="AK28" s="96">
        <f>AH28*(1+$AI$2)-0.02</f>
        <v>210.18672599999996</v>
      </c>
      <c r="AL28" s="93">
        <f>AK28*42</f>
        <v>8827.8424919999979</v>
      </c>
      <c r="AM28" s="256" t="s">
        <v>82</v>
      </c>
      <c r="AN28" s="274">
        <v>32.672537300000002</v>
      </c>
      <c r="AO28" s="275">
        <v>189.99244349</v>
      </c>
      <c r="AP28" s="276">
        <v>7979.6826265800009</v>
      </c>
      <c r="AQ28" s="256" t="s">
        <v>82</v>
      </c>
      <c r="AR28" s="274">
        <f t="shared" si="10"/>
        <v>33.652713419000001</v>
      </c>
      <c r="AS28" s="275">
        <f t="shared" si="11"/>
        <v>195.69221679470002</v>
      </c>
      <c r="AT28" s="276">
        <f t="shared" si="12"/>
        <v>8219.0731053774016</v>
      </c>
      <c r="AU28" s="274">
        <f t="shared" si="13"/>
        <v>34.662294821570001</v>
      </c>
      <c r="AV28" s="275">
        <f t="shared" si="14"/>
        <v>201.56298329854101</v>
      </c>
      <c r="AW28" s="276">
        <f t="shared" si="15"/>
        <v>8465.6452985387241</v>
      </c>
      <c r="AX28" s="274">
        <f t="shared" si="16"/>
        <v>35.702163666217103</v>
      </c>
      <c r="AY28" s="275">
        <f t="shared" si="17"/>
        <v>207.60987279749725</v>
      </c>
      <c r="AZ28" s="276">
        <f t="shared" si="18"/>
        <v>8719.6146574948853</v>
      </c>
      <c r="BA28" s="274">
        <f t="shared" si="19"/>
        <v>36.773228576203614</v>
      </c>
      <c r="BB28" s="275">
        <f t="shared" si="0"/>
        <v>213.83816898142217</v>
      </c>
      <c r="BC28" s="276">
        <f t="shared" si="1"/>
        <v>8981.2030972197317</v>
      </c>
      <c r="BD28" s="274">
        <f t="shared" si="2"/>
        <v>37.876425433489722</v>
      </c>
      <c r="BE28" s="275">
        <f t="shared" si="3"/>
        <v>220.25331405086484</v>
      </c>
      <c r="BF28" s="276">
        <f t="shared" si="4"/>
        <v>9250.639190136324</v>
      </c>
      <c r="BG28" s="274">
        <f t="shared" si="5"/>
        <v>39.012718196494411</v>
      </c>
      <c r="BH28" s="275">
        <f t="shared" si="6"/>
        <v>226.86091347239079</v>
      </c>
      <c r="BI28" s="276">
        <f t="shared" si="7"/>
        <v>9528.1583658404143</v>
      </c>
    </row>
    <row r="29" spans="1:61" ht="14.25">
      <c r="A29" s="97">
        <v>243</v>
      </c>
      <c r="B29" s="82" t="s">
        <v>87</v>
      </c>
      <c r="C29" s="98">
        <v>8.1360946745562135</v>
      </c>
      <c r="D29" s="99">
        <v>148.13999999999999</v>
      </c>
      <c r="E29" s="100">
        <v>6221.8799999999992</v>
      </c>
      <c r="F29" s="98">
        <v>16.272189349112427</v>
      </c>
      <c r="G29" s="99">
        <v>162.5921893491124</v>
      </c>
      <c r="H29" s="100">
        <v>6828.871952662721</v>
      </c>
      <c r="I29" s="98">
        <v>17.168639053254438</v>
      </c>
      <c r="J29" s="99">
        <v>171.53623905325441</v>
      </c>
      <c r="K29" s="100">
        <v>7204.5220402366849</v>
      </c>
      <c r="L29" s="98">
        <v>18.027071005917161</v>
      </c>
      <c r="M29" s="99">
        <v>180.11305100591716</v>
      </c>
      <c r="N29" s="100">
        <v>7564.7481422485207</v>
      </c>
      <c r="O29" s="98">
        <v>18.838289201183432</v>
      </c>
      <c r="P29" s="99">
        <v>188.21813830118344</v>
      </c>
      <c r="Q29" s="100">
        <v>7905.1618086497047</v>
      </c>
      <c r="R29" s="98">
        <v>18.838289201183432</v>
      </c>
      <c r="S29" s="99">
        <v>188.21813830118344</v>
      </c>
      <c r="T29" s="100">
        <v>7905.1618086497047</v>
      </c>
      <c r="U29" s="98">
        <v>19.591820769230772</v>
      </c>
      <c r="V29" s="99">
        <v>195.74686383323078</v>
      </c>
      <c r="W29" s="100">
        <v>8221.3682809956917</v>
      </c>
      <c r="X29" s="99">
        <v>20.365493600000001</v>
      </c>
      <c r="Y29" s="99">
        <v>203.57673838656004</v>
      </c>
      <c r="Z29" s="100">
        <v>8550.2230122355213</v>
      </c>
      <c r="AA29" s="99">
        <v>21.393768280000003</v>
      </c>
      <c r="AB29" s="99">
        <v>213.76082530588803</v>
      </c>
      <c r="AC29" s="100">
        <v>8977.9546628472981</v>
      </c>
      <c r="AD29" s="99">
        <v>22.03</v>
      </c>
      <c r="AE29" s="96">
        <v>220.17</v>
      </c>
      <c r="AF29" s="100">
        <f t="shared" si="20"/>
        <v>9247.14</v>
      </c>
      <c r="AG29" s="99">
        <f>AD29*(1+$AI$2)+0.01</f>
        <v>22.700900000000004</v>
      </c>
      <c r="AH29" s="96">
        <f t="shared" si="8"/>
        <v>226.77509999999998</v>
      </c>
      <c r="AI29" s="100">
        <f t="shared" si="21"/>
        <v>9524.5541999999987</v>
      </c>
      <c r="AJ29" s="99">
        <f>AG29*(1+$AI$2)+0.01</f>
        <v>23.391927000000006</v>
      </c>
      <c r="AK29" s="96">
        <f t="shared" si="23"/>
        <v>233.57835299999999</v>
      </c>
      <c r="AL29" s="100">
        <f t="shared" si="22"/>
        <v>9810.2908260000004</v>
      </c>
      <c r="AM29" s="256" t="s">
        <v>83</v>
      </c>
      <c r="AN29" s="274">
        <v>59.172112590000012</v>
      </c>
      <c r="AO29" s="275">
        <v>216.49232777999998</v>
      </c>
      <c r="AP29" s="276">
        <v>9092.6777667599981</v>
      </c>
      <c r="AQ29" s="256" t="s">
        <v>83</v>
      </c>
      <c r="AR29" s="274">
        <f t="shared" si="10"/>
        <v>60.947275967700016</v>
      </c>
      <c r="AS29" s="275">
        <f t="shared" si="11"/>
        <v>222.98709761339998</v>
      </c>
      <c r="AT29" s="276">
        <f t="shared" si="12"/>
        <v>9365.4580997627982</v>
      </c>
      <c r="AU29" s="274">
        <f t="shared" si="13"/>
        <v>62.775694246731021</v>
      </c>
      <c r="AV29" s="275">
        <f t="shared" si="14"/>
        <v>229.67671054180198</v>
      </c>
      <c r="AW29" s="276">
        <f t="shared" si="15"/>
        <v>9646.4218427556825</v>
      </c>
      <c r="AX29" s="274">
        <f t="shared" si="16"/>
        <v>64.658965074132951</v>
      </c>
      <c r="AY29" s="275">
        <f t="shared" si="17"/>
        <v>236.56701185805605</v>
      </c>
      <c r="AZ29" s="276">
        <f t="shared" si="18"/>
        <v>9935.8144980383531</v>
      </c>
      <c r="BA29" s="274">
        <f t="shared" si="19"/>
        <v>66.598734026356937</v>
      </c>
      <c r="BB29" s="275">
        <f t="shared" si="0"/>
        <v>243.66402221379775</v>
      </c>
      <c r="BC29" s="276">
        <f t="shared" si="1"/>
        <v>10233.888932979504</v>
      </c>
      <c r="BD29" s="274">
        <f t="shared" si="2"/>
        <v>68.596696047147645</v>
      </c>
      <c r="BE29" s="275">
        <f t="shared" si="3"/>
        <v>250.97394288021169</v>
      </c>
      <c r="BF29" s="276">
        <f t="shared" si="4"/>
        <v>10540.905600968888</v>
      </c>
      <c r="BG29" s="274">
        <f t="shared" si="5"/>
        <v>70.654596928562071</v>
      </c>
      <c r="BH29" s="275">
        <f t="shared" si="6"/>
        <v>258.50316116661804</v>
      </c>
      <c r="BI29" s="276">
        <f t="shared" si="7"/>
        <v>10857.132768997955</v>
      </c>
    </row>
    <row r="30" spans="1:61" ht="14.25">
      <c r="A30" s="90">
        <v>258</v>
      </c>
      <c r="B30" s="81" t="s">
        <v>88</v>
      </c>
      <c r="C30" s="91">
        <v>27.5</v>
      </c>
      <c r="D30" s="92">
        <v>167.5</v>
      </c>
      <c r="E30" s="93">
        <v>7035</v>
      </c>
      <c r="F30" s="105">
        <v>55</v>
      </c>
      <c r="G30" s="92">
        <v>201.32</v>
      </c>
      <c r="H30" s="93">
        <v>8455.44</v>
      </c>
      <c r="I30" s="92">
        <v>58.024999999999999</v>
      </c>
      <c r="J30" s="92">
        <v>212.40259999999998</v>
      </c>
      <c r="K30" s="93">
        <v>8920.9091999999982</v>
      </c>
      <c r="L30" s="92">
        <v>60.926250000000003</v>
      </c>
      <c r="M30" s="92">
        <v>223.02223000000001</v>
      </c>
      <c r="N30" s="93">
        <v>9366.9336600000006</v>
      </c>
      <c r="O30" s="92">
        <v>63.667931250000002</v>
      </c>
      <c r="P30" s="92">
        <v>233.04778035000001</v>
      </c>
      <c r="Q30" s="93">
        <v>9788.0067747000012</v>
      </c>
      <c r="R30" s="92">
        <v>63.667931250000002</v>
      </c>
      <c r="S30" s="92">
        <v>233.04778035000001</v>
      </c>
      <c r="T30" s="93">
        <v>9788.0067747000012</v>
      </c>
      <c r="U30" s="92">
        <v>66.21464850000001</v>
      </c>
      <c r="V30" s="92">
        <v>242.36969156400002</v>
      </c>
      <c r="W30" s="93">
        <v>10179.527045688001</v>
      </c>
      <c r="X30" s="92">
        <v>68.853234440000008</v>
      </c>
      <c r="Y30" s="92">
        <v>252.06447922656002</v>
      </c>
      <c r="Z30" s="93">
        <v>10586.708127515521</v>
      </c>
      <c r="AA30" s="92">
        <v>72.30589616200001</v>
      </c>
      <c r="AB30" s="92">
        <v>264.67295318788808</v>
      </c>
      <c r="AC30" s="93">
        <v>11116.264033891299</v>
      </c>
      <c r="AD30" s="92">
        <v>74.48</v>
      </c>
      <c r="AE30" s="96">
        <v>272.62</v>
      </c>
      <c r="AF30" s="93">
        <f t="shared" si="20"/>
        <v>11450.04</v>
      </c>
      <c r="AG30" s="92">
        <f>AD30*(1+$AI$2)+0.01</f>
        <v>76.724400000000017</v>
      </c>
      <c r="AH30" s="96">
        <f t="shared" si="8"/>
        <v>280.79860000000002</v>
      </c>
      <c r="AI30" s="93">
        <f t="shared" si="21"/>
        <v>11793.541200000001</v>
      </c>
      <c r="AJ30" s="92">
        <f t="shared" ref="AJ30:AJ35" si="24">AG30*(1+$AI$2)</f>
        <v>79.026132000000018</v>
      </c>
      <c r="AK30" s="96">
        <f>AH30*(1+$AI$2)-0.01</f>
        <v>289.21255800000006</v>
      </c>
      <c r="AL30" s="93">
        <f t="shared" si="22"/>
        <v>12146.927436000002</v>
      </c>
      <c r="AM30" s="256" t="s">
        <v>87</v>
      </c>
      <c r="AN30" s="274">
        <v>24.093684810000006</v>
      </c>
      <c r="AO30" s="275">
        <v>240.58570359000001</v>
      </c>
      <c r="AP30" s="276">
        <v>10104.59955078</v>
      </c>
      <c r="AQ30" s="256" t="s">
        <v>87</v>
      </c>
      <c r="AR30" s="274">
        <f t="shared" si="10"/>
        <v>24.816495354300006</v>
      </c>
      <c r="AS30" s="275">
        <f t="shared" si="11"/>
        <v>247.8032746977</v>
      </c>
      <c r="AT30" s="276">
        <f t="shared" si="12"/>
        <v>10407.737537303399</v>
      </c>
      <c r="AU30" s="274">
        <f t="shared" si="13"/>
        <v>25.560990214929006</v>
      </c>
      <c r="AV30" s="275">
        <f t="shared" si="14"/>
        <v>255.23737293863101</v>
      </c>
      <c r="AW30" s="276">
        <f t="shared" si="15"/>
        <v>10719.969663422502</v>
      </c>
      <c r="AX30" s="274">
        <f t="shared" si="16"/>
        <v>26.327819921376879</v>
      </c>
      <c r="AY30" s="275">
        <f t="shared" si="17"/>
        <v>262.89449412678994</v>
      </c>
      <c r="AZ30" s="276">
        <f t="shared" si="18"/>
        <v>11041.568753325177</v>
      </c>
      <c r="BA30" s="274">
        <f t="shared" si="19"/>
        <v>27.117654519018185</v>
      </c>
      <c r="BB30" s="275">
        <f t="shared" si="0"/>
        <v>270.78132895059366</v>
      </c>
      <c r="BC30" s="276">
        <f t="shared" si="1"/>
        <v>11372.815815924932</v>
      </c>
      <c r="BD30" s="274">
        <f t="shared" si="2"/>
        <v>27.931184154588731</v>
      </c>
      <c r="BE30" s="275">
        <f t="shared" si="3"/>
        <v>278.9047688191115</v>
      </c>
      <c r="BF30" s="276">
        <f t="shared" si="4"/>
        <v>11714.000290402681</v>
      </c>
      <c r="BG30" s="274">
        <f t="shared" si="5"/>
        <v>28.769119679226392</v>
      </c>
      <c r="BH30" s="275">
        <f t="shared" si="6"/>
        <v>287.27191188368482</v>
      </c>
      <c r="BI30" s="276">
        <f t="shared" si="7"/>
        <v>12065.420299114761</v>
      </c>
    </row>
    <row r="31" spans="1:61" ht="15" thickBot="1">
      <c r="A31" s="133">
        <v>259</v>
      </c>
      <c r="B31" s="134" t="s">
        <v>89</v>
      </c>
      <c r="C31" s="135">
        <v>26</v>
      </c>
      <c r="D31" s="92">
        <v>193.5</v>
      </c>
      <c r="E31" s="93">
        <v>8127</v>
      </c>
      <c r="F31" s="105">
        <v>52</v>
      </c>
      <c r="G31" s="136">
        <v>253.32</v>
      </c>
      <c r="H31" s="137">
        <v>10639.44</v>
      </c>
      <c r="I31" s="142">
        <v>54.86</v>
      </c>
      <c r="J31" s="136">
        <v>267.26259999999996</v>
      </c>
      <c r="K31" s="137">
        <v>11225.029199999999</v>
      </c>
      <c r="L31" s="142">
        <v>57.603000000000002</v>
      </c>
      <c r="M31" s="136">
        <v>280.62423000000001</v>
      </c>
      <c r="N31" s="137">
        <v>11786.21766</v>
      </c>
      <c r="O31" s="142">
        <v>60.195135000000001</v>
      </c>
      <c r="P31" s="136">
        <v>293.25291535000002</v>
      </c>
      <c r="Q31" s="137">
        <v>12316.6224447</v>
      </c>
      <c r="R31" s="142">
        <v>60.195135000000001</v>
      </c>
      <c r="S31" s="136">
        <v>293.25291535000002</v>
      </c>
      <c r="T31" s="137">
        <v>12316.6224447</v>
      </c>
      <c r="U31" s="142">
        <v>62.602940400000001</v>
      </c>
      <c r="V31" s="136">
        <v>304.98263196400001</v>
      </c>
      <c r="W31" s="137">
        <v>12809.270542488001</v>
      </c>
      <c r="X31" s="136">
        <v>65.097058016000005</v>
      </c>
      <c r="Y31" s="136">
        <v>317.17153724256002</v>
      </c>
      <c r="Z31" s="137">
        <v>13321.204564187521</v>
      </c>
      <c r="AA31" s="136">
        <v>68.361910916800014</v>
      </c>
      <c r="AB31" s="136">
        <v>333.0348641046881</v>
      </c>
      <c r="AC31" s="137">
        <v>13987.4642923969</v>
      </c>
      <c r="AD31" s="136">
        <v>70.41</v>
      </c>
      <c r="AE31" s="139">
        <v>343.03</v>
      </c>
      <c r="AF31" s="137">
        <f t="shared" si="20"/>
        <v>14407.259999999998</v>
      </c>
      <c r="AG31" s="136">
        <f t="shared" si="8"/>
        <v>72.522300000000001</v>
      </c>
      <c r="AH31" s="139">
        <f t="shared" si="8"/>
        <v>353.32089999999999</v>
      </c>
      <c r="AI31" s="137">
        <f t="shared" si="21"/>
        <v>14839.477800000001</v>
      </c>
      <c r="AJ31" s="136">
        <f t="shared" si="24"/>
        <v>74.697969000000001</v>
      </c>
      <c r="AK31" s="139">
        <f>AH31*(1+$AI$2)-0.01</f>
        <v>363.910527</v>
      </c>
      <c r="AL31" s="137">
        <f t="shared" si="22"/>
        <v>15284.242134</v>
      </c>
      <c r="AM31" s="256" t="s">
        <v>88</v>
      </c>
      <c r="AN31" s="274">
        <v>81.396915960000015</v>
      </c>
      <c r="AO31" s="275">
        <v>297.88893474000008</v>
      </c>
      <c r="AP31" s="276">
        <v>12511.335259080002</v>
      </c>
      <c r="AQ31" s="256" t="s">
        <v>88</v>
      </c>
      <c r="AR31" s="274">
        <f t="shared" si="10"/>
        <v>83.83882343880002</v>
      </c>
      <c r="AS31" s="275">
        <f t="shared" si="11"/>
        <v>306.82560278220006</v>
      </c>
      <c r="AT31" s="276">
        <f t="shared" si="12"/>
        <v>12886.675316852403</v>
      </c>
      <c r="AU31" s="274">
        <f t="shared" si="13"/>
        <v>86.353988141964024</v>
      </c>
      <c r="AV31" s="275">
        <f t="shared" si="14"/>
        <v>316.0303708656661</v>
      </c>
      <c r="AW31" s="276">
        <f t="shared" si="15"/>
        <v>13273.275576357975</v>
      </c>
      <c r="AX31" s="274">
        <f t="shared" si="16"/>
        <v>88.944607786222946</v>
      </c>
      <c r="AY31" s="275">
        <f t="shared" si="17"/>
        <v>325.51128199163611</v>
      </c>
      <c r="AZ31" s="276">
        <f t="shared" si="18"/>
        <v>13671.473843648715</v>
      </c>
      <c r="BA31" s="274">
        <f t="shared" si="19"/>
        <v>91.612946019809641</v>
      </c>
      <c r="BB31" s="275">
        <f t="shared" si="0"/>
        <v>335.27662045138521</v>
      </c>
      <c r="BC31" s="276">
        <f t="shared" si="1"/>
        <v>14081.618058958176</v>
      </c>
      <c r="BD31" s="274">
        <f t="shared" si="2"/>
        <v>94.361334400403933</v>
      </c>
      <c r="BE31" s="275">
        <f t="shared" si="3"/>
        <v>345.33491906492679</v>
      </c>
      <c r="BF31" s="276">
        <f t="shared" si="4"/>
        <v>14504.066600726923</v>
      </c>
      <c r="BG31" s="274">
        <f t="shared" si="5"/>
        <v>97.192174432416053</v>
      </c>
      <c r="BH31" s="275">
        <f t="shared" si="6"/>
        <v>355.6949666368746</v>
      </c>
      <c r="BI31" s="276">
        <f t="shared" si="7"/>
        <v>14939.188598748731</v>
      </c>
    </row>
    <row r="32" spans="1:61" ht="15" thickBot="1">
      <c r="A32" s="83">
        <v>210</v>
      </c>
      <c r="B32" s="80" t="s">
        <v>77</v>
      </c>
      <c r="C32" s="101">
        <v>15</v>
      </c>
      <c r="D32" s="85">
        <v>15</v>
      </c>
      <c r="E32" s="85">
        <v>630</v>
      </c>
      <c r="F32" s="87">
        <v>35.32</v>
      </c>
      <c r="G32" s="85">
        <v>35.32</v>
      </c>
      <c r="H32" s="86">
        <v>1483.44</v>
      </c>
      <c r="I32" s="88">
        <v>37.262599999999999</v>
      </c>
      <c r="J32" s="85">
        <v>37.262599999999999</v>
      </c>
      <c r="K32" s="86">
        <v>1565.0291999999999</v>
      </c>
      <c r="L32" s="88">
        <v>39.125729999999997</v>
      </c>
      <c r="M32" s="85">
        <v>39.125729999999997</v>
      </c>
      <c r="N32" s="86">
        <v>1643.2806599999999</v>
      </c>
      <c r="O32" s="88">
        <v>40.886387849999991</v>
      </c>
      <c r="P32" s="85">
        <v>40.886387849999991</v>
      </c>
      <c r="Q32" s="86">
        <v>1717.2282896999996</v>
      </c>
      <c r="R32" s="88">
        <v>63.55</v>
      </c>
      <c r="S32" s="85">
        <v>63.55</v>
      </c>
      <c r="T32" s="86">
        <v>2669.1</v>
      </c>
      <c r="U32" s="88">
        <v>66.091999999999999</v>
      </c>
      <c r="V32" s="85">
        <v>66.091999999999999</v>
      </c>
      <c r="W32" s="86">
        <v>2775.864</v>
      </c>
      <c r="X32" s="85">
        <v>68.725679999999997</v>
      </c>
      <c r="Y32" s="85">
        <v>68.725679999999997</v>
      </c>
      <c r="Z32" s="86">
        <v>2886.47856</v>
      </c>
      <c r="AA32" s="85">
        <v>72.161963999999998</v>
      </c>
      <c r="AB32" s="85">
        <v>72.161963999999998</v>
      </c>
      <c r="AC32" s="86">
        <v>3030.8024879999998</v>
      </c>
      <c r="AD32" s="85">
        <v>74.319999999999993</v>
      </c>
      <c r="AE32" s="89">
        <v>74.319999999999993</v>
      </c>
      <c r="AF32" s="86">
        <f t="shared" si="20"/>
        <v>3121.4399999999996</v>
      </c>
      <c r="AG32" s="85">
        <f t="shared" si="8"/>
        <v>76.549599999999998</v>
      </c>
      <c r="AH32" s="89">
        <f t="shared" si="8"/>
        <v>76.549599999999998</v>
      </c>
      <c r="AI32" s="86">
        <f t="shared" si="21"/>
        <v>3215.0832</v>
      </c>
      <c r="AJ32" s="85">
        <f t="shared" si="24"/>
        <v>78.846087999999995</v>
      </c>
      <c r="AK32" s="89">
        <f t="shared" si="23"/>
        <v>78.846087999999995</v>
      </c>
      <c r="AL32" s="86">
        <f t="shared" si="22"/>
        <v>3311.5356959999999</v>
      </c>
      <c r="AM32" s="255" t="s">
        <v>89</v>
      </c>
      <c r="AN32" s="277">
        <v>76.938908069999997</v>
      </c>
      <c r="AO32" s="278">
        <v>374.82784280999999</v>
      </c>
      <c r="AP32" s="279">
        <v>15742.76939802</v>
      </c>
      <c r="AQ32" s="255" t="s">
        <v>89</v>
      </c>
      <c r="AR32" s="277">
        <f t="shared" si="10"/>
        <v>79.247075312099994</v>
      </c>
      <c r="AS32" s="278">
        <f t="shared" si="11"/>
        <v>386.07267809429999</v>
      </c>
      <c r="AT32" s="279">
        <f t="shared" si="12"/>
        <v>16215.052479960601</v>
      </c>
      <c r="AU32" s="277">
        <f t="shared" si="13"/>
        <v>81.624487571462993</v>
      </c>
      <c r="AV32" s="278">
        <f t="shared" si="14"/>
        <v>397.65485843712901</v>
      </c>
      <c r="AW32" s="279">
        <f t="shared" si="15"/>
        <v>16701.504054359419</v>
      </c>
      <c r="AX32" s="277">
        <f t="shared" si="16"/>
        <v>84.073222198606885</v>
      </c>
      <c r="AY32" s="278">
        <f t="shared" si="17"/>
        <v>409.58450419024291</v>
      </c>
      <c r="AZ32" s="279">
        <f t="shared" si="18"/>
        <v>17202.549175990203</v>
      </c>
      <c r="BA32" s="277">
        <f t="shared" si="19"/>
        <v>86.59541886456509</v>
      </c>
      <c r="BB32" s="278">
        <f t="shared" si="0"/>
        <v>421.87203931595019</v>
      </c>
      <c r="BC32" s="279">
        <f t="shared" si="1"/>
        <v>17718.625651269911</v>
      </c>
      <c r="BD32" s="277">
        <f t="shared" si="2"/>
        <v>89.19328143050204</v>
      </c>
      <c r="BE32" s="278">
        <f t="shared" si="3"/>
        <v>434.52820049542873</v>
      </c>
      <c r="BF32" s="279">
        <f t="shared" si="4"/>
        <v>18250.184420808007</v>
      </c>
      <c r="BG32" s="277">
        <f t="shared" si="5"/>
        <v>91.869079873417107</v>
      </c>
      <c r="BH32" s="278">
        <f t="shared" si="6"/>
        <v>447.56404651029163</v>
      </c>
      <c r="BI32" s="279">
        <f t="shared" si="7"/>
        <v>18797.689953432247</v>
      </c>
    </row>
    <row r="33" spans="1:61" ht="14.25">
      <c r="A33" s="90">
        <v>260</v>
      </c>
      <c r="B33" s="81" t="s">
        <v>80</v>
      </c>
      <c r="C33" s="101">
        <v>100</v>
      </c>
      <c r="D33" s="92">
        <v>100</v>
      </c>
      <c r="E33" s="92">
        <v>4200</v>
      </c>
      <c r="F33" s="94">
        <v>106.32</v>
      </c>
      <c r="G33" s="92">
        <v>106.32</v>
      </c>
      <c r="H33" s="93">
        <v>4465.4399999999996</v>
      </c>
      <c r="I33" s="95">
        <v>112.16759999999999</v>
      </c>
      <c r="J33" s="92">
        <v>112.16759999999999</v>
      </c>
      <c r="K33" s="93">
        <v>4711.0391999999993</v>
      </c>
      <c r="L33" s="95">
        <v>117.77598</v>
      </c>
      <c r="M33" s="92">
        <v>117.77598</v>
      </c>
      <c r="N33" s="93">
        <v>4946.5911599999999</v>
      </c>
      <c r="O33" s="95">
        <v>123.0758991</v>
      </c>
      <c r="P33" s="92">
        <v>123.0758991</v>
      </c>
      <c r="Q33" s="93">
        <v>5169.1877622000002</v>
      </c>
      <c r="R33" s="95">
        <v>123.0758991</v>
      </c>
      <c r="S33" s="92">
        <v>123.0758991</v>
      </c>
      <c r="T33" s="93">
        <v>5169.1877622000002</v>
      </c>
      <c r="U33" s="95">
        <v>127.99893506400001</v>
      </c>
      <c r="V33" s="92">
        <v>127.99893506400001</v>
      </c>
      <c r="W33" s="93">
        <v>5375.9552726880002</v>
      </c>
      <c r="X33" s="92">
        <v>133.11889246656003</v>
      </c>
      <c r="Y33" s="92">
        <v>133.11889246656003</v>
      </c>
      <c r="Z33" s="93">
        <v>5590.993483595521</v>
      </c>
      <c r="AA33" s="92">
        <v>139.78008708988804</v>
      </c>
      <c r="AB33" s="92">
        <v>139.78008708988804</v>
      </c>
      <c r="AC33" s="93">
        <v>5870.7636577752974</v>
      </c>
      <c r="AD33" s="92">
        <v>143.97</v>
      </c>
      <c r="AE33" s="96">
        <v>143.97</v>
      </c>
      <c r="AF33" s="93">
        <f t="shared" si="20"/>
        <v>6046.74</v>
      </c>
      <c r="AG33" s="92">
        <f t="shared" si="8"/>
        <v>148.28909999999999</v>
      </c>
      <c r="AH33" s="96">
        <f t="shared" si="8"/>
        <v>148.28909999999999</v>
      </c>
      <c r="AI33" s="93">
        <f t="shared" si="21"/>
        <v>6228.1421999999993</v>
      </c>
      <c r="AJ33" s="92">
        <f t="shared" si="24"/>
        <v>152.737773</v>
      </c>
      <c r="AK33" s="96">
        <f t="shared" si="23"/>
        <v>152.737773</v>
      </c>
      <c r="AL33" s="93">
        <f t="shared" si="22"/>
        <v>6414.9864660000003</v>
      </c>
      <c r="AM33" s="259" t="s">
        <v>77</v>
      </c>
      <c r="AN33" s="271">
        <v>81.211470640000002</v>
      </c>
      <c r="AO33" s="272">
        <v>81.211470640000002</v>
      </c>
      <c r="AP33" s="273">
        <v>3410.8817668800002</v>
      </c>
      <c r="AQ33" s="259" t="s">
        <v>77</v>
      </c>
      <c r="AR33" s="271">
        <f t="shared" si="10"/>
        <v>83.647814759200003</v>
      </c>
      <c r="AS33" s="272">
        <f t="shared" si="11"/>
        <v>83.647814759200003</v>
      </c>
      <c r="AT33" s="273">
        <f t="shared" si="12"/>
        <v>3513.2082198864005</v>
      </c>
      <c r="AU33" s="271">
        <f t="shared" si="13"/>
        <v>86.157249201976001</v>
      </c>
      <c r="AV33" s="272">
        <f t="shared" si="14"/>
        <v>86.157249201976001</v>
      </c>
      <c r="AW33" s="273">
        <f t="shared" si="15"/>
        <v>3618.6044664829924</v>
      </c>
      <c r="AX33" s="271">
        <f t="shared" si="16"/>
        <v>88.741966678035283</v>
      </c>
      <c r="AY33" s="272">
        <f t="shared" si="17"/>
        <v>88.741966678035283</v>
      </c>
      <c r="AZ33" s="273">
        <f t="shared" si="18"/>
        <v>3727.1626004774821</v>
      </c>
      <c r="BA33" s="271">
        <f t="shared" si="19"/>
        <v>91.404225678376349</v>
      </c>
      <c r="BB33" s="272">
        <f t="shared" si="0"/>
        <v>91.404225678376349</v>
      </c>
      <c r="BC33" s="273">
        <f t="shared" si="1"/>
        <v>3838.9774784918068</v>
      </c>
      <c r="BD33" s="271">
        <f t="shared" si="2"/>
        <v>94.14635244872764</v>
      </c>
      <c r="BE33" s="272">
        <f t="shared" si="3"/>
        <v>94.14635244872764</v>
      </c>
      <c r="BF33" s="273">
        <f t="shared" si="4"/>
        <v>3954.1468028465611</v>
      </c>
      <c r="BG33" s="271">
        <f t="shared" si="5"/>
        <v>96.970743022189467</v>
      </c>
      <c r="BH33" s="272">
        <f t="shared" si="6"/>
        <v>96.970743022189467</v>
      </c>
      <c r="BI33" s="273">
        <f t="shared" si="7"/>
        <v>4072.7712069319582</v>
      </c>
    </row>
    <row r="34" spans="1:61" ht="14.25">
      <c r="A34" s="97">
        <v>263</v>
      </c>
      <c r="B34" s="82" t="s">
        <v>90</v>
      </c>
      <c r="C34" s="99">
        <v>5.5762711864406782</v>
      </c>
      <c r="D34" s="99">
        <v>201.58</v>
      </c>
      <c r="E34" s="99">
        <v>8466.36</v>
      </c>
      <c r="F34" s="98">
        <v>11.152542372881356</v>
      </c>
      <c r="G34" s="99">
        <v>213.47254237288135</v>
      </c>
      <c r="H34" s="100">
        <v>8965.8467796610166</v>
      </c>
      <c r="I34" s="98">
        <v>11.765932203389829</v>
      </c>
      <c r="J34" s="99">
        <v>225.22353220338982</v>
      </c>
      <c r="K34" s="100">
        <v>9459.3883525423735</v>
      </c>
      <c r="L34" s="98">
        <v>12.35422881355932</v>
      </c>
      <c r="M34" s="99">
        <v>236.47420881355933</v>
      </c>
      <c r="N34" s="100">
        <v>9931.9167701694914</v>
      </c>
      <c r="O34" s="98">
        <v>12.910169110169489</v>
      </c>
      <c r="P34" s="99">
        <v>247.11554821016949</v>
      </c>
      <c r="Q34" s="100">
        <v>10378.853024827118</v>
      </c>
      <c r="R34" s="98">
        <v>12.910169110169489</v>
      </c>
      <c r="S34" s="99">
        <v>247.11554821016949</v>
      </c>
      <c r="T34" s="100">
        <v>10378.853024827118</v>
      </c>
      <c r="U34" s="98">
        <v>13.426575874576269</v>
      </c>
      <c r="V34" s="99">
        <v>257.00017013857627</v>
      </c>
      <c r="W34" s="100">
        <v>10794.007145820204</v>
      </c>
      <c r="X34" s="99">
        <v>13.96363890955932</v>
      </c>
      <c r="Y34" s="99">
        <v>267.27017694411933</v>
      </c>
      <c r="Z34" s="100">
        <v>11225.347431653012</v>
      </c>
      <c r="AA34" s="99">
        <v>14.661820855037286</v>
      </c>
      <c r="AB34" s="99">
        <v>280.62893579132532</v>
      </c>
      <c r="AC34" s="100">
        <v>11786.415303235663</v>
      </c>
      <c r="AD34" s="99">
        <v>15.1</v>
      </c>
      <c r="AE34" s="96">
        <v>289.05</v>
      </c>
      <c r="AF34" s="100">
        <f t="shared" si="20"/>
        <v>12140.1</v>
      </c>
      <c r="AG34" s="99">
        <f t="shared" si="8"/>
        <v>15.553000000000001</v>
      </c>
      <c r="AH34" s="96">
        <f t="shared" si="8"/>
        <v>297.72149999999999</v>
      </c>
      <c r="AI34" s="100">
        <f t="shared" si="21"/>
        <v>12504.303</v>
      </c>
      <c r="AJ34" s="99">
        <f t="shared" si="24"/>
        <v>16.019590000000001</v>
      </c>
      <c r="AK34" s="96">
        <f t="shared" si="23"/>
        <v>306.65314499999999</v>
      </c>
      <c r="AL34" s="100">
        <f t="shared" si="22"/>
        <v>12879.43209</v>
      </c>
      <c r="AM34" s="256" t="s">
        <v>80</v>
      </c>
      <c r="AN34" s="274">
        <v>157.31990619000001</v>
      </c>
      <c r="AO34" s="275">
        <v>157.31990619000001</v>
      </c>
      <c r="AP34" s="276">
        <v>6607.4360599800002</v>
      </c>
      <c r="AQ34" s="256" t="s">
        <v>80</v>
      </c>
      <c r="AR34" s="274">
        <f t="shared" si="10"/>
        <v>162.03950337570001</v>
      </c>
      <c r="AS34" s="275">
        <f t="shared" si="11"/>
        <v>162.03950337570001</v>
      </c>
      <c r="AT34" s="276">
        <f t="shared" si="12"/>
        <v>6805.6591417794007</v>
      </c>
      <c r="AU34" s="274">
        <f t="shared" si="13"/>
        <v>166.900688476971</v>
      </c>
      <c r="AV34" s="275">
        <f t="shared" si="14"/>
        <v>166.900688476971</v>
      </c>
      <c r="AW34" s="276">
        <f t="shared" si="15"/>
        <v>7009.8289160327831</v>
      </c>
      <c r="AX34" s="274">
        <f t="shared" si="16"/>
        <v>171.90770913128014</v>
      </c>
      <c r="AY34" s="275">
        <f t="shared" si="17"/>
        <v>171.90770913128014</v>
      </c>
      <c r="AZ34" s="276">
        <f t="shared" si="18"/>
        <v>7220.1237835137672</v>
      </c>
      <c r="BA34" s="274">
        <f t="shared" si="19"/>
        <v>177.06494040521855</v>
      </c>
      <c r="BB34" s="275">
        <f t="shared" si="0"/>
        <v>177.06494040521855</v>
      </c>
      <c r="BC34" s="276">
        <f t="shared" si="1"/>
        <v>7436.7274970191802</v>
      </c>
      <c r="BD34" s="274">
        <f t="shared" si="2"/>
        <v>182.3768886173751</v>
      </c>
      <c r="BE34" s="275">
        <f t="shared" si="3"/>
        <v>182.3768886173751</v>
      </c>
      <c r="BF34" s="276">
        <f t="shared" si="4"/>
        <v>7659.8293219297557</v>
      </c>
      <c r="BG34" s="274">
        <f t="shared" si="5"/>
        <v>187.84819527589636</v>
      </c>
      <c r="BH34" s="275">
        <f t="shared" si="6"/>
        <v>187.84819527589636</v>
      </c>
      <c r="BI34" s="276">
        <f t="shared" si="7"/>
        <v>7889.6242015876487</v>
      </c>
    </row>
    <row r="35" spans="1:61" ht="14.25">
      <c r="A35" s="90">
        <v>264</v>
      </c>
      <c r="B35" s="81" t="s">
        <v>91</v>
      </c>
      <c r="C35" s="101">
        <v>96</v>
      </c>
      <c r="D35" s="92">
        <v>196</v>
      </c>
      <c r="E35" s="92">
        <v>8232</v>
      </c>
      <c r="F35" s="94">
        <v>96</v>
      </c>
      <c r="G35" s="92">
        <v>202.32</v>
      </c>
      <c r="H35" s="93">
        <v>8497.44</v>
      </c>
      <c r="I35" s="95">
        <v>101.28</v>
      </c>
      <c r="J35" s="92">
        <v>213.44759999999999</v>
      </c>
      <c r="K35" s="93">
        <v>8964.7991999999995</v>
      </c>
      <c r="L35" s="95">
        <v>106.34400000000001</v>
      </c>
      <c r="M35" s="92">
        <v>224.11998</v>
      </c>
      <c r="N35" s="93">
        <v>9413.0391600000003</v>
      </c>
      <c r="O35" s="95">
        <v>111.12948</v>
      </c>
      <c r="P35" s="92">
        <v>234.20537910000002</v>
      </c>
      <c r="Q35" s="93">
        <v>9836.6259222000008</v>
      </c>
      <c r="R35" s="95">
        <v>111.12948</v>
      </c>
      <c r="S35" s="92">
        <v>234.20537910000002</v>
      </c>
      <c r="T35" s="93">
        <v>9836.6259222000008</v>
      </c>
      <c r="U35" s="95">
        <v>115.5746592</v>
      </c>
      <c r="V35" s="92">
        <v>243.57359426400001</v>
      </c>
      <c r="W35" s="93">
        <v>10230.090959088</v>
      </c>
      <c r="X35" s="92">
        <v>120.18764556799999</v>
      </c>
      <c r="Y35" s="92">
        <v>253.30653803456002</v>
      </c>
      <c r="Z35" s="93">
        <v>10638.87459745152</v>
      </c>
      <c r="AA35" s="92">
        <v>126.1870278464</v>
      </c>
      <c r="AB35" s="92">
        <v>265.96711493628806</v>
      </c>
      <c r="AC35" s="93">
        <v>11170.618827324099</v>
      </c>
      <c r="AD35" s="92">
        <v>129.97999999999999</v>
      </c>
      <c r="AE35" s="96">
        <v>273.95</v>
      </c>
      <c r="AF35" s="93">
        <f t="shared" si="20"/>
        <v>11505.9</v>
      </c>
      <c r="AG35" s="92">
        <f t="shared" si="8"/>
        <v>133.8794</v>
      </c>
      <c r="AH35" s="96">
        <f t="shared" si="8"/>
        <v>282.16849999999999</v>
      </c>
      <c r="AI35" s="93">
        <f t="shared" si="21"/>
        <v>11851.076999999999</v>
      </c>
      <c r="AJ35" s="92">
        <f t="shared" si="24"/>
        <v>137.895782</v>
      </c>
      <c r="AK35" s="96">
        <f t="shared" si="23"/>
        <v>290.633555</v>
      </c>
      <c r="AL35" s="93">
        <f t="shared" si="22"/>
        <v>12206.60931</v>
      </c>
      <c r="AM35" s="256" t="s">
        <v>90</v>
      </c>
      <c r="AN35" s="274">
        <v>16.500177700000002</v>
      </c>
      <c r="AO35" s="275">
        <v>315.85273934999998</v>
      </c>
      <c r="AP35" s="276">
        <v>13265.8150527</v>
      </c>
      <c r="AQ35" s="256" t="s">
        <v>90</v>
      </c>
      <c r="AR35" s="274">
        <f t="shared" si="10"/>
        <v>16.995183031000003</v>
      </c>
      <c r="AS35" s="275">
        <f t="shared" si="11"/>
        <v>325.32832153049998</v>
      </c>
      <c r="AT35" s="276">
        <f t="shared" si="12"/>
        <v>13663.789504281</v>
      </c>
      <c r="AU35" s="274">
        <f t="shared" si="13"/>
        <v>17.505038521930004</v>
      </c>
      <c r="AV35" s="275">
        <f t="shared" si="14"/>
        <v>335.08817117641496</v>
      </c>
      <c r="AW35" s="276">
        <f t="shared" si="15"/>
        <v>14073.703189409431</v>
      </c>
      <c r="AX35" s="274">
        <f t="shared" si="16"/>
        <v>18.030189677587906</v>
      </c>
      <c r="AY35" s="275">
        <f t="shared" si="17"/>
        <v>345.1408163117074</v>
      </c>
      <c r="AZ35" s="276">
        <f t="shared" si="18"/>
        <v>14495.914285091714</v>
      </c>
      <c r="BA35" s="274">
        <f t="shared" si="19"/>
        <v>18.571095367915543</v>
      </c>
      <c r="BB35" s="275">
        <f t="shared" si="0"/>
        <v>355.49504080105862</v>
      </c>
      <c r="BC35" s="276">
        <f t="shared" si="1"/>
        <v>14930.791713644467</v>
      </c>
      <c r="BD35" s="274">
        <f t="shared" si="2"/>
        <v>19.128228228953009</v>
      </c>
      <c r="BE35" s="275">
        <f t="shared" si="3"/>
        <v>366.15989202509041</v>
      </c>
      <c r="BF35" s="276">
        <f t="shared" si="4"/>
        <v>15378.715465053801</v>
      </c>
      <c r="BG35" s="274">
        <f t="shared" si="5"/>
        <v>19.7020750758216</v>
      </c>
      <c r="BH35" s="275">
        <f t="shared" si="6"/>
        <v>377.14468878584313</v>
      </c>
      <c r="BI35" s="276">
        <f t="shared" si="7"/>
        <v>15840.076929005416</v>
      </c>
    </row>
    <row r="36" spans="1:61" ht="14.25">
      <c r="A36" s="90">
        <v>264</v>
      </c>
      <c r="B36" s="81" t="s">
        <v>92</v>
      </c>
      <c r="C36" s="101"/>
      <c r="D36" s="92"/>
      <c r="E36" s="92"/>
      <c r="F36" s="105"/>
      <c r="G36" s="92"/>
      <c r="H36" s="93"/>
      <c r="I36" s="95"/>
      <c r="J36" s="92"/>
      <c r="K36" s="93"/>
      <c r="L36" s="95"/>
      <c r="M36" s="92"/>
      <c r="N36" s="93"/>
      <c r="O36" s="95">
        <v>93.054100899999995</v>
      </c>
      <c r="P36" s="92">
        <v>216.13</v>
      </c>
      <c r="Q36" s="93">
        <v>9077.4599999999991</v>
      </c>
      <c r="R36" s="95">
        <v>96.781064935999993</v>
      </c>
      <c r="S36" s="95">
        <v>224.78</v>
      </c>
      <c r="T36" s="93">
        <v>9440.76</v>
      </c>
      <c r="U36" s="95">
        <v>96.781064935999993</v>
      </c>
      <c r="V36" s="95">
        <v>224.78</v>
      </c>
      <c r="W36" s="93">
        <v>9440.76</v>
      </c>
      <c r="X36" s="92">
        <v>100.65230753343999</v>
      </c>
      <c r="Y36" s="92">
        <v>233.77120000000002</v>
      </c>
      <c r="Z36" s="93">
        <v>9818.3904000000002</v>
      </c>
      <c r="AA36" s="92">
        <v>105.67492291011199</v>
      </c>
      <c r="AB36" s="92">
        <v>245.45501000000002</v>
      </c>
      <c r="AC36" s="93">
        <v>10309.110420000001</v>
      </c>
      <c r="AD36" s="92">
        <v>108.84</v>
      </c>
      <c r="AE36" s="96">
        <v>252.81</v>
      </c>
      <c r="AF36" s="93">
        <f t="shared" si="20"/>
        <v>10618.02</v>
      </c>
      <c r="AG36" s="92">
        <f>AD36*(1+$AI$2)-0.01</f>
        <v>112.09520000000001</v>
      </c>
      <c r="AH36" s="96">
        <f>AE36*(1+$AI$2)</f>
        <v>260.39429999999999</v>
      </c>
      <c r="AI36" s="93">
        <f t="shared" si="21"/>
        <v>10936.560599999999</v>
      </c>
      <c r="AJ36" s="92">
        <f>AG36*(1+$AI$2)-0.01</f>
        <v>115.44805600000001</v>
      </c>
      <c r="AK36" s="96">
        <f>AH36*(1+$AI$2)-0.02</f>
        <v>268.18612899999999</v>
      </c>
      <c r="AL36" s="93">
        <f t="shared" si="22"/>
        <v>11263.817418000001</v>
      </c>
      <c r="AM36" s="256" t="s">
        <v>91</v>
      </c>
      <c r="AN36" s="274">
        <v>142.03265546</v>
      </c>
      <c r="AO36" s="275">
        <v>299.35256164999998</v>
      </c>
      <c r="AP36" s="276">
        <v>12572.8075893</v>
      </c>
      <c r="AQ36" s="256" t="s">
        <v>91</v>
      </c>
      <c r="AR36" s="274">
        <f t="shared" si="10"/>
        <v>146.29363512380002</v>
      </c>
      <c r="AS36" s="275">
        <f t="shared" si="11"/>
        <v>308.33313849949997</v>
      </c>
      <c r="AT36" s="276">
        <f t="shared" si="12"/>
        <v>12949.991816979002</v>
      </c>
      <c r="AU36" s="274">
        <f t="shared" si="13"/>
        <v>150.68244417751401</v>
      </c>
      <c r="AV36" s="275">
        <f t="shared" si="14"/>
        <v>317.58313265448498</v>
      </c>
      <c r="AW36" s="276">
        <f t="shared" si="15"/>
        <v>13338.491571488372</v>
      </c>
      <c r="AX36" s="274">
        <f t="shared" si="16"/>
        <v>155.20291750283943</v>
      </c>
      <c r="AY36" s="275">
        <f t="shared" si="17"/>
        <v>327.11062663411957</v>
      </c>
      <c r="AZ36" s="276">
        <f t="shared" si="18"/>
        <v>13738.646318633024</v>
      </c>
      <c r="BA36" s="274">
        <f t="shared" si="19"/>
        <v>159.85900502792461</v>
      </c>
      <c r="BB36" s="275">
        <f t="shared" si="0"/>
        <v>336.92394543314316</v>
      </c>
      <c r="BC36" s="276">
        <f t="shared" si="1"/>
        <v>14150.805708192014</v>
      </c>
      <c r="BD36" s="274">
        <f t="shared" si="2"/>
        <v>164.65477517876235</v>
      </c>
      <c r="BE36" s="275">
        <f t="shared" si="3"/>
        <v>347.03166379613748</v>
      </c>
      <c r="BF36" s="276">
        <f t="shared" si="4"/>
        <v>14575.329879437775</v>
      </c>
      <c r="BG36" s="274">
        <f t="shared" si="5"/>
        <v>169.59441843412523</v>
      </c>
      <c r="BH36" s="275">
        <f t="shared" si="6"/>
        <v>357.44261371002159</v>
      </c>
      <c r="BI36" s="276">
        <f t="shared" si="7"/>
        <v>15012.589775820908</v>
      </c>
    </row>
    <row r="37" spans="1:61" ht="14.25">
      <c r="A37" s="90">
        <v>271</v>
      </c>
      <c r="B37" s="81" t="s">
        <v>93</v>
      </c>
      <c r="C37" s="101">
        <v>14</v>
      </c>
      <c r="D37" s="92">
        <v>210</v>
      </c>
      <c r="E37" s="92">
        <v>8820</v>
      </c>
      <c r="F37" s="105">
        <v>28</v>
      </c>
      <c r="G37" s="92">
        <v>230.32</v>
      </c>
      <c r="H37" s="93">
        <v>9673.44</v>
      </c>
      <c r="I37" s="95">
        <v>29.54</v>
      </c>
      <c r="J37" s="92">
        <v>242.98759999999999</v>
      </c>
      <c r="K37" s="93">
        <v>10205.4792</v>
      </c>
      <c r="L37" s="95">
        <v>31.016999999999999</v>
      </c>
      <c r="M37" s="92">
        <v>255.13697999999999</v>
      </c>
      <c r="N37" s="93">
        <v>10715.75316</v>
      </c>
      <c r="O37" s="95">
        <v>32.412765</v>
      </c>
      <c r="P37" s="92">
        <v>266.61814409999999</v>
      </c>
      <c r="Q37" s="93">
        <v>11197.9620522</v>
      </c>
      <c r="R37" s="95">
        <v>32.412765</v>
      </c>
      <c r="S37" s="92">
        <v>266.61814409999999</v>
      </c>
      <c r="T37" s="93">
        <v>11197.9620522</v>
      </c>
      <c r="U37" s="95">
        <v>33.709275599999998</v>
      </c>
      <c r="V37" s="92">
        <v>277.28286986400002</v>
      </c>
      <c r="W37" s="93">
        <v>11645.880534288</v>
      </c>
      <c r="X37" s="92">
        <v>35.067646623999998</v>
      </c>
      <c r="Y37" s="92">
        <v>288.37418465856001</v>
      </c>
      <c r="Z37" s="93">
        <v>12111.715755659521</v>
      </c>
      <c r="AA37" s="92">
        <v>36.821028955199999</v>
      </c>
      <c r="AB37" s="92">
        <v>302.78814389148806</v>
      </c>
      <c r="AC37" s="93">
        <v>12717.102043442499</v>
      </c>
      <c r="AD37" s="92">
        <v>37.92</v>
      </c>
      <c r="AE37" s="96">
        <v>311.87</v>
      </c>
      <c r="AF37" s="93">
        <f t="shared" si="20"/>
        <v>13098.54</v>
      </c>
      <c r="AG37" s="92">
        <f t="shared" si="8"/>
        <v>39.057600000000001</v>
      </c>
      <c r="AH37" s="96">
        <f t="shared" si="8"/>
        <v>321.22610000000003</v>
      </c>
      <c r="AI37" s="93">
        <f t="shared" si="21"/>
        <v>13491.496200000001</v>
      </c>
      <c r="AJ37" s="92">
        <f t="shared" ref="AJ37:AK47" si="25">AG37*(1+$AI$2)</f>
        <v>40.229328000000002</v>
      </c>
      <c r="AK37" s="96">
        <f>AH37*(1+$AI$2)</f>
        <v>330.86288300000007</v>
      </c>
      <c r="AL37" s="93">
        <f t="shared" si="22"/>
        <v>13896.241086000004</v>
      </c>
      <c r="AM37" s="256" t="s">
        <v>92</v>
      </c>
      <c r="AN37" s="274">
        <v>118.91149768000001</v>
      </c>
      <c r="AO37" s="275">
        <v>276.23171287000002</v>
      </c>
      <c r="AP37" s="276">
        <v>11601.731940540001</v>
      </c>
      <c r="AQ37" s="256" t="s">
        <v>92</v>
      </c>
      <c r="AR37" s="274">
        <f t="shared" si="10"/>
        <v>122.47884261040001</v>
      </c>
      <c r="AS37" s="275">
        <f t="shared" si="11"/>
        <v>284.51866425610001</v>
      </c>
      <c r="AT37" s="276">
        <f t="shared" si="12"/>
        <v>11949.783898756201</v>
      </c>
      <c r="AU37" s="274">
        <f t="shared" si="13"/>
        <v>126.15320788871202</v>
      </c>
      <c r="AV37" s="275">
        <f t="shared" si="14"/>
        <v>293.05422418378299</v>
      </c>
      <c r="AW37" s="276">
        <f t="shared" si="15"/>
        <v>12308.277415718887</v>
      </c>
      <c r="AX37" s="274">
        <f t="shared" si="16"/>
        <v>129.93780412537339</v>
      </c>
      <c r="AY37" s="275">
        <f t="shared" si="17"/>
        <v>301.84585090929647</v>
      </c>
      <c r="AZ37" s="276">
        <f t="shared" si="18"/>
        <v>12677.525738190454</v>
      </c>
      <c r="BA37" s="274">
        <f t="shared" si="19"/>
        <v>133.83593824913459</v>
      </c>
      <c r="BB37" s="275">
        <f t="shared" si="0"/>
        <v>310.90122643657537</v>
      </c>
      <c r="BC37" s="276">
        <f t="shared" si="1"/>
        <v>13057.851510336168</v>
      </c>
      <c r="BD37" s="274">
        <f t="shared" si="2"/>
        <v>137.85101639660863</v>
      </c>
      <c r="BE37" s="275">
        <f t="shared" si="3"/>
        <v>320.22826322967262</v>
      </c>
      <c r="BF37" s="276">
        <f t="shared" si="4"/>
        <v>13449.587055646252</v>
      </c>
      <c r="BG37" s="274">
        <f t="shared" si="5"/>
        <v>141.98654688850689</v>
      </c>
      <c r="BH37" s="275">
        <f t="shared" si="6"/>
        <v>329.83511112656282</v>
      </c>
      <c r="BI37" s="276">
        <f t="shared" si="7"/>
        <v>13853.074667315641</v>
      </c>
    </row>
    <row r="38" spans="1:61" ht="14.25">
      <c r="A38" s="97">
        <v>273</v>
      </c>
      <c r="B38" s="82" t="s">
        <v>94</v>
      </c>
      <c r="C38" s="99">
        <v>9.1265822784810133</v>
      </c>
      <c r="D38" s="99">
        <v>219.13</v>
      </c>
      <c r="E38" s="99">
        <v>9203.4599999999991</v>
      </c>
      <c r="F38" s="98">
        <v>18.253164556962027</v>
      </c>
      <c r="G38" s="99">
        <v>248.57316455696201</v>
      </c>
      <c r="H38" s="100">
        <v>10440.072911392404</v>
      </c>
      <c r="I38" s="98">
        <v>19.257088607594937</v>
      </c>
      <c r="J38" s="99">
        <v>262.25468860759491</v>
      </c>
      <c r="K38" s="100">
        <v>11014.696921518986</v>
      </c>
      <c r="L38" s="98">
        <v>20.219943037974684</v>
      </c>
      <c r="M38" s="99">
        <v>275.3569230379747</v>
      </c>
      <c r="N38" s="100">
        <v>11564.990767594938</v>
      </c>
      <c r="O38" s="98">
        <v>21.129840474683544</v>
      </c>
      <c r="P38" s="99">
        <v>287.74798457468353</v>
      </c>
      <c r="Q38" s="100">
        <v>12085.415352136708</v>
      </c>
      <c r="R38" s="98">
        <v>21.129840474683544</v>
      </c>
      <c r="S38" s="99">
        <v>287.74798457468353</v>
      </c>
      <c r="T38" s="100">
        <v>12085.415352136708</v>
      </c>
      <c r="U38" s="98">
        <v>21.975034093670885</v>
      </c>
      <c r="V38" s="99">
        <v>299.25790395767092</v>
      </c>
      <c r="W38" s="100">
        <v>12568.831966222178</v>
      </c>
      <c r="X38" s="99">
        <v>22.854035457417723</v>
      </c>
      <c r="Y38" s="99">
        <v>311.22822011597771</v>
      </c>
      <c r="Z38" s="100">
        <v>13071.585244871063</v>
      </c>
      <c r="AA38" s="99">
        <v>23.996737230288609</v>
      </c>
      <c r="AB38" s="99">
        <v>326.78488112177666</v>
      </c>
      <c r="AC38" s="100">
        <v>13724.965007114621</v>
      </c>
      <c r="AD38" s="99">
        <v>24.72</v>
      </c>
      <c r="AE38" s="96">
        <v>336.59</v>
      </c>
      <c r="AF38" s="100">
        <f t="shared" si="20"/>
        <v>14136.779999999999</v>
      </c>
      <c r="AG38" s="99">
        <f t="shared" si="8"/>
        <v>25.461600000000001</v>
      </c>
      <c r="AH38" s="96">
        <f t="shared" si="8"/>
        <v>346.68770000000001</v>
      </c>
      <c r="AI38" s="100">
        <f t="shared" si="21"/>
        <v>14560.883400000001</v>
      </c>
      <c r="AJ38" s="99">
        <f t="shared" si="25"/>
        <v>26.225448</v>
      </c>
      <c r="AK38" s="96">
        <f t="shared" si="25"/>
        <v>357.08833100000004</v>
      </c>
      <c r="AL38" s="100">
        <f t="shared" si="22"/>
        <v>14997.709902000002</v>
      </c>
      <c r="AM38" s="256" t="s">
        <v>93</v>
      </c>
      <c r="AN38" s="274">
        <v>41.435889570000022</v>
      </c>
      <c r="AO38" s="275">
        <v>340.78845122000001</v>
      </c>
      <c r="AP38" s="276">
        <v>14313.114951240001</v>
      </c>
      <c r="AQ38" s="256" t="s">
        <v>93</v>
      </c>
      <c r="AR38" s="274">
        <f t="shared" si="10"/>
        <v>42.678966257100022</v>
      </c>
      <c r="AS38" s="275">
        <f t="shared" si="11"/>
        <v>351.01210475660002</v>
      </c>
      <c r="AT38" s="276">
        <f t="shared" si="12"/>
        <v>14742.508399777202</v>
      </c>
      <c r="AU38" s="274">
        <f t="shared" si="13"/>
        <v>43.959335244813026</v>
      </c>
      <c r="AV38" s="275">
        <f t="shared" si="14"/>
        <v>361.54246789929806</v>
      </c>
      <c r="AW38" s="276">
        <f t="shared" si="15"/>
        <v>15184.783651770518</v>
      </c>
      <c r="AX38" s="274">
        <f t="shared" si="16"/>
        <v>45.278115302157417</v>
      </c>
      <c r="AY38" s="275">
        <f t="shared" si="17"/>
        <v>372.38874193627703</v>
      </c>
      <c r="AZ38" s="276">
        <f t="shared" si="18"/>
        <v>15640.327161323634</v>
      </c>
      <c r="BA38" s="274">
        <f t="shared" si="19"/>
        <v>46.636458761222144</v>
      </c>
      <c r="BB38" s="275">
        <f t="shared" si="0"/>
        <v>383.56040419436533</v>
      </c>
      <c r="BC38" s="276">
        <f t="shared" si="1"/>
        <v>16109.536976163343</v>
      </c>
      <c r="BD38" s="274">
        <f t="shared" si="2"/>
        <v>48.035552524058808</v>
      </c>
      <c r="BE38" s="275">
        <f t="shared" si="3"/>
        <v>395.06721632019628</v>
      </c>
      <c r="BF38" s="276">
        <f t="shared" si="4"/>
        <v>16592.823085448243</v>
      </c>
      <c r="BG38" s="274">
        <f t="shared" si="5"/>
        <v>49.476619099780571</v>
      </c>
      <c r="BH38" s="275">
        <f t="shared" si="6"/>
        <v>406.91923280980217</v>
      </c>
      <c r="BI38" s="276">
        <f t="shared" si="7"/>
        <v>17090.60777801169</v>
      </c>
    </row>
    <row r="39" spans="1:61" ht="14.25">
      <c r="A39" s="97">
        <v>280</v>
      </c>
      <c r="B39" s="82" t="s">
        <v>95</v>
      </c>
      <c r="C39" s="99">
        <v>4.4303797468354427</v>
      </c>
      <c r="D39" s="99">
        <v>223.56</v>
      </c>
      <c r="E39" s="99">
        <v>9389.52</v>
      </c>
      <c r="F39" s="98">
        <v>8.8607594936708853</v>
      </c>
      <c r="G39" s="99">
        <v>257.43392405063292</v>
      </c>
      <c r="H39" s="100">
        <v>10812.224810126583</v>
      </c>
      <c r="I39" s="98">
        <v>9.348101265822784</v>
      </c>
      <c r="J39" s="99">
        <v>271.60278987341769</v>
      </c>
      <c r="K39" s="100">
        <v>11407.317174683543</v>
      </c>
      <c r="L39" s="98">
        <v>9.8155063291139228</v>
      </c>
      <c r="M39" s="99">
        <v>285.17242936708863</v>
      </c>
      <c r="N39" s="100">
        <v>11977.242033417722</v>
      </c>
      <c r="O39" s="98">
        <v>10.257204113924049</v>
      </c>
      <c r="P39" s="99">
        <v>298.00518868860757</v>
      </c>
      <c r="Q39" s="100">
        <v>12516.217924921519</v>
      </c>
      <c r="R39" s="98">
        <v>10.257204113924049</v>
      </c>
      <c r="S39" s="99">
        <v>298.00518868860757</v>
      </c>
      <c r="T39" s="100">
        <v>12516.217924921519</v>
      </c>
      <c r="U39" s="98">
        <v>10.667492278481012</v>
      </c>
      <c r="V39" s="99">
        <v>309.92539623615193</v>
      </c>
      <c r="W39" s="100">
        <v>13016.866641918381</v>
      </c>
      <c r="X39" s="99">
        <v>11.104191969620253</v>
      </c>
      <c r="Y39" s="99">
        <v>322.33241208559798</v>
      </c>
      <c r="Z39" s="100">
        <v>13537.961307595115</v>
      </c>
      <c r="AA39" s="99">
        <v>11.659401568101266</v>
      </c>
      <c r="AB39" s="99">
        <v>338.44428268987792</v>
      </c>
      <c r="AC39" s="100">
        <v>14214.659872974873</v>
      </c>
      <c r="AD39" s="99">
        <v>12.01</v>
      </c>
      <c r="AE39" s="96">
        <v>348.6</v>
      </c>
      <c r="AF39" s="100">
        <f t="shared" si="20"/>
        <v>14641.2</v>
      </c>
      <c r="AG39" s="99">
        <f t="shared" si="8"/>
        <v>12.3703</v>
      </c>
      <c r="AH39" s="96">
        <f t="shared" si="8"/>
        <v>359.05800000000005</v>
      </c>
      <c r="AI39" s="100">
        <f t="shared" si="21"/>
        <v>15080.436000000002</v>
      </c>
      <c r="AJ39" s="99">
        <f t="shared" si="25"/>
        <v>12.741409000000001</v>
      </c>
      <c r="AK39" s="96">
        <f t="shared" si="25"/>
        <v>369.82974000000007</v>
      </c>
      <c r="AL39" s="100">
        <f t="shared" si="22"/>
        <v>15532.849080000004</v>
      </c>
      <c r="AM39" s="256" t="s">
        <v>94</v>
      </c>
      <c r="AN39" s="274">
        <v>27.012211440000002</v>
      </c>
      <c r="AO39" s="275">
        <v>367.80098093000004</v>
      </c>
      <c r="AP39" s="276">
        <v>15447.641199060003</v>
      </c>
      <c r="AQ39" s="256" t="s">
        <v>94</v>
      </c>
      <c r="AR39" s="274">
        <f t="shared" si="10"/>
        <v>27.822577783200003</v>
      </c>
      <c r="AS39" s="275">
        <f t="shared" si="11"/>
        <v>378.83501035790005</v>
      </c>
      <c r="AT39" s="276">
        <f t="shared" si="12"/>
        <v>15911.070435031803</v>
      </c>
      <c r="AU39" s="274">
        <f t="shared" si="13"/>
        <v>28.657255116696003</v>
      </c>
      <c r="AV39" s="275">
        <f t="shared" si="14"/>
        <v>390.20006066863704</v>
      </c>
      <c r="AW39" s="276">
        <f t="shared" si="15"/>
        <v>16388.402548082759</v>
      </c>
      <c r="AX39" s="274">
        <f t="shared" si="16"/>
        <v>29.516972770196883</v>
      </c>
      <c r="AY39" s="275">
        <f t="shared" si="17"/>
        <v>401.90606248869614</v>
      </c>
      <c r="AZ39" s="276">
        <f t="shared" si="18"/>
        <v>16880.054624525241</v>
      </c>
      <c r="BA39" s="274">
        <f t="shared" ref="BA39:BA61" si="26">AX39*(1+$BC$2)</f>
        <v>30.402481953302789</v>
      </c>
      <c r="BB39" s="275">
        <f t="shared" ref="BB39:BB61" si="27">AY39*(1+$BC$2)</f>
        <v>413.96324436335703</v>
      </c>
      <c r="BC39" s="276">
        <f t="shared" ref="BC39:BC61" si="28">AZ39*(1+$BC$2)</f>
        <v>17386.456263261</v>
      </c>
      <c r="BD39" s="274">
        <f t="shared" ref="BD39:BD61" si="29">BA39*(1+$BF$2)</f>
        <v>31.314556411901872</v>
      </c>
      <c r="BE39" s="275">
        <f t="shared" ref="BE39:BE61" si="30">BB39*(1+$BF$2)</f>
        <v>426.38214169425777</v>
      </c>
      <c r="BF39" s="276">
        <f t="shared" ref="BF39:BF61" si="31">BC39*(1+$BF$2)</f>
        <v>17908.049951158831</v>
      </c>
      <c r="BG39" s="274">
        <f t="shared" si="5"/>
        <v>32.253993104258932</v>
      </c>
      <c r="BH39" s="275">
        <f t="shared" si="6"/>
        <v>439.17360594508551</v>
      </c>
      <c r="BI39" s="276">
        <f t="shared" si="7"/>
        <v>18445.291449693595</v>
      </c>
    </row>
    <row r="40" spans="1:61" ht="14.25">
      <c r="A40" s="90">
        <v>278</v>
      </c>
      <c r="B40" s="81" t="s">
        <v>96</v>
      </c>
      <c r="C40" s="101">
        <v>14</v>
      </c>
      <c r="D40" s="92">
        <v>224</v>
      </c>
      <c r="E40" s="92">
        <v>9408</v>
      </c>
      <c r="F40" s="94">
        <v>28</v>
      </c>
      <c r="G40" s="92">
        <v>258.32</v>
      </c>
      <c r="H40" s="93">
        <v>10849.44</v>
      </c>
      <c r="I40" s="95">
        <v>29.54</v>
      </c>
      <c r="J40" s="92">
        <v>272.52760000000001</v>
      </c>
      <c r="K40" s="93">
        <v>11446.1592</v>
      </c>
      <c r="L40" s="95">
        <v>31.016999999999999</v>
      </c>
      <c r="M40" s="92">
        <v>286.16397999999998</v>
      </c>
      <c r="N40" s="93">
        <v>12018.887159999998</v>
      </c>
      <c r="O40" s="95">
        <v>32.418968399999997</v>
      </c>
      <c r="P40" s="92">
        <v>299.03711249999998</v>
      </c>
      <c r="Q40" s="93">
        <v>12559.558724999999</v>
      </c>
      <c r="R40" s="95">
        <v>32.422764999999998</v>
      </c>
      <c r="S40" s="92">
        <v>299.04090910000002</v>
      </c>
      <c r="T40" s="93">
        <v>12559.7181822</v>
      </c>
      <c r="U40" s="95">
        <v>33.719675600000002</v>
      </c>
      <c r="V40" s="92">
        <v>311.00254546400004</v>
      </c>
      <c r="W40" s="93">
        <v>13062.106909488002</v>
      </c>
      <c r="X40" s="92">
        <v>35.058462624000008</v>
      </c>
      <c r="Y40" s="92">
        <v>323.43264728256003</v>
      </c>
      <c r="Z40" s="93">
        <v>13584.171185867521</v>
      </c>
      <c r="AA40" s="92">
        <v>36.811385755200007</v>
      </c>
      <c r="AB40" s="92">
        <v>339.59952964668798</v>
      </c>
      <c r="AC40" s="93">
        <v>14263.1802451609</v>
      </c>
      <c r="AD40" s="92">
        <v>37.909999999999997</v>
      </c>
      <c r="AE40" s="96">
        <v>349.78</v>
      </c>
      <c r="AF40" s="93">
        <f t="shared" si="20"/>
        <v>14690.759999999998</v>
      </c>
      <c r="AG40" s="92">
        <f t="shared" si="8"/>
        <v>39.0473</v>
      </c>
      <c r="AH40" s="96">
        <f t="shared" si="8"/>
        <v>360.27339999999998</v>
      </c>
      <c r="AI40" s="93">
        <f t="shared" si="21"/>
        <v>15131.4828</v>
      </c>
      <c r="AJ40" s="92">
        <f t="shared" si="25"/>
        <v>40.218719</v>
      </c>
      <c r="AK40" s="288">
        <f t="shared" si="25"/>
        <v>371.08160199999998</v>
      </c>
      <c r="AL40" s="93">
        <f t="shared" si="22"/>
        <v>15585.427283999999</v>
      </c>
      <c r="AM40" s="256" t="s">
        <v>95</v>
      </c>
      <c r="AN40" s="274">
        <v>13.123651270000002</v>
      </c>
      <c r="AO40" s="275">
        <v>380.92463220000008</v>
      </c>
      <c r="AP40" s="276">
        <v>15998.834552400003</v>
      </c>
      <c r="AQ40" s="256" t="s">
        <v>95</v>
      </c>
      <c r="AR40" s="274">
        <f t="shared" si="10"/>
        <v>13.517360808100001</v>
      </c>
      <c r="AS40" s="275">
        <f t="shared" si="11"/>
        <v>392.35237116600007</v>
      </c>
      <c r="AT40" s="276">
        <f t="shared" si="12"/>
        <v>16478.799588972004</v>
      </c>
      <c r="AU40" s="274">
        <f t="shared" si="13"/>
        <v>13.922881632343001</v>
      </c>
      <c r="AV40" s="275">
        <f t="shared" si="14"/>
        <v>404.12294230098007</v>
      </c>
      <c r="AW40" s="276">
        <f t="shared" si="15"/>
        <v>16973.163576641164</v>
      </c>
      <c r="AX40" s="274">
        <f t="shared" si="16"/>
        <v>14.340568081313291</v>
      </c>
      <c r="AY40" s="275">
        <f t="shared" si="17"/>
        <v>416.24663057000947</v>
      </c>
      <c r="AZ40" s="276">
        <f t="shared" si="18"/>
        <v>17482.358483940399</v>
      </c>
      <c r="BA40" s="274">
        <f t="shared" si="26"/>
        <v>14.77078512375269</v>
      </c>
      <c r="BB40" s="275">
        <f t="shared" si="27"/>
        <v>428.73402948710975</v>
      </c>
      <c r="BC40" s="276">
        <f t="shared" si="28"/>
        <v>18006.829238458613</v>
      </c>
      <c r="BD40" s="274">
        <f t="shared" si="29"/>
        <v>15.213908677465271</v>
      </c>
      <c r="BE40" s="275">
        <f t="shared" si="30"/>
        <v>441.59605037172304</v>
      </c>
      <c r="BF40" s="276">
        <f t="shared" si="31"/>
        <v>18547.034115612372</v>
      </c>
      <c r="BG40" s="274">
        <f t="shared" si="5"/>
        <v>15.670325937789229</v>
      </c>
      <c r="BH40" s="275">
        <f t="shared" si="6"/>
        <v>454.84393188287476</v>
      </c>
      <c r="BI40" s="276">
        <f t="shared" si="7"/>
        <v>19103.445139080744</v>
      </c>
    </row>
    <row r="41" spans="1:61" ht="14.25">
      <c r="A41" s="90">
        <v>276</v>
      </c>
      <c r="B41" s="81" t="s">
        <v>97</v>
      </c>
      <c r="C41" s="92"/>
      <c r="D41" s="92"/>
      <c r="E41" s="92"/>
      <c r="F41" s="95"/>
      <c r="G41" s="92"/>
      <c r="H41" s="93"/>
      <c r="I41" s="95">
        <v>0</v>
      </c>
      <c r="J41" s="92"/>
      <c r="K41" s="93">
        <v>0</v>
      </c>
      <c r="L41" s="95"/>
      <c r="M41" s="92"/>
      <c r="N41" s="93"/>
      <c r="O41" s="95"/>
      <c r="P41" s="92"/>
      <c r="Q41" s="93"/>
      <c r="R41" s="95">
        <v>0</v>
      </c>
      <c r="S41" s="92"/>
      <c r="T41" s="93"/>
      <c r="U41" s="95"/>
      <c r="V41" s="92"/>
      <c r="W41" s="93"/>
      <c r="X41" s="92"/>
      <c r="Y41" s="92"/>
      <c r="Z41" s="93"/>
      <c r="AA41" s="92">
        <v>0</v>
      </c>
      <c r="AB41" s="92"/>
      <c r="AC41" s="93">
        <v>0</v>
      </c>
      <c r="AD41" s="92">
        <v>0</v>
      </c>
      <c r="AE41" s="96"/>
      <c r="AF41" s="93">
        <f t="shared" si="20"/>
        <v>0</v>
      </c>
      <c r="AG41" s="92">
        <f t="shared" si="8"/>
        <v>0</v>
      </c>
      <c r="AH41" s="96">
        <f t="shared" si="8"/>
        <v>0</v>
      </c>
      <c r="AI41" s="93">
        <f t="shared" si="21"/>
        <v>0</v>
      </c>
      <c r="AJ41" s="92">
        <f t="shared" si="25"/>
        <v>0</v>
      </c>
      <c r="AK41" s="96">
        <f t="shared" si="25"/>
        <v>0</v>
      </c>
      <c r="AL41" s="93">
        <f t="shared" si="22"/>
        <v>0</v>
      </c>
      <c r="AM41" s="256" t="s">
        <v>96</v>
      </c>
      <c r="AN41" s="274">
        <v>41.425280569999998</v>
      </c>
      <c r="AO41" s="288">
        <v>382.21405005999998</v>
      </c>
      <c r="AP41" s="276">
        <v>16052.99010252</v>
      </c>
      <c r="AQ41" s="256" t="s">
        <v>96</v>
      </c>
      <c r="AR41" s="274">
        <f t="shared" si="10"/>
        <v>42.668038987099997</v>
      </c>
      <c r="AS41" s="288">
        <f t="shared" si="11"/>
        <v>393.6804715618</v>
      </c>
      <c r="AT41" s="276">
        <f t="shared" si="12"/>
        <v>16534.5798055956</v>
      </c>
      <c r="AU41" s="274">
        <f t="shared" si="13"/>
        <v>43.948080156712997</v>
      </c>
      <c r="AV41" s="288">
        <f t="shared" si="14"/>
        <v>405.49088570865399</v>
      </c>
      <c r="AW41" s="276">
        <f t="shared" si="15"/>
        <v>17030.61719976347</v>
      </c>
      <c r="AX41" s="274">
        <f t="shared" si="16"/>
        <v>45.266522561414391</v>
      </c>
      <c r="AY41" s="288">
        <f>AV41*(1+$AZ$2)</f>
        <v>417.65561227991361</v>
      </c>
      <c r="AZ41" s="276">
        <f t="shared" si="18"/>
        <v>17541.535715756374</v>
      </c>
      <c r="BA41" s="274">
        <f t="shared" si="26"/>
        <v>46.624518238256826</v>
      </c>
      <c r="BB41" s="288">
        <f t="shared" si="27"/>
        <v>430.18528064831105</v>
      </c>
      <c r="BC41" s="276">
        <f t="shared" si="28"/>
        <v>18067.781787229065</v>
      </c>
      <c r="BD41" s="274">
        <f t="shared" si="29"/>
        <v>48.023253785404535</v>
      </c>
      <c r="BE41" s="288">
        <f t="shared" si="30"/>
        <v>443.09083906776038</v>
      </c>
      <c r="BF41" s="276">
        <f t="shared" si="31"/>
        <v>18609.815240845939</v>
      </c>
      <c r="BG41" s="274">
        <f t="shared" si="5"/>
        <v>49.463951398966671</v>
      </c>
      <c r="BH41" s="288">
        <f t="shared" si="6"/>
        <v>456.3835642397932</v>
      </c>
      <c r="BI41" s="276">
        <f t="shared" si="7"/>
        <v>19168.109698071319</v>
      </c>
    </row>
    <row r="42" spans="1:61" ht="14.25">
      <c r="A42" s="90">
        <v>279</v>
      </c>
      <c r="B42" s="81" t="s">
        <v>98</v>
      </c>
      <c r="C42" s="92">
        <v>0</v>
      </c>
      <c r="D42" s="92">
        <v>0</v>
      </c>
      <c r="E42" s="92">
        <v>0</v>
      </c>
      <c r="F42" s="94">
        <v>37</v>
      </c>
      <c r="G42" s="92">
        <v>295.32</v>
      </c>
      <c r="H42" s="93">
        <v>12403.44</v>
      </c>
      <c r="I42" s="95">
        <v>39.034999999999997</v>
      </c>
      <c r="J42" s="92">
        <v>311.57259999999997</v>
      </c>
      <c r="K42" s="93">
        <v>13086.049199999998</v>
      </c>
      <c r="L42" s="95">
        <v>40.986750000000001</v>
      </c>
      <c r="M42" s="92">
        <v>327.15072999999995</v>
      </c>
      <c r="N42" s="93">
        <v>13740.330659999998</v>
      </c>
      <c r="O42" s="95">
        <v>42.831153749999999</v>
      </c>
      <c r="P42" s="92">
        <v>341.86826624999998</v>
      </c>
      <c r="Q42" s="93">
        <v>14358.467182499999</v>
      </c>
      <c r="R42" s="95">
        <v>42.831153749999999</v>
      </c>
      <c r="S42" s="92">
        <v>341.87206285000002</v>
      </c>
      <c r="T42" s="93">
        <v>14358.6266397</v>
      </c>
      <c r="U42" s="95">
        <v>44.544399900000002</v>
      </c>
      <c r="V42" s="92">
        <v>355.54694536400007</v>
      </c>
      <c r="W42" s="93">
        <v>14932.971705288002</v>
      </c>
      <c r="X42" s="92">
        <v>46.336175896</v>
      </c>
      <c r="Y42" s="92">
        <v>369.76882317856001</v>
      </c>
      <c r="Z42" s="93">
        <v>15530.29057349952</v>
      </c>
      <c r="AA42" s="92">
        <v>48.652984690800004</v>
      </c>
      <c r="AB42" s="92">
        <v>388.25251433748809</v>
      </c>
      <c r="AC42" s="93">
        <v>16306.605602174501</v>
      </c>
      <c r="AD42" s="92">
        <v>50.11</v>
      </c>
      <c r="AE42" s="96">
        <v>399.89</v>
      </c>
      <c r="AF42" s="93">
        <f t="shared" si="20"/>
        <v>16795.38</v>
      </c>
      <c r="AG42" s="92">
        <f t="shared" si="8"/>
        <v>51.613300000000002</v>
      </c>
      <c r="AH42" s="96">
        <f t="shared" si="8"/>
        <v>411.88670000000002</v>
      </c>
      <c r="AI42" s="93">
        <f t="shared" si="21"/>
        <v>17299.241399999999</v>
      </c>
      <c r="AJ42" s="92">
        <f>AG42*(1+$AI$2)+0.01</f>
        <v>53.171699000000004</v>
      </c>
      <c r="AK42" s="96">
        <f>AH42*(1+$AI$2)+0.01</f>
        <v>424.25330100000002</v>
      </c>
      <c r="AL42" s="93">
        <f t="shared" si="22"/>
        <v>17818.638642000002</v>
      </c>
      <c r="AM42" s="256" t="s">
        <v>97</v>
      </c>
      <c r="AN42" s="274">
        <v>0</v>
      </c>
      <c r="AO42" s="275">
        <v>0</v>
      </c>
      <c r="AP42" s="276">
        <v>0</v>
      </c>
      <c r="AQ42" s="256" t="s">
        <v>97</v>
      </c>
      <c r="AR42" s="274">
        <f t="shared" si="10"/>
        <v>0</v>
      </c>
      <c r="AS42" s="275">
        <f t="shared" si="11"/>
        <v>0</v>
      </c>
      <c r="AT42" s="276">
        <f t="shared" si="12"/>
        <v>0</v>
      </c>
      <c r="AU42" s="274">
        <f t="shared" si="13"/>
        <v>0</v>
      </c>
      <c r="AV42" s="275">
        <f t="shared" si="14"/>
        <v>0</v>
      </c>
      <c r="AW42" s="276">
        <f t="shared" si="15"/>
        <v>0</v>
      </c>
      <c r="AX42" s="274">
        <f t="shared" si="16"/>
        <v>0</v>
      </c>
      <c r="AY42" s="275">
        <f t="shared" si="17"/>
        <v>0</v>
      </c>
      <c r="AZ42" s="276">
        <f t="shared" si="18"/>
        <v>0</v>
      </c>
      <c r="BA42" s="274">
        <f t="shared" si="26"/>
        <v>0</v>
      </c>
      <c r="BB42" s="275">
        <f t="shared" si="27"/>
        <v>0</v>
      </c>
      <c r="BC42" s="276">
        <f t="shared" si="28"/>
        <v>0</v>
      </c>
      <c r="BD42" s="274">
        <f t="shared" si="29"/>
        <v>0</v>
      </c>
      <c r="BE42" s="275">
        <f t="shared" si="30"/>
        <v>0</v>
      </c>
      <c r="BF42" s="276">
        <f t="shared" si="31"/>
        <v>0</v>
      </c>
      <c r="BG42" s="274">
        <f t="shared" si="5"/>
        <v>0</v>
      </c>
      <c r="BH42" s="275">
        <f t="shared" si="6"/>
        <v>0</v>
      </c>
      <c r="BI42" s="276">
        <f t="shared" si="7"/>
        <v>0</v>
      </c>
    </row>
    <row r="43" spans="1:61" ht="14.25">
      <c r="A43" s="90"/>
      <c r="B43" s="81" t="s">
        <v>99</v>
      </c>
      <c r="C43" s="101">
        <v>67</v>
      </c>
      <c r="D43" s="92">
        <v>67</v>
      </c>
      <c r="E43" s="92">
        <v>2814</v>
      </c>
      <c r="F43" s="94">
        <v>37</v>
      </c>
      <c r="G43" s="92">
        <v>332.32</v>
      </c>
      <c r="H43" s="93">
        <v>13957.44</v>
      </c>
      <c r="I43" s="95">
        <v>39.034999999999997</v>
      </c>
      <c r="J43" s="92">
        <v>350.59759999999994</v>
      </c>
      <c r="K43" s="93">
        <v>14725.099199999997</v>
      </c>
      <c r="L43" s="95">
        <v>40.986750000000001</v>
      </c>
      <c r="M43" s="92">
        <v>368.13747999999998</v>
      </c>
      <c r="N43" s="93">
        <v>15461.774159999999</v>
      </c>
      <c r="O43" s="95">
        <v>42.831153749999999</v>
      </c>
      <c r="P43" s="92">
        <v>384.70321659999991</v>
      </c>
      <c r="Q43" s="93">
        <v>16157.535097199996</v>
      </c>
      <c r="R43" s="95">
        <v>42.831153749999999</v>
      </c>
      <c r="S43" s="92">
        <v>384.70321659999991</v>
      </c>
      <c r="T43" s="93">
        <v>16157.535097199996</v>
      </c>
      <c r="U43" s="95">
        <v>44.544399900000002</v>
      </c>
      <c r="V43" s="92">
        <v>400.09134526399987</v>
      </c>
      <c r="W43" s="93">
        <v>16803.836501087993</v>
      </c>
      <c r="X43" s="92">
        <v>46.326175896000002</v>
      </c>
      <c r="Y43" s="92">
        <v>416.09499907455989</v>
      </c>
      <c r="Z43" s="93">
        <v>17475.989961131516</v>
      </c>
      <c r="AA43" s="92">
        <v>48.652484690800001</v>
      </c>
      <c r="AB43" s="92">
        <v>436.90974902828793</v>
      </c>
      <c r="AC43" s="93">
        <v>18350.209459188092</v>
      </c>
      <c r="AD43" s="92">
        <v>50.11</v>
      </c>
      <c r="AE43" s="96">
        <v>450.02</v>
      </c>
      <c r="AF43" s="93">
        <f t="shared" si="20"/>
        <v>18900.84</v>
      </c>
      <c r="AG43" s="92">
        <f t="shared" si="8"/>
        <v>51.613300000000002</v>
      </c>
      <c r="AH43" s="96">
        <f t="shared" si="8"/>
        <v>463.5206</v>
      </c>
      <c r="AI43" s="93">
        <f t="shared" si="21"/>
        <v>19467.8652</v>
      </c>
      <c r="AJ43" s="92">
        <f>AG43*(1+$AI$2)+0.01</f>
        <v>53.171699000000004</v>
      </c>
      <c r="AK43" s="96">
        <f>AH43*(1+$AI$2)</f>
        <v>477.42621800000001</v>
      </c>
      <c r="AL43" s="93">
        <f t="shared" si="22"/>
        <v>20051.901156</v>
      </c>
      <c r="AM43" s="256" t="s">
        <v>98</v>
      </c>
      <c r="AN43" s="274">
        <v>54.766849970000003</v>
      </c>
      <c r="AO43" s="275">
        <v>436.98090003000004</v>
      </c>
      <c r="AP43" s="276">
        <v>18353.197801260001</v>
      </c>
      <c r="AQ43" s="256" t="s">
        <v>98</v>
      </c>
      <c r="AR43" s="274">
        <f t="shared" si="10"/>
        <v>56.409855469100002</v>
      </c>
      <c r="AS43" s="275">
        <f t="shared" si="11"/>
        <v>450.09032703090008</v>
      </c>
      <c r="AT43" s="276">
        <f t="shared" si="12"/>
        <v>18903.793735297801</v>
      </c>
      <c r="AU43" s="274">
        <f t="shared" si="13"/>
        <v>58.102151133173003</v>
      </c>
      <c r="AV43" s="275">
        <f t="shared" si="14"/>
        <v>463.59303684182709</v>
      </c>
      <c r="AW43" s="276">
        <f t="shared" si="15"/>
        <v>19470.907547356735</v>
      </c>
      <c r="AX43" s="274">
        <f t="shared" si="16"/>
        <v>59.845215667168198</v>
      </c>
      <c r="AY43" s="275">
        <f t="shared" si="17"/>
        <v>477.50082794708192</v>
      </c>
      <c r="AZ43" s="276">
        <f t="shared" si="18"/>
        <v>20055.034773777439</v>
      </c>
      <c r="BA43" s="274">
        <f t="shared" si="26"/>
        <v>61.640572137183248</v>
      </c>
      <c r="BB43" s="275">
        <f t="shared" si="27"/>
        <v>491.82585278549436</v>
      </c>
      <c r="BC43" s="276">
        <f t="shared" si="28"/>
        <v>20656.685816990765</v>
      </c>
      <c r="BD43" s="274">
        <f t="shared" si="29"/>
        <v>63.48978930129875</v>
      </c>
      <c r="BE43" s="275">
        <f t="shared" si="30"/>
        <v>506.58062836905918</v>
      </c>
      <c r="BF43" s="276">
        <f t="shared" si="31"/>
        <v>21276.386391500488</v>
      </c>
      <c r="BG43" s="274">
        <f t="shared" si="5"/>
        <v>65.394482980337713</v>
      </c>
      <c r="BH43" s="275">
        <f t="shared" si="6"/>
        <v>521.77804722013093</v>
      </c>
      <c r="BI43" s="276">
        <f t="shared" si="7"/>
        <v>21914.677983245503</v>
      </c>
    </row>
    <row r="44" spans="1:61" ht="15" thickBot="1">
      <c r="A44" s="133">
        <v>277</v>
      </c>
      <c r="B44" s="134" t="s">
        <v>100</v>
      </c>
      <c r="C44" s="136">
        <v>0</v>
      </c>
      <c r="D44" s="136">
        <v>0</v>
      </c>
      <c r="E44" s="136">
        <v>0</v>
      </c>
      <c r="F44" s="138">
        <v>295.32</v>
      </c>
      <c r="G44" s="136">
        <v>295.32</v>
      </c>
      <c r="H44" s="137">
        <v>12403.44</v>
      </c>
      <c r="I44" s="142">
        <v>311.56259999999997</v>
      </c>
      <c r="J44" s="136">
        <v>311.57259999999997</v>
      </c>
      <c r="K44" s="137">
        <v>13086.049199999998</v>
      </c>
      <c r="L44" s="142">
        <v>327.14072999999996</v>
      </c>
      <c r="M44" s="136">
        <v>327.15072999999995</v>
      </c>
      <c r="N44" s="137">
        <v>13740.330659999998</v>
      </c>
      <c r="O44" s="142">
        <v>341.86206284999992</v>
      </c>
      <c r="P44" s="136">
        <v>341.87206284999991</v>
      </c>
      <c r="Q44" s="137">
        <v>14358.626639699996</v>
      </c>
      <c r="R44" s="142">
        <v>341.87206284999991</v>
      </c>
      <c r="S44" s="136">
        <v>341.87206284999991</v>
      </c>
      <c r="T44" s="137">
        <v>14358.626639699996</v>
      </c>
      <c r="U44" s="142">
        <v>355.5469453639999</v>
      </c>
      <c r="V44" s="136">
        <v>355.5469453639999</v>
      </c>
      <c r="W44" s="137">
        <v>14932.971705287995</v>
      </c>
      <c r="X44" s="136">
        <v>369.7688231785599</v>
      </c>
      <c r="Y44" s="136">
        <v>369.7688231785599</v>
      </c>
      <c r="Z44" s="137">
        <v>15530.290573499517</v>
      </c>
      <c r="AA44" s="136">
        <v>388.25726433748792</v>
      </c>
      <c r="AB44" s="136">
        <v>388.25726433748792</v>
      </c>
      <c r="AC44" s="137">
        <v>16306.805102174492</v>
      </c>
      <c r="AD44" s="136">
        <v>399.91</v>
      </c>
      <c r="AE44" s="139">
        <v>399.91</v>
      </c>
      <c r="AF44" s="137">
        <f t="shared" si="20"/>
        <v>16796.22</v>
      </c>
      <c r="AG44" s="136">
        <f t="shared" si="8"/>
        <v>411.90730000000002</v>
      </c>
      <c r="AH44" s="139">
        <f t="shared" si="8"/>
        <v>411.90730000000002</v>
      </c>
      <c r="AI44" s="137">
        <f t="shared" si="21"/>
        <v>17300.106599999999</v>
      </c>
      <c r="AJ44" s="136">
        <f>AG44*(1+$AI$2)</f>
        <v>424.26451900000001</v>
      </c>
      <c r="AK44" s="139">
        <f>AH44*(1+$AI$2)</f>
        <v>424.26451900000001</v>
      </c>
      <c r="AL44" s="137">
        <f t="shared" si="22"/>
        <v>17819.109798000001</v>
      </c>
      <c r="AM44" s="256" t="s">
        <v>99</v>
      </c>
      <c r="AN44" s="274">
        <v>54.766849970000003</v>
      </c>
      <c r="AO44" s="275">
        <v>491.74900454000004</v>
      </c>
      <c r="AP44" s="276">
        <v>20653.458190680001</v>
      </c>
      <c r="AQ44" s="256" t="s">
        <v>99</v>
      </c>
      <c r="AR44" s="274">
        <f t="shared" si="10"/>
        <v>56.409855469100002</v>
      </c>
      <c r="AS44" s="275">
        <f t="shared" si="11"/>
        <v>506.50147467620008</v>
      </c>
      <c r="AT44" s="276">
        <f t="shared" si="12"/>
        <v>21273.061936400401</v>
      </c>
      <c r="AU44" s="274">
        <f t="shared" si="13"/>
        <v>58.102151133173003</v>
      </c>
      <c r="AV44" s="275">
        <f t="shared" si="14"/>
        <v>521.69651891648607</v>
      </c>
      <c r="AW44" s="276">
        <f t="shared" si="15"/>
        <v>21911.253794492415</v>
      </c>
      <c r="AX44" s="274">
        <f t="shared" si="16"/>
        <v>59.845215667168198</v>
      </c>
      <c r="AY44" s="275">
        <f t="shared" si="17"/>
        <v>537.34741448398063</v>
      </c>
      <c r="AZ44" s="276">
        <f t="shared" si="18"/>
        <v>22568.591408327189</v>
      </c>
      <c r="BA44" s="274">
        <f t="shared" si="26"/>
        <v>61.640572137183248</v>
      </c>
      <c r="BB44" s="275">
        <f t="shared" si="27"/>
        <v>553.4678369185001</v>
      </c>
      <c r="BC44" s="276">
        <f t="shared" si="28"/>
        <v>23245.649150577006</v>
      </c>
      <c r="BD44" s="274">
        <f t="shared" si="29"/>
        <v>63.48978930129875</v>
      </c>
      <c r="BE44" s="275">
        <f t="shared" si="30"/>
        <v>570.07187202605508</v>
      </c>
      <c r="BF44" s="276">
        <f t="shared" si="31"/>
        <v>23943.018625094319</v>
      </c>
      <c r="BG44" s="274">
        <f t="shared" si="5"/>
        <v>65.394482980337713</v>
      </c>
      <c r="BH44" s="275">
        <f t="shared" si="6"/>
        <v>587.17402818683672</v>
      </c>
      <c r="BI44" s="276">
        <f t="shared" si="7"/>
        <v>24661.309183847148</v>
      </c>
    </row>
    <row r="45" spans="1:61" ht="15" thickBot="1">
      <c r="A45" s="90">
        <v>210</v>
      </c>
      <c r="B45" s="81" t="s">
        <v>77</v>
      </c>
      <c r="C45" s="91">
        <v>15</v>
      </c>
      <c r="D45" s="85">
        <v>15</v>
      </c>
      <c r="E45" s="86">
        <v>630</v>
      </c>
      <c r="F45" s="148">
        <v>35.32</v>
      </c>
      <c r="G45" s="85">
        <v>35.32</v>
      </c>
      <c r="H45" s="86">
        <v>1483.44</v>
      </c>
      <c r="I45" s="88">
        <v>37.262599999999999</v>
      </c>
      <c r="J45" s="85">
        <v>37.262599999999999</v>
      </c>
      <c r="K45" s="86">
        <v>1565.0291999999999</v>
      </c>
      <c r="L45" s="88">
        <v>39.125729999999997</v>
      </c>
      <c r="M45" s="85">
        <v>39.125729999999997</v>
      </c>
      <c r="N45" s="86">
        <v>1643.2806599999999</v>
      </c>
      <c r="O45" s="88">
        <v>40.886387849999991</v>
      </c>
      <c r="P45" s="85">
        <v>40.886387849999991</v>
      </c>
      <c r="Q45" s="86">
        <v>1717.2282896999996</v>
      </c>
      <c r="R45" s="88">
        <v>63.55</v>
      </c>
      <c r="S45" s="85">
        <v>63.55</v>
      </c>
      <c r="T45" s="86">
        <v>2669.1</v>
      </c>
      <c r="U45" s="88">
        <v>66.091999999999999</v>
      </c>
      <c r="V45" s="85">
        <v>66.091999999999999</v>
      </c>
      <c r="W45" s="86">
        <v>2775.864</v>
      </c>
      <c r="X45" s="85">
        <v>68.725679999999997</v>
      </c>
      <c r="Y45" s="85">
        <v>68.725679999999997</v>
      </c>
      <c r="Z45" s="86">
        <v>2886.47856</v>
      </c>
      <c r="AA45" s="85">
        <v>72.161963999999998</v>
      </c>
      <c r="AB45" s="85">
        <v>72.161963999999998</v>
      </c>
      <c r="AC45" s="86">
        <v>3030.8024879999998</v>
      </c>
      <c r="AD45" s="85">
        <v>74.319999999999993</v>
      </c>
      <c r="AE45" s="89">
        <v>74.319999999999993</v>
      </c>
      <c r="AF45" s="86">
        <f t="shared" si="20"/>
        <v>3121.4399999999996</v>
      </c>
      <c r="AG45" s="85">
        <f t="shared" si="8"/>
        <v>76.549599999999998</v>
      </c>
      <c r="AH45" s="89">
        <f t="shared" si="8"/>
        <v>76.549599999999998</v>
      </c>
      <c r="AI45" s="86">
        <f t="shared" si="21"/>
        <v>3215.0832</v>
      </c>
      <c r="AJ45" s="85">
        <f t="shared" si="25"/>
        <v>78.846087999999995</v>
      </c>
      <c r="AK45" s="89">
        <f t="shared" si="25"/>
        <v>78.846087999999995</v>
      </c>
      <c r="AL45" s="86">
        <f t="shared" si="22"/>
        <v>3311.5356959999999</v>
      </c>
      <c r="AM45" s="255" t="s">
        <v>100</v>
      </c>
      <c r="AN45" s="277">
        <v>436.99245457000001</v>
      </c>
      <c r="AO45" s="278">
        <v>436.99245457000001</v>
      </c>
      <c r="AP45" s="279">
        <v>18353.683091940002</v>
      </c>
      <c r="AQ45" s="255" t="s">
        <v>100</v>
      </c>
      <c r="AR45" s="277">
        <f t="shared" si="10"/>
        <v>450.10222820710004</v>
      </c>
      <c r="AS45" s="278">
        <f t="shared" si="11"/>
        <v>450.10222820710004</v>
      </c>
      <c r="AT45" s="279">
        <f t="shared" si="12"/>
        <v>18904.293584698204</v>
      </c>
      <c r="AU45" s="277">
        <f t="shared" si="13"/>
        <v>463.60529505331306</v>
      </c>
      <c r="AV45" s="278">
        <f t="shared" si="14"/>
        <v>463.60529505331306</v>
      </c>
      <c r="AW45" s="279">
        <f t="shared" si="15"/>
        <v>19471.42239223915</v>
      </c>
      <c r="AX45" s="277">
        <f t="shared" si="16"/>
        <v>477.51345390491247</v>
      </c>
      <c r="AY45" s="278">
        <f t="shared" si="17"/>
        <v>477.51345390491247</v>
      </c>
      <c r="AZ45" s="279">
        <f t="shared" si="18"/>
        <v>20055.565064006325</v>
      </c>
      <c r="BA45" s="277">
        <f t="shared" si="26"/>
        <v>491.83885752205987</v>
      </c>
      <c r="BB45" s="278">
        <f t="shared" si="27"/>
        <v>491.83885752205987</v>
      </c>
      <c r="BC45" s="279">
        <f t="shared" si="28"/>
        <v>20657.232015926515</v>
      </c>
      <c r="BD45" s="277">
        <f t="shared" si="29"/>
        <v>506.59402324772168</v>
      </c>
      <c r="BE45" s="278">
        <f t="shared" si="30"/>
        <v>506.59402324772168</v>
      </c>
      <c r="BF45" s="279">
        <f t="shared" si="31"/>
        <v>21276.94897640431</v>
      </c>
      <c r="BG45" s="277">
        <f t="shared" si="5"/>
        <v>521.79184394515335</v>
      </c>
      <c r="BH45" s="278">
        <f t="shared" si="6"/>
        <v>521.79184394515335</v>
      </c>
      <c r="BI45" s="279">
        <f t="shared" si="7"/>
        <v>21915.257445696439</v>
      </c>
    </row>
    <row r="46" spans="1:61" ht="14.25">
      <c r="A46" s="90">
        <v>260</v>
      </c>
      <c r="B46" s="81" t="s">
        <v>80</v>
      </c>
      <c r="C46" s="91">
        <v>100</v>
      </c>
      <c r="D46" s="92">
        <v>100</v>
      </c>
      <c r="E46" s="93">
        <v>4200</v>
      </c>
      <c r="F46" s="105">
        <v>106.32</v>
      </c>
      <c r="G46" s="92">
        <v>106.32</v>
      </c>
      <c r="H46" s="93">
        <v>4465.4399999999996</v>
      </c>
      <c r="I46" s="95">
        <v>112.16759999999999</v>
      </c>
      <c r="J46" s="92">
        <v>112.16759999999999</v>
      </c>
      <c r="K46" s="93">
        <v>4711.0391999999993</v>
      </c>
      <c r="L46" s="95">
        <v>117.77598</v>
      </c>
      <c r="M46" s="92">
        <v>117.77598</v>
      </c>
      <c r="N46" s="93">
        <v>4946.5911599999999</v>
      </c>
      <c r="O46" s="95">
        <v>123.0758991</v>
      </c>
      <c r="P46" s="92">
        <v>123.0758991</v>
      </c>
      <c r="Q46" s="93">
        <v>5169.1877622000002</v>
      </c>
      <c r="R46" s="95">
        <v>123.0758991</v>
      </c>
      <c r="S46" s="92">
        <v>123.0758991</v>
      </c>
      <c r="T46" s="93">
        <v>5169.1877622000002</v>
      </c>
      <c r="U46" s="95">
        <v>127.99893506400001</v>
      </c>
      <c r="V46" s="92">
        <v>127.99893506400001</v>
      </c>
      <c r="W46" s="93">
        <v>5375.9552726880002</v>
      </c>
      <c r="X46" s="92">
        <v>133.11889246656003</v>
      </c>
      <c r="Y46" s="92">
        <v>133.11889246656003</v>
      </c>
      <c r="Z46" s="93">
        <v>5590.993483595521</v>
      </c>
      <c r="AA46" s="92">
        <v>139.78008708988804</v>
      </c>
      <c r="AB46" s="92">
        <v>139.78008708988804</v>
      </c>
      <c r="AC46" s="93">
        <v>5870.7636577752974</v>
      </c>
      <c r="AD46" s="92">
        <v>143.97</v>
      </c>
      <c r="AE46" s="96">
        <v>143.97</v>
      </c>
      <c r="AF46" s="93">
        <f t="shared" si="20"/>
        <v>6046.74</v>
      </c>
      <c r="AG46" s="92">
        <f t="shared" si="8"/>
        <v>148.28909999999999</v>
      </c>
      <c r="AH46" s="96">
        <f t="shared" si="8"/>
        <v>148.28909999999999</v>
      </c>
      <c r="AI46" s="93">
        <f t="shared" si="21"/>
        <v>6228.1421999999993</v>
      </c>
      <c r="AJ46" s="92">
        <f t="shared" si="25"/>
        <v>152.737773</v>
      </c>
      <c r="AK46" s="96">
        <f t="shared" si="25"/>
        <v>152.737773</v>
      </c>
      <c r="AL46" s="93">
        <f t="shared" si="22"/>
        <v>6414.9864660000003</v>
      </c>
      <c r="AM46" s="256" t="s">
        <v>77</v>
      </c>
      <c r="AN46" s="271">
        <v>81.211470640000002</v>
      </c>
      <c r="AO46" s="272">
        <v>81.211470640000002</v>
      </c>
      <c r="AP46" s="273">
        <v>3410.8817668800002</v>
      </c>
      <c r="AQ46" s="256" t="s">
        <v>77</v>
      </c>
      <c r="AR46" s="271">
        <f t="shared" si="10"/>
        <v>83.647814759200003</v>
      </c>
      <c r="AS46" s="272">
        <f t="shared" si="11"/>
        <v>83.647814759200003</v>
      </c>
      <c r="AT46" s="273">
        <f t="shared" si="12"/>
        <v>3513.2082198864005</v>
      </c>
      <c r="AU46" s="271">
        <f t="shared" si="13"/>
        <v>86.157249201976001</v>
      </c>
      <c r="AV46" s="272">
        <f t="shared" si="14"/>
        <v>86.157249201976001</v>
      </c>
      <c r="AW46" s="273">
        <f t="shared" si="15"/>
        <v>3618.6044664829924</v>
      </c>
      <c r="AX46" s="271">
        <f t="shared" si="16"/>
        <v>88.741966678035283</v>
      </c>
      <c r="AY46" s="272">
        <f t="shared" si="17"/>
        <v>88.741966678035283</v>
      </c>
      <c r="AZ46" s="273">
        <f t="shared" si="18"/>
        <v>3727.1626004774821</v>
      </c>
      <c r="BA46" s="271">
        <f t="shared" si="26"/>
        <v>91.404225678376349</v>
      </c>
      <c r="BB46" s="272">
        <f t="shared" si="27"/>
        <v>91.404225678376349</v>
      </c>
      <c r="BC46" s="273">
        <f t="shared" si="28"/>
        <v>3838.9774784918068</v>
      </c>
      <c r="BD46" s="271">
        <f t="shared" si="29"/>
        <v>94.14635244872764</v>
      </c>
      <c r="BE46" s="272">
        <f t="shared" si="30"/>
        <v>94.14635244872764</v>
      </c>
      <c r="BF46" s="273">
        <f t="shared" si="31"/>
        <v>3954.1468028465611</v>
      </c>
      <c r="BG46" s="271">
        <f t="shared" si="5"/>
        <v>96.970743022189467</v>
      </c>
      <c r="BH46" s="272">
        <f t="shared" si="6"/>
        <v>96.970743022189467</v>
      </c>
      <c r="BI46" s="273">
        <f t="shared" si="7"/>
        <v>4072.7712069319582</v>
      </c>
    </row>
    <row r="47" spans="1:61" ht="14.25">
      <c r="A47" s="97">
        <v>231</v>
      </c>
      <c r="B47" s="82" t="s">
        <v>82</v>
      </c>
      <c r="C47" s="98">
        <v>22.089552238805972</v>
      </c>
      <c r="D47" s="99">
        <v>122.09</v>
      </c>
      <c r="E47" s="100">
        <v>5127.78</v>
      </c>
      <c r="F47" s="98">
        <v>22.089552238805972</v>
      </c>
      <c r="G47" s="99">
        <v>128.40955223880596</v>
      </c>
      <c r="H47" s="100">
        <v>5393.2011940298498</v>
      </c>
      <c r="I47" s="98">
        <v>23.3044776119403</v>
      </c>
      <c r="J47" s="99">
        <v>135.47207761194028</v>
      </c>
      <c r="K47" s="100">
        <v>5689.827259701492</v>
      </c>
      <c r="L47" s="98">
        <v>24.469701492537315</v>
      </c>
      <c r="M47" s="99">
        <v>142.24568149253733</v>
      </c>
      <c r="N47" s="100">
        <v>5974.3186226865682</v>
      </c>
      <c r="O47" s="98">
        <v>25.570838059701494</v>
      </c>
      <c r="P47" s="99">
        <v>148.6467371597015</v>
      </c>
      <c r="Q47" s="100">
        <v>6243.1629607074628</v>
      </c>
      <c r="R47" s="98">
        <v>25.570838059701494</v>
      </c>
      <c r="S47" s="99">
        <v>148.6467371597015</v>
      </c>
      <c r="T47" s="100">
        <v>6243.1629607074628</v>
      </c>
      <c r="U47" s="98">
        <v>26.593671582089556</v>
      </c>
      <c r="V47" s="99">
        <v>154.59260664608956</v>
      </c>
      <c r="W47" s="100">
        <v>6492.8894791357616</v>
      </c>
      <c r="X47" s="99">
        <v>27.647418445373138</v>
      </c>
      <c r="Y47" s="99">
        <v>160.76631091193318</v>
      </c>
      <c r="Z47" s="100">
        <v>6752.1850583011937</v>
      </c>
      <c r="AA47" s="99">
        <v>29.029789367641797</v>
      </c>
      <c r="AB47" s="99">
        <v>168.80987645752984</v>
      </c>
      <c r="AC47" s="100">
        <v>7090.0148112162533</v>
      </c>
      <c r="AD47" s="99">
        <v>29.9</v>
      </c>
      <c r="AE47" s="96">
        <v>173.87</v>
      </c>
      <c r="AF47" s="100">
        <f t="shared" si="20"/>
        <v>7302.54</v>
      </c>
      <c r="AG47" s="99">
        <f t="shared" si="8"/>
        <v>30.797000000000001</v>
      </c>
      <c r="AH47" s="96">
        <f t="shared" si="8"/>
        <v>179.08610000000002</v>
      </c>
      <c r="AI47" s="100">
        <f t="shared" si="21"/>
        <v>7521.6162000000004</v>
      </c>
      <c r="AJ47" s="99">
        <f t="shared" si="25"/>
        <v>31.72091</v>
      </c>
      <c r="AK47" s="96">
        <f t="shared" si="25"/>
        <v>184.45868300000001</v>
      </c>
      <c r="AL47" s="100">
        <f t="shared" si="22"/>
        <v>7747.2646860000004</v>
      </c>
      <c r="AM47" s="256" t="s">
        <v>80</v>
      </c>
      <c r="AN47" s="274">
        <v>157.31990619000001</v>
      </c>
      <c r="AO47" s="275">
        <v>157.31990619000001</v>
      </c>
      <c r="AP47" s="276">
        <v>6607.4360599800002</v>
      </c>
      <c r="AQ47" s="256" t="s">
        <v>80</v>
      </c>
      <c r="AR47" s="274">
        <f t="shared" si="10"/>
        <v>162.03950337570001</v>
      </c>
      <c r="AS47" s="275">
        <f t="shared" si="11"/>
        <v>162.03950337570001</v>
      </c>
      <c r="AT47" s="276">
        <f t="shared" si="12"/>
        <v>6805.6591417794007</v>
      </c>
      <c r="AU47" s="274">
        <f t="shared" si="13"/>
        <v>166.900688476971</v>
      </c>
      <c r="AV47" s="275">
        <f t="shared" si="14"/>
        <v>166.900688476971</v>
      </c>
      <c r="AW47" s="276">
        <f t="shared" si="15"/>
        <v>7009.8289160327831</v>
      </c>
      <c r="AX47" s="274">
        <f t="shared" si="16"/>
        <v>171.90770913128014</v>
      </c>
      <c r="AY47" s="275">
        <f t="shared" si="17"/>
        <v>171.90770913128014</v>
      </c>
      <c r="AZ47" s="276">
        <f t="shared" si="18"/>
        <v>7220.1237835137672</v>
      </c>
      <c r="BA47" s="274">
        <f t="shared" si="26"/>
        <v>177.06494040521855</v>
      </c>
      <c r="BB47" s="275">
        <f t="shared" si="27"/>
        <v>177.06494040521855</v>
      </c>
      <c r="BC47" s="276">
        <f t="shared" si="28"/>
        <v>7436.7274970191802</v>
      </c>
      <c r="BD47" s="274">
        <f t="shared" si="29"/>
        <v>182.3768886173751</v>
      </c>
      <c r="BE47" s="275">
        <f t="shared" si="30"/>
        <v>182.3768886173751</v>
      </c>
      <c r="BF47" s="276">
        <f t="shared" si="31"/>
        <v>7659.8293219297557</v>
      </c>
      <c r="BG47" s="274">
        <f t="shared" si="5"/>
        <v>187.84819527589636</v>
      </c>
      <c r="BH47" s="275">
        <f t="shared" si="6"/>
        <v>187.84819527589636</v>
      </c>
      <c r="BI47" s="276">
        <f t="shared" si="7"/>
        <v>7889.6242015876487</v>
      </c>
    </row>
    <row r="48" spans="1:61" ht="14.25">
      <c r="A48" s="90">
        <v>221</v>
      </c>
      <c r="B48" s="81" t="s">
        <v>83</v>
      </c>
      <c r="C48" s="91">
        <v>40</v>
      </c>
      <c r="D48" s="92">
        <v>140</v>
      </c>
      <c r="E48" s="93">
        <v>5880</v>
      </c>
      <c r="F48" s="105">
        <v>40</v>
      </c>
      <c r="G48" s="92">
        <v>146.32</v>
      </c>
      <c r="H48" s="93">
        <v>6145.44</v>
      </c>
      <c r="I48" s="95">
        <v>42.2</v>
      </c>
      <c r="J48" s="92">
        <v>154.36759999999998</v>
      </c>
      <c r="K48" s="93">
        <v>6483.4391999999989</v>
      </c>
      <c r="L48" s="95">
        <v>44.31</v>
      </c>
      <c r="M48" s="92">
        <v>162.08598000000001</v>
      </c>
      <c r="N48" s="93">
        <v>6807.6111600000004</v>
      </c>
      <c r="O48" s="95">
        <v>46.30395</v>
      </c>
      <c r="P48" s="92">
        <v>169.3798491</v>
      </c>
      <c r="Q48" s="93">
        <v>7113.9536621999996</v>
      </c>
      <c r="R48" s="95">
        <v>46.30395</v>
      </c>
      <c r="S48" s="92">
        <v>169.3798491</v>
      </c>
      <c r="T48" s="93">
        <v>7113.9536621999996</v>
      </c>
      <c r="U48" s="95">
        <v>48.156108000000003</v>
      </c>
      <c r="V48" s="92">
        <v>176.15504306400001</v>
      </c>
      <c r="W48" s="93">
        <v>7398.5118086880002</v>
      </c>
      <c r="X48" s="92">
        <v>50.092352320000003</v>
      </c>
      <c r="Y48" s="92">
        <v>183.21124478656003</v>
      </c>
      <c r="Z48" s="93">
        <v>7694.8722810355212</v>
      </c>
      <c r="AA48" s="92">
        <v>52.58696993600001</v>
      </c>
      <c r="AB48" s="92">
        <v>192.36705702588804</v>
      </c>
      <c r="AC48" s="93">
        <v>8079.416395087298</v>
      </c>
      <c r="AD48" s="92">
        <v>54.17</v>
      </c>
      <c r="AE48" s="96">
        <v>198.14</v>
      </c>
      <c r="AF48" s="93">
        <f t="shared" si="20"/>
        <v>8321.8799999999992</v>
      </c>
      <c r="AG48" s="92">
        <f>AD48*(1+$AI$2)-0.01</f>
        <v>55.785100000000007</v>
      </c>
      <c r="AH48" s="96">
        <f>AE48*(1+$AI$2)</f>
        <v>204.08419999999998</v>
      </c>
      <c r="AI48" s="93">
        <f t="shared" si="21"/>
        <v>8571.536399999999</v>
      </c>
      <c r="AJ48" s="92">
        <f>AG48*(1+$AI$2)-0.01</f>
        <v>57.448653000000007</v>
      </c>
      <c r="AK48" s="96">
        <f>AH48*(1+$AI$2)-0.02</f>
        <v>210.18672599999996</v>
      </c>
      <c r="AL48" s="93">
        <f t="shared" si="22"/>
        <v>8827.8424919999979</v>
      </c>
      <c r="AM48" s="256" t="s">
        <v>82</v>
      </c>
      <c r="AN48" s="274">
        <v>32.672537300000002</v>
      </c>
      <c r="AO48" s="275">
        <v>189.99244349</v>
      </c>
      <c r="AP48" s="276">
        <v>7979.6826265800009</v>
      </c>
      <c r="AQ48" s="256" t="s">
        <v>82</v>
      </c>
      <c r="AR48" s="274">
        <f t="shared" si="10"/>
        <v>33.652713419000001</v>
      </c>
      <c r="AS48" s="275">
        <f t="shared" si="11"/>
        <v>195.69221679470002</v>
      </c>
      <c r="AT48" s="276">
        <f t="shared" si="12"/>
        <v>8219.0731053774016</v>
      </c>
      <c r="AU48" s="274">
        <f t="shared" si="13"/>
        <v>34.662294821570001</v>
      </c>
      <c r="AV48" s="275">
        <f t="shared" si="14"/>
        <v>201.56298329854101</v>
      </c>
      <c r="AW48" s="276">
        <f t="shared" si="15"/>
        <v>8465.6452985387241</v>
      </c>
      <c r="AX48" s="274">
        <f t="shared" si="16"/>
        <v>35.702163666217103</v>
      </c>
      <c r="AY48" s="275">
        <f t="shared" si="17"/>
        <v>207.60987279749725</v>
      </c>
      <c r="AZ48" s="276">
        <f t="shared" si="18"/>
        <v>8719.6146574948853</v>
      </c>
      <c r="BA48" s="274">
        <f t="shared" si="26"/>
        <v>36.773228576203614</v>
      </c>
      <c r="BB48" s="275">
        <f t="shared" si="27"/>
        <v>213.83816898142217</v>
      </c>
      <c r="BC48" s="276">
        <f t="shared" si="28"/>
        <v>8981.2030972197317</v>
      </c>
      <c r="BD48" s="274">
        <f t="shared" si="29"/>
        <v>37.876425433489722</v>
      </c>
      <c r="BE48" s="275">
        <f t="shared" si="30"/>
        <v>220.25331405086484</v>
      </c>
      <c r="BF48" s="276">
        <f t="shared" si="31"/>
        <v>9250.639190136324</v>
      </c>
      <c r="BG48" s="274">
        <f t="shared" si="5"/>
        <v>39.012718196494411</v>
      </c>
      <c r="BH48" s="275">
        <f t="shared" si="6"/>
        <v>226.86091347239079</v>
      </c>
      <c r="BI48" s="276">
        <f t="shared" si="7"/>
        <v>9528.1583658404143</v>
      </c>
    </row>
    <row r="49" spans="1:61" ht="14.25">
      <c r="A49" s="90">
        <v>245</v>
      </c>
      <c r="B49" s="81" t="s">
        <v>101</v>
      </c>
      <c r="C49" s="91">
        <v>70</v>
      </c>
      <c r="D49" s="92">
        <v>210</v>
      </c>
      <c r="E49" s="93">
        <v>8820</v>
      </c>
      <c r="F49" s="105">
        <v>84</v>
      </c>
      <c r="G49" s="92">
        <v>230.32</v>
      </c>
      <c r="H49" s="93">
        <v>9673.44</v>
      </c>
      <c r="I49" s="95">
        <v>88.62</v>
      </c>
      <c r="J49" s="92">
        <v>242.98759999999999</v>
      </c>
      <c r="K49" s="93">
        <v>10205.4792</v>
      </c>
      <c r="L49" s="95">
        <v>93.051000000000002</v>
      </c>
      <c r="M49" s="92">
        <v>255.13697999999999</v>
      </c>
      <c r="N49" s="93">
        <v>10715.75316</v>
      </c>
      <c r="O49" s="95">
        <v>97.238294999999994</v>
      </c>
      <c r="P49" s="92">
        <v>266.61814409999999</v>
      </c>
      <c r="Q49" s="93">
        <v>11197.9620522</v>
      </c>
      <c r="R49" s="95">
        <v>97.238294999999994</v>
      </c>
      <c r="S49" s="92">
        <v>266.61814409999999</v>
      </c>
      <c r="T49" s="93">
        <v>11197.9620522</v>
      </c>
      <c r="U49" s="95">
        <v>101.11782679999999</v>
      </c>
      <c r="V49" s="92">
        <v>277.27286986399997</v>
      </c>
      <c r="W49" s="93">
        <v>11645.460534287999</v>
      </c>
      <c r="X49" s="92">
        <v>105.15253987199999</v>
      </c>
      <c r="Y49" s="92">
        <v>288.36378465856001</v>
      </c>
      <c r="Z49" s="93">
        <v>12111.27895565952</v>
      </c>
      <c r="AA49" s="92">
        <v>110.41016686559999</v>
      </c>
      <c r="AB49" s="92">
        <v>302.77722389148801</v>
      </c>
      <c r="AC49" s="93">
        <v>12716.643403442496</v>
      </c>
      <c r="AD49" s="92">
        <v>113.72</v>
      </c>
      <c r="AE49" s="96">
        <v>311.86</v>
      </c>
      <c r="AF49" s="93">
        <f t="shared" si="20"/>
        <v>13098.12</v>
      </c>
      <c r="AG49" s="92">
        <f>AD49*(1+$AI$2)+0.01</f>
        <v>117.14160000000001</v>
      </c>
      <c r="AH49" s="96">
        <f>AH48+AG49</f>
        <v>321.22579999999999</v>
      </c>
      <c r="AI49" s="93">
        <f t="shared" si="21"/>
        <v>13491.4836</v>
      </c>
      <c r="AJ49" s="92">
        <f>AG49*(1+$AI$2)+0.02</f>
        <v>120.67584800000002</v>
      </c>
      <c r="AK49" s="96">
        <f>AK48+AJ49</f>
        <v>330.862574</v>
      </c>
      <c r="AL49" s="93">
        <f t="shared" si="22"/>
        <v>13896.228107999999</v>
      </c>
      <c r="AM49" s="256" t="s">
        <v>83</v>
      </c>
      <c r="AN49" s="274">
        <v>59.172112590000012</v>
      </c>
      <c r="AO49" s="275">
        <v>216.49232777999998</v>
      </c>
      <c r="AP49" s="276">
        <v>9092.6777667599981</v>
      </c>
      <c r="AQ49" s="256" t="s">
        <v>83</v>
      </c>
      <c r="AR49" s="274">
        <f t="shared" si="10"/>
        <v>60.947275967700016</v>
      </c>
      <c r="AS49" s="275">
        <f t="shared" si="11"/>
        <v>222.98709761339998</v>
      </c>
      <c r="AT49" s="276">
        <f t="shared" si="12"/>
        <v>9365.4580997627982</v>
      </c>
      <c r="AU49" s="274">
        <f t="shared" si="13"/>
        <v>62.775694246731021</v>
      </c>
      <c r="AV49" s="275">
        <f t="shared" si="14"/>
        <v>229.67671054180198</v>
      </c>
      <c r="AW49" s="276">
        <f t="shared" si="15"/>
        <v>9646.4218427556825</v>
      </c>
      <c r="AX49" s="274">
        <f t="shared" si="16"/>
        <v>64.658965074132951</v>
      </c>
      <c r="AY49" s="275">
        <f t="shared" si="17"/>
        <v>236.56701185805605</v>
      </c>
      <c r="AZ49" s="276">
        <f t="shared" si="18"/>
        <v>9935.8144980383531</v>
      </c>
      <c r="BA49" s="274">
        <f t="shared" si="26"/>
        <v>66.598734026356937</v>
      </c>
      <c r="BB49" s="275">
        <f t="shared" si="27"/>
        <v>243.66402221379775</v>
      </c>
      <c r="BC49" s="276">
        <f t="shared" si="28"/>
        <v>10233.888932979504</v>
      </c>
      <c r="BD49" s="274">
        <f t="shared" si="29"/>
        <v>68.596696047147645</v>
      </c>
      <c r="BE49" s="275">
        <f t="shared" si="30"/>
        <v>250.97394288021169</v>
      </c>
      <c r="BF49" s="276">
        <f t="shared" si="31"/>
        <v>10540.905600968888</v>
      </c>
      <c r="BG49" s="274">
        <f t="shared" si="5"/>
        <v>70.654596928562071</v>
      </c>
      <c r="BH49" s="275">
        <f t="shared" si="6"/>
        <v>258.50316116661804</v>
      </c>
      <c r="BI49" s="276">
        <f t="shared" si="7"/>
        <v>10857.132768997955</v>
      </c>
    </row>
    <row r="50" spans="1:61" ht="15" thickBot="1">
      <c r="A50" s="133">
        <v>251</v>
      </c>
      <c r="B50" s="134" t="s">
        <v>102</v>
      </c>
      <c r="C50" s="135">
        <v>70</v>
      </c>
      <c r="D50" s="136">
        <v>162.09</v>
      </c>
      <c r="E50" s="137">
        <v>6807.78</v>
      </c>
      <c r="F50" s="138">
        <v>84</v>
      </c>
      <c r="G50" s="136">
        <v>230.32</v>
      </c>
      <c r="H50" s="137">
        <v>9673.44</v>
      </c>
      <c r="I50" s="142">
        <v>88.62</v>
      </c>
      <c r="J50" s="136">
        <v>242.98759999999999</v>
      </c>
      <c r="K50" s="137">
        <v>10205.4792</v>
      </c>
      <c r="L50" s="142">
        <v>93.051000000000002</v>
      </c>
      <c r="M50" s="136">
        <v>255.13697999999999</v>
      </c>
      <c r="N50" s="137">
        <v>10715.75316</v>
      </c>
      <c r="O50" s="142">
        <v>97.238294999999994</v>
      </c>
      <c r="P50" s="136">
        <v>266.61814409999999</v>
      </c>
      <c r="Q50" s="137">
        <v>11197.9620522</v>
      </c>
      <c r="R50" s="142">
        <v>97.238294999999994</v>
      </c>
      <c r="S50" s="136">
        <v>266.61814409999999</v>
      </c>
      <c r="T50" s="137">
        <v>11197.9620522</v>
      </c>
      <c r="U50" s="142">
        <v>101.11782679999999</v>
      </c>
      <c r="V50" s="136">
        <v>277.27286986399997</v>
      </c>
      <c r="W50" s="137">
        <v>11645.460534287999</v>
      </c>
      <c r="X50" s="136">
        <v>105.15253987199999</v>
      </c>
      <c r="Y50" s="136">
        <v>288.36378465856001</v>
      </c>
      <c r="Z50" s="137">
        <v>12111.27895565952</v>
      </c>
      <c r="AA50" s="136">
        <v>110.41016686559999</v>
      </c>
      <c r="AB50" s="136">
        <v>302.77722389148801</v>
      </c>
      <c r="AC50" s="137">
        <v>12716.643403442496</v>
      </c>
      <c r="AD50" s="136">
        <v>113.72</v>
      </c>
      <c r="AE50" s="139">
        <v>311.86</v>
      </c>
      <c r="AF50" s="137">
        <f t="shared" si="20"/>
        <v>13098.12</v>
      </c>
      <c r="AG50" s="136">
        <f>AD50*(1+$AI$2)+0.01</f>
        <v>117.14160000000001</v>
      </c>
      <c r="AH50" s="139">
        <f>AH48+AG50</f>
        <v>321.22579999999999</v>
      </c>
      <c r="AI50" s="137">
        <f t="shared" si="21"/>
        <v>13491.4836</v>
      </c>
      <c r="AJ50" s="136">
        <f>AG50*(1+$AI$2)+0.02</f>
        <v>120.67584800000002</v>
      </c>
      <c r="AK50" s="139">
        <f>AK48+AJ50</f>
        <v>330.862574</v>
      </c>
      <c r="AL50" s="137">
        <f t="shared" si="22"/>
        <v>13896.228107999999</v>
      </c>
      <c r="AM50" s="256" t="s">
        <v>101</v>
      </c>
      <c r="AN50" s="274">
        <v>124.29612344000002</v>
      </c>
      <c r="AO50" s="275">
        <v>340.78845122000001</v>
      </c>
      <c r="AP50" s="276">
        <v>14313.114951239999</v>
      </c>
      <c r="AQ50" s="256" t="s">
        <v>101</v>
      </c>
      <c r="AR50" s="274">
        <f t="shared" si="10"/>
        <v>128.02500714320001</v>
      </c>
      <c r="AS50" s="275">
        <f t="shared" si="11"/>
        <v>351.01210475660002</v>
      </c>
      <c r="AT50" s="276">
        <f t="shared" si="12"/>
        <v>14742.5083997772</v>
      </c>
      <c r="AU50" s="274">
        <f t="shared" si="13"/>
        <v>131.86575735749602</v>
      </c>
      <c r="AV50" s="275">
        <f t="shared" si="14"/>
        <v>361.54246789929806</v>
      </c>
      <c r="AW50" s="276">
        <f t="shared" si="15"/>
        <v>15184.783651770516</v>
      </c>
      <c r="AX50" s="274">
        <f t="shared" si="16"/>
        <v>135.8217300782209</v>
      </c>
      <c r="AY50" s="275">
        <f t="shared" si="17"/>
        <v>372.38874193627703</v>
      </c>
      <c r="AZ50" s="276">
        <f t="shared" si="18"/>
        <v>15640.327161323632</v>
      </c>
      <c r="BA50" s="274">
        <f t="shared" si="26"/>
        <v>139.89638198056753</v>
      </c>
      <c r="BB50" s="275">
        <f t="shared" si="27"/>
        <v>383.56040419436533</v>
      </c>
      <c r="BC50" s="276">
        <f t="shared" si="28"/>
        <v>16109.536976163341</v>
      </c>
      <c r="BD50" s="274">
        <f t="shared" si="29"/>
        <v>144.09327343998456</v>
      </c>
      <c r="BE50" s="275">
        <f t="shared" si="30"/>
        <v>395.06721632019628</v>
      </c>
      <c r="BF50" s="276">
        <f t="shared" si="31"/>
        <v>16592.823085448243</v>
      </c>
      <c r="BG50" s="274">
        <f t="shared" si="5"/>
        <v>148.4160716431841</v>
      </c>
      <c r="BH50" s="275">
        <f t="shared" si="6"/>
        <v>406.91923280980217</v>
      </c>
      <c r="BI50" s="276">
        <f t="shared" si="7"/>
        <v>17090.60777801169</v>
      </c>
    </row>
    <row r="51" spans="1:61" ht="15" thickBot="1">
      <c r="A51" s="83">
        <v>210</v>
      </c>
      <c r="B51" s="80" t="s">
        <v>77</v>
      </c>
      <c r="C51" s="84">
        <v>15</v>
      </c>
      <c r="D51" s="85">
        <v>15</v>
      </c>
      <c r="E51" s="86">
        <v>630</v>
      </c>
      <c r="F51" s="87">
        <v>35.32</v>
      </c>
      <c r="G51" s="85">
        <v>35.32</v>
      </c>
      <c r="H51" s="86">
        <v>1483.44</v>
      </c>
      <c r="I51" s="88">
        <v>37.262599999999999</v>
      </c>
      <c r="J51" s="85">
        <v>37.262599999999999</v>
      </c>
      <c r="K51" s="86">
        <v>1565.0291999999999</v>
      </c>
      <c r="L51" s="88">
        <v>39.125729999999997</v>
      </c>
      <c r="M51" s="85">
        <v>39.125729999999997</v>
      </c>
      <c r="N51" s="86">
        <v>1643.2806599999999</v>
      </c>
      <c r="O51" s="88">
        <v>40.886387849999991</v>
      </c>
      <c r="P51" s="85">
        <v>40.886387849999991</v>
      </c>
      <c r="Q51" s="86">
        <v>1717.2282896999996</v>
      </c>
      <c r="R51" s="85">
        <v>63.55</v>
      </c>
      <c r="S51" s="85">
        <v>63.55</v>
      </c>
      <c r="T51" s="85">
        <v>2669.1</v>
      </c>
      <c r="U51" s="88">
        <v>66.091999999999999</v>
      </c>
      <c r="V51" s="85">
        <v>66.091999999999999</v>
      </c>
      <c r="W51" s="86">
        <v>2775.864</v>
      </c>
      <c r="X51" s="85">
        <v>68.725679999999997</v>
      </c>
      <c r="Y51" s="85">
        <v>68.725679999999997</v>
      </c>
      <c r="Z51" s="85">
        <v>2886.47856</v>
      </c>
      <c r="AA51" s="88">
        <v>72.161963999999998</v>
      </c>
      <c r="AB51" s="85">
        <v>72.161963999999998</v>
      </c>
      <c r="AC51" s="86">
        <v>3030.8024879999998</v>
      </c>
      <c r="AD51" s="88">
        <v>74.319999999999993</v>
      </c>
      <c r="AE51" s="89">
        <v>74.319999999999993</v>
      </c>
      <c r="AF51" s="86">
        <f t="shared" si="20"/>
        <v>3121.4399999999996</v>
      </c>
      <c r="AG51" s="85">
        <f t="shared" ref="AG51:AH54" si="32">AD51*(1+$AI$2)</f>
        <v>76.549599999999998</v>
      </c>
      <c r="AH51" s="89">
        <f t="shared" si="32"/>
        <v>76.549599999999998</v>
      </c>
      <c r="AI51" s="86">
        <f t="shared" si="21"/>
        <v>3215.0832</v>
      </c>
      <c r="AJ51" s="85">
        <f t="shared" ref="AJ51:AK53" si="33">AG51*(1+$AI$2)</f>
        <v>78.846087999999995</v>
      </c>
      <c r="AK51" s="89">
        <f t="shared" si="33"/>
        <v>78.846087999999995</v>
      </c>
      <c r="AL51" s="86">
        <f t="shared" si="22"/>
        <v>3311.5356959999999</v>
      </c>
      <c r="AM51" s="255" t="s">
        <v>102</v>
      </c>
      <c r="AN51" s="277">
        <v>124.29612344000002</v>
      </c>
      <c r="AO51" s="280">
        <v>340.78845122000001</v>
      </c>
      <c r="AP51" s="279">
        <v>14313.114951239999</v>
      </c>
      <c r="AQ51" s="255" t="s">
        <v>102</v>
      </c>
      <c r="AR51" s="277">
        <f t="shared" si="10"/>
        <v>128.02500714320001</v>
      </c>
      <c r="AS51" s="280">
        <f t="shared" si="11"/>
        <v>351.01210475660002</v>
      </c>
      <c r="AT51" s="279">
        <f t="shared" si="12"/>
        <v>14742.5083997772</v>
      </c>
      <c r="AU51" s="277">
        <f t="shared" si="13"/>
        <v>131.86575735749602</v>
      </c>
      <c r="AV51" s="280">
        <f t="shared" si="14"/>
        <v>361.54246789929806</v>
      </c>
      <c r="AW51" s="279">
        <f t="shared" si="15"/>
        <v>15184.783651770516</v>
      </c>
      <c r="AX51" s="277">
        <f t="shared" si="16"/>
        <v>135.8217300782209</v>
      </c>
      <c r="AY51" s="280">
        <f t="shared" si="17"/>
        <v>372.38874193627703</v>
      </c>
      <c r="AZ51" s="279">
        <f t="shared" si="18"/>
        <v>15640.327161323632</v>
      </c>
      <c r="BA51" s="277">
        <f t="shared" si="26"/>
        <v>139.89638198056753</v>
      </c>
      <c r="BB51" s="280">
        <f t="shared" si="27"/>
        <v>383.56040419436533</v>
      </c>
      <c r="BC51" s="279">
        <f t="shared" si="28"/>
        <v>16109.536976163341</v>
      </c>
      <c r="BD51" s="277">
        <f t="shared" si="29"/>
        <v>144.09327343998456</v>
      </c>
      <c r="BE51" s="280">
        <f t="shared" si="30"/>
        <v>395.06721632019628</v>
      </c>
      <c r="BF51" s="279">
        <f t="shared" si="31"/>
        <v>16592.823085448243</v>
      </c>
      <c r="BG51" s="277">
        <f t="shared" si="5"/>
        <v>148.4160716431841</v>
      </c>
      <c r="BH51" s="280">
        <f t="shared" si="6"/>
        <v>406.91923280980217</v>
      </c>
      <c r="BI51" s="279">
        <f t="shared" si="7"/>
        <v>17090.60777801169</v>
      </c>
    </row>
    <row r="52" spans="1:61" ht="14.25">
      <c r="A52" s="90">
        <v>260</v>
      </c>
      <c r="B52" s="81" t="s">
        <v>80</v>
      </c>
      <c r="C52" s="91">
        <v>100</v>
      </c>
      <c r="D52" s="92">
        <v>100</v>
      </c>
      <c r="E52" s="93">
        <v>4200</v>
      </c>
      <c r="F52" s="94">
        <v>106.32</v>
      </c>
      <c r="G52" s="92">
        <v>106.32</v>
      </c>
      <c r="H52" s="93">
        <v>4465.4399999999996</v>
      </c>
      <c r="I52" s="95">
        <v>112.16759999999999</v>
      </c>
      <c r="J52" s="92">
        <v>112.16759999999999</v>
      </c>
      <c r="K52" s="93">
        <v>4711.0391999999993</v>
      </c>
      <c r="L52" s="95">
        <v>117.77598</v>
      </c>
      <c r="M52" s="92">
        <v>117.77598</v>
      </c>
      <c r="N52" s="93">
        <v>4946.5911599999999</v>
      </c>
      <c r="O52" s="95">
        <v>123.0758991</v>
      </c>
      <c r="P52" s="92">
        <v>123.0758991</v>
      </c>
      <c r="Q52" s="93">
        <v>5169.1877622000002</v>
      </c>
      <c r="R52" s="92">
        <v>123.0758991</v>
      </c>
      <c r="S52" s="92">
        <v>123.0758991</v>
      </c>
      <c r="T52" s="92">
        <v>5169.1877622000002</v>
      </c>
      <c r="U52" s="95">
        <v>127.99893506400001</v>
      </c>
      <c r="V52" s="92">
        <v>127.99893506400001</v>
      </c>
      <c r="W52" s="93">
        <v>5375.9552726880002</v>
      </c>
      <c r="X52" s="92">
        <v>133.11889246656003</v>
      </c>
      <c r="Y52" s="92">
        <v>133.11889246656003</v>
      </c>
      <c r="Z52" s="92">
        <v>5590.993483595521</v>
      </c>
      <c r="AA52" s="95">
        <v>139.78008708988804</v>
      </c>
      <c r="AB52" s="92">
        <v>139.78008708988804</v>
      </c>
      <c r="AC52" s="93">
        <v>5870.7636577752974</v>
      </c>
      <c r="AD52" s="95">
        <v>143.97</v>
      </c>
      <c r="AE52" s="96">
        <v>143.97</v>
      </c>
      <c r="AF52" s="93">
        <f t="shared" si="20"/>
        <v>6046.74</v>
      </c>
      <c r="AG52" s="92">
        <f t="shared" si="32"/>
        <v>148.28909999999999</v>
      </c>
      <c r="AH52" s="96">
        <f t="shared" si="32"/>
        <v>148.28909999999999</v>
      </c>
      <c r="AI52" s="93">
        <f t="shared" si="21"/>
        <v>6228.1421999999993</v>
      </c>
      <c r="AJ52" s="92">
        <f t="shared" si="33"/>
        <v>152.737773</v>
      </c>
      <c r="AK52" s="96">
        <f t="shared" si="33"/>
        <v>152.737773</v>
      </c>
      <c r="AL52" s="93">
        <f t="shared" si="22"/>
        <v>6414.9864660000003</v>
      </c>
      <c r="AM52" s="259" t="s">
        <v>77</v>
      </c>
      <c r="AN52" s="271">
        <v>81.211470640000002</v>
      </c>
      <c r="AO52" s="272">
        <v>81.211470640000002</v>
      </c>
      <c r="AP52" s="273">
        <v>3410.8817668800002</v>
      </c>
      <c r="AQ52" s="259" t="s">
        <v>77</v>
      </c>
      <c r="AR52" s="271">
        <f t="shared" si="10"/>
        <v>83.647814759200003</v>
      </c>
      <c r="AS52" s="272">
        <f t="shared" si="11"/>
        <v>83.647814759200003</v>
      </c>
      <c r="AT52" s="273">
        <f t="shared" si="12"/>
        <v>3513.2082198864005</v>
      </c>
      <c r="AU52" s="271">
        <f t="shared" si="13"/>
        <v>86.157249201976001</v>
      </c>
      <c r="AV52" s="272">
        <f t="shared" si="14"/>
        <v>86.157249201976001</v>
      </c>
      <c r="AW52" s="273">
        <f t="shared" si="15"/>
        <v>3618.6044664829924</v>
      </c>
      <c r="AX52" s="271">
        <f t="shared" si="16"/>
        <v>88.741966678035283</v>
      </c>
      <c r="AY52" s="272">
        <f t="shared" si="17"/>
        <v>88.741966678035283</v>
      </c>
      <c r="AZ52" s="273">
        <f t="shared" si="18"/>
        <v>3727.1626004774821</v>
      </c>
      <c r="BA52" s="271">
        <f t="shared" si="26"/>
        <v>91.404225678376349</v>
      </c>
      <c r="BB52" s="272">
        <f t="shared" si="27"/>
        <v>91.404225678376349</v>
      </c>
      <c r="BC52" s="273">
        <f t="shared" si="28"/>
        <v>3838.9774784918068</v>
      </c>
      <c r="BD52" s="271">
        <f t="shared" si="29"/>
        <v>94.14635244872764</v>
      </c>
      <c r="BE52" s="272">
        <f t="shared" si="30"/>
        <v>94.14635244872764</v>
      </c>
      <c r="BF52" s="273">
        <f t="shared" si="31"/>
        <v>3954.1468028465611</v>
      </c>
      <c r="BG52" s="271">
        <f t="shared" si="5"/>
        <v>96.970743022189467</v>
      </c>
      <c r="BH52" s="272">
        <f t="shared" si="6"/>
        <v>96.970743022189467</v>
      </c>
      <c r="BI52" s="273">
        <f t="shared" si="7"/>
        <v>4072.7712069319582</v>
      </c>
    </row>
    <row r="53" spans="1:61" ht="14.25">
      <c r="A53" s="97">
        <v>231</v>
      </c>
      <c r="B53" s="82" t="s">
        <v>82</v>
      </c>
      <c r="C53" s="98">
        <v>22.089552238805972</v>
      </c>
      <c r="D53" s="99">
        <v>122.09</v>
      </c>
      <c r="E53" s="100">
        <v>5127.78</v>
      </c>
      <c r="F53" s="98">
        <v>22.089552238805972</v>
      </c>
      <c r="G53" s="99">
        <v>128.40955223880596</v>
      </c>
      <c r="H53" s="100">
        <v>5393.2011940298498</v>
      </c>
      <c r="I53" s="98">
        <v>23.3044776119403</v>
      </c>
      <c r="J53" s="99">
        <v>135.47207761194028</v>
      </c>
      <c r="K53" s="100">
        <v>5689.827259701492</v>
      </c>
      <c r="L53" s="98">
        <v>24.469701492537315</v>
      </c>
      <c r="M53" s="99">
        <v>142.24568149253733</v>
      </c>
      <c r="N53" s="100">
        <v>5974.3186226865682</v>
      </c>
      <c r="O53" s="98">
        <v>25.570838059701494</v>
      </c>
      <c r="P53" s="99">
        <v>148.6467371597015</v>
      </c>
      <c r="Q53" s="100">
        <v>6243.1629607074628</v>
      </c>
      <c r="R53" s="99">
        <v>25.570838059701494</v>
      </c>
      <c r="S53" s="99">
        <v>148.6467371597015</v>
      </c>
      <c r="T53" s="99">
        <v>6243.1629607074628</v>
      </c>
      <c r="U53" s="98">
        <v>26.593671582089556</v>
      </c>
      <c r="V53" s="99">
        <v>154.59260664608956</v>
      </c>
      <c r="W53" s="100">
        <v>6492.8894791357616</v>
      </c>
      <c r="X53" s="99">
        <v>27.647418445373138</v>
      </c>
      <c r="Y53" s="99">
        <v>160.76631091193318</v>
      </c>
      <c r="Z53" s="99">
        <v>6752.1850583011937</v>
      </c>
      <c r="AA53" s="98">
        <v>29.029789367641797</v>
      </c>
      <c r="AB53" s="99">
        <v>168.80987645752984</v>
      </c>
      <c r="AC53" s="100">
        <v>7090.0148112162533</v>
      </c>
      <c r="AD53" s="98">
        <v>29.9</v>
      </c>
      <c r="AE53" s="96">
        <v>173.87</v>
      </c>
      <c r="AF53" s="100">
        <f t="shared" si="20"/>
        <v>7302.54</v>
      </c>
      <c r="AG53" s="99">
        <f t="shared" si="32"/>
        <v>30.797000000000001</v>
      </c>
      <c r="AH53" s="96">
        <f t="shared" si="32"/>
        <v>179.08610000000002</v>
      </c>
      <c r="AI53" s="100">
        <f t="shared" si="21"/>
        <v>7521.6162000000004</v>
      </c>
      <c r="AJ53" s="99">
        <f t="shared" si="33"/>
        <v>31.72091</v>
      </c>
      <c r="AK53" s="96">
        <f t="shared" si="33"/>
        <v>184.45868300000001</v>
      </c>
      <c r="AL53" s="100">
        <f t="shared" si="22"/>
        <v>7747.2646860000004</v>
      </c>
      <c r="AM53" s="256" t="s">
        <v>80</v>
      </c>
      <c r="AN53" s="274">
        <v>157.31990619000001</v>
      </c>
      <c r="AO53" s="275">
        <v>157.31990619000001</v>
      </c>
      <c r="AP53" s="276">
        <v>6607.4360599800002</v>
      </c>
      <c r="AQ53" s="256" t="s">
        <v>80</v>
      </c>
      <c r="AR53" s="274">
        <f t="shared" si="10"/>
        <v>162.03950337570001</v>
      </c>
      <c r="AS53" s="275">
        <f t="shared" si="11"/>
        <v>162.03950337570001</v>
      </c>
      <c r="AT53" s="276">
        <f t="shared" si="12"/>
        <v>6805.6591417794007</v>
      </c>
      <c r="AU53" s="274">
        <f t="shared" si="13"/>
        <v>166.900688476971</v>
      </c>
      <c r="AV53" s="275">
        <f t="shared" si="14"/>
        <v>166.900688476971</v>
      </c>
      <c r="AW53" s="276">
        <f t="shared" si="15"/>
        <v>7009.8289160327831</v>
      </c>
      <c r="AX53" s="274">
        <f t="shared" si="16"/>
        <v>171.90770913128014</v>
      </c>
      <c r="AY53" s="275">
        <f t="shared" si="17"/>
        <v>171.90770913128014</v>
      </c>
      <c r="AZ53" s="276">
        <f t="shared" si="18"/>
        <v>7220.1237835137672</v>
      </c>
      <c r="BA53" s="274">
        <f t="shared" si="26"/>
        <v>177.06494040521855</v>
      </c>
      <c r="BB53" s="275">
        <f t="shared" si="27"/>
        <v>177.06494040521855</v>
      </c>
      <c r="BC53" s="276">
        <f t="shared" si="28"/>
        <v>7436.7274970191802</v>
      </c>
      <c r="BD53" s="274">
        <f t="shared" si="29"/>
        <v>182.3768886173751</v>
      </c>
      <c r="BE53" s="275">
        <f t="shared" si="30"/>
        <v>182.3768886173751</v>
      </c>
      <c r="BF53" s="276">
        <f t="shared" si="31"/>
        <v>7659.8293219297557</v>
      </c>
      <c r="BG53" s="274">
        <f t="shared" si="5"/>
        <v>187.84819527589636</v>
      </c>
      <c r="BH53" s="275">
        <f t="shared" si="6"/>
        <v>187.84819527589636</v>
      </c>
      <c r="BI53" s="276">
        <f t="shared" si="7"/>
        <v>7889.6242015876487</v>
      </c>
    </row>
    <row r="54" spans="1:61" ht="14.25">
      <c r="A54" s="90">
        <v>221</v>
      </c>
      <c r="B54" s="81" t="s">
        <v>83</v>
      </c>
      <c r="C54" s="91">
        <v>40</v>
      </c>
      <c r="D54" s="92">
        <v>140</v>
      </c>
      <c r="E54" s="93">
        <v>5880</v>
      </c>
      <c r="F54" s="94">
        <v>40</v>
      </c>
      <c r="G54" s="92">
        <v>146.32</v>
      </c>
      <c r="H54" s="93">
        <v>6145.44</v>
      </c>
      <c r="I54" s="95">
        <v>42.2</v>
      </c>
      <c r="J54" s="92">
        <v>154.36759999999998</v>
      </c>
      <c r="K54" s="93">
        <v>6483.4391999999989</v>
      </c>
      <c r="L54" s="95">
        <v>44.31</v>
      </c>
      <c r="M54" s="92">
        <v>162.08598000000001</v>
      </c>
      <c r="N54" s="93">
        <v>6807.6111600000004</v>
      </c>
      <c r="O54" s="95">
        <v>46.30395</v>
      </c>
      <c r="P54" s="92">
        <v>169.3798491</v>
      </c>
      <c r="Q54" s="93">
        <v>7113.9536621999996</v>
      </c>
      <c r="R54" s="92">
        <v>46.30395</v>
      </c>
      <c r="S54" s="92">
        <v>169.3798491</v>
      </c>
      <c r="T54" s="92">
        <v>7113.9536621999996</v>
      </c>
      <c r="U54" s="95">
        <v>48.156108000000003</v>
      </c>
      <c r="V54" s="92">
        <v>176.15504306400001</v>
      </c>
      <c r="W54" s="93">
        <v>7398.5118086880002</v>
      </c>
      <c r="X54" s="92">
        <v>50.092352320000003</v>
      </c>
      <c r="Y54" s="92">
        <v>183.21124478656003</v>
      </c>
      <c r="Z54" s="92">
        <v>7694.8722810355212</v>
      </c>
      <c r="AA54" s="95">
        <v>52.58696993600001</v>
      </c>
      <c r="AB54" s="92">
        <v>192.36705702588804</v>
      </c>
      <c r="AC54" s="93">
        <v>8079.416395087298</v>
      </c>
      <c r="AD54" s="95">
        <v>54.17</v>
      </c>
      <c r="AE54" s="96">
        <v>198.14</v>
      </c>
      <c r="AF54" s="93">
        <f t="shared" si="20"/>
        <v>8321.8799999999992</v>
      </c>
      <c r="AG54" s="92">
        <f>AD54*(1+$AI$2)-0.01</f>
        <v>55.785100000000007</v>
      </c>
      <c r="AH54" s="96">
        <f t="shared" si="32"/>
        <v>204.08419999999998</v>
      </c>
      <c r="AI54" s="93">
        <f t="shared" si="21"/>
        <v>8571.536399999999</v>
      </c>
      <c r="AJ54" s="92">
        <f>AG54*(1+$AI$2)-0.01</f>
        <v>57.448653000000007</v>
      </c>
      <c r="AK54" s="96">
        <f>AH54*(1+$AI$2)-0.02</f>
        <v>210.18672599999996</v>
      </c>
      <c r="AL54" s="93">
        <f t="shared" si="22"/>
        <v>8827.8424919999979</v>
      </c>
      <c r="AM54" s="256" t="s">
        <v>82</v>
      </c>
      <c r="AN54" s="274">
        <v>32.672537300000002</v>
      </c>
      <c r="AO54" s="275">
        <v>189.99244349</v>
      </c>
      <c r="AP54" s="276">
        <v>7979.6826265800009</v>
      </c>
      <c r="AQ54" s="256" t="s">
        <v>82</v>
      </c>
      <c r="AR54" s="274">
        <f t="shared" si="10"/>
        <v>33.652713419000001</v>
      </c>
      <c r="AS54" s="275">
        <f t="shared" si="11"/>
        <v>195.69221679470002</v>
      </c>
      <c r="AT54" s="276">
        <f t="shared" si="12"/>
        <v>8219.0731053774016</v>
      </c>
      <c r="AU54" s="274">
        <f t="shared" si="13"/>
        <v>34.662294821570001</v>
      </c>
      <c r="AV54" s="275">
        <f t="shared" si="14"/>
        <v>201.56298329854101</v>
      </c>
      <c r="AW54" s="276">
        <f t="shared" si="15"/>
        <v>8465.6452985387241</v>
      </c>
      <c r="AX54" s="274">
        <f t="shared" si="16"/>
        <v>35.702163666217103</v>
      </c>
      <c r="AY54" s="275">
        <f t="shared" si="17"/>
        <v>207.60987279749725</v>
      </c>
      <c r="AZ54" s="276">
        <f t="shared" si="18"/>
        <v>8719.6146574948853</v>
      </c>
      <c r="BA54" s="274">
        <f t="shared" si="26"/>
        <v>36.773228576203614</v>
      </c>
      <c r="BB54" s="275">
        <f t="shared" si="27"/>
        <v>213.83816898142217</v>
      </c>
      <c r="BC54" s="276">
        <f t="shared" si="28"/>
        <v>8981.2030972197317</v>
      </c>
      <c r="BD54" s="274">
        <f t="shared" si="29"/>
        <v>37.876425433489722</v>
      </c>
      <c r="BE54" s="275">
        <f t="shared" si="30"/>
        <v>220.25331405086484</v>
      </c>
      <c r="BF54" s="276">
        <f t="shared" si="31"/>
        <v>9250.639190136324</v>
      </c>
      <c r="BG54" s="274">
        <f t="shared" si="5"/>
        <v>39.012718196494411</v>
      </c>
      <c r="BH54" s="275">
        <f t="shared" si="6"/>
        <v>226.86091347239079</v>
      </c>
      <c r="BI54" s="276">
        <f t="shared" si="7"/>
        <v>9528.1583658404143</v>
      </c>
    </row>
    <row r="55" spans="1:61" ht="15" thickBot="1">
      <c r="A55" s="90"/>
      <c r="B55" s="81" t="s">
        <v>145</v>
      </c>
      <c r="C55" s="91"/>
      <c r="D55" s="92"/>
      <c r="E55" s="93"/>
      <c r="F55" s="94"/>
      <c r="G55" s="92"/>
      <c r="H55" s="93"/>
      <c r="I55" s="95"/>
      <c r="J55" s="92"/>
      <c r="K55" s="93"/>
      <c r="L55" s="95"/>
      <c r="M55" s="92"/>
      <c r="N55" s="93"/>
      <c r="O55" s="95"/>
      <c r="P55" s="92"/>
      <c r="Q55" s="93"/>
      <c r="R55" s="92"/>
      <c r="S55" s="92"/>
      <c r="T55" s="92"/>
      <c r="U55" s="95"/>
      <c r="V55" s="92"/>
      <c r="W55" s="93"/>
      <c r="X55" s="92"/>
      <c r="Y55" s="92"/>
      <c r="Z55" s="92"/>
      <c r="AA55" s="95"/>
      <c r="AB55" s="92"/>
      <c r="AC55" s="93"/>
      <c r="AD55" s="136"/>
      <c r="AE55" s="139"/>
      <c r="AF55" s="137"/>
      <c r="AG55" s="136">
        <v>74.599999999999994</v>
      </c>
      <c r="AH55" s="139">
        <f>AH54+AG55</f>
        <v>278.68419999999998</v>
      </c>
      <c r="AI55" s="137">
        <f t="shared" si="21"/>
        <v>11704.7364</v>
      </c>
      <c r="AJ55" s="136">
        <f>AG55*(1+$AI$2)</f>
        <v>76.837999999999994</v>
      </c>
      <c r="AK55" s="139">
        <f>AK54+AJ55</f>
        <v>287.02472599999999</v>
      </c>
      <c r="AL55" s="137">
        <f t="shared" si="22"/>
        <v>12055.038492</v>
      </c>
      <c r="AM55" s="256" t="s">
        <v>83</v>
      </c>
      <c r="AN55" s="274">
        <v>59.172112590000012</v>
      </c>
      <c r="AO55" s="275">
        <v>216.49232777999998</v>
      </c>
      <c r="AP55" s="276">
        <v>9092.6777667599981</v>
      </c>
      <c r="AQ55" s="256" t="s">
        <v>83</v>
      </c>
      <c r="AR55" s="274">
        <f t="shared" si="10"/>
        <v>60.947275967700016</v>
      </c>
      <c r="AS55" s="275">
        <f t="shared" si="11"/>
        <v>222.98709761339998</v>
      </c>
      <c r="AT55" s="276">
        <f t="shared" si="12"/>
        <v>9365.4580997627982</v>
      </c>
      <c r="AU55" s="274">
        <f t="shared" si="13"/>
        <v>62.775694246731021</v>
      </c>
      <c r="AV55" s="275">
        <f t="shared" si="14"/>
        <v>229.67671054180198</v>
      </c>
      <c r="AW55" s="276">
        <f t="shared" si="15"/>
        <v>9646.4218427556825</v>
      </c>
      <c r="AX55" s="274">
        <f t="shared" si="16"/>
        <v>64.658965074132951</v>
      </c>
      <c r="AY55" s="275">
        <f t="shared" si="17"/>
        <v>236.56701185805605</v>
      </c>
      <c r="AZ55" s="276">
        <f t="shared" si="18"/>
        <v>9935.8144980383531</v>
      </c>
      <c r="BA55" s="274">
        <f t="shared" si="26"/>
        <v>66.598734026356937</v>
      </c>
      <c r="BB55" s="275">
        <f t="shared" si="27"/>
        <v>243.66402221379775</v>
      </c>
      <c r="BC55" s="276">
        <f t="shared" si="28"/>
        <v>10233.888932979504</v>
      </c>
      <c r="BD55" s="274">
        <f t="shared" si="29"/>
        <v>68.596696047147645</v>
      </c>
      <c r="BE55" s="275">
        <f t="shared" si="30"/>
        <v>250.97394288021169</v>
      </c>
      <c r="BF55" s="276">
        <f t="shared" si="31"/>
        <v>10540.905600968888</v>
      </c>
      <c r="BG55" s="274">
        <f t="shared" si="5"/>
        <v>70.654596928562071</v>
      </c>
      <c r="BH55" s="275">
        <f t="shared" si="6"/>
        <v>258.50316116661804</v>
      </c>
      <c r="BI55" s="276">
        <f t="shared" si="7"/>
        <v>10857.132768997955</v>
      </c>
    </row>
    <row r="56" spans="1:61" ht="15" thickBot="1">
      <c r="A56" s="83">
        <v>210</v>
      </c>
      <c r="B56" s="80" t="s">
        <v>77</v>
      </c>
      <c r="C56" s="84">
        <v>15</v>
      </c>
      <c r="D56" s="85">
        <v>15</v>
      </c>
      <c r="E56" s="86">
        <v>630</v>
      </c>
      <c r="F56" s="87">
        <v>35.32</v>
      </c>
      <c r="G56" s="85">
        <v>35.32</v>
      </c>
      <c r="H56" s="86">
        <v>1483.44</v>
      </c>
      <c r="I56" s="88">
        <v>37.262599999999999</v>
      </c>
      <c r="J56" s="85">
        <v>37.262599999999999</v>
      </c>
      <c r="K56" s="86">
        <v>1565.0291999999999</v>
      </c>
      <c r="L56" s="88">
        <v>39.125729999999997</v>
      </c>
      <c r="M56" s="85">
        <v>39.125729999999997</v>
      </c>
      <c r="N56" s="86">
        <v>1643.2806599999999</v>
      </c>
      <c r="O56" s="88">
        <v>40.886387849999991</v>
      </c>
      <c r="P56" s="85">
        <v>40.886387849999991</v>
      </c>
      <c r="Q56" s="86">
        <v>1717.2282896999996</v>
      </c>
      <c r="R56" s="85">
        <v>63.55</v>
      </c>
      <c r="S56" s="85">
        <v>63.55</v>
      </c>
      <c r="T56" s="85">
        <v>2669.1</v>
      </c>
      <c r="U56" s="88">
        <v>66.091999999999999</v>
      </c>
      <c r="V56" s="85">
        <v>66.091999999999999</v>
      </c>
      <c r="W56" s="86">
        <v>2775.864</v>
      </c>
      <c r="X56" s="85">
        <v>68.725679999999997</v>
      </c>
      <c r="Y56" s="85">
        <v>68.725679999999997</v>
      </c>
      <c r="Z56" s="85">
        <v>2886.47856</v>
      </c>
      <c r="AA56" s="88">
        <v>72.161963999999998</v>
      </c>
      <c r="AB56" s="85">
        <v>72.161963999999998</v>
      </c>
      <c r="AC56" s="86">
        <v>3030.8024879999998</v>
      </c>
      <c r="AD56" s="88">
        <v>74.319999999999993</v>
      </c>
      <c r="AE56" s="89">
        <v>74.319999999999993</v>
      </c>
      <c r="AF56" s="86">
        <f>AE56*42</f>
        <v>3121.4399999999996</v>
      </c>
      <c r="AG56" s="85">
        <f>AD56*(1+$AI$2)</f>
        <v>76.549599999999998</v>
      </c>
      <c r="AH56" s="89">
        <f>AE56*(1+$AI$2)</f>
        <v>76.549599999999998</v>
      </c>
      <c r="AI56" s="86">
        <f t="shared" si="21"/>
        <v>3215.0832</v>
      </c>
      <c r="AJ56" s="85">
        <f t="shared" ref="AJ56:AK59" si="34">AG56*(1+$AI$2)</f>
        <v>78.846087999999995</v>
      </c>
      <c r="AK56" s="89">
        <f t="shared" si="34"/>
        <v>78.846087999999995</v>
      </c>
      <c r="AL56" s="86">
        <f t="shared" si="22"/>
        <v>3311.5356959999999</v>
      </c>
      <c r="AM56" s="256" t="s">
        <v>145</v>
      </c>
      <c r="AN56" s="277">
        <v>53.436400000000006</v>
      </c>
      <c r="AO56" s="278">
        <v>269.92872777999997</v>
      </c>
      <c r="AP56" s="279">
        <v>11337.006566759999</v>
      </c>
      <c r="AQ56" s="256" t="s">
        <v>145</v>
      </c>
      <c r="AR56" s="277">
        <f t="shared" si="10"/>
        <v>55.03949200000001</v>
      </c>
      <c r="AS56" s="278">
        <f t="shared" si="11"/>
        <v>278.02658961340001</v>
      </c>
      <c r="AT56" s="279">
        <f t="shared" si="12"/>
        <v>11677.116763762799</v>
      </c>
      <c r="AU56" s="277">
        <f t="shared" si="13"/>
        <v>56.690676760000009</v>
      </c>
      <c r="AV56" s="278">
        <f t="shared" si="14"/>
        <v>286.36738730180201</v>
      </c>
      <c r="AW56" s="279">
        <f t="shared" si="15"/>
        <v>12027.430266675683</v>
      </c>
      <c r="AX56" s="277">
        <f t="shared" si="16"/>
        <v>58.39139706280001</v>
      </c>
      <c r="AY56" s="278">
        <f t="shared" si="17"/>
        <v>294.95840892085607</v>
      </c>
      <c r="AZ56" s="279">
        <f t="shared" si="18"/>
        <v>12388.253174675954</v>
      </c>
      <c r="BA56" s="277">
        <f t="shared" si="26"/>
        <v>60.143138974684014</v>
      </c>
      <c r="BB56" s="278">
        <f t="shared" si="27"/>
        <v>303.80716118848176</v>
      </c>
      <c r="BC56" s="279">
        <f t="shared" si="28"/>
        <v>12759.900769916234</v>
      </c>
      <c r="BD56" s="277">
        <f t="shared" si="29"/>
        <v>61.947433143924535</v>
      </c>
      <c r="BE56" s="278">
        <f t="shared" si="30"/>
        <v>312.92137602413624</v>
      </c>
      <c r="BF56" s="279">
        <f t="shared" si="31"/>
        <v>13142.697793013722</v>
      </c>
      <c r="BG56" s="277">
        <f t="shared" si="5"/>
        <v>63.80585613824227</v>
      </c>
      <c r="BH56" s="278">
        <f t="shared" si="6"/>
        <v>322.30901730486033</v>
      </c>
      <c r="BI56" s="279">
        <f t="shared" si="7"/>
        <v>13536.978726804135</v>
      </c>
    </row>
    <row r="57" spans="1:61" ht="14.25">
      <c r="A57" s="90">
        <v>260</v>
      </c>
      <c r="B57" s="81" t="s">
        <v>80</v>
      </c>
      <c r="C57" s="91">
        <v>100</v>
      </c>
      <c r="D57" s="92">
        <v>100</v>
      </c>
      <c r="E57" s="93">
        <v>4200</v>
      </c>
      <c r="F57" s="94">
        <v>106.32</v>
      </c>
      <c r="G57" s="92">
        <v>106.32</v>
      </c>
      <c r="H57" s="93">
        <v>4465.4399999999996</v>
      </c>
      <c r="I57" s="95">
        <v>112.16759999999999</v>
      </c>
      <c r="J57" s="92">
        <v>112.16759999999999</v>
      </c>
      <c r="K57" s="93">
        <v>4711.0391999999993</v>
      </c>
      <c r="L57" s="95">
        <v>117.77598</v>
      </c>
      <c r="M57" s="92">
        <v>117.77598</v>
      </c>
      <c r="N57" s="93">
        <v>4946.5911599999999</v>
      </c>
      <c r="O57" s="95">
        <v>123.0758991</v>
      </c>
      <c r="P57" s="92">
        <v>123.0758991</v>
      </c>
      <c r="Q57" s="93">
        <v>5169.1877622000002</v>
      </c>
      <c r="R57" s="92">
        <v>123.0758991</v>
      </c>
      <c r="S57" s="92">
        <v>123.0758991</v>
      </c>
      <c r="T57" s="92">
        <v>5169.1877622000002</v>
      </c>
      <c r="U57" s="95">
        <v>127.99893506400001</v>
      </c>
      <c r="V57" s="92">
        <v>127.99893506400001</v>
      </c>
      <c r="W57" s="93">
        <v>5375.9552726880002</v>
      </c>
      <c r="X57" s="92">
        <v>133.11889246656003</v>
      </c>
      <c r="Y57" s="92">
        <v>133.11889246656003</v>
      </c>
      <c r="Z57" s="92">
        <v>5590.993483595521</v>
      </c>
      <c r="AA57" s="95">
        <v>139.78008708988804</v>
      </c>
      <c r="AB57" s="92">
        <v>139.78008708988804</v>
      </c>
      <c r="AC57" s="93">
        <v>5870.7636577752974</v>
      </c>
      <c r="AD57" s="95">
        <v>143.97</v>
      </c>
      <c r="AE57" s="96">
        <v>143.97</v>
      </c>
      <c r="AF57" s="93">
        <f>AE57*42</f>
        <v>6046.74</v>
      </c>
      <c r="AG57" s="92">
        <f>AD57*(1+$AI$2)</f>
        <v>148.28909999999999</v>
      </c>
      <c r="AH57" s="96">
        <f>AE57*(1+$AI$2)</f>
        <v>148.28909999999999</v>
      </c>
      <c r="AI57" s="93">
        <f t="shared" si="21"/>
        <v>6228.1421999999993</v>
      </c>
      <c r="AJ57" s="92">
        <f t="shared" si="34"/>
        <v>152.737773</v>
      </c>
      <c r="AK57" s="96">
        <f t="shared" si="34"/>
        <v>152.737773</v>
      </c>
      <c r="AL57" s="93">
        <f t="shared" si="22"/>
        <v>6414.9864660000003</v>
      </c>
      <c r="AM57" s="259" t="s">
        <v>77</v>
      </c>
      <c r="AN57" s="271">
        <v>81.211470640000002</v>
      </c>
      <c r="AO57" s="272">
        <v>81.211470640000002</v>
      </c>
      <c r="AP57" s="273">
        <v>3410.8817668800002</v>
      </c>
      <c r="AQ57" s="259" t="s">
        <v>77</v>
      </c>
      <c r="AR57" s="271">
        <f t="shared" si="10"/>
        <v>83.647814759200003</v>
      </c>
      <c r="AS57" s="272">
        <f t="shared" si="11"/>
        <v>83.647814759200003</v>
      </c>
      <c r="AT57" s="273">
        <f t="shared" si="12"/>
        <v>3513.2082198864005</v>
      </c>
      <c r="AU57" s="271">
        <f t="shared" si="13"/>
        <v>86.157249201976001</v>
      </c>
      <c r="AV57" s="272">
        <f t="shared" si="14"/>
        <v>86.157249201976001</v>
      </c>
      <c r="AW57" s="273">
        <f t="shared" si="15"/>
        <v>3618.6044664829924</v>
      </c>
      <c r="AX57" s="271">
        <f t="shared" si="16"/>
        <v>88.741966678035283</v>
      </c>
      <c r="AY57" s="272">
        <f t="shared" si="17"/>
        <v>88.741966678035283</v>
      </c>
      <c r="AZ57" s="273">
        <f t="shared" si="18"/>
        <v>3727.1626004774821</v>
      </c>
      <c r="BA57" s="271">
        <f t="shared" si="26"/>
        <v>91.404225678376349</v>
      </c>
      <c r="BB57" s="272">
        <f t="shared" si="27"/>
        <v>91.404225678376349</v>
      </c>
      <c r="BC57" s="273">
        <f t="shared" si="28"/>
        <v>3838.9774784918068</v>
      </c>
      <c r="BD57" s="271">
        <f t="shared" si="29"/>
        <v>94.14635244872764</v>
      </c>
      <c r="BE57" s="272">
        <f t="shared" si="30"/>
        <v>94.14635244872764</v>
      </c>
      <c r="BF57" s="273">
        <f t="shared" si="31"/>
        <v>3954.1468028465611</v>
      </c>
      <c r="BG57" s="271">
        <f t="shared" si="5"/>
        <v>96.970743022189467</v>
      </c>
      <c r="BH57" s="272">
        <f t="shared" si="6"/>
        <v>96.970743022189467</v>
      </c>
      <c r="BI57" s="273">
        <f t="shared" si="7"/>
        <v>4072.7712069319582</v>
      </c>
    </row>
    <row r="58" spans="1:61" ht="14.25">
      <c r="A58" s="90"/>
      <c r="B58" s="81" t="s">
        <v>155</v>
      </c>
      <c r="C58" s="95"/>
      <c r="D58" s="92"/>
      <c r="E58" s="93"/>
      <c r="F58" s="95"/>
      <c r="G58" s="92"/>
      <c r="H58" s="93"/>
      <c r="I58" s="95"/>
      <c r="J58" s="92"/>
      <c r="K58" s="93"/>
      <c r="L58" s="95"/>
      <c r="M58" s="92"/>
      <c r="N58" s="93"/>
      <c r="O58" s="95"/>
      <c r="P58" s="92"/>
      <c r="Q58" s="93"/>
      <c r="R58" s="92"/>
      <c r="S58" s="92"/>
      <c r="T58" s="92"/>
      <c r="U58" s="95"/>
      <c r="V58" s="92"/>
      <c r="W58" s="93"/>
      <c r="X58" s="92"/>
      <c r="Y58" s="92"/>
      <c r="Z58" s="92"/>
      <c r="AA58" s="95"/>
      <c r="AB58" s="92"/>
      <c r="AC58" s="93"/>
      <c r="AD58" s="92"/>
      <c r="AE58" s="96"/>
      <c r="AF58" s="93"/>
      <c r="AG58" s="92">
        <v>116.27947684440193</v>
      </c>
      <c r="AH58" s="96">
        <f>+AG58+AH57</f>
        <v>264.56857684440195</v>
      </c>
      <c r="AI58" s="93">
        <f>AH58*42</f>
        <v>11111.880227464882</v>
      </c>
      <c r="AJ58" s="92">
        <f t="shared" si="34"/>
        <v>119.76786114973399</v>
      </c>
      <c r="AK58" s="96">
        <f>+AJ58+AK57</f>
        <v>272.50563414973396</v>
      </c>
      <c r="AL58" s="93">
        <f>AK58*42</f>
        <v>11445.236634288827</v>
      </c>
      <c r="AM58" s="256" t="s">
        <v>80</v>
      </c>
      <c r="AN58" s="274">
        <v>157.31990619000001</v>
      </c>
      <c r="AO58" s="275">
        <v>157.31990619000001</v>
      </c>
      <c r="AP58" s="276">
        <v>6607.4360599800002</v>
      </c>
      <c r="AQ58" s="256" t="s">
        <v>80</v>
      </c>
      <c r="AR58" s="274">
        <f t="shared" si="10"/>
        <v>162.03950337570001</v>
      </c>
      <c r="AS58" s="275">
        <f t="shared" si="11"/>
        <v>162.03950337570001</v>
      </c>
      <c r="AT58" s="276">
        <f t="shared" si="12"/>
        <v>6805.6591417794007</v>
      </c>
      <c r="AU58" s="274">
        <f t="shared" si="13"/>
        <v>166.900688476971</v>
      </c>
      <c r="AV58" s="275">
        <f t="shared" si="14"/>
        <v>166.900688476971</v>
      </c>
      <c r="AW58" s="276">
        <f t="shared" si="15"/>
        <v>7009.8289160327831</v>
      </c>
      <c r="AX58" s="274">
        <f t="shared" si="16"/>
        <v>171.90770913128014</v>
      </c>
      <c r="AY58" s="275">
        <f t="shared" si="17"/>
        <v>171.90770913128014</v>
      </c>
      <c r="AZ58" s="276">
        <f t="shared" si="18"/>
        <v>7220.1237835137672</v>
      </c>
      <c r="BA58" s="274">
        <f t="shared" si="26"/>
        <v>177.06494040521855</v>
      </c>
      <c r="BB58" s="275">
        <f t="shared" si="27"/>
        <v>177.06494040521855</v>
      </c>
      <c r="BC58" s="276">
        <f t="shared" si="28"/>
        <v>7436.7274970191802</v>
      </c>
      <c r="BD58" s="274">
        <f t="shared" si="29"/>
        <v>182.3768886173751</v>
      </c>
      <c r="BE58" s="275">
        <f t="shared" si="30"/>
        <v>182.3768886173751</v>
      </c>
      <c r="BF58" s="276">
        <f t="shared" si="31"/>
        <v>7659.8293219297557</v>
      </c>
      <c r="BG58" s="274">
        <f t="shared" si="5"/>
        <v>187.84819527589636</v>
      </c>
      <c r="BH58" s="275">
        <f t="shared" si="6"/>
        <v>187.84819527589636</v>
      </c>
      <c r="BI58" s="276">
        <f t="shared" si="7"/>
        <v>7889.6242015876487</v>
      </c>
    </row>
    <row r="59" spans="1:61" ht="15" thickBot="1">
      <c r="A59" s="133"/>
      <c r="B59" s="134" t="s">
        <v>156</v>
      </c>
      <c r="C59" s="142"/>
      <c r="D59" s="136"/>
      <c r="E59" s="137"/>
      <c r="F59" s="142"/>
      <c r="G59" s="136"/>
      <c r="H59" s="137"/>
      <c r="I59" s="142"/>
      <c r="J59" s="136"/>
      <c r="K59" s="137"/>
      <c r="L59" s="142"/>
      <c r="M59" s="136"/>
      <c r="N59" s="137"/>
      <c r="O59" s="142"/>
      <c r="P59" s="136"/>
      <c r="Q59" s="137"/>
      <c r="R59" s="136"/>
      <c r="S59" s="136"/>
      <c r="T59" s="136"/>
      <c r="U59" s="142"/>
      <c r="V59" s="136"/>
      <c r="W59" s="137"/>
      <c r="X59" s="136"/>
      <c r="Y59" s="136"/>
      <c r="Z59" s="136"/>
      <c r="AA59" s="142"/>
      <c r="AB59" s="136"/>
      <c r="AC59" s="137"/>
      <c r="AD59" s="136"/>
      <c r="AE59" s="139"/>
      <c r="AF59" s="137"/>
      <c r="AG59" s="136">
        <v>205.64</v>
      </c>
      <c r="AH59" s="139">
        <f>+AH58+AG59</f>
        <v>470.20857684440193</v>
      </c>
      <c r="AI59" s="137">
        <f t="shared" si="21"/>
        <v>19748.760227464882</v>
      </c>
      <c r="AJ59" s="136">
        <f t="shared" si="34"/>
        <v>211.8092</v>
      </c>
      <c r="AK59" s="139">
        <f>+AK58+AJ59</f>
        <v>484.314834149734</v>
      </c>
      <c r="AL59" s="137">
        <f>AK59*42</f>
        <v>20341.223034288829</v>
      </c>
      <c r="AM59" s="256" t="s">
        <v>155</v>
      </c>
      <c r="AN59" s="274">
        <v>127.0617238937528</v>
      </c>
      <c r="AO59" s="275">
        <v>284.38163008375284</v>
      </c>
      <c r="AP59" s="276">
        <v>11944.028463517619</v>
      </c>
      <c r="AQ59" s="256" t="s">
        <v>155</v>
      </c>
      <c r="AR59" s="274">
        <f t="shared" si="10"/>
        <v>130.87357561056538</v>
      </c>
      <c r="AS59" s="275">
        <f t="shared" si="11"/>
        <v>292.91307898626542</v>
      </c>
      <c r="AT59" s="276">
        <f t="shared" si="12"/>
        <v>12302.349317423148</v>
      </c>
      <c r="AU59" s="274">
        <f t="shared" si="13"/>
        <v>134.79978287888235</v>
      </c>
      <c r="AV59" s="275">
        <f t="shared" si="14"/>
        <v>301.70047135585338</v>
      </c>
      <c r="AW59" s="276">
        <f t="shared" si="15"/>
        <v>12671.419796945844</v>
      </c>
      <c r="AX59" s="274">
        <f t="shared" si="16"/>
        <v>138.84377636524883</v>
      </c>
      <c r="AY59" s="275">
        <f t="shared" si="17"/>
        <v>310.75148549652897</v>
      </c>
      <c r="AZ59" s="276">
        <f t="shared" si="18"/>
        <v>13051.56239085422</v>
      </c>
      <c r="BA59" s="274">
        <f t="shared" si="26"/>
        <v>143.0090896562063</v>
      </c>
      <c r="BB59" s="275">
        <f t="shared" si="27"/>
        <v>320.07403006142482</v>
      </c>
      <c r="BC59" s="276">
        <f t="shared" si="28"/>
        <v>13443.109262579846</v>
      </c>
      <c r="BD59" s="274">
        <f t="shared" si="29"/>
        <v>147.29936234589249</v>
      </c>
      <c r="BE59" s="275">
        <f t="shared" si="30"/>
        <v>329.67625096326759</v>
      </c>
      <c r="BF59" s="276">
        <f t="shared" si="31"/>
        <v>13846.402540457242</v>
      </c>
      <c r="BG59" s="274">
        <f t="shared" si="5"/>
        <v>151.71834321626926</v>
      </c>
      <c r="BH59" s="275">
        <f t="shared" si="6"/>
        <v>339.56653849216565</v>
      </c>
      <c r="BI59" s="276">
        <f t="shared" si="7"/>
        <v>14261.794616670959</v>
      </c>
    </row>
    <row r="60" spans="1:61" ht="15" thickBot="1">
      <c r="A60" s="101" t="s">
        <v>103</v>
      </c>
      <c r="B60" s="101"/>
      <c r="C60" s="101"/>
      <c r="D60" s="101"/>
      <c r="E60" s="101"/>
      <c r="F60" s="151"/>
      <c r="G60" s="151"/>
      <c r="H60" s="151"/>
      <c r="I60" s="151"/>
      <c r="J60" s="151"/>
      <c r="K60" s="151"/>
      <c r="L60" s="151"/>
      <c r="M60" s="151"/>
      <c r="N60" s="151"/>
      <c r="O60" s="151"/>
      <c r="P60" s="151"/>
      <c r="Q60" s="151"/>
      <c r="AE60" s="117"/>
      <c r="AF60" s="117"/>
      <c r="AM60" s="255" t="s">
        <v>156</v>
      </c>
      <c r="AN60" s="277">
        <v>218.163476</v>
      </c>
      <c r="AO60" s="278">
        <v>502.54510608375284</v>
      </c>
      <c r="AP60" s="279">
        <v>21106.89445551762</v>
      </c>
      <c r="AQ60" s="255" t="s">
        <v>156</v>
      </c>
      <c r="AR60" s="277">
        <f t="shared" si="10"/>
        <v>224.70838028</v>
      </c>
      <c r="AS60" s="278">
        <f t="shared" si="11"/>
        <v>517.62145926626545</v>
      </c>
      <c r="AT60" s="279">
        <f t="shared" si="12"/>
        <v>21740.101289183149</v>
      </c>
      <c r="AU60" s="277">
        <f t="shared" si="13"/>
        <v>231.44963168840002</v>
      </c>
      <c r="AV60" s="278">
        <f t="shared" si="14"/>
        <v>533.15010304425346</v>
      </c>
      <c r="AW60" s="279">
        <f t="shared" si="15"/>
        <v>22392.304327858645</v>
      </c>
      <c r="AX60" s="277">
        <f t="shared" si="16"/>
        <v>238.39312063905203</v>
      </c>
      <c r="AY60" s="278">
        <f t="shared" si="17"/>
        <v>549.14460613558106</v>
      </c>
      <c r="AZ60" s="279">
        <f t="shared" si="18"/>
        <v>23064.073457694405</v>
      </c>
      <c r="BA60" s="277">
        <f t="shared" si="26"/>
        <v>245.5449142582236</v>
      </c>
      <c r="BB60" s="278">
        <f t="shared" si="27"/>
        <v>565.61894431964845</v>
      </c>
      <c r="BC60" s="279">
        <f t="shared" si="28"/>
        <v>23755.995661425237</v>
      </c>
      <c r="BD60" s="277">
        <f t="shared" si="29"/>
        <v>252.91126168597032</v>
      </c>
      <c r="BE60" s="278">
        <f t="shared" si="30"/>
        <v>582.58751264923796</v>
      </c>
      <c r="BF60" s="279">
        <f t="shared" si="31"/>
        <v>24468.675531267996</v>
      </c>
      <c r="BG60" s="277">
        <f t="shared" si="5"/>
        <v>260.49859953654942</v>
      </c>
      <c r="BH60" s="278">
        <f t="shared" si="6"/>
        <v>600.06513802871507</v>
      </c>
      <c r="BI60" s="279">
        <f t="shared" si="7"/>
        <v>25202.735797206038</v>
      </c>
    </row>
    <row r="61" spans="1:61" ht="15" thickBot="1">
      <c r="A61" s="102" t="s">
        <v>104</v>
      </c>
      <c r="B61" s="103"/>
      <c r="C61" s="102"/>
      <c r="D61" s="102"/>
      <c r="E61" s="102"/>
      <c r="F61" s="117"/>
      <c r="G61" s="117"/>
      <c r="H61" s="151"/>
      <c r="I61" s="117"/>
      <c r="J61" s="117"/>
      <c r="K61" s="117"/>
      <c r="L61" s="151"/>
      <c r="M61" s="151"/>
      <c r="N61" s="151"/>
      <c r="O61" s="151"/>
      <c r="P61" s="151"/>
      <c r="Q61" s="151"/>
      <c r="AE61" s="117"/>
      <c r="AF61" s="117"/>
      <c r="AG61" s="92"/>
      <c r="AM61" s="260" t="s">
        <v>212</v>
      </c>
      <c r="AN61" s="281">
        <v>43.568999999999996</v>
      </c>
      <c r="AO61" s="282">
        <v>43.568999999999996</v>
      </c>
      <c r="AP61" s="279">
        <v>1829.8979999999999</v>
      </c>
      <c r="AQ61" s="260" t="s">
        <v>212</v>
      </c>
      <c r="AR61" s="281">
        <f t="shared" si="10"/>
        <v>44.876069999999999</v>
      </c>
      <c r="AS61" s="282">
        <f t="shared" si="11"/>
        <v>44.876069999999999</v>
      </c>
      <c r="AT61" s="279">
        <f t="shared" si="12"/>
        <v>1884.79494</v>
      </c>
      <c r="AU61" s="281">
        <f t="shared" si="13"/>
        <v>46.222352100000002</v>
      </c>
      <c r="AV61" s="282">
        <f t="shared" si="14"/>
        <v>46.222352100000002</v>
      </c>
      <c r="AW61" s="279">
        <f t="shared" si="15"/>
        <v>1941.3387882</v>
      </c>
      <c r="AX61" s="281">
        <f t="shared" si="16"/>
        <v>47.609022663000005</v>
      </c>
      <c r="AY61" s="282">
        <f t="shared" si="17"/>
        <v>47.609022663000005</v>
      </c>
      <c r="AZ61" s="279">
        <f t="shared" si="18"/>
        <v>1999.5789518460001</v>
      </c>
      <c r="BA61" s="281">
        <f t="shared" si="26"/>
        <v>49.037293342890003</v>
      </c>
      <c r="BB61" s="282">
        <f t="shared" si="27"/>
        <v>49.037293342890003</v>
      </c>
      <c r="BC61" s="279">
        <f t="shared" si="28"/>
        <v>2059.5663204013804</v>
      </c>
      <c r="BD61" s="281">
        <f t="shared" si="29"/>
        <v>50.508412143176706</v>
      </c>
      <c r="BE61" s="282">
        <f t="shared" si="30"/>
        <v>50.508412143176706</v>
      </c>
      <c r="BF61" s="279">
        <f t="shared" si="31"/>
        <v>2121.3533100134218</v>
      </c>
      <c r="BG61" s="281">
        <f t="shared" si="5"/>
        <v>52.023664507472006</v>
      </c>
      <c r="BH61" s="282">
        <f t="shared" si="6"/>
        <v>52.023664507472006</v>
      </c>
      <c r="BI61" s="279">
        <f t="shared" si="7"/>
        <v>2184.9939093138246</v>
      </c>
    </row>
    <row r="62" spans="1:61" ht="15" customHeight="1">
      <c r="A62" s="104" t="s">
        <v>105</v>
      </c>
      <c r="B62" s="104"/>
      <c r="C62" s="104"/>
      <c r="D62" s="104"/>
      <c r="E62" s="104"/>
      <c r="F62" s="117"/>
      <c r="G62" s="117"/>
      <c r="H62" s="151"/>
      <c r="I62" s="117"/>
      <c r="J62" s="117"/>
      <c r="K62" s="117"/>
      <c r="L62" s="117"/>
      <c r="M62" s="117"/>
      <c r="N62" s="117"/>
      <c r="O62" s="117"/>
      <c r="P62" s="117"/>
      <c r="Q62" s="117"/>
      <c r="AE62" s="117"/>
      <c r="AF62" s="117"/>
      <c r="AM62" s="101"/>
      <c r="AQ62" s="101"/>
    </row>
    <row r="63" spans="1:61" ht="14.25">
      <c r="A63" s="105" t="s">
        <v>106</v>
      </c>
      <c r="B63" s="105"/>
      <c r="C63" s="105"/>
      <c r="D63" s="105"/>
      <c r="E63" s="105"/>
      <c r="F63" s="152"/>
      <c r="G63" s="152"/>
      <c r="H63" s="152"/>
      <c r="I63" s="117"/>
      <c r="J63" s="117"/>
      <c r="K63" s="117"/>
      <c r="L63" s="117"/>
      <c r="M63" s="117"/>
      <c r="N63" s="117"/>
      <c r="O63" s="117"/>
      <c r="P63" s="117"/>
      <c r="Q63" s="117"/>
      <c r="AE63" s="117"/>
      <c r="AF63" s="117"/>
      <c r="AM63" s="103"/>
      <c r="AQ63" s="103"/>
    </row>
    <row r="64" spans="1:61" ht="14.25">
      <c r="A64" s="106" t="s">
        <v>146</v>
      </c>
      <c r="B64" s="106"/>
      <c r="C64" s="106"/>
      <c r="D64" s="106"/>
      <c r="E64" s="106"/>
      <c r="F64" s="152"/>
      <c r="G64" s="152"/>
      <c r="H64" s="152"/>
      <c r="I64" s="117"/>
      <c r="J64" s="117"/>
      <c r="K64" s="117"/>
      <c r="L64" s="117"/>
      <c r="M64" s="117"/>
      <c r="N64" s="117"/>
      <c r="O64" s="117"/>
      <c r="P64" s="117"/>
      <c r="Q64" s="117"/>
      <c r="AE64" s="117"/>
      <c r="AF64" s="117"/>
      <c r="AM64" s="104"/>
      <c r="AQ64" s="104"/>
    </row>
    <row r="65" spans="1:61" ht="15" thickBot="1">
      <c r="A65" s="153" t="s">
        <v>157</v>
      </c>
      <c r="B65" s="153"/>
      <c r="C65" s="153"/>
      <c r="D65" s="153"/>
      <c r="E65" s="153"/>
      <c r="F65" s="152"/>
      <c r="G65" s="152"/>
      <c r="H65" s="152"/>
      <c r="I65" s="117"/>
      <c r="J65" s="117"/>
      <c r="K65" s="117"/>
      <c r="L65" s="117"/>
      <c r="M65" s="117"/>
      <c r="N65" s="117"/>
      <c r="O65" s="117"/>
      <c r="P65" s="117"/>
      <c r="Q65" s="117"/>
      <c r="AE65" s="117"/>
      <c r="AF65" s="117"/>
      <c r="AM65" s="105"/>
      <c r="AQ65" s="105"/>
    </row>
    <row r="66" spans="1:61" ht="15.75" thickBot="1">
      <c r="A66" s="154">
        <v>279</v>
      </c>
      <c r="B66" s="155" t="s">
        <v>107</v>
      </c>
      <c r="C66" s="156"/>
      <c r="D66" s="156"/>
      <c r="E66" s="156"/>
      <c r="F66" s="156"/>
      <c r="G66" s="156"/>
      <c r="H66" s="156"/>
      <c r="I66" s="156"/>
      <c r="J66" s="156"/>
      <c r="K66" s="157">
        <v>6.4899999999999999E-2</v>
      </c>
      <c r="L66" s="117"/>
      <c r="M66" s="117"/>
      <c r="N66" s="157">
        <v>5.5E-2</v>
      </c>
      <c r="O66" s="117"/>
      <c r="P66" s="117"/>
      <c r="Q66" s="157">
        <v>4.8500000000000001E-2</v>
      </c>
      <c r="T66" s="157"/>
      <c r="V66" s="158" t="s">
        <v>108</v>
      </c>
      <c r="W66" s="157">
        <v>4.48E-2</v>
      </c>
      <c r="Y66" s="158" t="s">
        <v>109</v>
      </c>
      <c r="Z66" s="157">
        <v>5.6899999999999999E-2</v>
      </c>
      <c r="AB66" s="158"/>
      <c r="AC66" s="157">
        <v>7.6700000000000004E-2</v>
      </c>
      <c r="AE66" s="158"/>
      <c r="AF66" s="157">
        <v>0.02</v>
      </c>
      <c r="AG66" s="159" t="s">
        <v>143</v>
      </c>
      <c r="AI66" s="160">
        <v>3.1699999999999999E-2</v>
      </c>
      <c r="AJ66" s="159" t="s">
        <v>158</v>
      </c>
      <c r="AL66" s="160">
        <v>3.73E-2</v>
      </c>
      <c r="AM66" s="106"/>
      <c r="AQ66" s="106"/>
    </row>
    <row r="67" spans="1:61" ht="13.5" thickBot="1">
      <c r="A67" s="161"/>
      <c r="B67" s="162" t="s">
        <v>110</v>
      </c>
      <c r="C67" s="163" t="s">
        <v>111</v>
      </c>
      <c r="D67" s="164"/>
      <c r="E67" s="164"/>
      <c r="F67" s="165" t="s">
        <v>112</v>
      </c>
      <c r="G67" s="166"/>
      <c r="H67" s="166"/>
      <c r="I67" s="165" t="s">
        <v>113</v>
      </c>
      <c r="J67" s="166"/>
      <c r="K67" s="166"/>
      <c r="L67" s="165" t="s">
        <v>114</v>
      </c>
      <c r="M67" s="166"/>
      <c r="N67" s="166"/>
      <c r="O67" s="165" t="s">
        <v>115</v>
      </c>
      <c r="P67" s="166"/>
      <c r="Q67" s="166"/>
      <c r="R67" s="165" t="s">
        <v>115</v>
      </c>
      <c r="S67" s="166"/>
      <c r="T67" s="166"/>
      <c r="U67" s="165" t="s">
        <v>116</v>
      </c>
      <c r="V67" s="166"/>
      <c r="W67" s="166"/>
      <c r="X67" s="167" t="s">
        <v>117</v>
      </c>
      <c r="Y67" s="168"/>
      <c r="Z67" s="169"/>
      <c r="AA67" s="167" t="s">
        <v>118</v>
      </c>
      <c r="AB67" s="170"/>
      <c r="AC67" s="169"/>
      <c r="AD67" s="167" t="s">
        <v>119</v>
      </c>
      <c r="AE67" s="170"/>
      <c r="AF67" s="169"/>
      <c r="AG67" s="167" t="s">
        <v>144</v>
      </c>
      <c r="AH67" s="170"/>
      <c r="AI67" s="169"/>
      <c r="AJ67" s="167" t="s">
        <v>159</v>
      </c>
      <c r="AK67" s="170"/>
      <c r="AL67" s="169"/>
      <c r="AM67" s="153"/>
      <c r="AQ67" s="153"/>
    </row>
    <row r="68" spans="1:61" ht="13.5" thickBot="1">
      <c r="A68" s="171"/>
      <c r="B68" s="164" t="s">
        <v>120</v>
      </c>
      <c r="C68" s="164">
        <v>306.31</v>
      </c>
      <c r="D68" s="164">
        <v>306.31</v>
      </c>
      <c r="E68" s="172">
        <v>12865.02</v>
      </c>
      <c r="F68" s="164">
        <v>327.72</v>
      </c>
      <c r="G68" s="164">
        <v>327.72</v>
      </c>
      <c r="H68" s="172">
        <v>13764.240000000002</v>
      </c>
      <c r="I68" s="172">
        <v>348.98902800000002</v>
      </c>
      <c r="J68" s="172">
        <v>348.98902800000002</v>
      </c>
      <c r="K68" s="172">
        <v>14657.539176</v>
      </c>
      <c r="L68" s="172">
        <v>368.18342454000003</v>
      </c>
      <c r="M68" s="172">
        <v>368.18342454000003</v>
      </c>
      <c r="N68" s="172">
        <v>15463.703830680002</v>
      </c>
      <c r="O68" s="172">
        <v>386.04032063019002</v>
      </c>
      <c r="P68" s="172">
        <v>386.04032063019002</v>
      </c>
      <c r="Q68" s="172">
        <v>16213.693466467981</v>
      </c>
      <c r="R68" s="172">
        <v>386.04032063019002</v>
      </c>
      <c r="S68" s="172">
        <v>386.04032063019002</v>
      </c>
      <c r="T68" s="172">
        <v>16213.693466467981</v>
      </c>
      <c r="U68" s="172">
        <v>403.33492699442252</v>
      </c>
      <c r="V68" s="172">
        <v>403.33492699442252</v>
      </c>
      <c r="W68" s="172">
        <v>16940.066933765745</v>
      </c>
      <c r="X68" s="172">
        <v>426.28468434040514</v>
      </c>
      <c r="Y68" s="172">
        <v>426.28468434040514</v>
      </c>
      <c r="Z68" s="172">
        <v>17903.956742297014</v>
      </c>
      <c r="AA68" s="172">
        <v>458.98071962931419</v>
      </c>
      <c r="AB68" s="172">
        <v>458.98071962931419</v>
      </c>
      <c r="AC68" s="172">
        <v>19277.190224431197</v>
      </c>
      <c r="AD68" s="172">
        <v>468.16</v>
      </c>
      <c r="AE68" s="172">
        <v>468.16</v>
      </c>
      <c r="AF68" s="172">
        <f>AE68*42</f>
        <v>19662.72</v>
      </c>
      <c r="AG68" s="172">
        <f>AD68*(1+$AI$66)</f>
        <v>483.00067200000007</v>
      </c>
      <c r="AH68" s="172">
        <f>AE68*(1+$AI$66)</f>
        <v>483.00067200000007</v>
      </c>
      <c r="AI68" s="172">
        <f>AH68*42</f>
        <v>20286.028224000002</v>
      </c>
      <c r="AJ68" s="172">
        <f>AG68*(1+$AL$66)</f>
        <v>501.01659706560014</v>
      </c>
      <c r="AK68" s="172">
        <f>AH68*(1+$AL$66)</f>
        <v>501.01659706560014</v>
      </c>
      <c r="AL68" s="172">
        <f>AK68*42</f>
        <v>21042.697076755205</v>
      </c>
      <c r="AM68" s="153"/>
      <c r="AQ68" s="153"/>
    </row>
    <row r="69" spans="1:61" ht="13.5" thickBot="1">
      <c r="A69" s="171"/>
      <c r="B69" s="164" t="s">
        <v>121</v>
      </c>
      <c r="C69" s="173"/>
      <c r="D69" s="156"/>
      <c r="E69" s="174"/>
      <c r="F69" s="165" t="s">
        <v>122</v>
      </c>
      <c r="G69" s="170"/>
      <c r="H69" s="175"/>
      <c r="I69" s="165" t="s">
        <v>113</v>
      </c>
      <c r="J69" s="176"/>
      <c r="K69" s="175"/>
      <c r="L69" s="165" t="s">
        <v>114</v>
      </c>
      <c r="M69" s="176"/>
      <c r="N69" s="175"/>
      <c r="O69" s="165" t="s">
        <v>114</v>
      </c>
      <c r="P69" s="176"/>
      <c r="Q69" s="175"/>
      <c r="R69" s="165" t="s">
        <v>115</v>
      </c>
      <c r="S69" s="176"/>
      <c r="T69" s="175"/>
      <c r="U69" s="165" t="s">
        <v>116</v>
      </c>
      <c r="V69" s="176"/>
      <c r="W69" s="175"/>
      <c r="X69" s="167" t="s">
        <v>117</v>
      </c>
      <c r="Y69" s="176"/>
      <c r="Z69" s="175"/>
      <c r="AA69" s="167" t="s">
        <v>118</v>
      </c>
      <c r="AB69" s="176"/>
      <c r="AC69" s="175"/>
      <c r="AD69" s="167" t="s">
        <v>119</v>
      </c>
      <c r="AE69" s="176"/>
      <c r="AF69" s="175"/>
      <c r="AG69" s="167" t="s">
        <v>144</v>
      </c>
      <c r="AH69" s="176"/>
      <c r="AI69" s="175"/>
      <c r="AJ69" s="167" t="s">
        <v>159</v>
      </c>
      <c r="AK69" s="176"/>
      <c r="AL69" s="175"/>
      <c r="AM69" s="261"/>
      <c r="AQ69" s="261"/>
    </row>
    <row r="70" spans="1:61" ht="13.5" thickBot="1">
      <c r="A70" s="164"/>
      <c r="B70" s="164" t="s">
        <v>123</v>
      </c>
      <c r="C70" s="173"/>
      <c r="D70" s="156"/>
      <c r="E70" s="177"/>
      <c r="F70" s="172">
        <v>323</v>
      </c>
      <c r="G70" s="172">
        <v>323</v>
      </c>
      <c r="H70" s="172">
        <v>13566</v>
      </c>
      <c r="I70" s="172">
        <v>343.96269999999998</v>
      </c>
      <c r="J70" s="172">
        <v>343.96269999999998</v>
      </c>
      <c r="K70" s="172">
        <v>14446.4334</v>
      </c>
      <c r="L70" s="172">
        <v>362.88064850000001</v>
      </c>
      <c r="M70" s="172">
        <v>362.88064850000001</v>
      </c>
      <c r="N70" s="172">
        <v>15240.987237000001</v>
      </c>
      <c r="O70" s="172">
        <v>380.48035995225001</v>
      </c>
      <c r="P70" s="172">
        <v>380.48035995225001</v>
      </c>
      <c r="Q70" s="172">
        <v>15980.1751179945</v>
      </c>
      <c r="R70" s="172">
        <v>380.48035995225001</v>
      </c>
      <c r="S70" s="172">
        <v>380.48035995225001</v>
      </c>
      <c r="T70" s="172">
        <v>15980.1751179945</v>
      </c>
      <c r="U70" s="172">
        <v>397.52588007811079</v>
      </c>
      <c r="V70" s="172">
        <v>397.52588007811079</v>
      </c>
      <c r="W70" s="172">
        <v>16696.086963280653</v>
      </c>
      <c r="X70" s="172">
        <v>420.14510265455527</v>
      </c>
      <c r="Y70" s="172">
        <v>420.14510265455527</v>
      </c>
      <c r="Z70" s="172">
        <v>17646.094311491321</v>
      </c>
      <c r="AA70" s="172">
        <v>452.37023202815965</v>
      </c>
      <c r="AB70" s="172">
        <v>452.37023202815965</v>
      </c>
      <c r="AC70" s="172">
        <v>18999.549745182707</v>
      </c>
      <c r="AD70" s="172">
        <v>461.42</v>
      </c>
      <c r="AE70" s="172">
        <v>461.42</v>
      </c>
      <c r="AF70" s="172">
        <f>AE70*42</f>
        <v>19379.64</v>
      </c>
      <c r="AG70" s="172">
        <f>AD70*(1+$AI$66)</f>
        <v>476.04701400000005</v>
      </c>
      <c r="AH70" s="172">
        <f>AE70*(1+$AI$66)</f>
        <v>476.04701400000005</v>
      </c>
      <c r="AI70" s="172">
        <f>AH70*42</f>
        <v>19993.974588000001</v>
      </c>
      <c r="AJ70" s="172">
        <f>AG70*(1+$AL$66)</f>
        <v>493.80356762220009</v>
      </c>
      <c r="AK70" s="172">
        <f>AH70*(1+$AL$66)</f>
        <v>493.80356762220009</v>
      </c>
      <c r="AL70" s="172">
        <f>AK70*42</f>
        <v>20739.749840132405</v>
      </c>
      <c r="AM70" s="117"/>
      <c r="AQ70" s="117"/>
    </row>
    <row r="71" spans="1:61" ht="24.75" thickBot="1">
      <c r="A71" s="116"/>
      <c r="B71" s="164" t="s">
        <v>121</v>
      </c>
      <c r="C71" s="116"/>
      <c r="D71" s="116"/>
      <c r="E71" s="151"/>
      <c r="F71" s="116"/>
      <c r="G71" s="116"/>
      <c r="H71" s="151"/>
      <c r="I71" s="151"/>
      <c r="J71" s="151"/>
      <c r="K71" s="151"/>
      <c r="L71" s="117"/>
      <c r="M71" s="117"/>
      <c r="N71" s="151"/>
      <c r="O71" s="117"/>
      <c r="P71" s="117"/>
      <c r="Q71" s="151"/>
      <c r="T71" s="151"/>
      <c r="W71" s="151"/>
      <c r="Z71" s="151"/>
      <c r="AC71" s="151"/>
      <c r="AE71" s="117"/>
      <c r="AF71" s="151"/>
      <c r="AM71" s="262" t="s">
        <v>213</v>
      </c>
      <c r="AN71" s="283" t="s">
        <v>216</v>
      </c>
      <c r="AO71" s="284"/>
      <c r="AP71" s="285">
        <v>2.4400000000000002E-2</v>
      </c>
      <c r="AQ71" s="262" t="s">
        <v>213</v>
      </c>
      <c r="AR71" s="283" t="s">
        <v>232</v>
      </c>
      <c r="AS71" s="284"/>
      <c r="AT71" s="285">
        <v>1.9400000000000001E-2</v>
      </c>
      <c r="AU71" s="283" t="s">
        <v>233</v>
      </c>
      <c r="AV71" s="284"/>
      <c r="AW71" s="285">
        <v>3.6600000000000001E-2</v>
      </c>
      <c r="AX71" s="283" t="s">
        <v>235</v>
      </c>
      <c r="AY71" s="284"/>
      <c r="AZ71" s="285">
        <v>6.7699999999999996E-2</v>
      </c>
      <c r="BA71" s="283" t="s">
        <v>240</v>
      </c>
      <c r="BB71" s="284"/>
      <c r="BC71" s="285">
        <v>5.7500000000000002E-2</v>
      </c>
      <c r="BD71" s="283" t="s">
        <v>240</v>
      </c>
      <c r="BE71" s="284"/>
      <c r="BF71" s="285">
        <v>5.7500000000000002E-2</v>
      </c>
      <c r="BG71" s="283" t="s">
        <v>240</v>
      </c>
      <c r="BH71" s="284"/>
      <c r="BI71" s="285">
        <v>5.7500000000000002E-2</v>
      </c>
    </row>
    <row r="72" spans="1:61" ht="14.25" thickTop="1" thickBot="1">
      <c r="A72" s="178"/>
      <c r="B72" s="179" t="s">
        <v>124</v>
      </c>
      <c r="C72" s="180" t="s">
        <v>125</v>
      </c>
      <c r="D72" s="178"/>
      <c r="E72" s="181"/>
      <c r="F72" s="180" t="s">
        <v>122</v>
      </c>
      <c r="G72" s="182"/>
      <c r="H72" s="183"/>
      <c r="I72" s="184" t="s">
        <v>126</v>
      </c>
      <c r="J72" s="185"/>
      <c r="K72" s="185"/>
      <c r="L72" s="117"/>
      <c r="M72" s="117"/>
      <c r="N72" s="117"/>
      <c r="O72" s="117"/>
      <c r="P72" s="117"/>
      <c r="Q72" s="117"/>
      <c r="AD72" s="186"/>
      <c r="AE72" s="117"/>
      <c r="AF72" s="117"/>
      <c r="AM72" s="263" t="s">
        <v>110</v>
      </c>
      <c r="AN72" s="674" t="s">
        <v>217</v>
      </c>
      <c r="AO72" s="674"/>
      <c r="AP72" s="675"/>
      <c r="AQ72" s="263" t="s">
        <v>110</v>
      </c>
      <c r="AR72" s="674" t="s">
        <v>217</v>
      </c>
      <c r="AS72" s="674"/>
      <c r="AT72" s="675"/>
      <c r="AU72" s="674" t="s">
        <v>217</v>
      </c>
      <c r="AV72" s="674"/>
      <c r="AW72" s="675"/>
      <c r="AX72" s="674" t="s">
        <v>217</v>
      </c>
      <c r="AY72" s="674"/>
      <c r="AZ72" s="675"/>
      <c r="BA72" s="674" t="s">
        <v>217</v>
      </c>
      <c r="BB72" s="674"/>
      <c r="BC72" s="675"/>
      <c r="BD72" s="674" t="s">
        <v>217</v>
      </c>
      <c r="BE72" s="674"/>
      <c r="BF72" s="675"/>
      <c r="BG72" s="674" t="s">
        <v>217</v>
      </c>
      <c r="BH72" s="674"/>
      <c r="BI72" s="675"/>
    </row>
    <row r="73" spans="1:61" ht="14.25" thickTop="1" thickBot="1">
      <c r="A73" s="187"/>
      <c r="B73" s="178" t="s">
        <v>127</v>
      </c>
      <c r="C73" s="188">
        <v>320.31</v>
      </c>
      <c r="D73" s="188">
        <v>320.31</v>
      </c>
      <c r="E73" s="189">
        <v>13453.02</v>
      </c>
      <c r="F73" s="189">
        <v>297.03999999999996</v>
      </c>
      <c r="G73" s="189">
        <v>297.03999999999996</v>
      </c>
      <c r="H73" s="189">
        <v>12475.679999999998</v>
      </c>
      <c r="I73" s="181">
        <v>299.55292800000001</v>
      </c>
      <c r="J73" s="181">
        <v>299.55292800000001</v>
      </c>
      <c r="K73" s="181">
        <v>12581.222976000001</v>
      </c>
      <c r="L73" s="117"/>
      <c r="M73" s="117"/>
      <c r="N73" s="117"/>
      <c r="O73" s="117"/>
      <c r="P73" s="117"/>
      <c r="Q73" s="117"/>
      <c r="AE73" s="117"/>
      <c r="AF73" s="117"/>
      <c r="AM73" s="264" t="s">
        <v>120</v>
      </c>
      <c r="AN73" s="286">
        <v>513.24140203400077</v>
      </c>
      <c r="AO73" s="286">
        <v>513.24140203400077</v>
      </c>
      <c r="AP73" s="287">
        <v>21556.13888542803</v>
      </c>
      <c r="AQ73" s="264" t="s">
        <v>120</v>
      </c>
      <c r="AR73" s="286">
        <f>AN73*(1+$AT$71)</f>
        <v>523.19828523346041</v>
      </c>
      <c r="AS73" s="286">
        <f>AO73*(1+$AT$71)</f>
        <v>523.19828523346041</v>
      </c>
      <c r="AT73" s="286">
        <f>AP73*(1+$AT$71)</f>
        <v>21974.327979805337</v>
      </c>
      <c r="AU73" s="286">
        <f>AR73*(1+$AW$71)</f>
        <v>542.34734247300503</v>
      </c>
      <c r="AV73" s="286">
        <f>AS73*(1+$AW$71)</f>
        <v>542.34734247300503</v>
      </c>
      <c r="AW73" s="286">
        <f>AT73*(1+$AW$71)</f>
        <v>22778.588383866212</v>
      </c>
      <c r="AX73" s="286">
        <f>AU73*(1+$AZ$71)</f>
        <v>579.06425755842747</v>
      </c>
      <c r="AY73" s="286">
        <f>AV73*(1+$AZ$71)</f>
        <v>579.06425755842747</v>
      </c>
      <c r="AZ73" s="286">
        <f>AW73*(1+$AZ$71)</f>
        <v>24320.698817453958</v>
      </c>
      <c r="BA73" s="286">
        <f t="shared" ref="BA73:BF73" si="35">AX73*(1+$BC$71)</f>
        <v>612.36045236803716</v>
      </c>
      <c r="BB73" s="286">
        <f t="shared" si="35"/>
        <v>612.36045236803716</v>
      </c>
      <c r="BC73" s="286">
        <f t="shared" si="35"/>
        <v>25719.138999457562</v>
      </c>
      <c r="BD73" s="286">
        <f t="shared" si="35"/>
        <v>647.57117837919941</v>
      </c>
      <c r="BE73" s="286">
        <f t="shared" si="35"/>
        <v>647.57117837919941</v>
      </c>
      <c r="BF73" s="286">
        <f t="shared" si="35"/>
        <v>27197.989491926375</v>
      </c>
      <c r="BG73" s="286">
        <f>BD73*(1+$BC$71)</f>
        <v>684.80652113600343</v>
      </c>
      <c r="BH73" s="286">
        <f>BE73*(1+$BC$71)</f>
        <v>684.80652113600343</v>
      </c>
      <c r="BI73" s="286">
        <f>BF73*(1+$BC$71)</f>
        <v>28761.873887712143</v>
      </c>
    </row>
    <row r="74" spans="1:61" ht="14.25" thickTop="1" thickBot="1">
      <c r="A74" s="190"/>
      <c r="B74" s="191" t="s">
        <v>110</v>
      </c>
      <c r="C74" s="116"/>
      <c r="D74" s="116"/>
      <c r="E74" s="151"/>
      <c r="F74" s="151"/>
      <c r="G74" s="151"/>
      <c r="H74" s="151"/>
      <c r="I74" s="192" t="s">
        <v>128</v>
      </c>
      <c r="J74" s="193"/>
      <c r="K74" s="194"/>
      <c r="L74" s="192" t="s">
        <v>129</v>
      </c>
      <c r="M74" s="193"/>
      <c r="N74" s="194"/>
      <c r="O74" s="192" t="s">
        <v>129</v>
      </c>
      <c r="P74" s="193"/>
      <c r="Q74" s="194"/>
      <c r="R74" s="192" t="s">
        <v>115</v>
      </c>
      <c r="S74" s="193"/>
      <c r="T74" s="194"/>
      <c r="U74" s="192" t="s">
        <v>116</v>
      </c>
      <c r="V74" s="193"/>
      <c r="W74" s="194"/>
      <c r="X74" s="195" t="s">
        <v>117</v>
      </c>
      <c r="Y74" s="193"/>
      <c r="Z74" s="194"/>
      <c r="AA74" s="195" t="s">
        <v>118</v>
      </c>
      <c r="AB74" s="193"/>
      <c r="AC74" s="194"/>
      <c r="AD74" s="195" t="s">
        <v>119</v>
      </c>
      <c r="AE74" s="193"/>
      <c r="AF74" s="194"/>
      <c r="AG74" s="195" t="s">
        <v>144</v>
      </c>
      <c r="AH74" s="193"/>
      <c r="AI74" s="194"/>
      <c r="AJ74" s="195" t="s">
        <v>159</v>
      </c>
      <c r="AK74" s="193"/>
      <c r="AL74" s="194"/>
      <c r="AM74" s="264" t="s">
        <v>121</v>
      </c>
      <c r="AN74" s="661" t="s">
        <v>218</v>
      </c>
      <c r="AO74" s="661"/>
      <c r="AP74" s="662"/>
      <c r="AQ74" s="264" t="s">
        <v>121</v>
      </c>
      <c r="AR74" s="661"/>
      <c r="AS74" s="661"/>
      <c r="AT74" s="662"/>
      <c r="AU74" s="661"/>
      <c r="AV74" s="661"/>
      <c r="AW74" s="662"/>
      <c r="AX74" s="661"/>
      <c r="AY74" s="661"/>
      <c r="AZ74" s="662"/>
      <c r="BA74" s="661"/>
      <c r="BB74" s="661"/>
      <c r="BC74" s="662"/>
      <c r="BD74" s="661"/>
      <c r="BE74" s="661"/>
      <c r="BF74" s="662"/>
      <c r="BG74" s="661"/>
      <c r="BH74" s="661"/>
      <c r="BI74" s="662"/>
    </row>
    <row r="75" spans="1:61" ht="14.25" thickTop="1" thickBot="1">
      <c r="A75" s="196"/>
      <c r="B75" s="197" t="s">
        <v>121</v>
      </c>
      <c r="C75" s="198"/>
      <c r="D75" s="198"/>
      <c r="E75" s="199"/>
      <c r="F75" s="199"/>
      <c r="G75" s="199"/>
      <c r="H75" s="199"/>
      <c r="I75" s="189">
        <v>313.76052800000002</v>
      </c>
      <c r="J75" s="200">
        <v>313.76052800000002</v>
      </c>
      <c r="K75" s="201">
        <v>13177.942176</v>
      </c>
      <c r="L75" s="189">
        <v>329.66471903999997</v>
      </c>
      <c r="M75" s="200">
        <v>329.66471903999997</v>
      </c>
      <c r="N75" s="201">
        <v>13845.918199679998</v>
      </c>
      <c r="O75" s="189">
        <v>344.64763738343999</v>
      </c>
      <c r="P75" s="200">
        <v>344.64763738343999</v>
      </c>
      <c r="Q75" s="201">
        <v>14475.200770104479</v>
      </c>
      <c r="R75" s="189">
        <v>344.64763738343999</v>
      </c>
      <c r="S75" s="200">
        <v>344.64763738343999</v>
      </c>
      <c r="T75" s="201">
        <v>14475.200770104479</v>
      </c>
      <c r="U75" s="189">
        <v>358.65642186221817</v>
      </c>
      <c r="V75" s="200">
        <v>358.65642186221817</v>
      </c>
      <c r="W75" s="201">
        <v>15063.569718213163</v>
      </c>
      <c r="X75" s="189">
        <v>373.79802924783672</v>
      </c>
      <c r="Y75" s="200">
        <v>373.79802924783672</v>
      </c>
      <c r="Z75" s="201">
        <v>15699.517228409142</v>
      </c>
      <c r="AA75" s="189">
        <v>393.82793640870153</v>
      </c>
      <c r="AB75" s="200">
        <v>393.82793640870153</v>
      </c>
      <c r="AC75" s="201">
        <v>16540.773329165466</v>
      </c>
      <c r="AD75" s="189">
        <f>38.72*1.0649*1.055*1.0485*1.0448*1.0569*1.0767*1.02+AE40</f>
        <v>405.09297489725367</v>
      </c>
      <c r="AE75" s="200">
        <f>AD75</f>
        <v>405.09297489725367</v>
      </c>
      <c r="AF75" s="201">
        <f>AE75*42</f>
        <v>17013.904945684655</v>
      </c>
      <c r="AG75" s="189">
        <f>38.72*1.0649*1.055*1.0485*1.0448*1.0569*1.0767*1.02*1.0317+AH40</f>
        <v>417.33979620149665</v>
      </c>
      <c r="AH75" s="200">
        <f>AG75</f>
        <v>417.33979620149665</v>
      </c>
      <c r="AI75" s="201">
        <f>AH75*42</f>
        <v>17528.27144046286</v>
      </c>
      <c r="AJ75" s="189">
        <f>38.72*1.0649*1.055*1.0485*1.0448*1.0569*1.0767*1.02*1.0317*1.0373+AK40</f>
        <v>430.27657477981245</v>
      </c>
      <c r="AK75" s="200">
        <f>AJ75</f>
        <v>430.27657477981245</v>
      </c>
      <c r="AL75" s="201">
        <f>AK75*42</f>
        <v>18071.616140752121</v>
      </c>
      <c r="AM75" s="264" t="s">
        <v>123</v>
      </c>
      <c r="AN75" s="286">
        <v>505.85237467218178</v>
      </c>
      <c r="AO75" s="286">
        <v>505.85237467218178</v>
      </c>
      <c r="AP75" s="287">
        <v>21245.799736231635</v>
      </c>
      <c r="AQ75" s="264" t="s">
        <v>123</v>
      </c>
      <c r="AR75" s="286">
        <f>AN75*(1+$AT$71)</f>
        <v>515.66591074082214</v>
      </c>
      <c r="AS75" s="286">
        <f>AO75*(1+$AT$71)</f>
        <v>515.66591074082214</v>
      </c>
      <c r="AT75" s="286">
        <f>AP75*(1+$AT$71)</f>
        <v>21657.968251114529</v>
      </c>
      <c r="AU75" s="286">
        <f>AR75*(1+$AW$71)</f>
        <v>534.53928307393619</v>
      </c>
      <c r="AV75" s="286">
        <f>AS75*(1+$AW$71)</f>
        <v>534.53928307393619</v>
      </c>
      <c r="AW75" s="286">
        <f>AT75*(1+$AW$71)</f>
        <v>22450.64988910532</v>
      </c>
      <c r="AX75" s="286">
        <f>AU75*(1+$AZ$71)</f>
        <v>570.72759253804168</v>
      </c>
      <c r="AY75" s="286">
        <f>AV75*(1+$AZ$71)</f>
        <v>570.72759253804168</v>
      </c>
      <c r="AZ75" s="286">
        <f>AW75*(1+$AZ$71)</f>
        <v>23970.558886597752</v>
      </c>
      <c r="BA75" s="286">
        <f t="shared" ref="BA75:BF75" si="36">AX75*(1+$BC$71)</f>
        <v>603.5444291089791</v>
      </c>
      <c r="BB75" s="286">
        <f t="shared" si="36"/>
        <v>603.5444291089791</v>
      </c>
      <c r="BC75" s="286">
        <f t="shared" si="36"/>
        <v>25348.866022577124</v>
      </c>
      <c r="BD75" s="286">
        <f t="shared" si="36"/>
        <v>638.2482337827455</v>
      </c>
      <c r="BE75" s="286">
        <f t="shared" si="36"/>
        <v>638.2482337827455</v>
      </c>
      <c r="BF75" s="286">
        <f t="shared" si="36"/>
        <v>26806.425818875312</v>
      </c>
      <c r="BG75" s="286">
        <f>BD75*(1+$BC$71)</f>
        <v>674.94750722525339</v>
      </c>
      <c r="BH75" s="286">
        <f>BE75*(1+$BC$71)</f>
        <v>674.94750722525339</v>
      </c>
      <c r="BI75" s="286">
        <f>BF75*(1+$BC$71)</f>
        <v>28347.795303460643</v>
      </c>
    </row>
    <row r="76" spans="1:61" ht="12.75" customHeight="1" thickTop="1">
      <c r="A76" s="202"/>
      <c r="B76" s="203" t="s">
        <v>130</v>
      </c>
      <c r="C76" s="117"/>
      <c r="D76" s="117"/>
      <c r="E76" s="117"/>
      <c r="G76" s="117"/>
      <c r="H76" s="117"/>
      <c r="I76" s="186">
        <v>41.232927999999994</v>
      </c>
      <c r="J76" s="117"/>
      <c r="K76" s="117"/>
      <c r="L76" s="186">
        <v>43.500739039999992</v>
      </c>
      <c r="M76" s="117"/>
      <c r="N76" s="117"/>
      <c r="O76" s="186">
        <v>45.610524883439993</v>
      </c>
      <c r="P76" s="117"/>
      <c r="Q76" s="117"/>
      <c r="R76" s="186">
        <v>45.610524883439993</v>
      </c>
      <c r="U76" s="186">
        <v>47.653876398218102</v>
      </c>
      <c r="X76" s="186">
        <v>50.355381965276713</v>
      </c>
      <c r="AA76" s="186">
        <v>54.227639762013432</v>
      </c>
      <c r="AD76" s="186">
        <v>55.31</v>
      </c>
      <c r="AE76" s="117"/>
      <c r="AF76" s="117"/>
      <c r="AG76" s="204">
        <f>AD76*(1+AI66)</f>
        <v>57.063327000000008</v>
      </c>
      <c r="AJ76" s="289">
        <f>AG76*(1+AL66)</f>
        <v>59.191789097100013</v>
      </c>
      <c r="AM76" s="264" t="s">
        <v>121</v>
      </c>
      <c r="AN76" s="652"/>
      <c r="AO76" s="653"/>
      <c r="AP76" s="654"/>
      <c r="AQ76" s="264" t="s">
        <v>121</v>
      </c>
      <c r="AR76" s="652"/>
      <c r="AS76" s="653"/>
      <c r="AT76" s="654"/>
      <c r="AU76" s="652"/>
      <c r="AV76" s="653"/>
      <c r="AW76" s="654"/>
      <c r="AX76" s="652"/>
      <c r="AY76" s="653"/>
      <c r="AZ76" s="654"/>
      <c r="BA76" s="652"/>
      <c r="BB76" s="653"/>
      <c r="BC76" s="654"/>
      <c r="BD76" s="652"/>
      <c r="BE76" s="653"/>
      <c r="BF76" s="654"/>
      <c r="BG76" s="652"/>
      <c r="BH76" s="653"/>
      <c r="BI76" s="654"/>
    </row>
    <row r="77" spans="1:61">
      <c r="A77" s="205" t="s">
        <v>131</v>
      </c>
      <c r="B77" s="117"/>
      <c r="C77" s="117"/>
      <c r="D77" s="117"/>
      <c r="E77" s="117"/>
      <c r="F77" s="151"/>
      <c r="G77" s="117"/>
      <c r="H77" s="117"/>
      <c r="I77" s="117"/>
      <c r="J77" s="117"/>
      <c r="K77" s="117"/>
      <c r="L77" s="117"/>
      <c r="M77" s="117"/>
      <c r="N77" s="117"/>
      <c r="O77" s="117"/>
      <c r="P77" s="117"/>
      <c r="Q77" s="117"/>
      <c r="AM77" s="265" t="s">
        <v>124</v>
      </c>
      <c r="AN77" s="655"/>
      <c r="AO77" s="656"/>
      <c r="AP77" s="657"/>
      <c r="AQ77" s="265" t="s">
        <v>124</v>
      </c>
      <c r="AR77" s="655"/>
      <c r="AS77" s="656"/>
      <c r="AT77" s="657"/>
      <c r="AU77" s="655"/>
      <c r="AV77" s="656"/>
      <c r="AW77" s="657"/>
      <c r="AX77" s="655"/>
      <c r="AY77" s="656"/>
      <c r="AZ77" s="657"/>
      <c r="BA77" s="655"/>
      <c r="BB77" s="656"/>
      <c r="BC77" s="657"/>
      <c r="BD77" s="655"/>
      <c r="BE77" s="656"/>
      <c r="BF77" s="657"/>
      <c r="BG77" s="655"/>
      <c r="BH77" s="656"/>
      <c r="BI77" s="657"/>
    </row>
    <row r="78" spans="1:61">
      <c r="A78" s="205" t="s">
        <v>132</v>
      </c>
      <c r="B78" s="117"/>
      <c r="C78" s="117"/>
      <c r="D78" s="117"/>
      <c r="E78" s="117"/>
      <c r="F78" s="151"/>
      <c r="G78" s="117"/>
      <c r="H78" s="117"/>
      <c r="I78" s="117"/>
      <c r="J78" s="117"/>
      <c r="K78" s="117"/>
      <c r="L78" s="206"/>
      <c r="M78" s="117"/>
      <c r="N78" s="117"/>
      <c r="O78" s="207"/>
      <c r="P78" s="117"/>
      <c r="Q78" s="117"/>
      <c r="AC78" s="208"/>
      <c r="AM78" s="264" t="s">
        <v>127</v>
      </c>
      <c r="AN78" s="658"/>
      <c r="AO78" s="659"/>
      <c r="AP78" s="660"/>
      <c r="AQ78" s="264" t="s">
        <v>127</v>
      </c>
      <c r="AR78" s="658"/>
      <c r="AS78" s="659"/>
      <c r="AT78" s="660"/>
      <c r="AU78" s="658"/>
      <c r="AV78" s="659"/>
      <c r="AW78" s="660"/>
      <c r="AX78" s="658"/>
      <c r="AY78" s="659"/>
      <c r="AZ78" s="660"/>
      <c r="BA78" s="658"/>
      <c r="BB78" s="659"/>
      <c r="BC78" s="660"/>
      <c r="BD78" s="658"/>
      <c r="BE78" s="659"/>
      <c r="BF78" s="660"/>
      <c r="BG78" s="658"/>
      <c r="BH78" s="659"/>
      <c r="BI78" s="660"/>
    </row>
    <row r="79" spans="1:61">
      <c r="A79" s="202"/>
      <c r="B79" s="117"/>
      <c r="C79" s="117"/>
      <c r="D79" s="117"/>
      <c r="E79" s="117"/>
      <c r="F79" s="117"/>
      <c r="G79" s="117"/>
      <c r="H79" s="117"/>
      <c r="I79" s="117"/>
      <c r="J79" s="117"/>
      <c r="K79" s="117"/>
      <c r="L79" s="117"/>
      <c r="M79" s="117"/>
      <c r="N79" s="117"/>
      <c r="O79" s="117"/>
      <c r="P79" s="117"/>
      <c r="Q79" s="117"/>
      <c r="AC79" s="186"/>
      <c r="AM79" s="264" t="s">
        <v>110</v>
      </c>
      <c r="AN79" s="661" t="s">
        <v>218</v>
      </c>
      <c r="AO79" s="661"/>
      <c r="AP79" s="662"/>
      <c r="AQ79" s="264" t="s">
        <v>110</v>
      </c>
      <c r="AR79" s="661"/>
      <c r="AS79" s="661"/>
      <c r="AT79" s="662"/>
      <c r="AU79" s="661"/>
      <c r="AV79" s="661"/>
      <c r="AW79" s="662"/>
      <c r="AX79" s="661"/>
      <c r="AY79" s="661"/>
      <c r="AZ79" s="662"/>
      <c r="BA79" s="661"/>
      <c r="BB79" s="661"/>
      <c r="BC79" s="662"/>
      <c r="BD79" s="661"/>
      <c r="BE79" s="661"/>
      <c r="BF79" s="662"/>
      <c r="BG79" s="661"/>
      <c r="BH79" s="661"/>
      <c r="BI79" s="662"/>
    </row>
    <row r="80" spans="1:61">
      <c r="A80" s="117"/>
      <c r="B80" s="117"/>
      <c r="C80" s="117"/>
      <c r="D80" s="117"/>
      <c r="E80" s="117"/>
      <c r="F80" s="117"/>
      <c r="G80" s="117"/>
      <c r="H80" s="117"/>
      <c r="I80" s="117"/>
      <c r="J80" s="117"/>
      <c r="K80" s="117"/>
      <c r="L80" s="117"/>
      <c r="M80" s="117"/>
      <c r="N80" s="117"/>
      <c r="O80" s="117"/>
      <c r="P80" s="117"/>
      <c r="Q80" s="117"/>
      <c r="AM80" s="264" t="s">
        <v>121</v>
      </c>
      <c r="AN80" s="286">
        <v>442.85011881106925</v>
      </c>
      <c r="AO80" s="286">
        <v>442.85011881106925</v>
      </c>
      <c r="AP80" s="287">
        <v>18599.704990064907</v>
      </c>
      <c r="AQ80" s="264" t="s">
        <v>121</v>
      </c>
      <c r="AR80" s="286">
        <f>AN80*(1+$AT$71)</f>
        <v>451.44141111600402</v>
      </c>
      <c r="AS80" s="286">
        <f>AO80*(1+$AT$71)</f>
        <v>451.44141111600402</v>
      </c>
      <c r="AT80" s="286">
        <f>AP80*(1+$AT$71)</f>
        <v>18960.539266872169</v>
      </c>
      <c r="AU80" s="286">
        <f>AR80*(1+$AW$71)</f>
        <v>467.96416676284974</v>
      </c>
      <c r="AV80" s="286">
        <f>AS80*(1+$AW$71)</f>
        <v>467.96416676284974</v>
      </c>
      <c r="AW80" s="286">
        <f>AT80*(1+$AW$71)</f>
        <v>19654.495004039691</v>
      </c>
      <c r="AX80" s="286">
        <f>AU80*(1+$AZ$71)</f>
        <v>499.64534085269469</v>
      </c>
      <c r="AY80" s="286">
        <f>AV80*(1+$AZ$71)</f>
        <v>499.64534085269469</v>
      </c>
      <c r="AZ80" s="286">
        <f>AW80*(1+$AZ$71)</f>
        <v>20985.10431581318</v>
      </c>
      <c r="BA80" s="286">
        <f t="shared" ref="BA80:BF80" si="37">AX80*(1+$BC$71)</f>
        <v>528.37494795172472</v>
      </c>
      <c r="BB80" s="286">
        <f t="shared" si="37"/>
        <v>528.37494795172472</v>
      </c>
      <c r="BC80" s="286">
        <f t="shared" si="37"/>
        <v>22191.747813972441</v>
      </c>
      <c r="BD80" s="286">
        <f t="shared" si="37"/>
        <v>558.75650745894893</v>
      </c>
      <c r="BE80" s="286">
        <f t="shared" si="37"/>
        <v>558.75650745894893</v>
      </c>
      <c r="BF80" s="286">
        <f t="shared" si="37"/>
        <v>23467.773313275859</v>
      </c>
      <c r="BG80" s="286">
        <f>BD80*(1+$BC$71)</f>
        <v>590.8850066378385</v>
      </c>
      <c r="BH80" s="286">
        <f>BE80*(1+$BC$71)</f>
        <v>590.8850066378385</v>
      </c>
      <c r="BI80" s="286">
        <f>BF80*(1+$BC$71)</f>
        <v>24817.170278789225</v>
      </c>
    </row>
    <row r="81" spans="1:61" ht="14.25" customHeight="1" thickBot="1">
      <c r="A81" s="117"/>
      <c r="B81" s="117"/>
      <c r="C81" s="117"/>
      <c r="D81" s="117"/>
      <c r="E81" s="117"/>
      <c r="F81" s="117"/>
      <c r="G81" s="117"/>
      <c r="H81" s="117"/>
      <c r="I81" s="117"/>
      <c r="J81" s="117"/>
      <c r="K81" s="117"/>
      <c r="L81" s="117"/>
      <c r="M81" s="117"/>
      <c r="N81" s="117"/>
      <c r="O81" s="117"/>
      <c r="P81" s="117"/>
      <c r="Q81" s="117"/>
      <c r="Z81" s="685" t="s">
        <v>133</v>
      </c>
      <c r="AA81" s="685"/>
      <c r="AD81" s="685" t="s">
        <v>134</v>
      </c>
      <c r="AE81" s="685"/>
      <c r="AG81" s="685" t="s">
        <v>160</v>
      </c>
      <c r="AH81" s="685"/>
      <c r="AJ81" s="685" t="s">
        <v>160</v>
      </c>
      <c r="AK81" s="685"/>
      <c r="AM81" s="266" t="s">
        <v>130</v>
      </c>
      <c r="AN81" s="290">
        <v>60.636068751069253</v>
      </c>
      <c r="AO81" s="663"/>
      <c r="AP81" s="664"/>
      <c r="AQ81" s="266" t="s">
        <v>130</v>
      </c>
      <c r="AR81" s="290">
        <f>AN81*(1+$AT$71)</f>
        <v>61.812408484839999</v>
      </c>
      <c r="AS81" s="663"/>
      <c r="AT81" s="664"/>
      <c r="AU81" s="290">
        <f>AR81*(1+$AW$71)</f>
        <v>64.074742635385135</v>
      </c>
      <c r="AV81" s="663"/>
      <c r="AW81" s="664"/>
      <c r="AX81" s="290">
        <f>AU81*(1+$AZ$71)</f>
        <v>68.412602711800716</v>
      </c>
      <c r="AY81" s="663"/>
      <c r="AZ81" s="664"/>
      <c r="BA81" s="290">
        <f>AX81*(1+$BC$71)</f>
        <v>72.346327367729259</v>
      </c>
      <c r="BB81" s="663"/>
      <c r="BC81" s="664"/>
      <c r="BD81" s="290">
        <f>BA81*(1+$BC$71)</f>
        <v>76.506241191373704</v>
      </c>
      <c r="BE81" s="663"/>
      <c r="BF81" s="664"/>
      <c r="BG81" s="290">
        <f>BD81*(1+$BC$71)</f>
        <v>80.905350059877705</v>
      </c>
      <c r="BH81" s="663"/>
      <c r="BI81" s="664"/>
    </row>
    <row r="82" spans="1:61">
      <c r="A82" s="117"/>
      <c r="B82" s="117"/>
      <c r="C82" s="117"/>
      <c r="D82" s="117"/>
      <c r="E82" s="117"/>
      <c r="F82" s="117"/>
      <c r="G82" s="117"/>
      <c r="H82" s="117"/>
      <c r="I82" s="117"/>
      <c r="J82" s="117"/>
      <c r="K82" s="117"/>
      <c r="L82" s="117"/>
      <c r="M82" s="117"/>
      <c r="N82" s="117"/>
      <c r="O82" s="117"/>
      <c r="P82" s="117"/>
      <c r="Q82" s="117"/>
      <c r="Z82" s="685"/>
      <c r="AA82" s="685"/>
      <c r="AD82" s="685"/>
      <c r="AE82" s="685"/>
      <c r="AG82" s="685"/>
      <c r="AH82" s="685"/>
      <c r="AJ82" s="685"/>
      <c r="AK82" s="685"/>
    </row>
    <row r="83" spans="1:61" ht="83.25" customHeight="1">
      <c r="A83" s="117"/>
      <c r="B83" s="117"/>
      <c r="C83" s="117"/>
      <c r="D83" s="117"/>
      <c r="E83" s="117"/>
      <c r="F83" s="117"/>
      <c r="G83" s="117"/>
      <c r="H83" s="117"/>
      <c r="I83" s="117"/>
      <c r="J83" s="117"/>
      <c r="K83" s="117"/>
      <c r="L83" s="117"/>
      <c r="M83" s="117"/>
      <c r="N83" s="117"/>
      <c r="O83" s="117"/>
      <c r="P83" s="117"/>
      <c r="Q83" s="117"/>
      <c r="Z83" s="683" t="s">
        <v>135</v>
      </c>
      <c r="AA83" s="683"/>
      <c r="AD83" s="683" t="s">
        <v>136</v>
      </c>
      <c r="AE83" s="683"/>
      <c r="AG83" s="209" t="s">
        <v>161</v>
      </c>
      <c r="AJ83" s="209" t="s">
        <v>161</v>
      </c>
    </row>
    <row r="84" spans="1:61">
      <c r="A84" s="117"/>
      <c r="B84" s="117"/>
      <c r="C84" s="117"/>
      <c r="D84" s="117"/>
      <c r="E84" s="117"/>
      <c r="F84" s="117"/>
      <c r="G84" s="117"/>
      <c r="H84" s="117"/>
      <c r="I84" s="117"/>
      <c r="J84" s="117"/>
      <c r="K84" s="117"/>
      <c r="L84" s="117"/>
      <c r="M84" s="117"/>
      <c r="N84" s="117"/>
      <c r="O84" s="117"/>
      <c r="P84" s="117"/>
      <c r="Q84" s="117"/>
      <c r="AD84" s="683"/>
      <c r="AE84" s="683"/>
    </row>
    <row r="85" spans="1:61">
      <c r="A85" s="117"/>
      <c r="B85" s="117"/>
      <c r="C85" s="117"/>
      <c r="D85" s="117"/>
      <c r="E85" s="117"/>
      <c r="F85" s="117"/>
      <c r="G85" s="117"/>
      <c r="H85" s="117"/>
      <c r="I85" s="117"/>
      <c r="J85" s="117"/>
      <c r="K85" s="117"/>
      <c r="L85" s="117"/>
      <c r="M85" s="117"/>
      <c r="N85" s="117"/>
      <c r="O85" s="117"/>
      <c r="P85" s="117"/>
      <c r="Q85" s="117"/>
      <c r="AD85" s="683"/>
      <c r="AE85" s="683"/>
    </row>
    <row r="86" spans="1:61">
      <c r="A86" s="117"/>
      <c r="B86" s="117"/>
      <c r="C86" s="117"/>
      <c r="D86" s="117"/>
      <c r="E86" s="117"/>
      <c r="F86" s="117"/>
      <c r="G86" s="117"/>
      <c r="H86" s="117"/>
      <c r="I86" s="117"/>
      <c r="J86" s="117"/>
      <c r="K86" s="117"/>
      <c r="L86" s="117"/>
      <c r="M86" s="117"/>
      <c r="N86" s="117"/>
      <c r="O86" s="117"/>
      <c r="P86" s="117"/>
      <c r="Q86" s="117"/>
      <c r="AD86" s="683"/>
      <c r="AE86" s="683"/>
    </row>
    <row r="87" spans="1:61">
      <c r="A87" s="117"/>
      <c r="B87" s="117"/>
      <c r="C87" s="117"/>
      <c r="D87" s="117"/>
      <c r="E87" s="117"/>
      <c r="F87" s="117"/>
      <c r="G87" s="117"/>
      <c r="H87" s="117"/>
      <c r="I87" s="117"/>
      <c r="J87" s="117"/>
      <c r="K87" s="117"/>
      <c r="L87" s="117"/>
      <c r="M87" s="117"/>
      <c r="N87" s="117"/>
      <c r="O87" s="117"/>
      <c r="P87" s="117"/>
      <c r="Q87" s="117"/>
      <c r="AD87" s="683"/>
      <c r="AE87" s="683"/>
    </row>
    <row r="88" spans="1:61">
      <c r="A88" s="117"/>
      <c r="B88" s="117"/>
      <c r="C88" s="117"/>
      <c r="D88" s="117"/>
      <c r="E88" s="117"/>
      <c r="F88" s="117"/>
      <c r="G88" s="117"/>
      <c r="H88" s="117"/>
      <c r="I88" s="117"/>
      <c r="J88" s="117"/>
      <c r="K88" s="117"/>
      <c r="L88" s="117"/>
      <c r="M88" s="117"/>
      <c r="N88" s="117"/>
      <c r="O88" s="117"/>
      <c r="P88" s="117"/>
      <c r="Q88" s="117"/>
      <c r="AD88" s="683"/>
      <c r="AE88" s="683"/>
    </row>
    <row r="89" spans="1:61">
      <c r="A89" s="117"/>
      <c r="B89" s="117"/>
      <c r="C89" s="117"/>
      <c r="D89" s="117"/>
      <c r="E89" s="117"/>
      <c r="F89" s="117"/>
      <c r="G89" s="117"/>
      <c r="H89" s="117"/>
      <c r="I89" s="117"/>
      <c r="J89" s="117"/>
      <c r="K89" s="117"/>
      <c r="L89" s="117"/>
      <c r="M89" s="117"/>
      <c r="N89" s="117"/>
      <c r="O89" s="117"/>
      <c r="P89" s="117"/>
      <c r="Q89" s="117"/>
      <c r="AD89" s="683"/>
      <c r="AE89" s="683"/>
    </row>
    <row r="90" spans="1:61">
      <c r="A90" s="117"/>
      <c r="B90" s="117"/>
      <c r="C90" s="117"/>
      <c r="D90" s="117"/>
      <c r="E90" s="117"/>
      <c r="F90" s="117"/>
      <c r="G90" s="117"/>
      <c r="H90" s="117"/>
      <c r="I90" s="117"/>
      <c r="J90" s="117"/>
      <c r="K90" s="117"/>
      <c r="L90" s="117"/>
      <c r="M90" s="117"/>
      <c r="N90" s="117"/>
      <c r="O90" s="117"/>
      <c r="P90" s="117"/>
      <c r="Q90" s="117"/>
      <c r="AD90" s="117" t="s">
        <v>137</v>
      </c>
      <c r="AG90" s="118" t="s">
        <v>162</v>
      </c>
      <c r="AJ90" s="118" t="s">
        <v>162</v>
      </c>
    </row>
    <row r="91" spans="1:61">
      <c r="A91" s="117"/>
      <c r="B91" s="117"/>
      <c r="C91" s="117"/>
      <c r="D91" s="117"/>
      <c r="E91" s="117"/>
      <c r="F91" s="117"/>
      <c r="G91" s="117"/>
      <c r="H91" s="117"/>
      <c r="I91" s="117"/>
      <c r="J91" s="117"/>
      <c r="K91" s="117"/>
      <c r="L91" s="117"/>
      <c r="M91" s="117"/>
      <c r="N91" s="117"/>
      <c r="O91" s="117"/>
      <c r="P91" s="117"/>
      <c r="Q91" s="117"/>
    </row>
    <row r="92" spans="1:61">
      <c r="A92" s="117"/>
      <c r="B92" s="117"/>
      <c r="C92" s="117"/>
      <c r="D92" s="117"/>
      <c r="E92" s="117"/>
      <c r="F92" s="117"/>
      <c r="G92" s="117"/>
      <c r="H92" s="117"/>
      <c r="I92" s="117"/>
      <c r="J92" s="117"/>
      <c r="K92" s="117"/>
      <c r="L92" s="117"/>
      <c r="M92" s="117"/>
      <c r="N92" s="117"/>
      <c r="O92" s="117"/>
      <c r="P92" s="117"/>
      <c r="Q92" s="117"/>
    </row>
    <row r="93" spans="1:61">
      <c r="A93" s="117"/>
      <c r="B93" s="117"/>
      <c r="C93" s="117"/>
      <c r="D93" s="117"/>
      <c r="E93" s="117"/>
      <c r="F93" s="117"/>
      <c r="G93" s="117"/>
      <c r="H93" s="117"/>
      <c r="I93" s="117"/>
      <c r="J93" s="117"/>
      <c r="K93" s="117"/>
      <c r="L93" s="117"/>
      <c r="M93" s="117"/>
      <c r="N93" s="117"/>
      <c r="O93" s="117"/>
      <c r="P93" s="117"/>
      <c r="Q93" s="117"/>
    </row>
    <row r="94" spans="1:61">
      <c r="A94" s="117"/>
      <c r="B94" s="117"/>
      <c r="C94" s="117"/>
      <c r="D94" s="117"/>
      <c r="E94" s="117"/>
      <c r="F94" s="117"/>
      <c r="G94" s="117"/>
      <c r="H94" s="117"/>
      <c r="I94" s="117"/>
      <c r="J94" s="117"/>
      <c r="K94" s="117"/>
      <c r="L94" s="117"/>
      <c r="M94" s="117"/>
      <c r="N94" s="117"/>
      <c r="O94" s="117"/>
      <c r="P94" s="117"/>
      <c r="Q94" s="117"/>
    </row>
    <row r="95" spans="1:61">
      <c r="A95" s="117"/>
      <c r="B95" s="117"/>
      <c r="C95" s="117"/>
      <c r="D95" s="117"/>
      <c r="E95" s="117"/>
      <c r="F95" s="117"/>
      <c r="G95" s="117"/>
      <c r="H95" s="117"/>
      <c r="I95" s="117"/>
      <c r="J95" s="117"/>
      <c r="K95" s="117"/>
      <c r="L95" s="117"/>
      <c r="M95" s="117"/>
      <c r="N95" s="117"/>
      <c r="O95" s="117"/>
      <c r="P95" s="117"/>
      <c r="Q95" s="117"/>
    </row>
    <row r="96" spans="1:61">
      <c r="A96" s="117"/>
      <c r="B96" s="117"/>
      <c r="C96" s="117"/>
      <c r="D96" s="117"/>
      <c r="E96" s="117"/>
      <c r="F96" s="117"/>
      <c r="G96" s="117"/>
      <c r="H96" s="117"/>
      <c r="I96" s="117"/>
      <c r="J96" s="117"/>
      <c r="K96" s="117"/>
      <c r="L96" s="117"/>
      <c r="M96" s="117"/>
      <c r="N96" s="117"/>
      <c r="O96" s="117"/>
      <c r="P96" s="117"/>
      <c r="Q96" s="117"/>
    </row>
    <row r="97" spans="1:236">
      <c r="A97" s="117"/>
      <c r="B97" s="117"/>
      <c r="C97" s="117"/>
      <c r="D97" s="117"/>
      <c r="E97" s="117"/>
      <c r="F97" s="117"/>
      <c r="G97" s="117"/>
      <c r="H97" s="117"/>
      <c r="I97" s="117"/>
      <c r="J97" s="117"/>
      <c r="K97" s="117"/>
      <c r="L97" s="117"/>
      <c r="M97" s="117"/>
      <c r="N97" s="117"/>
      <c r="O97" s="117"/>
      <c r="P97" s="117"/>
      <c r="Q97" s="117"/>
    </row>
    <row r="98" spans="1:236">
      <c r="A98" s="117"/>
      <c r="B98" s="117"/>
      <c r="C98" s="117"/>
      <c r="D98" s="117"/>
      <c r="E98" s="117"/>
      <c r="F98" s="117"/>
      <c r="G98" s="117"/>
      <c r="H98" s="117"/>
      <c r="I98" s="117"/>
      <c r="J98" s="117"/>
      <c r="K98" s="117"/>
      <c r="L98" s="117"/>
      <c r="M98" s="117"/>
      <c r="N98" s="117"/>
      <c r="O98" s="117"/>
      <c r="P98" s="117"/>
      <c r="Q98" s="117"/>
    </row>
    <row r="99" spans="1:236">
      <c r="A99" s="117"/>
      <c r="B99" s="117"/>
      <c r="C99" s="117"/>
      <c r="D99" s="117"/>
      <c r="E99" s="117"/>
      <c r="F99" s="117"/>
      <c r="G99" s="117"/>
      <c r="H99" s="117"/>
      <c r="I99" s="117"/>
      <c r="J99" s="117"/>
      <c r="K99" s="117"/>
      <c r="L99" s="117"/>
      <c r="M99" s="117"/>
      <c r="N99" s="117"/>
      <c r="O99" s="117"/>
      <c r="P99" s="117"/>
      <c r="Q99" s="117"/>
    </row>
    <row r="100" spans="1:236">
      <c r="A100" s="117"/>
      <c r="B100" s="117"/>
      <c r="C100" s="117"/>
      <c r="D100" s="117"/>
      <c r="E100" s="117"/>
      <c r="F100" s="117"/>
      <c r="G100" s="117"/>
      <c r="H100" s="117"/>
      <c r="I100" s="117"/>
      <c r="J100" s="117"/>
      <c r="K100" s="117"/>
      <c r="L100" s="117"/>
      <c r="M100" s="117"/>
      <c r="N100" s="117"/>
      <c r="O100" s="117"/>
      <c r="P100" s="117"/>
      <c r="Q100" s="117"/>
    </row>
    <row r="101" spans="1:236">
      <c r="A101" s="117"/>
      <c r="B101" s="117"/>
      <c r="C101" s="117"/>
      <c r="D101" s="117"/>
      <c r="E101" s="117"/>
      <c r="F101" s="117"/>
      <c r="G101" s="117"/>
      <c r="H101" s="117"/>
      <c r="I101" s="117"/>
      <c r="J101" s="117"/>
      <c r="K101" s="117"/>
      <c r="L101" s="117"/>
      <c r="M101" s="117"/>
      <c r="N101" s="117"/>
      <c r="O101" s="117"/>
      <c r="P101" s="117"/>
      <c r="Q101" s="117"/>
    </row>
    <row r="102" spans="1:236">
      <c r="A102" s="117"/>
      <c r="B102" s="117"/>
      <c r="C102" s="117"/>
      <c r="D102" s="117"/>
      <c r="E102" s="117"/>
      <c r="F102" s="117"/>
      <c r="G102" s="117"/>
      <c r="H102" s="117"/>
      <c r="I102" s="117"/>
      <c r="J102" s="117"/>
      <c r="K102" s="117"/>
      <c r="L102" s="117"/>
      <c r="M102" s="117"/>
      <c r="N102" s="117"/>
      <c r="O102" s="117"/>
      <c r="P102" s="117"/>
      <c r="Q102" s="117"/>
    </row>
    <row r="103" spans="1:236" s="79" customFormat="1" ht="14.25">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c r="DS103" s="118"/>
      <c r="DT103" s="118"/>
      <c r="DU103" s="118"/>
      <c r="DV103" s="118"/>
      <c r="DW103" s="118"/>
      <c r="DX103" s="118"/>
      <c r="DY103" s="118"/>
      <c r="DZ103" s="118"/>
      <c r="EA103" s="118"/>
      <c r="EB103" s="118"/>
      <c r="EC103" s="118"/>
      <c r="ED103" s="118"/>
      <c r="EE103" s="118"/>
      <c r="EF103" s="118"/>
      <c r="EG103" s="118"/>
      <c r="EH103" s="118"/>
      <c r="EI103" s="118"/>
      <c r="EJ103" s="118"/>
      <c r="EK103" s="118"/>
      <c r="EL103" s="118"/>
      <c r="EM103" s="118"/>
      <c r="EN103" s="118"/>
      <c r="EO103" s="118"/>
      <c r="EP103" s="118"/>
      <c r="EQ103" s="118"/>
      <c r="ER103" s="118"/>
      <c r="ES103" s="118"/>
      <c r="ET103" s="118"/>
      <c r="EU103" s="118"/>
      <c r="EV103" s="118"/>
      <c r="EW103" s="118"/>
      <c r="EX103" s="118"/>
      <c r="EY103" s="118"/>
      <c r="EZ103" s="118"/>
      <c r="FA103" s="118"/>
      <c r="FB103" s="118"/>
      <c r="FC103" s="118"/>
      <c r="FD103" s="118"/>
      <c r="FE103" s="118"/>
      <c r="FF103" s="118"/>
      <c r="FG103" s="118"/>
      <c r="FH103" s="118"/>
      <c r="FI103" s="118"/>
      <c r="FJ103" s="118"/>
      <c r="FK103" s="118"/>
      <c r="FL103" s="118"/>
      <c r="FM103" s="118"/>
      <c r="FN103" s="118"/>
      <c r="FO103" s="118"/>
      <c r="FP103" s="118"/>
      <c r="FQ103" s="118"/>
      <c r="FR103" s="118"/>
      <c r="FS103" s="118"/>
      <c r="FT103" s="118"/>
      <c r="FU103" s="118"/>
      <c r="FV103" s="118"/>
      <c r="FW103" s="118"/>
      <c r="FX103" s="118"/>
      <c r="FY103" s="118"/>
      <c r="FZ103" s="118"/>
      <c r="GA103" s="118"/>
      <c r="GB103" s="118"/>
      <c r="GC103" s="118"/>
      <c r="GD103" s="118"/>
      <c r="GE103" s="118"/>
      <c r="GF103" s="118"/>
      <c r="GG103" s="118"/>
      <c r="GH103" s="118"/>
      <c r="GI103" s="118"/>
      <c r="GJ103" s="118"/>
      <c r="GK103" s="118"/>
      <c r="GL103" s="118"/>
      <c r="GM103" s="118"/>
      <c r="GN103" s="118"/>
      <c r="GO103" s="118"/>
      <c r="GP103" s="118"/>
      <c r="GQ103" s="118"/>
      <c r="GR103" s="118"/>
      <c r="GS103" s="118"/>
      <c r="GT103" s="118"/>
      <c r="GU103" s="118"/>
      <c r="GV103" s="118"/>
      <c r="GW103" s="118"/>
      <c r="GX103" s="118"/>
      <c r="GY103" s="118"/>
      <c r="GZ103" s="118"/>
      <c r="HA103" s="118"/>
      <c r="HB103" s="118"/>
      <c r="HC103" s="118"/>
      <c r="HD103" s="118"/>
      <c r="HE103" s="118"/>
      <c r="HF103" s="118"/>
      <c r="HG103" s="118"/>
      <c r="HH103" s="118"/>
      <c r="HI103" s="118"/>
      <c r="HJ103" s="118"/>
      <c r="HK103" s="118"/>
      <c r="HL103" s="118"/>
      <c r="HM103" s="118"/>
      <c r="HN103" s="118"/>
      <c r="HO103" s="118"/>
      <c r="HP103" s="118"/>
      <c r="HQ103" s="118"/>
      <c r="HR103" s="118"/>
      <c r="HS103" s="118"/>
      <c r="HT103" s="118"/>
      <c r="HU103" s="118"/>
      <c r="HV103" s="118"/>
      <c r="HW103" s="118"/>
      <c r="HX103" s="118"/>
      <c r="HY103" s="118"/>
      <c r="HZ103" s="118"/>
      <c r="IA103" s="118"/>
      <c r="IB103" s="118"/>
    </row>
    <row r="104" spans="1:236" s="79" customFormat="1" ht="14.25">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c r="DS104" s="118"/>
      <c r="DT104" s="118"/>
      <c r="DU104" s="118"/>
      <c r="DV104" s="118"/>
      <c r="DW104" s="118"/>
      <c r="DX104" s="118"/>
      <c r="DY104" s="118"/>
      <c r="DZ104" s="118"/>
      <c r="EA104" s="118"/>
      <c r="EB104" s="118"/>
      <c r="EC104" s="118"/>
      <c r="ED104" s="118"/>
      <c r="EE104" s="118"/>
      <c r="EF104" s="118"/>
      <c r="EG104" s="118"/>
      <c r="EH104" s="118"/>
      <c r="EI104" s="118"/>
      <c r="EJ104" s="118"/>
      <c r="EK104" s="118"/>
      <c r="EL104" s="118"/>
      <c r="EM104" s="118"/>
      <c r="EN104" s="118"/>
      <c r="EO104" s="118"/>
      <c r="EP104" s="118"/>
      <c r="EQ104" s="118"/>
      <c r="ER104" s="118"/>
      <c r="ES104" s="118"/>
      <c r="ET104" s="118"/>
      <c r="EU104" s="118"/>
      <c r="EV104" s="118"/>
      <c r="EW104" s="118"/>
      <c r="EX104" s="118"/>
      <c r="EY104" s="118"/>
      <c r="EZ104" s="118"/>
      <c r="FA104" s="118"/>
      <c r="FB104" s="118"/>
      <c r="FC104" s="118"/>
      <c r="FD104" s="118"/>
      <c r="FE104" s="118"/>
      <c r="FF104" s="118"/>
      <c r="FG104" s="118"/>
      <c r="FH104" s="118"/>
      <c r="FI104" s="118"/>
      <c r="FJ104" s="118"/>
      <c r="FK104" s="118"/>
      <c r="FL104" s="118"/>
      <c r="FM104" s="118"/>
      <c r="FN104" s="118"/>
      <c r="FO104" s="118"/>
      <c r="FP104" s="118"/>
      <c r="FQ104" s="118"/>
      <c r="FR104" s="118"/>
      <c r="FS104" s="118"/>
      <c r="FT104" s="118"/>
      <c r="FU104" s="118"/>
      <c r="FV104" s="118"/>
      <c r="FW104" s="118"/>
      <c r="FX104" s="118"/>
      <c r="FY104" s="118"/>
      <c r="FZ104" s="118"/>
      <c r="GA104" s="118"/>
      <c r="GB104" s="118"/>
      <c r="GC104" s="118"/>
      <c r="GD104" s="118"/>
      <c r="GE104" s="118"/>
      <c r="GF104" s="118"/>
      <c r="GG104" s="118"/>
      <c r="GH104" s="118"/>
      <c r="GI104" s="118"/>
      <c r="GJ104" s="118"/>
      <c r="GK104" s="118"/>
      <c r="GL104" s="118"/>
      <c r="GM104" s="118"/>
      <c r="GN104" s="118"/>
      <c r="GO104" s="118"/>
      <c r="GP104" s="118"/>
      <c r="GQ104" s="118"/>
      <c r="GR104" s="118"/>
      <c r="GS104" s="118"/>
      <c r="GT104" s="118"/>
      <c r="GU104" s="118"/>
      <c r="GV104" s="118"/>
      <c r="GW104" s="118"/>
      <c r="GX104" s="118"/>
      <c r="GY104" s="118"/>
      <c r="GZ104" s="118"/>
      <c r="HA104" s="118"/>
      <c r="HB104" s="118"/>
      <c r="HC104" s="118"/>
      <c r="HD104" s="118"/>
      <c r="HE104" s="118"/>
      <c r="HF104" s="118"/>
      <c r="HG104" s="118"/>
      <c r="HH104" s="118"/>
      <c r="HI104" s="118"/>
      <c r="HJ104" s="118"/>
      <c r="HK104" s="118"/>
      <c r="HL104" s="118"/>
      <c r="HM104" s="118"/>
      <c r="HN104" s="118"/>
      <c r="HO104" s="118"/>
      <c r="HP104" s="118"/>
      <c r="HQ104" s="118"/>
      <c r="HR104" s="118"/>
      <c r="HS104" s="118"/>
      <c r="HT104" s="118"/>
      <c r="HU104" s="118"/>
      <c r="HV104" s="118"/>
      <c r="HW104" s="118"/>
      <c r="HX104" s="118"/>
      <c r="HY104" s="118"/>
      <c r="HZ104" s="118"/>
      <c r="IA104" s="118"/>
      <c r="IB104" s="118"/>
    </row>
    <row r="105" spans="1:236" s="79" customFormat="1" ht="14.25">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c r="DS105" s="118"/>
      <c r="DT105" s="118"/>
      <c r="DU105" s="118"/>
      <c r="DV105" s="118"/>
      <c r="DW105" s="118"/>
      <c r="DX105" s="118"/>
      <c r="DY105" s="118"/>
      <c r="DZ105" s="118"/>
      <c r="EA105" s="118"/>
      <c r="EB105" s="118"/>
      <c r="EC105" s="118"/>
      <c r="ED105" s="118"/>
      <c r="EE105" s="118"/>
      <c r="EF105" s="118"/>
      <c r="EG105" s="118"/>
      <c r="EH105" s="118"/>
      <c r="EI105" s="118"/>
      <c r="EJ105" s="118"/>
      <c r="EK105" s="118"/>
      <c r="EL105" s="118"/>
      <c r="EM105" s="118"/>
      <c r="EN105" s="118"/>
      <c r="EO105" s="118"/>
      <c r="EP105" s="118"/>
      <c r="EQ105" s="118"/>
      <c r="ER105" s="118"/>
      <c r="ES105" s="118"/>
      <c r="ET105" s="118"/>
      <c r="EU105" s="118"/>
      <c r="EV105" s="118"/>
      <c r="EW105" s="118"/>
      <c r="EX105" s="118"/>
      <c r="EY105" s="118"/>
      <c r="EZ105" s="118"/>
      <c r="FA105" s="118"/>
      <c r="FB105" s="118"/>
      <c r="FC105" s="118"/>
      <c r="FD105" s="118"/>
      <c r="FE105" s="118"/>
      <c r="FF105" s="118"/>
      <c r="FG105" s="118"/>
      <c r="FH105" s="118"/>
      <c r="FI105" s="118"/>
      <c r="FJ105" s="118"/>
      <c r="FK105" s="118"/>
      <c r="FL105" s="118"/>
      <c r="FM105" s="118"/>
      <c r="FN105" s="118"/>
      <c r="FO105" s="118"/>
      <c r="FP105" s="118"/>
      <c r="FQ105" s="118"/>
      <c r="FR105" s="118"/>
      <c r="FS105" s="118"/>
      <c r="FT105" s="118"/>
      <c r="FU105" s="118"/>
      <c r="FV105" s="118"/>
      <c r="FW105" s="118"/>
      <c r="FX105" s="118"/>
      <c r="FY105" s="118"/>
      <c r="FZ105" s="118"/>
      <c r="GA105" s="118"/>
      <c r="GB105" s="118"/>
      <c r="GC105" s="118"/>
      <c r="GD105" s="118"/>
      <c r="GE105" s="118"/>
      <c r="GF105" s="118"/>
      <c r="GG105" s="118"/>
      <c r="GH105" s="118"/>
      <c r="GI105" s="118"/>
      <c r="GJ105" s="118"/>
      <c r="GK105" s="118"/>
      <c r="GL105" s="118"/>
      <c r="GM105" s="118"/>
      <c r="GN105" s="118"/>
      <c r="GO105" s="118"/>
      <c r="GP105" s="118"/>
      <c r="GQ105" s="118"/>
      <c r="GR105" s="118"/>
      <c r="GS105" s="118"/>
      <c r="GT105" s="118"/>
      <c r="GU105" s="118"/>
      <c r="GV105" s="118"/>
      <c r="GW105" s="118"/>
      <c r="GX105" s="118"/>
      <c r="GY105" s="118"/>
      <c r="GZ105" s="118"/>
      <c r="HA105" s="118"/>
      <c r="HB105" s="118"/>
      <c r="HC105" s="118"/>
      <c r="HD105" s="118"/>
      <c r="HE105" s="118"/>
      <c r="HF105" s="118"/>
      <c r="HG105" s="118"/>
      <c r="HH105" s="118"/>
      <c r="HI105" s="118"/>
      <c r="HJ105" s="118"/>
      <c r="HK105" s="118"/>
      <c r="HL105" s="118"/>
      <c r="HM105" s="118"/>
      <c r="HN105" s="118"/>
      <c r="HO105" s="118"/>
      <c r="HP105" s="118"/>
      <c r="HQ105" s="118"/>
      <c r="HR105" s="118"/>
      <c r="HS105" s="118"/>
      <c r="HT105" s="118"/>
      <c r="HU105" s="118"/>
      <c r="HV105" s="118"/>
      <c r="HW105" s="118"/>
      <c r="HX105" s="118"/>
      <c r="HY105" s="118"/>
      <c r="HZ105" s="118"/>
      <c r="IA105" s="118"/>
      <c r="IB105" s="118"/>
    </row>
    <row r="106" spans="1:236" s="79" customFormat="1" ht="14.25">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R106" s="118"/>
      <c r="ES106" s="118"/>
      <c r="ET106" s="118"/>
      <c r="EU106" s="118"/>
      <c r="EV106" s="118"/>
      <c r="EW106" s="118"/>
      <c r="EX106" s="118"/>
      <c r="EY106" s="118"/>
      <c r="EZ106" s="118"/>
      <c r="FA106" s="118"/>
      <c r="FB106" s="118"/>
      <c r="FC106" s="118"/>
      <c r="FD106" s="118"/>
      <c r="FE106" s="118"/>
      <c r="FF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row>
    <row r="107" spans="1:236" s="79" customFormat="1" ht="14.25">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8"/>
      <c r="CI107" s="118"/>
      <c r="CJ107" s="118"/>
      <c r="CK107" s="118"/>
      <c r="CL107" s="118"/>
      <c r="CM107" s="118"/>
      <c r="CN107" s="118"/>
      <c r="CO107" s="118"/>
      <c r="CP107" s="118"/>
      <c r="CQ107" s="118"/>
      <c r="CR107" s="118"/>
      <c r="CS107" s="118"/>
      <c r="CT107" s="118"/>
      <c r="CU107" s="118"/>
      <c r="CV107" s="118"/>
      <c r="CW107" s="118"/>
      <c r="CX107" s="118"/>
      <c r="CY107" s="118"/>
      <c r="CZ107" s="118"/>
      <c r="DA107" s="118"/>
      <c r="DB107" s="118"/>
      <c r="DC107" s="118"/>
      <c r="DD107" s="118"/>
      <c r="DE107" s="118"/>
      <c r="DF107" s="118"/>
      <c r="DG107" s="118"/>
      <c r="DH107" s="118"/>
      <c r="DI107" s="118"/>
      <c r="DJ107" s="118"/>
      <c r="DK107" s="118"/>
      <c r="DL107" s="118"/>
      <c r="DM107" s="118"/>
      <c r="DN107" s="118"/>
      <c r="DO107" s="118"/>
      <c r="DP107" s="118"/>
      <c r="DQ107" s="118"/>
      <c r="DR107" s="118"/>
      <c r="DS107" s="118"/>
      <c r="DT107" s="118"/>
      <c r="DU107" s="118"/>
      <c r="DV107" s="118"/>
      <c r="DW107" s="118"/>
      <c r="DX107" s="118"/>
      <c r="DY107" s="118"/>
      <c r="DZ107" s="118"/>
      <c r="EA107" s="118"/>
      <c r="EB107" s="118"/>
      <c r="EC107" s="118"/>
      <c r="ED107" s="118"/>
      <c r="EE107" s="118"/>
      <c r="EF107" s="118"/>
      <c r="EG107" s="118"/>
      <c r="EH107" s="118"/>
      <c r="EI107" s="118"/>
      <c r="EJ107" s="118"/>
      <c r="EK107" s="118"/>
      <c r="EL107" s="118"/>
      <c r="EM107" s="118"/>
      <c r="EN107" s="118"/>
      <c r="EO107" s="118"/>
      <c r="EP107" s="118"/>
      <c r="EQ107" s="118"/>
      <c r="ER107" s="118"/>
      <c r="ES107" s="118"/>
      <c r="ET107" s="118"/>
      <c r="EU107" s="118"/>
      <c r="EV107" s="118"/>
      <c r="EW107" s="118"/>
      <c r="EX107" s="118"/>
      <c r="EY107" s="118"/>
      <c r="EZ107" s="118"/>
      <c r="FA107" s="118"/>
      <c r="FB107" s="118"/>
      <c r="FC107" s="118"/>
      <c r="FD107" s="118"/>
      <c r="FE107" s="118"/>
      <c r="FF107" s="118"/>
      <c r="FG107" s="118"/>
      <c r="FH107" s="118"/>
      <c r="FI107" s="118"/>
      <c r="FJ107" s="118"/>
      <c r="FK107" s="118"/>
      <c r="FL107" s="118"/>
      <c r="FM107" s="118"/>
      <c r="FN107" s="118"/>
      <c r="FO107" s="118"/>
      <c r="FP107" s="118"/>
      <c r="FQ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row>
    <row r="108" spans="1:236" s="79" customFormat="1" ht="14.25">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7"/>
      <c r="EI108" s="117"/>
      <c r="EJ108" s="117"/>
      <c r="EK108" s="117"/>
      <c r="EL108" s="117"/>
      <c r="EM108" s="117"/>
      <c r="EN108" s="117"/>
      <c r="EO108" s="117"/>
      <c r="EP108" s="117"/>
      <c r="EQ108" s="117"/>
      <c r="ER108" s="117"/>
      <c r="ES108" s="117"/>
      <c r="ET108" s="117"/>
      <c r="EU108" s="117"/>
      <c r="EV108" s="117"/>
      <c r="EW108" s="117"/>
      <c r="EX108" s="117"/>
      <c r="EY108" s="117"/>
      <c r="EZ108" s="117"/>
      <c r="FA108" s="117"/>
      <c r="FB108" s="117"/>
      <c r="FC108" s="117"/>
      <c r="FD108" s="117"/>
      <c r="FE108" s="117"/>
      <c r="FF108" s="117"/>
      <c r="FG108" s="117"/>
      <c r="FH108" s="117"/>
      <c r="FI108" s="117"/>
      <c r="FJ108" s="117"/>
      <c r="FK108" s="117"/>
      <c r="FL108" s="117"/>
      <c r="FM108" s="117"/>
      <c r="FN108" s="117"/>
      <c r="FO108" s="117"/>
      <c r="FP108" s="117"/>
      <c r="FQ108" s="117"/>
      <c r="FR108" s="117"/>
      <c r="FS108" s="117"/>
      <c r="FT108" s="117"/>
      <c r="FU108" s="117"/>
      <c r="FV108" s="117"/>
      <c r="FW108" s="117"/>
      <c r="FX108" s="117"/>
      <c r="FY108" s="117"/>
      <c r="FZ108" s="117"/>
      <c r="GA108" s="117"/>
      <c r="GB108" s="117"/>
      <c r="GC108" s="117"/>
      <c r="GD108" s="117"/>
      <c r="GE108" s="117"/>
      <c r="GF108" s="117"/>
      <c r="GG108" s="117"/>
      <c r="GH108" s="117"/>
      <c r="GI108" s="117"/>
      <c r="GJ108" s="117"/>
      <c r="GK108" s="117"/>
      <c r="GL108" s="117"/>
      <c r="GM108" s="117"/>
      <c r="GN108" s="117"/>
      <c r="GO108" s="117"/>
      <c r="GP108" s="117"/>
      <c r="GQ108" s="117"/>
      <c r="GR108" s="117"/>
      <c r="GS108" s="117"/>
      <c r="GT108" s="117"/>
      <c r="GU108" s="117"/>
      <c r="GV108" s="117"/>
      <c r="GW108" s="117"/>
      <c r="GX108" s="117"/>
      <c r="GY108" s="117"/>
      <c r="GZ108" s="117"/>
      <c r="HA108" s="117"/>
      <c r="HB108" s="117"/>
      <c r="HC108" s="117"/>
      <c r="HD108" s="117"/>
      <c r="HE108" s="117"/>
      <c r="HF108" s="117"/>
      <c r="HG108" s="117"/>
      <c r="HH108" s="117"/>
      <c r="HI108" s="117"/>
      <c r="HJ108" s="117"/>
      <c r="HK108" s="117"/>
      <c r="HL108" s="117"/>
      <c r="HM108" s="117"/>
      <c r="HN108" s="117"/>
      <c r="HO108" s="117"/>
      <c r="HP108" s="117"/>
      <c r="HQ108" s="117"/>
      <c r="HR108" s="117"/>
      <c r="HS108" s="117"/>
      <c r="HT108" s="117"/>
      <c r="HU108" s="117"/>
      <c r="HV108" s="117"/>
      <c r="HW108" s="117"/>
      <c r="HX108" s="117"/>
      <c r="HY108" s="117"/>
      <c r="HZ108" s="117"/>
      <c r="IA108" s="117"/>
      <c r="IB108" s="117"/>
    </row>
    <row r="109" spans="1:236" s="79" customFormat="1" ht="14.25">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7"/>
      <c r="EI109" s="117"/>
      <c r="EJ109" s="117"/>
      <c r="EK109" s="117"/>
      <c r="EL109" s="117"/>
      <c r="EM109" s="117"/>
      <c r="EN109" s="117"/>
      <c r="EO109" s="117"/>
      <c r="EP109" s="117"/>
      <c r="EQ109" s="117"/>
      <c r="ER109" s="117"/>
      <c r="ES109" s="117"/>
      <c r="ET109" s="117"/>
      <c r="EU109" s="117"/>
      <c r="EV109" s="117"/>
      <c r="EW109" s="117"/>
      <c r="EX109" s="117"/>
      <c r="EY109" s="117"/>
      <c r="EZ109" s="117"/>
      <c r="FA109" s="117"/>
      <c r="FB109" s="117"/>
      <c r="FC109" s="117"/>
      <c r="FD109" s="117"/>
      <c r="FE109" s="117"/>
      <c r="FF109" s="117"/>
      <c r="FG109" s="117"/>
      <c r="FH109" s="117"/>
      <c r="FI109" s="117"/>
      <c r="FJ109" s="117"/>
      <c r="FK109" s="117"/>
      <c r="FL109" s="117"/>
      <c r="FM109" s="117"/>
      <c r="FN109" s="117"/>
      <c r="FO109" s="117"/>
      <c r="FP109" s="117"/>
      <c r="FQ109" s="117"/>
      <c r="FR109" s="117"/>
      <c r="FS109" s="117"/>
      <c r="FT109" s="117"/>
      <c r="FU109" s="117"/>
      <c r="FV109" s="117"/>
      <c r="FW109" s="117"/>
      <c r="FX109" s="117"/>
      <c r="FY109" s="117"/>
      <c r="FZ109" s="117"/>
      <c r="GA109" s="117"/>
      <c r="GB109" s="117"/>
      <c r="GC109" s="117"/>
      <c r="GD109" s="117"/>
      <c r="GE109" s="117"/>
      <c r="GF109" s="117"/>
      <c r="GG109" s="117"/>
      <c r="GH109" s="117"/>
      <c r="GI109" s="117"/>
      <c r="GJ109" s="117"/>
      <c r="GK109" s="117"/>
      <c r="GL109" s="117"/>
      <c r="GM109" s="117"/>
      <c r="GN109" s="117"/>
      <c r="GO109" s="117"/>
      <c r="GP109" s="117"/>
      <c r="GQ109" s="117"/>
      <c r="GR109" s="117"/>
      <c r="GS109" s="117"/>
      <c r="GT109" s="117"/>
      <c r="GU109" s="117"/>
      <c r="GV109" s="117"/>
      <c r="GW109" s="117"/>
      <c r="GX109" s="117"/>
      <c r="GY109" s="117"/>
      <c r="GZ109" s="117"/>
      <c r="HA109" s="117"/>
      <c r="HB109" s="117"/>
      <c r="HC109" s="117"/>
      <c r="HD109" s="117"/>
      <c r="HE109" s="117"/>
      <c r="HF109" s="117"/>
      <c r="HG109" s="117"/>
      <c r="HH109" s="117"/>
      <c r="HI109" s="117"/>
      <c r="HJ109" s="117"/>
      <c r="HK109" s="117"/>
      <c r="HL109" s="117"/>
      <c r="HM109" s="117"/>
      <c r="HN109" s="117"/>
      <c r="HO109" s="117"/>
      <c r="HP109" s="117"/>
      <c r="HQ109" s="117"/>
      <c r="HR109" s="117"/>
      <c r="HS109" s="117"/>
      <c r="HT109" s="117"/>
      <c r="HU109" s="117"/>
      <c r="HV109" s="117"/>
      <c r="HW109" s="117"/>
      <c r="HX109" s="117"/>
      <c r="HY109" s="117"/>
      <c r="HZ109" s="117"/>
      <c r="IA109" s="117"/>
      <c r="IB109" s="117"/>
    </row>
    <row r="110" spans="1:236" s="79" customFormat="1" ht="14.25">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7"/>
      <c r="EI110" s="117"/>
      <c r="EJ110" s="117"/>
      <c r="EK110" s="117"/>
      <c r="EL110" s="117"/>
      <c r="EM110" s="117"/>
      <c r="EN110" s="117"/>
      <c r="EO110" s="117"/>
      <c r="EP110" s="117"/>
      <c r="EQ110" s="117"/>
      <c r="ER110" s="117"/>
      <c r="ES110" s="117"/>
      <c r="ET110" s="117"/>
      <c r="EU110" s="117"/>
      <c r="EV110" s="117"/>
      <c r="EW110" s="117"/>
      <c r="EX110" s="117"/>
      <c r="EY110" s="117"/>
      <c r="EZ110" s="117"/>
      <c r="FA110" s="117"/>
      <c r="FB110" s="117"/>
      <c r="FC110" s="117"/>
      <c r="FD110" s="117"/>
      <c r="FE110" s="117"/>
      <c r="FF110" s="117"/>
      <c r="FG110" s="117"/>
      <c r="FH110" s="117"/>
      <c r="FI110" s="117"/>
      <c r="FJ110" s="117"/>
      <c r="FK110" s="117"/>
      <c r="FL110" s="117"/>
      <c r="FM110" s="117"/>
      <c r="FN110" s="117"/>
      <c r="FO110" s="117"/>
      <c r="FP110" s="117"/>
      <c r="FQ110" s="117"/>
      <c r="FR110" s="117"/>
      <c r="FS110" s="117"/>
      <c r="FT110" s="117"/>
      <c r="FU110" s="117"/>
      <c r="FV110" s="117"/>
      <c r="FW110" s="117"/>
      <c r="FX110" s="117"/>
      <c r="FY110" s="117"/>
      <c r="FZ110" s="117"/>
      <c r="GA110" s="117"/>
      <c r="GB110" s="117"/>
      <c r="GC110" s="117"/>
      <c r="GD110" s="117"/>
      <c r="GE110" s="117"/>
      <c r="GF110" s="117"/>
      <c r="GG110" s="117"/>
      <c r="GH110" s="117"/>
      <c r="GI110" s="117"/>
      <c r="GJ110" s="117"/>
      <c r="GK110" s="117"/>
      <c r="GL110" s="117"/>
      <c r="GM110" s="117"/>
      <c r="GN110" s="117"/>
      <c r="GO110" s="117"/>
      <c r="GP110" s="117"/>
      <c r="GQ110" s="117"/>
      <c r="GR110" s="117"/>
      <c r="GS110" s="117"/>
      <c r="GT110" s="117"/>
      <c r="GU110" s="117"/>
      <c r="GV110" s="117"/>
      <c r="GW110" s="117"/>
      <c r="GX110" s="117"/>
      <c r="GY110" s="117"/>
      <c r="GZ110" s="117"/>
      <c r="HA110" s="117"/>
      <c r="HB110" s="117"/>
      <c r="HC110" s="117"/>
      <c r="HD110" s="117"/>
      <c r="HE110" s="117"/>
      <c r="HF110" s="117"/>
      <c r="HG110" s="117"/>
      <c r="HH110" s="117"/>
      <c r="HI110" s="117"/>
      <c r="HJ110" s="117"/>
      <c r="HK110" s="117"/>
      <c r="HL110" s="117"/>
      <c r="HM110" s="117"/>
      <c r="HN110" s="117"/>
      <c r="HO110" s="117"/>
      <c r="HP110" s="117"/>
      <c r="HQ110" s="117"/>
      <c r="HR110" s="117"/>
      <c r="HS110" s="117"/>
      <c r="HT110" s="117"/>
      <c r="HU110" s="117"/>
      <c r="HV110" s="117"/>
      <c r="HW110" s="117"/>
      <c r="HX110" s="117"/>
      <c r="HY110" s="117"/>
      <c r="HZ110" s="117"/>
      <c r="IA110" s="117"/>
      <c r="IB110" s="117"/>
    </row>
    <row r="111" spans="1:236" s="79" customFormat="1" ht="14.25">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7"/>
      <c r="EI111" s="117"/>
      <c r="EJ111" s="117"/>
      <c r="EK111" s="117"/>
      <c r="EL111" s="117"/>
      <c r="EM111" s="117"/>
      <c r="EN111" s="117"/>
      <c r="EO111" s="117"/>
      <c r="EP111" s="117"/>
      <c r="EQ111" s="117"/>
      <c r="ER111" s="117"/>
      <c r="ES111" s="117"/>
      <c r="ET111" s="117"/>
      <c r="EU111" s="117"/>
      <c r="EV111" s="117"/>
      <c r="EW111" s="117"/>
      <c r="EX111" s="117"/>
      <c r="EY111" s="117"/>
      <c r="EZ111" s="117"/>
      <c r="FA111" s="117"/>
      <c r="FB111" s="117"/>
      <c r="FC111" s="117"/>
      <c r="FD111" s="117"/>
      <c r="FE111" s="117"/>
      <c r="FF111" s="117"/>
      <c r="FG111" s="117"/>
      <c r="FH111" s="117"/>
      <c r="FI111" s="117"/>
      <c r="FJ111" s="117"/>
      <c r="FK111" s="117"/>
      <c r="FL111" s="117"/>
      <c r="FM111" s="117"/>
      <c r="FN111" s="117"/>
      <c r="FO111" s="117"/>
      <c r="FP111" s="117"/>
      <c r="FQ111" s="117"/>
      <c r="FR111" s="117"/>
      <c r="FS111" s="117"/>
      <c r="FT111" s="117"/>
      <c r="FU111" s="117"/>
      <c r="FV111" s="117"/>
      <c r="FW111" s="117"/>
      <c r="FX111" s="117"/>
      <c r="FY111" s="117"/>
      <c r="FZ111" s="117"/>
      <c r="GA111" s="117"/>
      <c r="GB111" s="117"/>
      <c r="GC111" s="117"/>
      <c r="GD111" s="117"/>
      <c r="GE111" s="117"/>
      <c r="GF111" s="117"/>
      <c r="GG111" s="117"/>
      <c r="GH111" s="117"/>
      <c r="GI111" s="117"/>
      <c r="GJ111" s="117"/>
      <c r="GK111" s="117"/>
      <c r="GL111" s="117"/>
      <c r="GM111" s="117"/>
      <c r="GN111" s="117"/>
      <c r="GO111" s="117"/>
      <c r="GP111" s="117"/>
      <c r="GQ111" s="117"/>
      <c r="GR111" s="117"/>
      <c r="GS111" s="117"/>
      <c r="GT111" s="117"/>
      <c r="GU111" s="117"/>
      <c r="GV111" s="117"/>
      <c r="GW111" s="117"/>
      <c r="GX111" s="117"/>
      <c r="GY111" s="117"/>
      <c r="GZ111" s="117"/>
      <c r="HA111" s="117"/>
      <c r="HB111" s="117"/>
      <c r="HC111" s="117"/>
      <c r="HD111" s="117"/>
      <c r="HE111" s="117"/>
      <c r="HF111" s="117"/>
      <c r="HG111" s="117"/>
      <c r="HH111" s="117"/>
      <c r="HI111" s="117"/>
      <c r="HJ111" s="117"/>
      <c r="HK111" s="117"/>
      <c r="HL111" s="117"/>
      <c r="HM111" s="117"/>
      <c r="HN111" s="117"/>
      <c r="HO111" s="117"/>
      <c r="HP111" s="117"/>
      <c r="HQ111" s="117"/>
      <c r="HR111" s="117"/>
      <c r="HS111" s="117"/>
      <c r="HT111" s="117"/>
      <c r="HU111" s="117"/>
      <c r="HV111" s="117"/>
      <c r="HW111" s="117"/>
      <c r="HX111" s="117"/>
      <c r="HY111" s="117"/>
      <c r="HZ111" s="117"/>
      <c r="IA111" s="117"/>
      <c r="IB111" s="117"/>
    </row>
    <row r="112" spans="1:236" s="79" customFormat="1" ht="14.25">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7"/>
      <c r="EI112" s="117"/>
      <c r="EJ112" s="117"/>
      <c r="EK112" s="117"/>
      <c r="EL112" s="117"/>
      <c r="EM112" s="117"/>
      <c r="EN112" s="117"/>
      <c r="EO112" s="117"/>
      <c r="EP112" s="117"/>
      <c r="EQ112" s="117"/>
      <c r="ER112" s="117"/>
      <c r="ES112" s="117"/>
      <c r="ET112" s="117"/>
      <c r="EU112" s="117"/>
      <c r="EV112" s="117"/>
      <c r="EW112" s="117"/>
      <c r="EX112" s="117"/>
      <c r="EY112" s="117"/>
      <c r="EZ112" s="117"/>
      <c r="FA112" s="117"/>
      <c r="FB112" s="117"/>
      <c r="FC112" s="117"/>
      <c r="FD112" s="117"/>
      <c r="FE112" s="117"/>
      <c r="FF112" s="117"/>
      <c r="FG112" s="117"/>
      <c r="FH112" s="117"/>
      <c r="FI112" s="117"/>
      <c r="FJ112" s="117"/>
      <c r="FK112" s="117"/>
      <c r="FL112" s="117"/>
      <c r="FM112" s="117"/>
      <c r="FN112" s="117"/>
      <c r="FO112" s="117"/>
      <c r="FP112" s="117"/>
      <c r="FQ112" s="117"/>
      <c r="FR112" s="117"/>
      <c r="FS112" s="117"/>
      <c r="FT112" s="117"/>
      <c r="FU112" s="117"/>
      <c r="FV112" s="117"/>
      <c r="FW112" s="117"/>
      <c r="FX112" s="117"/>
      <c r="FY112" s="117"/>
      <c r="FZ112" s="117"/>
      <c r="GA112" s="117"/>
      <c r="GB112" s="117"/>
      <c r="GC112" s="117"/>
      <c r="GD112" s="117"/>
      <c r="GE112" s="117"/>
      <c r="GF112" s="117"/>
      <c r="GG112" s="117"/>
      <c r="GH112" s="117"/>
      <c r="GI112" s="117"/>
      <c r="GJ112" s="117"/>
      <c r="GK112" s="117"/>
      <c r="GL112" s="117"/>
      <c r="GM112" s="117"/>
      <c r="GN112" s="117"/>
      <c r="GO112" s="117"/>
      <c r="GP112" s="117"/>
      <c r="GQ112" s="117"/>
      <c r="GR112" s="117"/>
      <c r="GS112" s="117"/>
      <c r="GT112" s="117"/>
      <c r="GU112" s="117"/>
      <c r="GV112" s="117"/>
      <c r="GW112" s="117"/>
      <c r="GX112" s="117"/>
      <c r="GY112" s="117"/>
      <c r="GZ112" s="117"/>
      <c r="HA112" s="117"/>
      <c r="HB112" s="117"/>
      <c r="HC112" s="117"/>
      <c r="HD112" s="117"/>
      <c r="HE112" s="117"/>
      <c r="HF112" s="117"/>
      <c r="HG112" s="117"/>
      <c r="HH112" s="117"/>
      <c r="HI112" s="117"/>
      <c r="HJ112" s="117"/>
      <c r="HK112" s="117"/>
      <c r="HL112" s="117"/>
      <c r="HM112" s="117"/>
      <c r="HN112" s="117"/>
      <c r="HO112" s="117"/>
      <c r="HP112" s="117"/>
      <c r="HQ112" s="117"/>
      <c r="HR112" s="117"/>
      <c r="HS112" s="117"/>
      <c r="HT112" s="117"/>
      <c r="HU112" s="117"/>
      <c r="HV112" s="117"/>
      <c r="HW112" s="117"/>
      <c r="HX112" s="117"/>
      <c r="HY112" s="117"/>
      <c r="HZ112" s="117"/>
      <c r="IA112" s="117"/>
      <c r="IB112" s="117"/>
    </row>
    <row r="113" spans="1:236" s="79" customFormat="1" ht="14.25">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7"/>
      <c r="EI113" s="117"/>
      <c r="EJ113" s="117"/>
      <c r="EK113" s="117"/>
      <c r="EL113" s="117"/>
      <c r="EM113" s="117"/>
      <c r="EN113" s="117"/>
      <c r="EO113" s="117"/>
      <c r="EP113" s="117"/>
      <c r="EQ113" s="117"/>
      <c r="ER113" s="117"/>
      <c r="ES113" s="117"/>
      <c r="ET113" s="117"/>
      <c r="EU113" s="117"/>
      <c r="EV113" s="117"/>
      <c r="EW113" s="117"/>
      <c r="EX113" s="117"/>
      <c r="EY113" s="117"/>
      <c r="EZ113" s="117"/>
      <c r="FA113" s="117"/>
      <c r="FB113" s="117"/>
      <c r="FC113" s="117"/>
      <c r="FD113" s="117"/>
      <c r="FE113" s="117"/>
      <c r="FF113" s="117"/>
      <c r="FG113" s="117"/>
      <c r="FH113" s="117"/>
      <c r="FI113" s="117"/>
      <c r="FJ113" s="117"/>
      <c r="FK113" s="117"/>
      <c r="FL113" s="117"/>
      <c r="FM113" s="117"/>
      <c r="FN113" s="117"/>
      <c r="FO113" s="117"/>
      <c r="FP113" s="117"/>
      <c r="FQ113" s="117"/>
      <c r="FR113" s="117"/>
      <c r="FS113" s="117"/>
      <c r="FT113" s="117"/>
      <c r="FU113" s="117"/>
      <c r="FV113" s="117"/>
      <c r="FW113" s="117"/>
      <c r="FX113" s="117"/>
      <c r="FY113" s="117"/>
      <c r="FZ113" s="117"/>
      <c r="GA113" s="117"/>
      <c r="GB113" s="117"/>
      <c r="GC113" s="117"/>
      <c r="GD113" s="117"/>
      <c r="GE113" s="117"/>
      <c r="GF113" s="117"/>
      <c r="GG113" s="117"/>
      <c r="GH113" s="117"/>
      <c r="GI113" s="117"/>
      <c r="GJ113" s="117"/>
      <c r="GK113" s="117"/>
      <c r="GL113" s="117"/>
      <c r="GM113" s="117"/>
      <c r="GN113" s="117"/>
      <c r="GO113" s="117"/>
      <c r="GP113" s="117"/>
      <c r="GQ113" s="117"/>
      <c r="GR113" s="117"/>
      <c r="GS113" s="117"/>
      <c r="GT113" s="117"/>
      <c r="GU113" s="117"/>
      <c r="GV113" s="117"/>
      <c r="GW113" s="117"/>
      <c r="GX113" s="117"/>
      <c r="GY113" s="117"/>
      <c r="GZ113" s="117"/>
      <c r="HA113" s="117"/>
      <c r="HB113" s="117"/>
      <c r="HC113" s="117"/>
      <c r="HD113" s="117"/>
      <c r="HE113" s="117"/>
      <c r="HF113" s="117"/>
      <c r="HG113" s="117"/>
      <c r="HH113" s="117"/>
      <c r="HI113" s="117"/>
      <c r="HJ113" s="117"/>
      <c r="HK113" s="117"/>
      <c r="HL113" s="117"/>
      <c r="HM113" s="117"/>
      <c r="HN113" s="117"/>
      <c r="HO113" s="117"/>
      <c r="HP113" s="117"/>
      <c r="HQ113" s="117"/>
      <c r="HR113" s="117"/>
      <c r="HS113" s="117"/>
      <c r="HT113" s="117"/>
      <c r="HU113" s="117"/>
      <c r="HV113" s="117"/>
      <c r="HW113" s="117"/>
      <c r="HX113" s="117"/>
      <c r="HY113" s="117"/>
      <c r="HZ113" s="117"/>
      <c r="IA113" s="117"/>
      <c r="IB113" s="117"/>
    </row>
    <row r="114" spans="1:236" s="79" customFormat="1" ht="14.25">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7"/>
      <c r="EI114" s="117"/>
      <c r="EJ114" s="117"/>
      <c r="EK114" s="117"/>
      <c r="EL114" s="117"/>
      <c r="EM114" s="117"/>
      <c r="EN114" s="117"/>
      <c r="EO114" s="117"/>
      <c r="EP114" s="117"/>
      <c r="EQ114" s="117"/>
      <c r="ER114" s="117"/>
      <c r="ES114" s="117"/>
      <c r="ET114" s="117"/>
      <c r="EU114" s="117"/>
      <c r="EV114" s="117"/>
      <c r="EW114" s="117"/>
      <c r="EX114" s="117"/>
      <c r="EY114" s="117"/>
      <c r="EZ114" s="117"/>
      <c r="FA114" s="117"/>
      <c r="FB114" s="117"/>
      <c r="FC114" s="117"/>
      <c r="FD114" s="117"/>
      <c r="FE114" s="117"/>
      <c r="FF114" s="117"/>
      <c r="FG114" s="117"/>
      <c r="FH114" s="117"/>
      <c r="FI114" s="117"/>
      <c r="FJ114" s="117"/>
      <c r="FK114" s="117"/>
      <c r="FL114" s="117"/>
      <c r="FM114" s="117"/>
      <c r="FN114" s="117"/>
      <c r="FO114" s="117"/>
      <c r="FP114" s="117"/>
      <c r="FQ114" s="117"/>
      <c r="FR114" s="117"/>
      <c r="FS114" s="117"/>
      <c r="FT114" s="117"/>
      <c r="FU114" s="117"/>
      <c r="FV114" s="117"/>
      <c r="FW114" s="117"/>
      <c r="FX114" s="117"/>
      <c r="FY114" s="117"/>
      <c r="FZ114" s="117"/>
      <c r="GA114" s="117"/>
      <c r="GB114" s="117"/>
      <c r="GC114" s="117"/>
      <c r="GD114" s="117"/>
      <c r="GE114" s="117"/>
      <c r="GF114" s="117"/>
      <c r="GG114" s="117"/>
      <c r="GH114" s="117"/>
      <c r="GI114" s="117"/>
      <c r="GJ114" s="117"/>
      <c r="GK114" s="117"/>
      <c r="GL114" s="117"/>
      <c r="GM114" s="117"/>
      <c r="GN114" s="117"/>
      <c r="GO114" s="117"/>
      <c r="GP114" s="117"/>
      <c r="GQ114" s="117"/>
      <c r="GR114" s="117"/>
      <c r="GS114" s="117"/>
      <c r="GT114" s="117"/>
      <c r="GU114" s="117"/>
      <c r="GV114" s="117"/>
      <c r="GW114" s="117"/>
      <c r="GX114" s="117"/>
      <c r="GY114" s="117"/>
      <c r="GZ114" s="117"/>
      <c r="HA114" s="117"/>
      <c r="HB114" s="117"/>
      <c r="HC114" s="117"/>
      <c r="HD114" s="117"/>
      <c r="HE114" s="117"/>
      <c r="HF114" s="117"/>
      <c r="HG114" s="117"/>
      <c r="HH114" s="117"/>
      <c r="HI114" s="117"/>
      <c r="HJ114" s="117"/>
      <c r="HK114" s="117"/>
      <c r="HL114" s="117"/>
      <c r="HM114" s="117"/>
      <c r="HN114" s="117"/>
      <c r="HO114" s="117"/>
      <c r="HP114" s="117"/>
      <c r="HQ114" s="117"/>
      <c r="HR114" s="117"/>
      <c r="HS114" s="117"/>
      <c r="HT114" s="117"/>
      <c r="HU114" s="117"/>
      <c r="HV114" s="117"/>
      <c r="HW114" s="117"/>
      <c r="HX114" s="117"/>
      <c r="HY114" s="117"/>
      <c r="HZ114" s="117"/>
      <c r="IA114" s="117"/>
      <c r="IB114" s="117"/>
    </row>
    <row r="115" spans="1:236" s="79" customFormat="1" ht="14.25">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7"/>
      <c r="EI115" s="117"/>
      <c r="EJ115" s="117"/>
      <c r="EK115" s="117"/>
      <c r="EL115" s="117"/>
      <c r="EM115" s="117"/>
      <c r="EN115" s="117"/>
      <c r="EO115" s="117"/>
      <c r="EP115" s="117"/>
      <c r="EQ115" s="117"/>
      <c r="ER115" s="117"/>
      <c r="ES115" s="117"/>
      <c r="ET115" s="117"/>
      <c r="EU115" s="117"/>
      <c r="EV115" s="117"/>
      <c r="EW115" s="117"/>
      <c r="EX115" s="117"/>
      <c r="EY115" s="117"/>
      <c r="EZ115" s="117"/>
      <c r="FA115" s="117"/>
      <c r="FB115" s="117"/>
      <c r="FC115" s="117"/>
      <c r="FD115" s="117"/>
      <c r="FE115" s="117"/>
      <c r="FF115" s="117"/>
      <c r="FG115" s="117"/>
      <c r="FH115" s="117"/>
      <c r="FI115" s="117"/>
      <c r="FJ115" s="117"/>
      <c r="FK115" s="117"/>
      <c r="FL115" s="117"/>
      <c r="FM115" s="117"/>
      <c r="FN115" s="117"/>
      <c r="FO115" s="117"/>
      <c r="FP115" s="117"/>
      <c r="FQ115" s="117"/>
      <c r="FR115" s="117"/>
      <c r="FS115" s="117"/>
      <c r="FT115" s="117"/>
      <c r="FU115" s="117"/>
      <c r="FV115" s="117"/>
      <c r="FW115" s="117"/>
      <c r="FX115" s="117"/>
      <c r="FY115" s="117"/>
      <c r="FZ115" s="117"/>
      <c r="GA115" s="117"/>
      <c r="GB115" s="117"/>
      <c r="GC115" s="117"/>
      <c r="GD115" s="117"/>
      <c r="GE115" s="117"/>
      <c r="GF115" s="117"/>
      <c r="GG115" s="117"/>
      <c r="GH115" s="117"/>
      <c r="GI115" s="117"/>
      <c r="GJ115" s="117"/>
      <c r="GK115" s="117"/>
      <c r="GL115" s="117"/>
      <c r="GM115" s="117"/>
      <c r="GN115" s="117"/>
      <c r="GO115" s="117"/>
      <c r="GP115" s="117"/>
      <c r="GQ115" s="117"/>
      <c r="GR115" s="117"/>
      <c r="GS115" s="117"/>
      <c r="GT115" s="117"/>
      <c r="GU115" s="117"/>
      <c r="GV115" s="117"/>
      <c r="GW115" s="117"/>
      <c r="GX115" s="117"/>
      <c r="GY115" s="117"/>
      <c r="GZ115" s="117"/>
      <c r="HA115" s="117"/>
      <c r="HB115" s="117"/>
      <c r="HC115" s="117"/>
      <c r="HD115" s="117"/>
      <c r="HE115" s="117"/>
      <c r="HF115" s="117"/>
      <c r="HG115" s="117"/>
      <c r="HH115" s="117"/>
      <c r="HI115" s="117"/>
      <c r="HJ115" s="117"/>
      <c r="HK115" s="117"/>
      <c r="HL115" s="117"/>
      <c r="HM115" s="117"/>
      <c r="HN115" s="117"/>
      <c r="HO115" s="117"/>
      <c r="HP115" s="117"/>
      <c r="HQ115" s="117"/>
      <c r="HR115" s="117"/>
      <c r="HS115" s="117"/>
      <c r="HT115" s="117"/>
      <c r="HU115" s="117"/>
      <c r="HV115" s="117"/>
      <c r="HW115" s="117"/>
      <c r="HX115" s="117"/>
      <c r="HY115" s="117"/>
      <c r="HZ115" s="117"/>
      <c r="IA115" s="117"/>
      <c r="IB115" s="117"/>
    </row>
    <row r="116" spans="1:236" s="79" customFormat="1" ht="14.25">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7"/>
      <c r="EI116" s="117"/>
      <c r="EJ116" s="117"/>
      <c r="EK116" s="117"/>
      <c r="EL116" s="117"/>
      <c r="EM116" s="117"/>
      <c r="EN116" s="117"/>
      <c r="EO116" s="117"/>
      <c r="EP116" s="117"/>
      <c r="EQ116" s="117"/>
      <c r="ER116" s="117"/>
      <c r="ES116" s="117"/>
      <c r="ET116" s="117"/>
      <c r="EU116" s="117"/>
      <c r="EV116" s="117"/>
      <c r="EW116" s="117"/>
      <c r="EX116" s="117"/>
      <c r="EY116" s="117"/>
      <c r="EZ116" s="117"/>
      <c r="FA116" s="117"/>
      <c r="FB116" s="117"/>
      <c r="FC116" s="117"/>
      <c r="FD116" s="117"/>
      <c r="FE116" s="117"/>
      <c r="FF116" s="117"/>
      <c r="FG116" s="117"/>
      <c r="FH116" s="117"/>
      <c r="FI116" s="117"/>
      <c r="FJ116" s="117"/>
      <c r="FK116" s="117"/>
      <c r="FL116" s="117"/>
      <c r="FM116" s="117"/>
      <c r="FN116" s="117"/>
      <c r="FO116" s="117"/>
      <c r="FP116" s="117"/>
      <c r="FQ116" s="117"/>
      <c r="FR116" s="117"/>
      <c r="FS116" s="117"/>
      <c r="FT116" s="117"/>
      <c r="FU116" s="117"/>
      <c r="FV116" s="117"/>
      <c r="FW116" s="117"/>
      <c r="FX116" s="117"/>
      <c r="FY116" s="117"/>
      <c r="FZ116" s="117"/>
      <c r="GA116" s="117"/>
      <c r="GB116" s="117"/>
      <c r="GC116" s="117"/>
      <c r="GD116" s="117"/>
      <c r="GE116" s="117"/>
      <c r="GF116" s="117"/>
      <c r="GG116" s="117"/>
      <c r="GH116" s="117"/>
      <c r="GI116" s="117"/>
      <c r="GJ116" s="117"/>
      <c r="GK116" s="117"/>
      <c r="GL116" s="117"/>
      <c r="GM116" s="117"/>
      <c r="GN116" s="117"/>
      <c r="GO116" s="117"/>
      <c r="GP116" s="117"/>
      <c r="GQ116" s="117"/>
      <c r="GR116" s="117"/>
      <c r="GS116" s="117"/>
      <c r="GT116" s="117"/>
      <c r="GU116" s="117"/>
      <c r="GV116" s="117"/>
      <c r="GW116" s="117"/>
      <c r="GX116" s="117"/>
      <c r="GY116" s="117"/>
      <c r="GZ116" s="117"/>
      <c r="HA116" s="117"/>
      <c r="HB116" s="117"/>
      <c r="HC116" s="117"/>
      <c r="HD116" s="117"/>
      <c r="HE116" s="117"/>
      <c r="HF116" s="117"/>
      <c r="HG116" s="117"/>
      <c r="HH116" s="117"/>
      <c r="HI116" s="117"/>
      <c r="HJ116" s="117"/>
      <c r="HK116" s="117"/>
      <c r="HL116" s="117"/>
      <c r="HM116" s="117"/>
      <c r="HN116" s="117"/>
      <c r="HO116" s="117"/>
      <c r="HP116" s="117"/>
      <c r="HQ116" s="117"/>
      <c r="HR116" s="117"/>
      <c r="HS116" s="117"/>
      <c r="HT116" s="117"/>
      <c r="HU116" s="117"/>
      <c r="HV116" s="117"/>
      <c r="HW116" s="117"/>
      <c r="HX116" s="117"/>
      <c r="HY116" s="117"/>
      <c r="HZ116" s="117"/>
      <c r="IA116" s="117"/>
      <c r="IB116" s="117"/>
    </row>
    <row r="117" spans="1:236" s="79" customFormat="1" ht="14.25">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7"/>
      <c r="EI117" s="117"/>
      <c r="EJ117" s="117"/>
      <c r="EK117" s="117"/>
      <c r="EL117" s="117"/>
      <c r="EM117" s="117"/>
      <c r="EN117" s="117"/>
      <c r="EO117" s="117"/>
      <c r="EP117" s="117"/>
      <c r="EQ117" s="117"/>
      <c r="ER117" s="117"/>
      <c r="ES117" s="117"/>
      <c r="ET117" s="117"/>
      <c r="EU117" s="117"/>
      <c r="EV117" s="117"/>
      <c r="EW117" s="117"/>
      <c r="EX117" s="117"/>
      <c r="EY117" s="117"/>
      <c r="EZ117" s="117"/>
      <c r="FA117" s="117"/>
      <c r="FB117" s="117"/>
      <c r="FC117" s="117"/>
      <c r="FD117" s="117"/>
      <c r="FE117" s="117"/>
      <c r="FF117" s="117"/>
      <c r="FG117" s="117"/>
      <c r="FH117" s="117"/>
      <c r="FI117" s="117"/>
      <c r="FJ117" s="117"/>
      <c r="FK117" s="117"/>
      <c r="FL117" s="117"/>
      <c r="FM117" s="117"/>
      <c r="FN117" s="117"/>
      <c r="FO117" s="117"/>
      <c r="FP117" s="117"/>
      <c r="FQ117" s="117"/>
      <c r="FR117" s="117"/>
      <c r="FS117" s="117"/>
      <c r="FT117" s="117"/>
      <c r="FU117" s="117"/>
      <c r="FV117" s="117"/>
      <c r="FW117" s="117"/>
      <c r="FX117" s="117"/>
      <c r="FY117" s="117"/>
      <c r="FZ117" s="117"/>
      <c r="GA117" s="117"/>
      <c r="GB117" s="117"/>
      <c r="GC117" s="117"/>
      <c r="GD117" s="117"/>
      <c r="GE117" s="117"/>
      <c r="GF117" s="117"/>
      <c r="GG117" s="117"/>
      <c r="GH117" s="117"/>
      <c r="GI117" s="117"/>
      <c r="GJ117" s="117"/>
      <c r="GK117" s="117"/>
      <c r="GL117" s="117"/>
      <c r="GM117" s="117"/>
      <c r="GN117" s="117"/>
      <c r="GO117" s="117"/>
      <c r="GP117" s="117"/>
      <c r="GQ117" s="117"/>
      <c r="GR117" s="117"/>
      <c r="GS117" s="117"/>
      <c r="GT117" s="117"/>
      <c r="GU117" s="117"/>
      <c r="GV117" s="117"/>
      <c r="GW117" s="117"/>
      <c r="GX117" s="117"/>
      <c r="GY117" s="117"/>
      <c r="GZ117" s="117"/>
      <c r="HA117" s="117"/>
      <c r="HB117" s="117"/>
      <c r="HC117" s="117"/>
      <c r="HD117" s="117"/>
      <c r="HE117" s="117"/>
      <c r="HF117" s="117"/>
      <c r="HG117" s="117"/>
      <c r="HH117" s="117"/>
      <c r="HI117" s="117"/>
      <c r="HJ117" s="117"/>
      <c r="HK117" s="117"/>
      <c r="HL117" s="117"/>
      <c r="HM117" s="117"/>
      <c r="HN117" s="117"/>
      <c r="HO117" s="117"/>
      <c r="HP117" s="117"/>
      <c r="HQ117" s="117"/>
      <c r="HR117" s="117"/>
      <c r="HS117" s="117"/>
      <c r="HT117" s="117"/>
      <c r="HU117" s="117"/>
      <c r="HV117" s="117"/>
      <c r="HW117" s="117"/>
      <c r="HX117" s="117"/>
      <c r="HY117" s="117"/>
      <c r="HZ117" s="117"/>
      <c r="IA117" s="117"/>
      <c r="IB117" s="117"/>
    </row>
    <row r="118" spans="1:236" s="79" customFormat="1" ht="14.25">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row>
    <row r="119" spans="1:236" s="79" customFormat="1" ht="14.25">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7"/>
      <c r="EI119" s="117"/>
      <c r="EJ119" s="117"/>
      <c r="EK119" s="117"/>
      <c r="EL119" s="117"/>
      <c r="EM119" s="117"/>
      <c r="EN119" s="117"/>
      <c r="EO119" s="117"/>
      <c r="EP119" s="117"/>
      <c r="EQ119" s="117"/>
      <c r="ER119" s="117"/>
      <c r="ES119" s="117"/>
      <c r="ET119" s="117"/>
      <c r="EU119" s="117"/>
      <c r="EV119" s="117"/>
      <c r="EW119" s="117"/>
      <c r="EX119" s="117"/>
      <c r="EY119" s="117"/>
      <c r="EZ119" s="117"/>
      <c r="FA119" s="117"/>
      <c r="FB119" s="117"/>
      <c r="FC119" s="117"/>
      <c r="FD119" s="117"/>
      <c r="FE119" s="117"/>
      <c r="FF119" s="117"/>
      <c r="FG119" s="117"/>
      <c r="FH119" s="117"/>
      <c r="FI119" s="117"/>
      <c r="FJ119" s="117"/>
      <c r="FK119" s="117"/>
      <c r="FL119" s="117"/>
      <c r="FM119" s="117"/>
      <c r="FN119" s="117"/>
      <c r="FO119" s="117"/>
      <c r="FP119" s="117"/>
      <c r="FQ119" s="117"/>
      <c r="FR119" s="117"/>
      <c r="FS119" s="117"/>
      <c r="FT119" s="117"/>
      <c r="FU119" s="117"/>
      <c r="FV119" s="117"/>
      <c r="FW119" s="117"/>
      <c r="FX119" s="117"/>
      <c r="FY119" s="117"/>
      <c r="FZ119" s="117"/>
      <c r="GA119" s="117"/>
      <c r="GB119" s="117"/>
      <c r="GC119" s="117"/>
      <c r="GD119" s="117"/>
      <c r="GE119" s="117"/>
      <c r="GF119" s="117"/>
      <c r="GG119" s="117"/>
      <c r="GH119" s="117"/>
      <c r="GI119" s="117"/>
      <c r="GJ119" s="117"/>
      <c r="GK119" s="117"/>
      <c r="GL119" s="117"/>
      <c r="GM119" s="117"/>
      <c r="GN119" s="117"/>
      <c r="GO119" s="117"/>
      <c r="GP119" s="117"/>
      <c r="GQ119" s="117"/>
      <c r="GR119" s="117"/>
      <c r="GS119" s="117"/>
      <c r="GT119" s="117"/>
      <c r="GU119" s="117"/>
      <c r="GV119" s="117"/>
      <c r="GW119" s="117"/>
      <c r="GX119" s="117"/>
      <c r="GY119" s="117"/>
      <c r="GZ119" s="117"/>
      <c r="HA119" s="117"/>
      <c r="HB119" s="117"/>
      <c r="HC119" s="117"/>
      <c r="HD119" s="117"/>
      <c r="HE119" s="117"/>
      <c r="HF119" s="117"/>
      <c r="HG119" s="117"/>
      <c r="HH119" s="117"/>
      <c r="HI119" s="117"/>
      <c r="HJ119" s="117"/>
      <c r="HK119" s="117"/>
      <c r="HL119" s="117"/>
      <c r="HM119" s="117"/>
      <c r="HN119" s="117"/>
      <c r="HO119" s="117"/>
      <c r="HP119" s="117"/>
      <c r="HQ119" s="117"/>
      <c r="HR119" s="117"/>
      <c r="HS119" s="117"/>
      <c r="HT119" s="117"/>
      <c r="HU119" s="117"/>
      <c r="HV119" s="117"/>
      <c r="HW119" s="117"/>
      <c r="HX119" s="117"/>
      <c r="HY119" s="117"/>
      <c r="HZ119" s="117"/>
      <c r="IA119" s="117"/>
      <c r="IB119" s="117"/>
    </row>
    <row r="120" spans="1:236" s="79" customFormat="1" ht="14.25">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7"/>
      <c r="EI120" s="117"/>
      <c r="EJ120" s="117"/>
      <c r="EK120" s="117"/>
      <c r="EL120" s="117"/>
      <c r="EM120" s="117"/>
      <c r="EN120" s="117"/>
      <c r="EO120" s="117"/>
      <c r="EP120" s="117"/>
      <c r="EQ120" s="117"/>
      <c r="ER120" s="117"/>
      <c r="ES120" s="117"/>
      <c r="ET120" s="117"/>
      <c r="EU120" s="117"/>
      <c r="EV120" s="117"/>
      <c r="EW120" s="117"/>
      <c r="EX120" s="117"/>
      <c r="EY120" s="117"/>
      <c r="EZ120" s="117"/>
      <c r="FA120" s="117"/>
      <c r="FB120" s="117"/>
      <c r="FC120" s="117"/>
      <c r="FD120" s="117"/>
      <c r="FE120" s="117"/>
      <c r="FF120" s="117"/>
      <c r="FG120" s="117"/>
      <c r="FH120" s="117"/>
      <c r="FI120" s="117"/>
      <c r="FJ120" s="117"/>
      <c r="FK120" s="117"/>
      <c r="FL120" s="117"/>
      <c r="FM120" s="117"/>
      <c r="FN120" s="117"/>
      <c r="FO120" s="117"/>
      <c r="FP120" s="117"/>
      <c r="FQ120" s="117"/>
      <c r="FR120" s="117"/>
      <c r="FS120" s="117"/>
      <c r="FT120" s="117"/>
      <c r="FU120" s="117"/>
      <c r="FV120" s="117"/>
      <c r="FW120" s="117"/>
      <c r="FX120" s="117"/>
      <c r="FY120" s="117"/>
      <c r="FZ120" s="117"/>
      <c r="GA120" s="117"/>
      <c r="GB120" s="117"/>
      <c r="GC120" s="117"/>
      <c r="GD120" s="117"/>
      <c r="GE120" s="117"/>
      <c r="GF120" s="117"/>
      <c r="GG120" s="117"/>
      <c r="GH120" s="117"/>
      <c r="GI120" s="117"/>
      <c r="GJ120" s="117"/>
      <c r="GK120" s="117"/>
      <c r="GL120" s="117"/>
      <c r="GM120" s="117"/>
      <c r="GN120" s="117"/>
      <c r="GO120" s="117"/>
      <c r="GP120" s="117"/>
      <c r="GQ120" s="117"/>
      <c r="GR120" s="117"/>
      <c r="GS120" s="117"/>
      <c r="GT120" s="117"/>
      <c r="GU120" s="117"/>
      <c r="GV120" s="117"/>
      <c r="GW120" s="117"/>
      <c r="GX120" s="117"/>
      <c r="GY120" s="117"/>
      <c r="GZ120" s="117"/>
      <c r="HA120" s="117"/>
      <c r="HB120" s="117"/>
      <c r="HC120" s="117"/>
      <c r="HD120" s="117"/>
      <c r="HE120" s="117"/>
      <c r="HF120" s="117"/>
      <c r="HG120" s="117"/>
      <c r="HH120" s="117"/>
      <c r="HI120" s="117"/>
      <c r="HJ120" s="117"/>
      <c r="HK120" s="117"/>
      <c r="HL120" s="117"/>
      <c r="HM120" s="117"/>
      <c r="HN120" s="117"/>
      <c r="HO120" s="117"/>
      <c r="HP120" s="117"/>
      <c r="HQ120" s="117"/>
      <c r="HR120" s="117"/>
      <c r="HS120" s="117"/>
      <c r="HT120" s="117"/>
      <c r="HU120" s="117"/>
      <c r="HV120" s="117"/>
      <c r="HW120" s="117"/>
      <c r="HX120" s="117"/>
      <c r="HY120" s="117"/>
      <c r="HZ120" s="117"/>
      <c r="IA120" s="117"/>
      <c r="IB120" s="117"/>
    </row>
    <row r="121" spans="1:236" s="79" customFormat="1" ht="14.25">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7"/>
      <c r="EI121" s="117"/>
      <c r="EJ121" s="117"/>
      <c r="EK121" s="117"/>
      <c r="EL121" s="117"/>
      <c r="EM121" s="117"/>
      <c r="EN121" s="117"/>
      <c r="EO121" s="117"/>
      <c r="EP121" s="117"/>
      <c r="EQ121" s="117"/>
      <c r="ER121" s="117"/>
      <c r="ES121" s="117"/>
      <c r="ET121" s="117"/>
      <c r="EU121" s="117"/>
      <c r="EV121" s="117"/>
      <c r="EW121" s="117"/>
      <c r="EX121" s="117"/>
      <c r="EY121" s="117"/>
      <c r="EZ121" s="117"/>
      <c r="FA121" s="117"/>
      <c r="FB121" s="117"/>
      <c r="FC121" s="117"/>
      <c r="FD121" s="117"/>
      <c r="FE121" s="117"/>
      <c r="FF121" s="117"/>
      <c r="FG121" s="117"/>
      <c r="FH121" s="117"/>
      <c r="FI121" s="117"/>
      <c r="FJ121" s="117"/>
      <c r="FK121" s="117"/>
      <c r="FL121" s="117"/>
      <c r="FM121" s="117"/>
      <c r="FN121" s="117"/>
      <c r="FO121" s="117"/>
      <c r="FP121" s="117"/>
      <c r="FQ121" s="117"/>
      <c r="FR121" s="117"/>
      <c r="FS121" s="117"/>
      <c r="FT121" s="117"/>
      <c r="FU121" s="117"/>
      <c r="FV121" s="117"/>
      <c r="FW121" s="117"/>
      <c r="FX121" s="117"/>
      <c r="FY121" s="117"/>
      <c r="FZ121" s="117"/>
      <c r="GA121" s="117"/>
      <c r="GB121" s="117"/>
      <c r="GC121" s="117"/>
      <c r="GD121" s="117"/>
      <c r="GE121" s="117"/>
      <c r="GF121" s="117"/>
      <c r="GG121" s="117"/>
      <c r="GH121" s="117"/>
      <c r="GI121" s="117"/>
      <c r="GJ121" s="117"/>
      <c r="GK121" s="117"/>
      <c r="GL121" s="117"/>
      <c r="GM121" s="117"/>
      <c r="GN121" s="117"/>
      <c r="GO121" s="117"/>
      <c r="GP121" s="117"/>
      <c r="GQ121" s="117"/>
      <c r="GR121" s="117"/>
      <c r="GS121" s="117"/>
      <c r="GT121" s="117"/>
      <c r="GU121" s="117"/>
      <c r="GV121" s="117"/>
      <c r="GW121" s="117"/>
      <c r="GX121" s="117"/>
      <c r="GY121" s="117"/>
      <c r="GZ121" s="117"/>
      <c r="HA121" s="117"/>
      <c r="HB121" s="117"/>
      <c r="HC121" s="117"/>
      <c r="HD121" s="117"/>
      <c r="HE121" s="117"/>
      <c r="HF121" s="117"/>
      <c r="HG121" s="117"/>
      <c r="HH121" s="117"/>
      <c r="HI121" s="117"/>
      <c r="HJ121" s="117"/>
      <c r="HK121" s="117"/>
      <c r="HL121" s="117"/>
      <c r="HM121" s="117"/>
      <c r="HN121" s="117"/>
      <c r="HO121" s="117"/>
      <c r="HP121" s="117"/>
      <c r="HQ121" s="117"/>
      <c r="HR121" s="117"/>
      <c r="HS121" s="117"/>
      <c r="HT121" s="117"/>
      <c r="HU121" s="117"/>
      <c r="HV121" s="117"/>
      <c r="HW121" s="117"/>
      <c r="HX121" s="117"/>
      <c r="HY121" s="117"/>
      <c r="HZ121" s="117"/>
      <c r="IA121" s="117"/>
      <c r="IB121" s="117"/>
    </row>
    <row r="122" spans="1:236" s="79" customFormat="1" ht="14.25">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7"/>
      <c r="EI122" s="117"/>
      <c r="EJ122" s="117"/>
      <c r="EK122" s="117"/>
      <c r="EL122" s="117"/>
      <c r="EM122" s="117"/>
      <c r="EN122" s="117"/>
      <c r="EO122" s="117"/>
      <c r="EP122" s="117"/>
      <c r="EQ122" s="117"/>
      <c r="ER122" s="117"/>
      <c r="ES122" s="117"/>
      <c r="ET122" s="117"/>
      <c r="EU122" s="117"/>
      <c r="EV122" s="117"/>
      <c r="EW122" s="117"/>
      <c r="EX122" s="117"/>
      <c r="EY122" s="117"/>
      <c r="EZ122" s="117"/>
      <c r="FA122" s="117"/>
      <c r="FB122" s="117"/>
      <c r="FC122" s="117"/>
      <c r="FD122" s="117"/>
      <c r="FE122" s="117"/>
      <c r="FF122" s="117"/>
      <c r="FG122" s="117"/>
      <c r="FH122" s="117"/>
      <c r="FI122" s="117"/>
      <c r="FJ122" s="117"/>
      <c r="FK122" s="117"/>
      <c r="FL122" s="117"/>
      <c r="FM122" s="117"/>
      <c r="FN122" s="117"/>
      <c r="FO122" s="117"/>
      <c r="FP122" s="117"/>
      <c r="FQ122" s="117"/>
      <c r="FR122" s="117"/>
      <c r="FS122" s="117"/>
      <c r="FT122" s="117"/>
      <c r="FU122" s="117"/>
      <c r="FV122" s="117"/>
      <c r="FW122" s="117"/>
      <c r="FX122" s="117"/>
      <c r="FY122" s="117"/>
      <c r="FZ122" s="117"/>
      <c r="GA122" s="117"/>
      <c r="GB122" s="117"/>
      <c r="GC122" s="117"/>
      <c r="GD122" s="117"/>
      <c r="GE122" s="117"/>
      <c r="GF122" s="117"/>
      <c r="GG122" s="117"/>
      <c r="GH122" s="117"/>
      <c r="GI122" s="117"/>
      <c r="GJ122" s="117"/>
      <c r="GK122" s="117"/>
      <c r="GL122" s="117"/>
      <c r="GM122" s="117"/>
      <c r="GN122" s="117"/>
      <c r="GO122" s="117"/>
      <c r="GP122" s="117"/>
      <c r="GQ122" s="117"/>
      <c r="GR122" s="117"/>
      <c r="GS122" s="117"/>
      <c r="GT122" s="117"/>
      <c r="GU122" s="117"/>
      <c r="GV122" s="117"/>
      <c r="GW122" s="117"/>
      <c r="GX122" s="117"/>
      <c r="GY122" s="117"/>
      <c r="GZ122" s="117"/>
      <c r="HA122" s="117"/>
      <c r="HB122" s="117"/>
      <c r="HC122" s="117"/>
      <c r="HD122" s="117"/>
      <c r="HE122" s="117"/>
      <c r="HF122" s="117"/>
      <c r="HG122" s="117"/>
      <c r="HH122" s="117"/>
      <c r="HI122" s="117"/>
      <c r="HJ122" s="117"/>
      <c r="HK122" s="117"/>
      <c r="HL122" s="117"/>
      <c r="HM122" s="117"/>
      <c r="HN122" s="117"/>
      <c r="HO122" s="117"/>
      <c r="HP122" s="117"/>
      <c r="HQ122" s="117"/>
      <c r="HR122" s="117"/>
      <c r="HS122" s="117"/>
      <c r="HT122" s="117"/>
      <c r="HU122" s="117"/>
      <c r="HV122" s="117"/>
      <c r="HW122" s="117"/>
      <c r="HX122" s="117"/>
      <c r="HY122" s="117"/>
      <c r="HZ122" s="117"/>
      <c r="IA122" s="117"/>
      <c r="IB122" s="117"/>
    </row>
    <row r="123" spans="1:236" s="79" customFormat="1" ht="14.25">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7"/>
      <c r="EI123" s="117"/>
      <c r="EJ123" s="117"/>
      <c r="EK123" s="117"/>
      <c r="EL123" s="117"/>
      <c r="EM123" s="117"/>
      <c r="EN123" s="117"/>
      <c r="EO123" s="117"/>
      <c r="EP123" s="117"/>
      <c r="EQ123" s="117"/>
      <c r="ER123" s="117"/>
      <c r="ES123" s="117"/>
      <c r="ET123" s="117"/>
      <c r="EU123" s="117"/>
      <c r="EV123" s="117"/>
      <c r="EW123" s="117"/>
      <c r="EX123" s="117"/>
      <c r="EY123" s="117"/>
      <c r="EZ123" s="117"/>
      <c r="FA123" s="117"/>
      <c r="FB123" s="117"/>
      <c r="FC123" s="117"/>
      <c r="FD123" s="117"/>
      <c r="FE123" s="117"/>
      <c r="FF123" s="117"/>
      <c r="FG123" s="117"/>
      <c r="FH123" s="117"/>
      <c r="FI123" s="117"/>
      <c r="FJ123" s="117"/>
      <c r="FK123" s="117"/>
      <c r="FL123" s="117"/>
      <c r="FM123" s="117"/>
      <c r="FN123" s="117"/>
      <c r="FO123" s="117"/>
      <c r="FP123" s="117"/>
      <c r="FQ123" s="117"/>
      <c r="FR123" s="117"/>
      <c r="FS123" s="117"/>
      <c r="FT123" s="117"/>
      <c r="FU123" s="117"/>
      <c r="FV123" s="117"/>
      <c r="FW123" s="117"/>
      <c r="FX123" s="117"/>
      <c r="FY123" s="117"/>
      <c r="FZ123" s="117"/>
      <c r="GA123" s="117"/>
      <c r="GB123" s="117"/>
      <c r="GC123" s="117"/>
      <c r="GD123" s="117"/>
      <c r="GE123" s="117"/>
      <c r="GF123" s="117"/>
      <c r="GG123" s="117"/>
      <c r="GH123" s="117"/>
      <c r="GI123" s="117"/>
      <c r="GJ123" s="117"/>
      <c r="GK123" s="117"/>
      <c r="GL123" s="117"/>
      <c r="GM123" s="117"/>
      <c r="GN123" s="117"/>
      <c r="GO123" s="117"/>
      <c r="GP123" s="117"/>
      <c r="GQ123" s="117"/>
      <c r="GR123" s="117"/>
      <c r="GS123" s="117"/>
      <c r="GT123" s="117"/>
      <c r="GU123" s="117"/>
      <c r="GV123" s="117"/>
      <c r="GW123" s="117"/>
      <c r="GX123" s="117"/>
      <c r="GY123" s="117"/>
      <c r="GZ123" s="117"/>
      <c r="HA123" s="117"/>
      <c r="HB123" s="117"/>
      <c r="HC123" s="117"/>
      <c r="HD123" s="117"/>
      <c r="HE123" s="117"/>
      <c r="HF123" s="117"/>
      <c r="HG123" s="117"/>
      <c r="HH123" s="117"/>
      <c r="HI123" s="117"/>
      <c r="HJ123" s="117"/>
      <c r="HK123" s="117"/>
      <c r="HL123" s="117"/>
      <c r="HM123" s="117"/>
      <c r="HN123" s="117"/>
      <c r="HO123" s="117"/>
      <c r="HP123" s="117"/>
      <c r="HQ123" s="117"/>
      <c r="HR123" s="117"/>
      <c r="HS123" s="117"/>
      <c r="HT123" s="117"/>
      <c r="HU123" s="117"/>
      <c r="HV123" s="117"/>
      <c r="HW123" s="117"/>
      <c r="HX123" s="117"/>
      <c r="HY123" s="117"/>
      <c r="HZ123" s="117"/>
      <c r="IA123" s="117"/>
      <c r="IB123" s="117"/>
    </row>
    <row r="124" spans="1:236" s="79" customFormat="1" ht="14.25">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7"/>
      <c r="EI124" s="117"/>
      <c r="EJ124" s="117"/>
      <c r="EK124" s="117"/>
      <c r="EL124" s="117"/>
      <c r="EM124" s="117"/>
      <c r="EN124" s="117"/>
      <c r="EO124" s="117"/>
      <c r="EP124" s="117"/>
      <c r="EQ124" s="117"/>
      <c r="ER124" s="117"/>
      <c r="ES124" s="117"/>
      <c r="ET124" s="117"/>
      <c r="EU124" s="117"/>
      <c r="EV124" s="117"/>
      <c r="EW124" s="117"/>
      <c r="EX124" s="117"/>
      <c r="EY124" s="117"/>
      <c r="EZ124" s="117"/>
      <c r="FA124" s="117"/>
      <c r="FB124" s="117"/>
      <c r="FC124" s="117"/>
      <c r="FD124" s="117"/>
      <c r="FE124" s="117"/>
      <c r="FF124" s="117"/>
      <c r="FG124" s="117"/>
      <c r="FH124" s="117"/>
      <c r="FI124" s="117"/>
      <c r="FJ124" s="117"/>
      <c r="FK124" s="117"/>
      <c r="FL124" s="117"/>
      <c r="FM124" s="117"/>
      <c r="FN124" s="117"/>
      <c r="FO124" s="117"/>
      <c r="FP124" s="117"/>
      <c r="FQ124" s="117"/>
      <c r="FR124" s="117"/>
      <c r="FS124" s="117"/>
      <c r="FT124" s="117"/>
      <c r="FU124" s="117"/>
      <c r="FV124" s="117"/>
      <c r="FW124" s="117"/>
      <c r="FX124" s="117"/>
      <c r="FY124" s="117"/>
      <c r="FZ124" s="117"/>
      <c r="GA124" s="117"/>
      <c r="GB124" s="117"/>
      <c r="GC124" s="117"/>
      <c r="GD124" s="117"/>
      <c r="GE124" s="117"/>
      <c r="GF124" s="117"/>
      <c r="GG124" s="117"/>
      <c r="GH124" s="117"/>
      <c r="GI124" s="117"/>
      <c r="GJ124" s="117"/>
      <c r="GK124" s="117"/>
      <c r="GL124" s="117"/>
      <c r="GM124" s="117"/>
      <c r="GN124" s="117"/>
      <c r="GO124" s="117"/>
      <c r="GP124" s="117"/>
      <c r="GQ124" s="117"/>
      <c r="GR124" s="117"/>
      <c r="GS124" s="117"/>
      <c r="GT124" s="117"/>
      <c r="GU124" s="117"/>
      <c r="GV124" s="117"/>
      <c r="GW124" s="117"/>
      <c r="GX124" s="117"/>
      <c r="GY124" s="117"/>
      <c r="GZ124" s="117"/>
      <c r="HA124" s="117"/>
      <c r="HB124" s="117"/>
      <c r="HC124" s="117"/>
      <c r="HD124" s="117"/>
      <c r="HE124" s="117"/>
      <c r="HF124" s="117"/>
      <c r="HG124" s="117"/>
      <c r="HH124" s="117"/>
      <c r="HI124" s="117"/>
      <c r="HJ124" s="117"/>
      <c r="HK124" s="117"/>
      <c r="HL124" s="117"/>
      <c r="HM124" s="117"/>
      <c r="HN124" s="117"/>
      <c r="HO124" s="117"/>
      <c r="HP124" s="117"/>
      <c r="HQ124" s="117"/>
      <c r="HR124" s="117"/>
      <c r="HS124" s="117"/>
      <c r="HT124" s="117"/>
      <c r="HU124" s="117"/>
      <c r="HV124" s="117"/>
      <c r="HW124" s="117"/>
      <c r="HX124" s="117"/>
      <c r="HY124" s="117"/>
      <c r="HZ124" s="117"/>
      <c r="IA124" s="117"/>
      <c r="IB124" s="117"/>
    </row>
    <row r="125" spans="1:236" s="79" customFormat="1" ht="14.25">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7"/>
      <c r="EI125" s="117"/>
      <c r="EJ125" s="117"/>
      <c r="EK125" s="117"/>
      <c r="EL125" s="117"/>
      <c r="EM125" s="117"/>
      <c r="EN125" s="117"/>
      <c r="EO125" s="117"/>
      <c r="EP125" s="117"/>
      <c r="EQ125" s="117"/>
      <c r="ER125" s="117"/>
      <c r="ES125" s="117"/>
      <c r="ET125" s="117"/>
      <c r="EU125" s="117"/>
      <c r="EV125" s="117"/>
      <c r="EW125" s="117"/>
      <c r="EX125" s="117"/>
      <c r="EY125" s="117"/>
      <c r="EZ125" s="117"/>
      <c r="FA125" s="117"/>
      <c r="FB125" s="117"/>
      <c r="FC125" s="117"/>
      <c r="FD125" s="117"/>
      <c r="FE125" s="117"/>
      <c r="FF125" s="117"/>
      <c r="FG125" s="117"/>
      <c r="FH125" s="117"/>
      <c r="FI125" s="117"/>
      <c r="FJ125" s="117"/>
      <c r="FK125" s="117"/>
      <c r="FL125" s="117"/>
      <c r="FM125" s="117"/>
      <c r="FN125" s="117"/>
      <c r="FO125" s="117"/>
      <c r="FP125" s="117"/>
      <c r="FQ125" s="117"/>
      <c r="FR125" s="117"/>
      <c r="FS125" s="117"/>
      <c r="FT125" s="117"/>
      <c r="FU125" s="117"/>
      <c r="FV125" s="117"/>
      <c r="FW125" s="117"/>
      <c r="FX125" s="117"/>
      <c r="FY125" s="117"/>
      <c r="FZ125" s="117"/>
      <c r="GA125" s="117"/>
      <c r="GB125" s="117"/>
      <c r="GC125" s="117"/>
      <c r="GD125" s="117"/>
      <c r="GE125" s="117"/>
      <c r="GF125" s="117"/>
      <c r="GG125" s="117"/>
      <c r="GH125" s="117"/>
      <c r="GI125" s="117"/>
      <c r="GJ125" s="117"/>
      <c r="GK125" s="117"/>
      <c r="GL125" s="117"/>
      <c r="GM125" s="117"/>
      <c r="GN125" s="117"/>
      <c r="GO125" s="117"/>
      <c r="GP125" s="117"/>
      <c r="GQ125" s="117"/>
      <c r="GR125" s="117"/>
      <c r="GS125" s="117"/>
      <c r="GT125" s="117"/>
      <c r="GU125" s="117"/>
      <c r="GV125" s="117"/>
      <c r="GW125" s="117"/>
      <c r="GX125" s="117"/>
      <c r="GY125" s="117"/>
      <c r="GZ125" s="117"/>
      <c r="HA125" s="117"/>
      <c r="HB125" s="117"/>
      <c r="HC125" s="117"/>
      <c r="HD125" s="117"/>
      <c r="HE125" s="117"/>
      <c r="HF125" s="117"/>
      <c r="HG125" s="117"/>
      <c r="HH125" s="117"/>
      <c r="HI125" s="117"/>
      <c r="HJ125" s="117"/>
      <c r="HK125" s="117"/>
      <c r="HL125" s="117"/>
      <c r="HM125" s="117"/>
      <c r="HN125" s="117"/>
      <c r="HO125" s="117"/>
      <c r="HP125" s="117"/>
      <c r="HQ125" s="117"/>
      <c r="HR125" s="117"/>
      <c r="HS125" s="117"/>
      <c r="HT125" s="117"/>
      <c r="HU125" s="117"/>
      <c r="HV125" s="117"/>
      <c r="HW125" s="117"/>
      <c r="HX125" s="117"/>
      <c r="HY125" s="117"/>
      <c r="HZ125" s="117"/>
      <c r="IA125" s="117"/>
      <c r="IB125" s="117"/>
    </row>
    <row r="126" spans="1:236" s="79" customFormat="1" ht="14.25">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7"/>
      <c r="EI126" s="117"/>
      <c r="EJ126" s="117"/>
      <c r="EK126" s="117"/>
      <c r="EL126" s="117"/>
      <c r="EM126" s="117"/>
      <c r="EN126" s="117"/>
      <c r="EO126" s="117"/>
      <c r="EP126" s="117"/>
      <c r="EQ126" s="117"/>
      <c r="ER126" s="117"/>
      <c r="ES126" s="117"/>
      <c r="ET126" s="117"/>
      <c r="EU126" s="117"/>
      <c r="EV126" s="117"/>
      <c r="EW126" s="117"/>
      <c r="EX126" s="117"/>
      <c r="EY126" s="117"/>
      <c r="EZ126" s="117"/>
      <c r="FA126" s="117"/>
      <c r="FB126" s="117"/>
      <c r="FC126" s="117"/>
      <c r="FD126" s="117"/>
      <c r="FE126" s="117"/>
      <c r="FF126" s="117"/>
      <c r="FG126" s="117"/>
      <c r="FH126" s="117"/>
      <c r="FI126" s="117"/>
      <c r="FJ126" s="117"/>
      <c r="FK126" s="117"/>
      <c r="FL126" s="117"/>
      <c r="FM126" s="117"/>
      <c r="FN126" s="117"/>
      <c r="FO126" s="117"/>
      <c r="FP126" s="117"/>
      <c r="FQ126" s="117"/>
      <c r="FR126" s="117"/>
      <c r="FS126" s="117"/>
      <c r="FT126" s="117"/>
      <c r="FU126" s="117"/>
      <c r="FV126" s="117"/>
      <c r="FW126" s="117"/>
      <c r="FX126" s="117"/>
      <c r="FY126" s="117"/>
      <c r="FZ126" s="117"/>
      <c r="GA126" s="117"/>
      <c r="GB126" s="117"/>
      <c r="GC126" s="117"/>
      <c r="GD126" s="117"/>
      <c r="GE126" s="117"/>
      <c r="GF126" s="117"/>
      <c r="GG126" s="117"/>
      <c r="GH126" s="117"/>
      <c r="GI126" s="117"/>
      <c r="GJ126" s="117"/>
      <c r="GK126" s="117"/>
      <c r="GL126" s="117"/>
      <c r="GM126" s="117"/>
      <c r="GN126" s="117"/>
      <c r="GO126" s="117"/>
      <c r="GP126" s="117"/>
      <c r="GQ126" s="117"/>
      <c r="GR126" s="117"/>
      <c r="GS126" s="117"/>
      <c r="GT126" s="117"/>
      <c r="GU126" s="117"/>
      <c r="GV126" s="117"/>
      <c r="GW126" s="117"/>
      <c r="GX126" s="117"/>
      <c r="GY126" s="117"/>
      <c r="GZ126" s="117"/>
      <c r="HA126" s="117"/>
      <c r="HB126" s="117"/>
      <c r="HC126" s="117"/>
      <c r="HD126" s="117"/>
      <c r="HE126" s="117"/>
      <c r="HF126" s="117"/>
      <c r="HG126" s="117"/>
      <c r="HH126" s="117"/>
      <c r="HI126" s="117"/>
      <c r="HJ126" s="117"/>
      <c r="HK126" s="117"/>
      <c r="HL126" s="117"/>
      <c r="HM126" s="117"/>
      <c r="HN126" s="117"/>
      <c r="HO126" s="117"/>
      <c r="HP126" s="117"/>
      <c r="HQ126" s="117"/>
      <c r="HR126" s="117"/>
      <c r="HS126" s="117"/>
      <c r="HT126" s="117"/>
      <c r="HU126" s="117"/>
      <c r="HV126" s="117"/>
      <c r="HW126" s="117"/>
      <c r="HX126" s="117"/>
      <c r="HY126" s="117"/>
      <c r="HZ126" s="117"/>
      <c r="IA126" s="117"/>
      <c r="IB126" s="117"/>
    </row>
    <row r="127" spans="1:236" s="79" customFormat="1" ht="14.25">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7"/>
      <c r="EI127" s="117"/>
      <c r="EJ127" s="117"/>
      <c r="EK127" s="117"/>
      <c r="EL127" s="117"/>
      <c r="EM127" s="117"/>
      <c r="EN127" s="117"/>
      <c r="EO127" s="117"/>
      <c r="EP127" s="117"/>
      <c r="EQ127" s="117"/>
      <c r="ER127" s="117"/>
      <c r="ES127" s="117"/>
      <c r="ET127" s="117"/>
      <c r="EU127" s="117"/>
      <c r="EV127" s="117"/>
      <c r="EW127" s="117"/>
      <c r="EX127" s="117"/>
      <c r="EY127" s="117"/>
      <c r="EZ127" s="117"/>
      <c r="FA127" s="117"/>
      <c r="FB127" s="117"/>
      <c r="FC127" s="117"/>
      <c r="FD127" s="117"/>
      <c r="FE127" s="117"/>
      <c r="FF127" s="117"/>
      <c r="FG127" s="117"/>
      <c r="FH127" s="117"/>
      <c r="FI127" s="117"/>
      <c r="FJ127" s="117"/>
      <c r="FK127" s="117"/>
      <c r="FL127" s="117"/>
      <c r="FM127" s="117"/>
      <c r="FN127" s="117"/>
      <c r="FO127" s="117"/>
      <c r="FP127" s="117"/>
      <c r="FQ127" s="117"/>
      <c r="FR127" s="117"/>
      <c r="FS127" s="117"/>
      <c r="FT127" s="117"/>
      <c r="FU127" s="117"/>
      <c r="FV127" s="117"/>
      <c r="FW127" s="117"/>
      <c r="FX127" s="117"/>
      <c r="FY127" s="117"/>
      <c r="FZ127" s="117"/>
      <c r="GA127" s="117"/>
      <c r="GB127" s="117"/>
      <c r="GC127" s="117"/>
      <c r="GD127" s="117"/>
      <c r="GE127" s="117"/>
      <c r="GF127" s="117"/>
      <c r="GG127" s="117"/>
      <c r="GH127" s="117"/>
      <c r="GI127" s="117"/>
      <c r="GJ127" s="117"/>
      <c r="GK127" s="117"/>
      <c r="GL127" s="117"/>
      <c r="GM127" s="117"/>
      <c r="GN127" s="117"/>
      <c r="GO127" s="117"/>
      <c r="GP127" s="117"/>
      <c r="GQ127" s="117"/>
      <c r="GR127" s="117"/>
      <c r="GS127" s="117"/>
      <c r="GT127" s="117"/>
      <c r="GU127" s="117"/>
      <c r="GV127" s="117"/>
      <c r="GW127" s="117"/>
      <c r="GX127" s="117"/>
      <c r="GY127" s="117"/>
      <c r="GZ127" s="117"/>
      <c r="HA127" s="117"/>
      <c r="HB127" s="117"/>
      <c r="HC127" s="117"/>
      <c r="HD127" s="117"/>
      <c r="HE127" s="117"/>
      <c r="HF127" s="117"/>
      <c r="HG127" s="117"/>
      <c r="HH127" s="117"/>
      <c r="HI127" s="117"/>
      <c r="HJ127" s="117"/>
      <c r="HK127" s="117"/>
      <c r="HL127" s="117"/>
      <c r="HM127" s="117"/>
      <c r="HN127" s="117"/>
      <c r="HO127" s="117"/>
      <c r="HP127" s="117"/>
      <c r="HQ127" s="117"/>
      <c r="HR127" s="117"/>
      <c r="HS127" s="117"/>
      <c r="HT127" s="117"/>
      <c r="HU127" s="117"/>
      <c r="HV127" s="117"/>
      <c r="HW127" s="117"/>
      <c r="HX127" s="117"/>
      <c r="HY127" s="117"/>
      <c r="HZ127" s="117"/>
      <c r="IA127" s="117"/>
      <c r="IB127" s="117"/>
    </row>
    <row r="128" spans="1:236" s="79" customFormat="1" ht="14.25">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7"/>
      <c r="EI128" s="117"/>
      <c r="EJ128" s="117"/>
      <c r="EK128" s="117"/>
      <c r="EL128" s="117"/>
      <c r="EM128" s="117"/>
      <c r="EN128" s="117"/>
      <c r="EO128" s="117"/>
      <c r="EP128" s="117"/>
      <c r="EQ128" s="117"/>
      <c r="ER128" s="117"/>
      <c r="ES128" s="117"/>
      <c r="ET128" s="117"/>
      <c r="EU128" s="117"/>
      <c r="EV128" s="117"/>
      <c r="EW128" s="117"/>
      <c r="EX128" s="117"/>
      <c r="EY128" s="117"/>
      <c r="EZ128" s="117"/>
      <c r="FA128" s="117"/>
      <c r="FB128" s="117"/>
      <c r="FC128" s="117"/>
      <c r="FD128" s="117"/>
      <c r="FE128" s="117"/>
      <c r="FF128" s="117"/>
      <c r="FG128" s="117"/>
      <c r="FH128" s="117"/>
      <c r="FI128" s="117"/>
      <c r="FJ128" s="117"/>
      <c r="FK128" s="117"/>
      <c r="FL128" s="117"/>
      <c r="FM128" s="117"/>
      <c r="FN128" s="117"/>
      <c r="FO128" s="117"/>
      <c r="FP128" s="117"/>
      <c r="FQ128" s="117"/>
      <c r="FR128" s="117"/>
      <c r="FS128" s="117"/>
      <c r="FT128" s="117"/>
      <c r="FU128" s="117"/>
      <c r="FV128" s="117"/>
      <c r="FW128" s="117"/>
      <c r="FX128" s="117"/>
      <c r="FY128" s="117"/>
      <c r="FZ128" s="117"/>
      <c r="GA128" s="117"/>
      <c r="GB128" s="117"/>
      <c r="GC128" s="117"/>
      <c r="GD128" s="117"/>
      <c r="GE128" s="117"/>
      <c r="GF128" s="117"/>
      <c r="GG128" s="117"/>
      <c r="GH128" s="117"/>
      <c r="GI128" s="117"/>
      <c r="GJ128" s="117"/>
      <c r="GK128" s="117"/>
      <c r="GL128" s="117"/>
      <c r="GM128" s="117"/>
      <c r="GN128" s="117"/>
      <c r="GO128" s="117"/>
      <c r="GP128" s="117"/>
      <c r="GQ128" s="117"/>
      <c r="GR128" s="117"/>
      <c r="GS128" s="117"/>
      <c r="GT128" s="117"/>
      <c r="GU128" s="117"/>
      <c r="GV128" s="117"/>
      <c r="GW128" s="117"/>
      <c r="GX128" s="117"/>
      <c r="GY128" s="117"/>
      <c r="GZ128" s="117"/>
      <c r="HA128" s="117"/>
      <c r="HB128" s="117"/>
      <c r="HC128" s="117"/>
      <c r="HD128" s="117"/>
      <c r="HE128" s="117"/>
      <c r="HF128" s="117"/>
      <c r="HG128" s="117"/>
      <c r="HH128" s="117"/>
      <c r="HI128" s="117"/>
      <c r="HJ128" s="117"/>
      <c r="HK128" s="117"/>
      <c r="HL128" s="117"/>
      <c r="HM128" s="117"/>
      <c r="HN128" s="117"/>
      <c r="HO128" s="117"/>
      <c r="HP128" s="117"/>
      <c r="HQ128" s="117"/>
      <c r="HR128" s="117"/>
      <c r="HS128" s="117"/>
      <c r="HT128" s="117"/>
      <c r="HU128" s="117"/>
      <c r="HV128" s="117"/>
      <c r="HW128" s="117"/>
      <c r="HX128" s="117"/>
      <c r="HY128" s="117"/>
      <c r="HZ128" s="117"/>
      <c r="IA128" s="117"/>
      <c r="IB128" s="117"/>
    </row>
    <row r="129" spans="1:236" s="79" customFormat="1" ht="14.25">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row>
    <row r="130" spans="1:236" s="79" customFormat="1" ht="14.25">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7"/>
      <c r="EI130" s="117"/>
      <c r="EJ130" s="117"/>
      <c r="EK130" s="117"/>
      <c r="EL130" s="117"/>
      <c r="EM130" s="117"/>
      <c r="EN130" s="117"/>
      <c r="EO130" s="117"/>
      <c r="EP130" s="117"/>
      <c r="EQ130" s="117"/>
      <c r="ER130" s="117"/>
      <c r="ES130" s="117"/>
      <c r="ET130" s="117"/>
      <c r="EU130" s="117"/>
      <c r="EV130" s="117"/>
      <c r="EW130" s="117"/>
      <c r="EX130" s="117"/>
      <c r="EY130" s="117"/>
      <c r="EZ130" s="117"/>
      <c r="FA130" s="117"/>
      <c r="FB130" s="117"/>
      <c r="FC130" s="117"/>
      <c r="FD130" s="117"/>
      <c r="FE130" s="117"/>
      <c r="FF130" s="117"/>
      <c r="FG130" s="117"/>
      <c r="FH130" s="117"/>
      <c r="FI130" s="117"/>
      <c r="FJ130" s="117"/>
      <c r="FK130" s="117"/>
      <c r="FL130" s="117"/>
      <c r="FM130" s="117"/>
      <c r="FN130" s="117"/>
      <c r="FO130" s="117"/>
      <c r="FP130" s="117"/>
      <c r="FQ130" s="117"/>
      <c r="FR130" s="117"/>
      <c r="FS130" s="117"/>
      <c r="FT130" s="117"/>
      <c r="FU130" s="117"/>
      <c r="FV130" s="117"/>
      <c r="FW130" s="117"/>
      <c r="FX130" s="117"/>
      <c r="FY130" s="117"/>
      <c r="FZ130" s="117"/>
      <c r="GA130" s="117"/>
      <c r="GB130" s="117"/>
      <c r="GC130" s="117"/>
      <c r="GD130" s="117"/>
      <c r="GE130" s="117"/>
      <c r="GF130" s="117"/>
      <c r="GG130" s="117"/>
      <c r="GH130" s="117"/>
      <c r="GI130" s="117"/>
      <c r="GJ130" s="117"/>
      <c r="GK130" s="117"/>
      <c r="GL130" s="117"/>
      <c r="GM130" s="117"/>
      <c r="GN130" s="117"/>
      <c r="GO130" s="117"/>
      <c r="GP130" s="117"/>
      <c r="GQ130" s="117"/>
      <c r="GR130" s="117"/>
      <c r="GS130" s="117"/>
      <c r="GT130" s="117"/>
      <c r="GU130" s="117"/>
      <c r="GV130" s="117"/>
      <c r="GW130" s="117"/>
      <c r="GX130" s="117"/>
      <c r="GY130" s="117"/>
      <c r="GZ130" s="117"/>
      <c r="HA130" s="117"/>
      <c r="HB130" s="117"/>
      <c r="HC130" s="117"/>
      <c r="HD130" s="117"/>
      <c r="HE130" s="117"/>
      <c r="HF130" s="117"/>
      <c r="HG130" s="117"/>
      <c r="HH130" s="117"/>
      <c r="HI130" s="117"/>
      <c r="HJ130" s="117"/>
      <c r="HK130" s="117"/>
      <c r="HL130" s="117"/>
      <c r="HM130" s="117"/>
      <c r="HN130" s="117"/>
      <c r="HO130" s="117"/>
      <c r="HP130" s="117"/>
      <c r="HQ130" s="117"/>
      <c r="HR130" s="117"/>
      <c r="HS130" s="117"/>
      <c r="HT130" s="117"/>
      <c r="HU130" s="117"/>
      <c r="HV130" s="117"/>
      <c r="HW130" s="117"/>
      <c r="HX130" s="117"/>
      <c r="HY130" s="117"/>
      <c r="HZ130" s="117"/>
      <c r="IA130" s="117"/>
      <c r="IB130" s="117"/>
    </row>
    <row r="131" spans="1:236" s="79" customFormat="1" ht="14.25">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7"/>
      <c r="EI131" s="117"/>
      <c r="EJ131" s="117"/>
      <c r="EK131" s="117"/>
      <c r="EL131" s="117"/>
      <c r="EM131" s="117"/>
      <c r="EN131" s="117"/>
      <c r="EO131" s="117"/>
      <c r="EP131" s="117"/>
      <c r="EQ131" s="117"/>
      <c r="ER131" s="117"/>
      <c r="ES131" s="117"/>
      <c r="ET131" s="117"/>
      <c r="EU131" s="117"/>
      <c r="EV131" s="117"/>
      <c r="EW131" s="117"/>
      <c r="EX131" s="117"/>
      <c r="EY131" s="117"/>
      <c r="EZ131" s="117"/>
      <c r="FA131" s="117"/>
      <c r="FB131" s="117"/>
      <c r="FC131" s="117"/>
      <c r="FD131" s="117"/>
      <c r="FE131" s="117"/>
      <c r="FF131" s="117"/>
      <c r="FG131" s="117"/>
      <c r="FH131" s="117"/>
      <c r="FI131" s="117"/>
      <c r="FJ131" s="117"/>
      <c r="FK131" s="117"/>
      <c r="FL131" s="117"/>
      <c r="FM131" s="117"/>
      <c r="FN131" s="117"/>
      <c r="FO131" s="117"/>
      <c r="FP131" s="117"/>
      <c r="FQ131" s="117"/>
      <c r="FR131" s="117"/>
      <c r="FS131" s="117"/>
      <c r="FT131" s="117"/>
      <c r="FU131" s="117"/>
      <c r="FV131" s="117"/>
      <c r="FW131" s="117"/>
      <c r="FX131" s="117"/>
      <c r="FY131" s="117"/>
      <c r="FZ131" s="117"/>
      <c r="GA131" s="117"/>
      <c r="GB131" s="117"/>
      <c r="GC131" s="117"/>
      <c r="GD131" s="117"/>
      <c r="GE131" s="117"/>
      <c r="GF131" s="117"/>
      <c r="GG131" s="117"/>
      <c r="GH131" s="117"/>
      <c r="GI131" s="117"/>
      <c r="GJ131" s="117"/>
      <c r="GK131" s="117"/>
      <c r="GL131" s="117"/>
      <c r="GM131" s="117"/>
      <c r="GN131" s="117"/>
      <c r="GO131" s="117"/>
      <c r="GP131" s="117"/>
      <c r="GQ131" s="117"/>
      <c r="GR131" s="117"/>
      <c r="GS131" s="117"/>
      <c r="GT131" s="117"/>
      <c r="GU131" s="117"/>
      <c r="GV131" s="117"/>
      <c r="GW131" s="117"/>
      <c r="GX131" s="117"/>
      <c r="GY131" s="117"/>
      <c r="GZ131" s="117"/>
      <c r="HA131" s="117"/>
      <c r="HB131" s="117"/>
      <c r="HC131" s="117"/>
      <c r="HD131" s="117"/>
      <c r="HE131" s="117"/>
      <c r="HF131" s="117"/>
      <c r="HG131" s="117"/>
      <c r="HH131" s="117"/>
      <c r="HI131" s="117"/>
      <c r="HJ131" s="117"/>
      <c r="HK131" s="117"/>
      <c r="HL131" s="117"/>
      <c r="HM131" s="117"/>
      <c r="HN131" s="117"/>
      <c r="HO131" s="117"/>
      <c r="HP131" s="117"/>
      <c r="HQ131" s="117"/>
      <c r="HR131" s="117"/>
      <c r="HS131" s="117"/>
      <c r="HT131" s="117"/>
      <c r="HU131" s="117"/>
      <c r="HV131" s="117"/>
      <c r="HW131" s="117"/>
      <c r="HX131" s="117"/>
      <c r="HY131" s="117"/>
      <c r="HZ131" s="117"/>
      <c r="IA131" s="117"/>
      <c r="IB131" s="117"/>
    </row>
    <row r="132" spans="1:236" s="79" customFormat="1" ht="14.25">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7"/>
      <c r="EI132" s="117"/>
      <c r="EJ132" s="117"/>
      <c r="EK132" s="117"/>
      <c r="EL132" s="117"/>
      <c r="EM132" s="117"/>
      <c r="EN132" s="117"/>
      <c r="EO132" s="117"/>
      <c r="EP132" s="117"/>
      <c r="EQ132" s="117"/>
      <c r="ER132" s="117"/>
      <c r="ES132" s="117"/>
      <c r="ET132" s="117"/>
      <c r="EU132" s="117"/>
      <c r="EV132" s="117"/>
      <c r="EW132" s="117"/>
      <c r="EX132" s="117"/>
      <c r="EY132" s="117"/>
      <c r="EZ132" s="117"/>
      <c r="FA132" s="117"/>
      <c r="FB132" s="117"/>
      <c r="FC132" s="117"/>
      <c r="FD132" s="117"/>
      <c r="FE132" s="117"/>
      <c r="FF132" s="117"/>
      <c r="FG132" s="117"/>
      <c r="FH132" s="117"/>
      <c r="FI132" s="117"/>
      <c r="FJ132" s="117"/>
      <c r="FK132" s="117"/>
      <c r="FL132" s="117"/>
      <c r="FM132" s="117"/>
      <c r="FN132" s="117"/>
      <c r="FO132" s="117"/>
      <c r="FP132" s="117"/>
      <c r="FQ132" s="117"/>
      <c r="FR132" s="117"/>
      <c r="FS132" s="117"/>
      <c r="FT132" s="117"/>
      <c r="FU132" s="117"/>
      <c r="FV132" s="117"/>
      <c r="FW132" s="117"/>
      <c r="FX132" s="117"/>
      <c r="FY132" s="117"/>
      <c r="FZ132" s="117"/>
      <c r="GA132" s="117"/>
      <c r="GB132" s="117"/>
      <c r="GC132" s="117"/>
      <c r="GD132" s="117"/>
      <c r="GE132" s="117"/>
      <c r="GF132" s="117"/>
      <c r="GG132" s="117"/>
      <c r="GH132" s="117"/>
      <c r="GI132" s="117"/>
      <c r="GJ132" s="117"/>
      <c r="GK132" s="117"/>
      <c r="GL132" s="117"/>
      <c r="GM132" s="117"/>
      <c r="GN132" s="117"/>
      <c r="GO132" s="117"/>
      <c r="GP132" s="117"/>
      <c r="GQ132" s="117"/>
      <c r="GR132" s="117"/>
      <c r="GS132" s="117"/>
      <c r="GT132" s="117"/>
      <c r="GU132" s="117"/>
      <c r="GV132" s="117"/>
      <c r="GW132" s="117"/>
      <c r="GX132" s="117"/>
      <c r="GY132" s="117"/>
      <c r="GZ132" s="117"/>
      <c r="HA132" s="117"/>
      <c r="HB132" s="117"/>
      <c r="HC132" s="117"/>
      <c r="HD132" s="117"/>
      <c r="HE132" s="117"/>
      <c r="HF132" s="117"/>
      <c r="HG132" s="117"/>
      <c r="HH132" s="117"/>
      <c r="HI132" s="117"/>
      <c r="HJ132" s="117"/>
      <c r="HK132" s="117"/>
      <c r="HL132" s="117"/>
      <c r="HM132" s="117"/>
      <c r="HN132" s="117"/>
      <c r="HO132" s="117"/>
      <c r="HP132" s="117"/>
      <c r="HQ132" s="117"/>
      <c r="HR132" s="117"/>
      <c r="HS132" s="117"/>
      <c r="HT132" s="117"/>
      <c r="HU132" s="117"/>
      <c r="HV132" s="117"/>
      <c r="HW132" s="117"/>
      <c r="HX132" s="117"/>
      <c r="HY132" s="117"/>
      <c r="HZ132" s="117"/>
      <c r="IA132" s="117"/>
      <c r="IB132" s="117"/>
    </row>
    <row r="133" spans="1:236" s="79" customFormat="1" ht="14.25">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7"/>
      <c r="EI133" s="117"/>
      <c r="EJ133" s="117"/>
      <c r="EK133" s="117"/>
      <c r="EL133" s="117"/>
      <c r="EM133" s="117"/>
      <c r="EN133" s="117"/>
      <c r="EO133" s="117"/>
      <c r="EP133" s="117"/>
      <c r="EQ133" s="117"/>
      <c r="ER133" s="117"/>
      <c r="ES133" s="117"/>
      <c r="ET133" s="117"/>
      <c r="EU133" s="117"/>
      <c r="EV133" s="117"/>
      <c r="EW133" s="117"/>
      <c r="EX133" s="117"/>
      <c r="EY133" s="117"/>
      <c r="EZ133" s="117"/>
      <c r="FA133" s="117"/>
      <c r="FB133" s="117"/>
      <c r="FC133" s="117"/>
      <c r="FD133" s="117"/>
      <c r="FE133" s="117"/>
      <c r="FF133" s="117"/>
      <c r="FG133" s="117"/>
      <c r="FH133" s="117"/>
      <c r="FI133" s="117"/>
      <c r="FJ133" s="117"/>
      <c r="FK133" s="117"/>
      <c r="FL133" s="117"/>
      <c r="FM133" s="117"/>
      <c r="FN133" s="117"/>
      <c r="FO133" s="117"/>
      <c r="FP133" s="117"/>
      <c r="FQ133" s="117"/>
      <c r="FR133" s="117"/>
      <c r="FS133" s="117"/>
      <c r="FT133" s="117"/>
      <c r="FU133" s="117"/>
      <c r="FV133" s="117"/>
      <c r="FW133" s="117"/>
      <c r="FX133" s="117"/>
      <c r="FY133" s="117"/>
      <c r="FZ133" s="117"/>
      <c r="GA133" s="117"/>
      <c r="GB133" s="117"/>
      <c r="GC133" s="117"/>
      <c r="GD133" s="117"/>
      <c r="GE133" s="117"/>
      <c r="GF133" s="117"/>
      <c r="GG133" s="117"/>
      <c r="GH133" s="117"/>
      <c r="GI133" s="117"/>
      <c r="GJ133" s="117"/>
      <c r="GK133" s="117"/>
      <c r="GL133" s="117"/>
      <c r="GM133" s="117"/>
      <c r="GN133" s="117"/>
      <c r="GO133" s="117"/>
      <c r="GP133" s="117"/>
      <c r="GQ133" s="117"/>
      <c r="GR133" s="117"/>
      <c r="GS133" s="117"/>
      <c r="GT133" s="117"/>
      <c r="GU133" s="117"/>
      <c r="GV133" s="117"/>
      <c r="GW133" s="117"/>
      <c r="GX133" s="117"/>
      <c r="GY133" s="117"/>
      <c r="GZ133" s="117"/>
      <c r="HA133" s="117"/>
      <c r="HB133" s="117"/>
      <c r="HC133" s="117"/>
      <c r="HD133" s="117"/>
      <c r="HE133" s="117"/>
      <c r="HF133" s="117"/>
      <c r="HG133" s="117"/>
      <c r="HH133" s="117"/>
      <c r="HI133" s="117"/>
      <c r="HJ133" s="117"/>
      <c r="HK133" s="117"/>
      <c r="HL133" s="117"/>
      <c r="HM133" s="117"/>
      <c r="HN133" s="117"/>
      <c r="HO133" s="117"/>
      <c r="HP133" s="117"/>
      <c r="HQ133" s="117"/>
      <c r="HR133" s="117"/>
      <c r="HS133" s="117"/>
      <c r="HT133" s="117"/>
      <c r="HU133" s="117"/>
      <c r="HV133" s="117"/>
      <c r="HW133" s="117"/>
      <c r="HX133" s="117"/>
      <c r="HY133" s="117"/>
      <c r="HZ133" s="117"/>
      <c r="IA133" s="117"/>
      <c r="IB133" s="117"/>
    </row>
    <row r="134" spans="1:236" s="79" customFormat="1" ht="14.25">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7"/>
      <c r="EI134" s="117"/>
      <c r="EJ134" s="117"/>
      <c r="EK134" s="117"/>
      <c r="EL134" s="117"/>
      <c r="EM134" s="117"/>
      <c r="EN134" s="117"/>
      <c r="EO134" s="117"/>
      <c r="EP134" s="117"/>
      <c r="EQ134" s="117"/>
      <c r="ER134" s="117"/>
      <c r="ES134" s="117"/>
      <c r="ET134" s="117"/>
      <c r="EU134" s="117"/>
      <c r="EV134" s="117"/>
      <c r="EW134" s="117"/>
      <c r="EX134" s="117"/>
      <c r="EY134" s="117"/>
      <c r="EZ134" s="117"/>
      <c r="FA134" s="117"/>
      <c r="FB134" s="117"/>
      <c r="FC134" s="117"/>
      <c r="FD134" s="117"/>
      <c r="FE134" s="117"/>
      <c r="FF134" s="117"/>
      <c r="FG134" s="117"/>
      <c r="FH134" s="117"/>
      <c r="FI134" s="117"/>
      <c r="FJ134" s="117"/>
      <c r="FK134" s="117"/>
      <c r="FL134" s="117"/>
      <c r="FM134" s="117"/>
      <c r="FN134" s="117"/>
      <c r="FO134" s="117"/>
      <c r="FP134" s="117"/>
      <c r="FQ134" s="117"/>
      <c r="FR134" s="117"/>
      <c r="FS134" s="117"/>
      <c r="FT134" s="117"/>
      <c r="FU134" s="117"/>
      <c r="FV134" s="117"/>
      <c r="FW134" s="117"/>
      <c r="FX134" s="117"/>
      <c r="FY134" s="117"/>
      <c r="FZ134" s="117"/>
      <c r="GA134" s="117"/>
      <c r="GB134" s="117"/>
      <c r="GC134" s="117"/>
      <c r="GD134" s="117"/>
      <c r="GE134" s="117"/>
      <c r="GF134" s="117"/>
      <c r="GG134" s="117"/>
      <c r="GH134" s="117"/>
      <c r="GI134" s="117"/>
      <c r="GJ134" s="117"/>
      <c r="GK134" s="117"/>
      <c r="GL134" s="117"/>
      <c r="GM134" s="117"/>
      <c r="GN134" s="117"/>
      <c r="GO134" s="117"/>
      <c r="GP134" s="117"/>
      <c r="GQ134" s="117"/>
      <c r="GR134" s="117"/>
      <c r="GS134" s="117"/>
      <c r="GT134" s="117"/>
      <c r="GU134" s="117"/>
      <c r="GV134" s="117"/>
      <c r="GW134" s="117"/>
      <c r="GX134" s="117"/>
      <c r="GY134" s="117"/>
      <c r="GZ134" s="117"/>
      <c r="HA134" s="117"/>
      <c r="HB134" s="117"/>
      <c r="HC134" s="117"/>
      <c r="HD134" s="117"/>
      <c r="HE134" s="117"/>
      <c r="HF134" s="117"/>
      <c r="HG134" s="117"/>
      <c r="HH134" s="117"/>
      <c r="HI134" s="117"/>
      <c r="HJ134" s="117"/>
      <c r="HK134" s="117"/>
      <c r="HL134" s="117"/>
      <c r="HM134" s="117"/>
      <c r="HN134" s="117"/>
      <c r="HO134" s="117"/>
      <c r="HP134" s="117"/>
      <c r="HQ134" s="117"/>
      <c r="HR134" s="117"/>
      <c r="HS134" s="117"/>
      <c r="HT134" s="117"/>
      <c r="HU134" s="117"/>
      <c r="HV134" s="117"/>
      <c r="HW134" s="117"/>
      <c r="HX134" s="117"/>
      <c r="HY134" s="117"/>
      <c r="HZ134" s="117"/>
      <c r="IA134" s="117"/>
      <c r="IB134" s="117"/>
    </row>
    <row r="135" spans="1:236" s="79" customFormat="1" ht="14.25">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7"/>
      <c r="EI135" s="117"/>
      <c r="EJ135" s="117"/>
      <c r="EK135" s="117"/>
      <c r="EL135" s="117"/>
      <c r="EM135" s="117"/>
      <c r="EN135" s="117"/>
      <c r="EO135" s="117"/>
      <c r="EP135" s="117"/>
      <c r="EQ135" s="117"/>
      <c r="ER135" s="117"/>
      <c r="ES135" s="117"/>
      <c r="ET135" s="117"/>
      <c r="EU135" s="117"/>
      <c r="EV135" s="117"/>
      <c r="EW135" s="117"/>
      <c r="EX135" s="117"/>
      <c r="EY135" s="117"/>
      <c r="EZ135" s="117"/>
      <c r="FA135" s="117"/>
      <c r="FB135" s="117"/>
      <c r="FC135" s="117"/>
      <c r="FD135" s="117"/>
      <c r="FE135" s="117"/>
      <c r="FF135" s="117"/>
      <c r="FG135" s="117"/>
      <c r="FH135" s="117"/>
      <c r="FI135" s="117"/>
      <c r="FJ135" s="117"/>
      <c r="FK135" s="117"/>
      <c r="FL135" s="117"/>
      <c r="FM135" s="117"/>
      <c r="FN135" s="117"/>
      <c r="FO135" s="117"/>
      <c r="FP135" s="117"/>
      <c r="FQ135" s="117"/>
      <c r="FR135" s="117"/>
      <c r="FS135" s="117"/>
      <c r="FT135" s="117"/>
      <c r="FU135" s="117"/>
      <c r="FV135" s="117"/>
      <c r="FW135" s="117"/>
      <c r="FX135" s="117"/>
      <c r="FY135" s="117"/>
      <c r="FZ135" s="117"/>
      <c r="GA135" s="117"/>
      <c r="GB135" s="117"/>
      <c r="GC135" s="117"/>
      <c r="GD135" s="117"/>
      <c r="GE135" s="117"/>
      <c r="GF135" s="117"/>
      <c r="GG135" s="117"/>
      <c r="GH135" s="117"/>
      <c r="GI135" s="117"/>
      <c r="GJ135" s="117"/>
      <c r="GK135" s="117"/>
      <c r="GL135" s="117"/>
      <c r="GM135" s="117"/>
      <c r="GN135" s="117"/>
      <c r="GO135" s="117"/>
      <c r="GP135" s="117"/>
      <c r="GQ135" s="117"/>
      <c r="GR135" s="117"/>
      <c r="GS135" s="117"/>
      <c r="GT135" s="117"/>
      <c r="GU135" s="117"/>
      <c r="GV135" s="117"/>
      <c r="GW135" s="117"/>
      <c r="GX135" s="117"/>
      <c r="GY135" s="117"/>
      <c r="GZ135" s="117"/>
      <c r="HA135" s="117"/>
      <c r="HB135" s="117"/>
      <c r="HC135" s="117"/>
      <c r="HD135" s="117"/>
      <c r="HE135" s="117"/>
      <c r="HF135" s="117"/>
      <c r="HG135" s="117"/>
      <c r="HH135" s="117"/>
      <c r="HI135" s="117"/>
      <c r="HJ135" s="117"/>
      <c r="HK135" s="117"/>
      <c r="HL135" s="117"/>
      <c r="HM135" s="117"/>
      <c r="HN135" s="117"/>
      <c r="HO135" s="117"/>
      <c r="HP135" s="117"/>
      <c r="HQ135" s="117"/>
      <c r="HR135" s="117"/>
      <c r="HS135" s="117"/>
      <c r="HT135" s="117"/>
      <c r="HU135" s="117"/>
      <c r="HV135" s="117"/>
      <c r="HW135" s="117"/>
      <c r="HX135" s="117"/>
      <c r="HY135" s="117"/>
      <c r="HZ135" s="117"/>
      <c r="IA135" s="117"/>
      <c r="IB135" s="117"/>
    </row>
    <row r="136" spans="1:236" s="79" customFormat="1" ht="14.25">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7"/>
      <c r="EI136" s="117"/>
      <c r="EJ136" s="117"/>
      <c r="EK136" s="117"/>
      <c r="EL136" s="117"/>
      <c r="EM136" s="117"/>
      <c r="EN136" s="117"/>
      <c r="EO136" s="117"/>
      <c r="EP136" s="117"/>
      <c r="EQ136" s="117"/>
      <c r="ER136" s="117"/>
      <c r="ES136" s="117"/>
      <c r="ET136" s="117"/>
      <c r="EU136" s="117"/>
      <c r="EV136" s="117"/>
      <c r="EW136" s="117"/>
      <c r="EX136" s="117"/>
      <c r="EY136" s="117"/>
      <c r="EZ136" s="117"/>
      <c r="FA136" s="117"/>
      <c r="FB136" s="117"/>
      <c r="FC136" s="117"/>
      <c r="FD136" s="117"/>
      <c r="FE136" s="117"/>
      <c r="FF136" s="117"/>
      <c r="FG136" s="117"/>
      <c r="FH136" s="117"/>
      <c r="FI136" s="117"/>
      <c r="FJ136" s="117"/>
      <c r="FK136" s="117"/>
      <c r="FL136" s="117"/>
      <c r="FM136" s="117"/>
      <c r="FN136" s="117"/>
      <c r="FO136" s="117"/>
      <c r="FP136" s="117"/>
      <c r="FQ136" s="117"/>
      <c r="FR136" s="117"/>
      <c r="FS136" s="117"/>
      <c r="FT136" s="117"/>
      <c r="FU136" s="117"/>
      <c r="FV136" s="117"/>
      <c r="FW136" s="117"/>
      <c r="FX136" s="117"/>
      <c r="FY136" s="117"/>
      <c r="FZ136" s="117"/>
      <c r="GA136" s="117"/>
      <c r="GB136" s="117"/>
      <c r="GC136" s="117"/>
      <c r="GD136" s="117"/>
      <c r="GE136" s="117"/>
      <c r="GF136" s="117"/>
      <c r="GG136" s="117"/>
      <c r="GH136" s="117"/>
      <c r="GI136" s="117"/>
      <c r="GJ136" s="117"/>
      <c r="GK136" s="117"/>
      <c r="GL136" s="117"/>
      <c r="GM136" s="117"/>
      <c r="GN136" s="117"/>
      <c r="GO136" s="117"/>
      <c r="GP136" s="117"/>
      <c r="GQ136" s="117"/>
      <c r="GR136" s="117"/>
      <c r="GS136" s="117"/>
      <c r="GT136" s="117"/>
      <c r="GU136" s="117"/>
      <c r="GV136" s="117"/>
      <c r="GW136" s="117"/>
      <c r="GX136" s="117"/>
      <c r="GY136" s="117"/>
      <c r="GZ136" s="117"/>
      <c r="HA136" s="117"/>
      <c r="HB136" s="117"/>
      <c r="HC136" s="117"/>
      <c r="HD136" s="117"/>
      <c r="HE136" s="117"/>
      <c r="HF136" s="117"/>
      <c r="HG136" s="117"/>
      <c r="HH136" s="117"/>
      <c r="HI136" s="117"/>
      <c r="HJ136" s="117"/>
      <c r="HK136" s="117"/>
      <c r="HL136" s="117"/>
      <c r="HM136" s="117"/>
      <c r="HN136" s="117"/>
      <c r="HO136" s="117"/>
      <c r="HP136" s="117"/>
      <c r="HQ136" s="117"/>
      <c r="HR136" s="117"/>
      <c r="HS136" s="117"/>
      <c r="HT136" s="117"/>
      <c r="HU136" s="117"/>
      <c r="HV136" s="117"/>
      <c r="HW136" s="117"/>
      <c r="HX136" s="117"/>
      <c r="HY136" s="117"/>
      <c r="HZ136" s="117"/>
      <c r="IA136" s="117"/>
      <c r="IB136" s="117"/>
    </row>
    <row r="137" spans="1:236" s="79" customFormat="1" ht="14.25">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17"/>
      <c r="EM137" s="117"/>
      <c r="EN137" s="117"/>
      <c r="EO137" s="117"/>
      <c r="EP137" s="117"/>
      <c r="EQ137" s="117"/>
      <c r="ER137" s="117"/>
      <c r="ES137" s="117"/>
      <c r="ET137" s="117"/>
      <c r="EU137" s="117"/>
      <c r="EV137" s="117"/>
      <c r="EW137" s="117"/>
      <c r="EX137" s="117"/>
      <c r="EY137" s="117"/>
      <c r="EZ137" s="117"/>
      <c r="FA137" s="117"/>
      <c r="FB137" s="117"/>
      <c r="FC137" s="117"/>
      <c r="FD137" s="117"/>
      <c r="FE137" s="117"/>
      <c r="FF137" s="117"/>
      <c r="FG137" s="117"/>
      <c r="FH137" s="117"/>
      <c r="FI137" s="117"/>
      <c r="FJ137" s="117"/>
      <c r="FK137" s="117"/>
      <c r="FL137" s="117"/>
      <c r="FM137" s="117"/>
      <c r="FN137" s="117"/>
      <c r="FO137" s="117"/>
      <c r="FP137" s="117"/>
      <c r="FQ137" s="117"/>
      <c r="FR137" s="117"/>
      <c r="FS137" s="117"/>
      <c r="FT137" s="117"/>
      <c r="FU137" s="117"/>
      <c r="FV137" s="117"/>
      <c r="FW137" s="117"/>
      <c r="FX137" s="117"/>
      <c r="FY137" s="117"/>
      <c r="FZ137" s="117"/>
      <c r="GA137" s="117"/>
      <c r="GB137" s="117"/>
      <c r="GC137" s="117"/>
      <c r="GD137" s="117"/>
      <c r="GE137" s="117"/>
      <c r="GF137" s="117"/>
      <c r="GG137" s="117"/>
      <c r="GH137" s="117"/>
      <c r="GI137" s="117"/>
      <c r="GJ137" s="117"/>
      <c r="GK137" s="117"/>
      <c r="GL137" s="117"/>
      <c r="GM137" s="117"/>
      <c r="GN137" s="117"/>
      <c r="GO137" s="117"/>
      <c r="GP137" s="117"/>
      <c r="GQ137" s="117"/>
      <c r="GR137" s="117"/>
      <c r="GS137" s="117"/>
      <c r="GT137" s="117"/>
      <c r="GU137" s="117"/>
      <c r="GV137" s="117"/>
      <c r="GW137" s="117"/>
      <c r="GX137" s="117"/>
      <c r="GY137" s="117"/>
      <c r="GZ137" s="117"/>
      <c r="HA137" s="117"/>
      <c r="HB137" s="117"/>
      <c r="HC137" s="117"/>
      <c r="HD137" s="117"/>
      <c r="HE137" s="117"/>
      <c r="HF137" s="117"/>
      <c r="HG137" s="117"/>
      <c r="HH137" s="117"/>
      <c r="HI137" s="117"/>
      <c r="HJ137" s="117"/>
      <c r="HK137" s="117"/>
      <c r="HL137" s="117"/>
      <c r="HM137" s="117"/>
      <c r="HN137" s="117"/>
      <c r="HO137" s="117"/>
      <c r="HP137" s="117"/>
      <c r="HQ137" s="117"/>
      <c r="HR137" s="117"/>
      <c r="HS137" s="117"/>
      <c r="HT137" s="117"/>
      <c r="HU137" s="117"/>
      <c r="HV137" s="117"/>
      <c r="HW137" s="117"/>
      <c r="HX137" s="117"/>
      <c r="HY137" s="117"/>
      <c r="HZ137" s="117"/>
      <c r="IA137" s="117"/>
      <c r="IB137" s="117"/>
    </row>
    <row r="138" spans="1:236" s="79" customFormat="1" ht="14.25">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17"/>
      <c r="EM138" s="117"/>
      <c r="EN138" s="117"/>
      <c r="EO138" s="117"/>
      <c r="EP138" s="117"/>
      <c r="EQ138" s="117"/>
      <c r="ER138" s="117"/>
      <c r="ES138" s="117"/>
      <c r="ET138" s="117"/>
      <c r="EU138" s="117"/>
      <c r="EV138" s="117"/>
      <c r="EW138" s="117"/>
      <c r="EX138" s="117"/>
      <c r="EY138" s="117"/>
      <c r="EZ138" s="117"/>
      <c r="FA138" s="117"/>
      <c r="FB138" s="117"/>
      <c r="FC138" s="117"/>
      <c r="FD138" s="117"/>
      <c r="FE138" s="117"/>
      <c r="FF138" s="117"/>
      <c r="FG138" s="117"/>
      <c r="FH138" s="117"/>
      <c r="FI138" s="117"/>
      <c r="FJ138" s="117"/>
      <c r="FK138" s="117"/>
      <c r="FL138" s="117"/>
      <c r="FM138" s="117"/>
      <c r="FN138" s="117"/>
      <c r="FO138" s="117"/>
      <c r="FP138" s="117"/>
      <c r="FQ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row>
    <row r="139" spans="1:236" s="79" customFormat="1" ht="14.25">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17"/>
      <c r="EM139" s="117"/>
      <c r="EN139" s="117"/>
      <c r="EO139" s="117"/>
      <c r="EP139" s="117"/>
      <c r="EQ139" s="117"/>
      <c r="ER139" s="117"/>
      <c r="ES139" s="117"/>
      <c r="ET139" s="117"/>
      <c r="EU139" s="117"/>
      <c r="EV139" s="117"/>
      <c r="EW139" s="117"/>
      <c r="EX139" s="117"/>
      <c r="EY139" s="117"/>
      <c r="EZ139" s="117"/>
      <c r="FA139" s="117"/>
      <c r="FB139" s="117"/>
      <c r="FC139" s="117"/>
      <c r="FD139" s="117"/>
      <c r="FE139" s="117"/>
      <c r="FF139" s="117"/>
      <c r="FG139" s="117"/>
      <c r="FH139" s="117"/>
      <c r="FI139" s="117"/>
      <c r="FJ139" s="117"/>
      <c r="FK139" s="117"/>
      <c r="FL139" s="117"/>
      <c r="FM139" s="117"/>
      <c r="FN139" s="117"/>
      <c r="FO139" s="117"/>
      <c r="FP139" s="117"/>
      <c r="FQ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row>
    <row r="140" spans="1:236" s="79" customFormat="1" ht="14.25">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7"/>
      <c r="EI140" s="117"/>
      <c r="EJ140" s="117"/>
      <c r="EK140" s="117"/>
      <c r="EL140" s="117"/>
      <c r="EM140" s="117"/>
      <c r="EN140" s="117"/>
      <c r="EO140" s="117"/>
      <c r="EP140" s="117"/>
      <c r="EQ140" s="117"/>
      <c r="ER140" s="117"/>
      <c r="ES140" s="117"/>
      <c r="ET140" s="117"/>
      <c r="EU140" s="117"/>
      <c r="EV140" s="117"/>
      <c r="EW140" s="117"/>
      <c r="EX140" s="117"/>
      <c r="EY140" s="117"/>
      <c r="EZ140" s="117"/>
      <c r="FA140" s="117"/>
      <c r="FB140" s="117"/>
      <c r="FC140" s="117"/>
      <c r="FD140" s="117"/>
      <c r="FE140" s="117"/>
      <c r="FF140" s="117"/>
      <c r="FG140" s="117"/>
      <c r="FH140" s="117"/>
      <c r="FI140" s="117"/>
      <c r="FJ140" s="117"/>
      <c r="FK140" s="117"/>
      <c r="FL140" s="117"/>
      <c r="FM140" s="117"/>
      <c r="FN140" s="117"/>
      <c r="FO140" s="117"/>
      <c r="FP140" s="117"/>
      <c r="FQ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row>
    <row r="141" spans="1:236" s="79" customFormat="1" ht="14.25">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7"/>
      <c r="EI141" s="117"/>
      <c r="EJ141" s="117"/>
      <c r="EK141" s="117"/>
      <c r="EL141" s="117"/>
      <c r="EM141" s="117"/>
      <c r="EN141" s="117"/>
      <c r="EO141" s="117"/>
      <c r="EP141" s="117"/>
      <c r="EQ141" s="117"/>
      <c r="ER141" s="117"/>
      <c r="ES141" s="117"/>
      <c r="ET141" s="117"/>
      <c r="EU141" s="117"/>
      <c r="EV141" s="117"/>
      <c r="EW141" s="117"/>
      <c r="EX141" s="117"/>
      <c r="EY141" s="117"/>
      <c r="EZ141" s="117"/>
      <c r="FA141" s="117"/>
      <c r="FB141" s="117"/>
      <c r="FC141" s="117"/>
      <c r="FD141" s="117"/>
      <c r="FE141" s="117"/>
      <c r="FF141" s="117"/>
      <c r="FG141" s="117"/>
      <c r="FH141" s="117"/>
      <c r="FI141" s="117"/>
      <c r="FJ141" s="117"/>
      <c r="FK141" s="117"/>
      <c r="FL141" s="117"/>
      <c r="FM141" s="117"/>
      <c r="FN141" s="117"/>
      <c r="FO141" s="117"/>
      <c r="FP141" s="117"/>
      <c r="FQ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row>
    <row r="142" spans="1:236" s="79" customFormat="1" ht="14.25">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7"/>
      <c r="EI142" s="117"/>
      <c r="EJ142" s="117"/>
      <c r="EK142" s="117"/>
      <c r="EL142" s="117"/>
      <c r="EM142" s="117"/>
      <c r="EN142" s="117"/>
      <c r="EO142" s="117"/>
      <c r="EP142" s="117"/>
      <c r="EQ142" s="117"/>
      <c r="ER142" s="117"/>
      <c r="ES142" s="117"/>
      <c r="ET142" s="117"/>
      <c r="EU142" s="117"/>
      <c r="EV142" s="117"/>
      <c r="EW142" s="117"/>
      <c r="EX142" s="117"/>
      <c r="EY142" s="117"/>
      <c r="EZ142" s="117"/>
      <c r="FA142" s="117"/>
      <c r="FB142" s="117"/>
      <c r="FC142" s="117"/>
      <c r="FD142" s="117"/>
      <c r="FE142" s="117"/>
      <c r="FF142" s="117"/>
      <c r="FG142" s="117"/>
      <c r="FH142" s="117"/>
      <c r="FI142" s="117"/>
      <c r="FJ142" s="117"/>
      <c r="FK142" s="117"/>
      <c r="FL142" s="117"/>
      <c r="FM142" s="117"/>
      <c r="FN142" s="117"/>
      <c r="FO142" s="117"/>
      <c r="FP142" s="117"/>
      <c r="FQ142" s="117"/>
      <c r="FR142" s="117"/>
      <c r="FS142" s="117"/>
      <c r="FT142" s="117"/>
      <c r="FU142" s="117"/>
      <c r="FV142" s="117"/>
      <c r="FW142" s="117"/>
      <c r="FX142" s="117"/>
      <c r="FY142" s="117"/>
      <c r="FZ142" s="117"/>
      <c r="GA142" s="117"/>
      <c r="GB142" s="117"/>
      <c r="GC142" s="117"/>
      <c r="GD142" s="117"/>
      <c r="GE142" s="117"/>
      <c r="GF142" s="117"/>
      <c r="GG142" s="117"/>
      <c r="GH142" s="117"/>
      <c r="GI142" s="117"/>
      <c r="GJ142" s="117"/>
      <c r="GK142" s="117"/>
      <c r="GL142" s="117"/>
      <c r="GM142" s="117"/>
      <c r="GN142" s="117"/>
      <c r="GO142" s="117"/>
      <c r="GP142" s="117"/>
      <c r="GQ142" s="117"/>
      <c r="GR142" s="117"/>
      <c r="GS142" s="117"/>
      <c r="GT142" s="117"/>
      <c r="GU142" s="117"/>
      <c r="GV142" s="117"/>
      <c r="GW142" s="117"/>
      <c r="GX142" s="117"/>
      <c r="GY142" s="117"/>
      <c r="GZ142" s="117"/>
      <c r="HA142" s="117"/>
      <c r="HB142" s="117"/>
      <c r="HC142" s="117"/>
      <c r="HD142" s="117"/>
      <c r="HE142" s="117"/>
      <c r="HF142" s="117"/>
      <c r="HG142" s="117"/>
      <c r="HH142" s="117"/>
      <c r="HI142" s="117"/>
      <c r="HJ142" s="117"/>
      <c r="HK142" s="117"/>
      <c r="HL142" s="117"/>
      <c r="HM142" s="117"/>
      <c r="HN142" s="117"/>
      <c r="HO142" s="117"/>
      <c r="HP142" s="117"/>
      <c r="HQ142" s="117"/>
      <c r="HR142" s="117"/>
      <c r="HS142" s="117"/>
      <c r="HT142" s="117"/>
      <c r="HU142" s="117"/>
      <c r="HV142" s="117"/>
      <c r="HW142" s="117"/>
      <c r="HX142" s="117"/>
      <c r="HY142" s="117"/>
      <c r="HZ142" s="117"/>
      <c r="IA142" s="117"/>
      <c r="IB142" s="117"/>
    </row>
    <row r="143" spans="1:236" s="79" customFormat="1" ht="14.25">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7"/>
      <c r="EI143" s="117"/>
      <c r="EJ143" s="117"/>
      <c r="EK143" s="117"/>
      <c r="EL143" s="117"/>
      <c r="EM143" s="117"/>
      <c r="EN143" s="117"/>
      <c r="EO143" s="117"/>
      <c r="EP143" s="117"/>
      <c r="EQ143" s="117"/>
      <c r="ER143" s="117"/>
      <c r="ES143" s="117"/>
      <c r="ET143" s="117"/>
      <c r="EU143" s="117"/>
      <c r="EV143" s="117"/>
      <c r="EW143" s="117"/>
      <c r="EX143" s="117"/>
      <c r="EY143" s="117"/>
      <c r="EZ143" s="117"/>
      <c r="FA143" s="117"/>
      <c r="FB143" s="117"/>
      <c r="FC143" s="117"/>
      <c r="FD143" s="117"/>
      <c r="FE143" s="117"/>
      <c r="FF143" s="117"/>
      <c r="FG143" s="117"/>
      <c r="FH143" s="117"/>
      <c r="FI143" s="117"/>
      <c r="FJ143" s="117"/>
      <c r="FK143" s="117"/>
      <c r="FL143" s="117"/>
      <c r="FM143" s="117"/>
      <c r="FN143" s="117"/>
      <c r="FO143" s="117"/>
      <c r="FP143" s="117"/>
      <c r="FQ143" s="117"/>
      <c r="FR143" s="117"/>
      <c r="FS143" s="117"/>
      <c r="FT143" s="117"/>
      <c r="FU143" s="117"/>
      <c r="FV143" s="117"/>
      <c r="FW143" s="117"/>
      <c r="FX143" s="117"/>
      <c r="FY143" s="117"/>
      <c r="FZ143" s="117"/>
      <c r="GA143" s="117"/>
      <c r="GB143" s="117"/>
      <c r="GC143" s="117"/>
      <c r="GD143" s="117"/>
      <c r="GE143" s="117"/>
      <c r="GF143" s="117"/>
      <c r="GG143" s="117"/>
      <c r="GH143" s="117"/>
      <c r="GI143" s="117"/>
      <c r="GJ143" s="117"/>
      <c r="GK143" s="117"/>
      <c r="GL143" s="117"/>
      <c r="GM143" s="117"/>
      <c r="GN143" s="117"/>
      <c r="GO143" s="117"/>
      <c r="GP143" s="117"/>
      <c r="GQ143" s="117"/>
      <c r="GR143" s="117"/>
      <c r="GS143" s="117"/>
      <c r="GT143" s="117"/>
      <c r="GU143" s="117"/>
      <c r="GV143" s="117"/>
      <c r="GW143" s="117"/>
      <c r="GX143" s="117"/>
      <c r="GY143" s="117"/>
      <c r="GZ143" s="117"/>
      <c r="HA143" s="117"/>
      <c r="HB143" s="117"/>
      <c r="HC143" s="117"/>
      <c r="HD143" s="117"/>
      <c r="HE143" s="117"/>
      <c r="HF143" s="117"/>
      <c r="HG143" s="117"/>
      <c r="HH143" s="117"/>
      <c r="HI143" s="117"/>
      <c r="HJ143" s="117"/>
      <c r="HK143" s="117"/>
      <c r="HL143" s="117"/>
      <c r="HM143" s="117"/>
      <c r="HN143" s="117"/>
      <c r="HO143" s="117"/>
      <c r="HP143" s="117"/>
      <c r="HQ143" s="117"/>
      <c r="HR143" s="117"/>
      <c r="HS143" s="117"/>
      <c r="HT143" s="117"/>
      <c r="HU143" s="117"/>
      <c r="HV143" s="117"/>
      <c r="HW143" s="117"/>
      <c r="HX143" s="117"/>
      <c r="HY143" s="117"/>
      <c r="HZ143" s="117"/>
      <c r="IA143" s="117"/>
      <c r="IB143" s="117"/>
    </row>
    <row r="144" spans="1:236" s="79" customFormat="1" ht="14.25">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7"/>
      <c r="EI144" s="117"/>
      <c r="EJ144" s="117"/>
      <c r="EK144" s="117"/>
      <c r="EL144" s="117"/>
      <c r="EM144" s="117"/>
      <c r="EN144" s="117"/>
      <c r="EO144" s="117"/>
      <c r="EP144" s="117"/>
      <c r="EQ144" s="117"/>
      <c r="ER144" s="117"/>
      <c r="ES144" s="117"/>
      <c r="ET144" s="117"/>
      <c r="EU144" s="117"/>
      <c r="EV144" s="117"/>
      <c r="EW144" s="117"/>
      <c r="EX144" s="117"/>
      <c r="EY144" s="117"/>
      <c r="EZ144" s="117"/>
      <c r="FA144" s="117"/>
      <c r="FB144" s="117"/>
      <c r="FC144" s="117"/>
      <c r="FD144" s="117"/>
      <c r="FE144" s="117"/>
      <c r="FF144" s="117"/>
      <c r="FG144" s="117"/>
      <c r="FH144" s="117"/>
      <c r="FI144" s="117"/>
      <c r="FJ144" s="117"/>
      <c r="FK144" s="117"/>
      <c r="FL144" s="117"/>
      <c r="FM144" s="117"/>
      <c r="FN144" s="117"/>
      <c r="FO144" s="117"/>
      <c r="FP144" s="117"/>
      <c r="FQ144" s="117"/>
      <c r="FR144" s="117"/>
      <c r="FS144" s="117"/>
      <c r="FT144" s="117"/>
      <c r="FU144" s="117"/>
      <c r="FV144" s="117"/>
      <c r="FW144" s="117"/>
      <c r="FX144" s="117"/>
      <c r="FY144" s="117"/>
      <c r="FZ144" s="117"/>
      <c r="GA144" s="117"/>
      <c r="GB144" s="117"/>
      <c r="GC144" s="117"/>
      <c r="GD144" s="117"/>
      <c r="GE144" s="117"/>
      <c r="GF144" s="117"/>
      <c r="GG144" s="117"/>
      <c r="GH144" s="117"/>
      <c r="GI144" s="117"/>
      <c r="GJ144" s="117"/>
      <c r="GK144" s="117"/>
      <c r="GL144" s="117"/>
      <c r="GM144" s="117"/>
      <c r="GN144" s="117"/>
      <c r="GO144" s="117"/>
      <c r="GP144" s="117"/>
      <c r="GQ144" s="117"/>
      <c r="GR144" s="117"/>
      <c r="GS144" s="117"/>
      <c r="GT144" s="117"/>
      <c r="GU144" s="117"/>
      <c r="GV144" s="117"/>
      <c r="GW144" s="117"/>
      <c r="GX144" s="117"/>
      <c r="GY144" s="117"/>
      <c r="GZ144" s="117"/>
      <c r="HA144" s="117"/>
      <c r="HB144" s="117"/>
      <c r="HC144" s="117"/>
      <c r="HD144" s="117"/>
      <c r="HE144" s="117"/>
      <c r="HF144" s="117"/>
      <c r="HG144" s="117"/>
      <c r="HH144" s="117"/>
      <c r="HI144" s="117"/>
      <c r="HJ144" s="117"/>
      <c r="HK144" s="117"/>
      <c r="HL144" s="117"/>
      <c r="HM144" s="117"/>
      <c r="HN144" s="117"/>
      <c r="HO144" s="117"/>
      <c r="HP144" s="117"/>
      <c r="HQ144" s="117"/>
      <c r="HR144" s="117"/>
      <c r="HS144" s="117"/>
      <c r="HT144" s="117"/>
      <c r="HU144" s="117"/>
      <c r="HV144" s="117"/>
      <c r="HW144" s="117"/>
      <c r="HX144" s="117"/>
      <c r="HY144" s="117"/>
      <c r="HZ144" s="117"/>
      <c r="IA144" s="117"/>
      <c r="IB144" s="117"/>
    </row>
    <row r="145" spans="1:236" s="79" customFormat="1" ht="14.25">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7"/>
      <c r="EI145" s="117"/>
      <c r="EJ145" s="117"/>
      <c r="EK145" s="117"/>
      <c r="EL145" s="117"/>
      <c r="EM145" s="117"/>
      <c r="EN145" s="117"/>
      <c r="EO145" s="117"/>
      <c r="EP145" s="117"/>
      <c r="EQ145" s="117"/>
      <c r="ER145" s="117"/>
      <c r="ES145" s="117"/>
      <c r="ET145" s="117"/>
      <c r="EU145" s="117"/>
      <c r="EV145" s="117"/>
      <c r="EW145" s="117"/>
      <c r="EX145" s="117"/>
      <c r="EY145" s="117"/>
      <c r="EZ145" s="117"/>
      <c r="FA145" s="117"/>
      <c r="FB145" s="117"/>
      <c r="FC145" s="117"/>
      <c r="FD145" s="117"/>
      <c r="FE145" s="117"/>
      <c r="FF145" s="117"/>
      <c r="FG145" s="117"/>
      <c r="FH145" s="117"/>
      <c r="FI145" s="117"/>
      <c r="FJ145" s="117"/>
      <c r="FK145" s="117"/>
      <c r="FL145" s="117"/>
      <c r="FM145" s="117"/>
      <c r="FN145" s="117"/>
      <c r="FO145" s="117"/>
      <c r="FP145" s="117"/>
      <c r="FQ145" s="117"/>
      <c r="FR145" s="117"/>
      <c r="FS145" s="117"/>
      <c r="FT145" s="117"/>
      <c r="FU145" s="117"/>
      <c r="FV145" s="117"/>
      <c r="FW145" s="117"/>
      <c r="FX145" s="117"/>
      <c r="FY145" s="117"/>
      <c r="FZ145" s="117"/>
      <c r="GA145" s="117"/>
      <c r="GB145" s="117"/>
      <c r="GC145" s="117"/>
      <c r="GD145" s="117"/>
      <c r="GE145" s="117"/>
      <c r="GF145" s="117"/>
      <c r="GG145" s="117"/>
      <c r="GH145" s="117"/>
      <c r="GI145" s="117"/>
      <c r="GJ145" s="117"/>
      <c r="GK145" s="117"/>
      <c r="GL145" s="117"/>
      <c r="GM145" s="117"/>
      <c r="GN145" s="117"/>
      <c r="GO145" s="117"/>
      <c r="GP145" s="117"/>
      <c r="GQ145" s="117"/>
      <c r="GR145" s="117"/>
      <c r="GS145" s="117"/>
      <c r="GT145" s="117"/>
      <c r="GU145" s="117"/>
      <c r="GV145" s="117"/>
      <c r="GW145" s="117"/>
      <c r="GX145" s="117"/>
      <c r="GY145" s="117"/>
      <c r="GZ145" s="117"/>
      <c r="HA145" s="117"/>
      <c r="HB145" s="117"/>
      <c r="HC145" s="117"/>
      <c r="HD145" s="117"/>
      <c r="HE145" s="117"/>
      <c r="HF145" s="117"/>
      <c r="HG145" s="117"/>
      <c r="HH145" s="117"/>
      <c r="HI145" s="117"/>
      <c r="HJ145" s="117"/>
      <c r="HK145" s="117"/>
      <c r="HL145" s="117"/>
      <c r="HM145" s="117"/>
      <c r="HN145" s="117"/>
      <c r="HO145" s="117"/>
      <c r="HP145" s="117"/>
      <c r="HQ145" s="117"/>
      <c r="HR145" s="117"/>
      <c r="HS145" s="117"/>
      <c r="HT145" s="117"/>
      <c r="HU145" s="117"/>
      <c r="HV145" s="117"/>
      <c r="HW145" s="117"/>
      <c r="HX145" s="117"/>
      <c r="HY145" s="117"/>
      <c r="HZ145" s="117"/>
      <c r="IA145" s="117"/>
      <c r="IB145" s="117"/>
    </row>
    <row r="146" spans="1:236" s="79" customFormat="1" ht="14.25">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7"/>
      <c r="EI146" s="117"/>
      <c r="EJ146" s="117"/>
      <c r="EK146" s="117"/>
      <c r="EL146" s="117"/>
      <c r="EM146" s="117"/>
      <c r="EN146" s="117"/>
      <c r="EO146" s="117"/>
      <c r="EP146" s="117"/>
      <c r="EQ146" s="117"/>
      <c r="ER146" s="117"/>
      <c r="ES146" s="117"/>
      <c r="ET146" s="117"/>
      <c r="EU146" s="117"/>
      <c r="EV146" s="117"/>
      <c r="EW146" s="117"/>
      <c r="EX146" s="117"/>
      <c r="EY146" s="117"/>
      <c r="EZ146" s="117"/>
      <c r="FA146" s="117"/>
      <c r="FB146" s="117"/>
      <c r="FC146" s="117"/>
      <c r="FD146" s="117"/>
      <c r="FE146" s="117"/>
      <c r="FF146" s="117"/>
      <c r="FG146" s="117"/>
      <c r="FH146" s="117"/>
      <c r="FI146" s="117"/>
      <c r="FJ146" s="117"/>
      <c r="FK146" s="117"/>
      <c r="FL146" s="117"/>
      <c r="FM146" s="117"/>
      <c r="FN146" s="117"/>
      <c r="FO146" s="117"/>
      <c r="FP146" s="117"/>
      <c r="FQ146" s="117"/>
      <c r="FR146" s="117"/>
      <c r="FS146" s="117"/>
      <c r="FT146" s="117"/>
      <c r="FU146" s="117"/>
      <c r="FV146" s="117"/>
      <c r="FW146" s="117"/>
      <c r="FX146" s="117"/>
      <c r="FY146" s="117"/>
      <c r="FZ146" s="117"/>
      <c r="GA146" s="117"/>
      <c r="GB146" s="117"/>
      <c r="GC146" s="117"/>
      <c r="GD146" s="117"/>
      <c r="GE146" s="117"/>
      <c r="GF146" s="117"/>
      <c r="GG146" s="117"/>
      <c r="GH146" s="117"/>
      <c r="GI146" s="117"/>
      <c r="GJ146" s="117"/>
      <c r="GK146" s="117"/>
      <c r="GL146" s="117"/>
      <c r="GM146" s="117"/>
      <c r="GN146" s="117"/>
      <c r="GO146" s="117"/>
      <c r="GP146" s="117"/>
      <c r="GQ146" s="117"/>
      <c r="GR146" s="117"/>
      <c r="GS146" s="117"/>
      <c r="GT146" s="117"/>
      <c r="GU146" s="117"/>
      <c r="GV146" s="117"/>
      <c r="GW146" s="117"/>
      <c r="GX146" s="117"/>
      <c r="GY146" s="117"/>
      <c r="GZ146" s="117"/>
      <c r="HA146" s="117"/>
      <c r="HB146" s="117"/>
      <c r="HC146" s="117"/>
      <c r="HD146" s="117"/>
      <c r="HE146" s="117"/>
      <c r="HF146" s="117"/>
      <c r="HG146" s="117"/>
      <c r="HH146" s="117"/>
      <c r="HI146" s="117"/>
      <c r="HJ146" s="117"/>
      <c r="HK146" s="117"/>
      <c r="HL146" s="117"/>
      <c r="HM146" s="117"/>
      <c r="HN146" s="117"/>
      <c r="HO146" s="117"/>
      <c r="HP146" s="117"/>
      <c r="HQ146" s="117"/>
      <c r="HR146" s="117"/>
      <c r="HS146" s="117"/>
      <c r="HT146" s="117"/>
      <c r="HU146" s="117"/>
      <c r="HV146" s="117"/>
      <c r="HW146" s="117"/>
      <c r="HX146" s="117"/>
      <c r="HY146" s="117"/>
      <c r="HZ146" s="117"/>
      <c r="IA146" s="117"/>
      <c r="IB146" s="117"/>
    </row>
    <row r="147" spans="1:236" s="79" customFormat="1" ht="14.25">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7"/>
      <c r="EI147" s="117"/>
      <c r="EJ147" s="117"/>
      <c r="EK147" s="117"/>
      <c r="EL147" s="117"/>
      <c r="EM147" s="117"/>
      <c r="EN147" s="117"/>
      <c r="EO147" s="117"/>
      <c r="EP147" s="117"/>
      <c r="EQ147" s="117"/>
      <c r="ER147" s="117"/>
      <c r="ES147" s="117"/>
      <c r="ET147" s="117"/>
      <c r="EU147" s="117"/>
      <c r="EV147" s="117"/>
      <c r="EW147" s="117"/>
      <c r="EX147" s="117"/>
      <c r="EY147" s="117"/>
      <c r="EZ147" s="117"/>
      <c r="FA147" s="117"/>
      <c r="FB147" s="117"/>
      <c r="FC147" s="117"/>
      <c r="FD147" s="117"/>
      <c r="FE147" s="117"/>
      <c r="FF147" s="117"/>
      <c r="FG147" s="117"/>
      <c r="FH147" s="117"/>
      <c r="FI147" s="117"/>
      <c r="FJ147" s="117"/>
      <c r="FK147" s="117"/>
      <c r="FL147" s="117"/>
      <c r="FM147" s="117"/>
      <c r="FN147" s="117"/>
      <c r="FO147" s="117"/>
      <c r="FP147" s="117"/>
      <c r="FQ147" s="117"/>
      <c r="FR147" s="117"/>
      <c r="FS147" s="117"/>
      <c r="FT147" s="117"/>
      <c r="FU147" s="117"/>
      <c r="FV147" s="117"/>
      <c r="FW147" s="117"/>
      <c r="FX147" s="117"/>
      <c r="FY147" s="117"/>
      <c r="FZ147" s="117"/>
      <c r="GA147" s="117"/>
      <c r="GB147" s="117"/>
      <c r="GC147" s="117"/>
      <c r="GD147" s="117"/>
      <c r="GE147" s="117"/>
      <c r="GF147" s="117"/>
      <c r="GG147" s="117"/>
      <c r="GH147" s="117"/>
      <c r="GI147" s="117"/>
      <c r="GJ147" s="117"/>
      <c r="GK147" s="117"/>
      <c r="GL147" s="117"/>
      <c r="GM147" s="117"/>
      <c r="GN147" s="117"/>
      <c r="GO147" s="117"/>
      <c r="GP147" s="117"/>
      <c r="GQ147" s="117"/>
      <c r="GR147" s="117"/>
      <c r="GS147" s="117"/>
      <c r="GT147" s="117"/>
      <c r="GU147" s="117"/>
      <c r="GV147" s="117"/>
      <c r="GW147" s="117"/>
      <c r="GX147" s="117"/>
      <c r="GY147" s="117"/>
      <c r="GZ147" s="117"/>
      <c r="HA147" s="117"/>
      <c r="HB147" s="117"/>
      <c r="HC147" s="117"/>
      <c r="HD147" s="117"/>
      <c r="HE147" s="117"/>
      <c r="HF147" s="117"/>
      <c r="HG147" s="117"/>
      <c r="HH147" s="117"/>
      <c r="HI147" s="117"/>
      <c r="HJ147" s="117"/>
      <c r="HK147" s="117"/>
      <c r="HL147" s="117"/>
      <c r="HM147" s="117"/>
      <c r="HN147" s="117"/>
      <c r="HO147" s="117"/>
      <c r="HP147" s="117"/>
      <c r="HQ147" s="117"/>
      <c r="HR147" s="117"/>
      <c r="HS147" s="117"/>
      <c r="HT147" s="117"/>
      <c r="HU147" s="117"/>
      <c r="HV147" s="117"/>
      <c r="HW147" s="117"/>
      <c r="HX147" s="117"/>
      <c r="HY147" s="117"/>
      <c r="HZ147" s="117"/>
      <c r="IA147" s="117"/>
      <c r="IB147" s="117"/>
    </row>
    <row r="148" spans="1:236" s="79" customFormat="1" ht="14.25">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7"/>
      <c r="EI148" s="117"/>
      <c r="EJ148" s="117"/>
      <c r="EK148" s="117"/>
      <c r="EL148" s="117"/>
      <c r="EM148" s="117"/>
      <c r="EN148" s="117"/>
      <c r="EO148" s="117"/>
      <c r="EP148" s="117"/>
      <c r="EQ148" s="117"/>
      <c r="ER148" s="117"/>
      <c r="ES148" s="117"/>
      <c r="ET148" s="117"/>
      <c r="EU148" s="117"/>
      <c r="EV148" s="117"/>
      <c r="EW148" s="117"/>
      <c r="EX148" s="117"/>
      <c r="EY148" s="117"/>
      <c r="EZ148" s="117"/>
      <c r="FA148" s="117"/>
      <c r="FB148" s="117"/>
      <c r="FC148" s="117"/>
      <c r="FD148" s="117"/>
      <c r="FE148" s="117"/>
      <c r="FF148" s="117"/>
      <c r="FG148" s="117"/>
      <c r="FH148" s="117"/>
      <c r="FI148" s="117"/>
      <c r="FJ148" s="117"/>
      <c r="FK148" s="117"/>
      <c r="FL148" s="117"/>
      <c r="FM148" s="117"/>
      <c r="FN148" s="117"/>
      <c r="FO148" s="117"/>
      <c r="FP148" s="117"/>
      <c r="FQ148" s="117"/>
      <c r="FR148" s="117"/>
      <c r="FS148" s="117"/>
      <c r="FT148" s="117"/>
      <c r="FU148" s="117"/>
      <c r="FV148" s="117"/>
      <c r="FW148" s="117"/>
      <c r="FX148" s="117"/>
      <c r="FY148" s="117"/>
      <c r="FZ148" s="117"/>
      <c r="GA148" s="117"/>
      <c r="GB148" s="117"/>
      <c r="GC148" s="117"/>
      <c r="GD148" s="117"/>
      <c r="GE148" s="117"/>
      <c r="GF148" s="117"/>
      <c r="GG148" s="117"/>
      <c r="GH148" s="117"/>
      <c r="GI148" s="117"/>
      <c r="GJ148" s="117"/>
      <c r="GK148" s="117"/>
      <c r="GL148" s="117"/>
      <c r="GM148" s="117"/>
      <c r="GN148" s="117"/>
      <c r="GO148" s="117"/>
      <c r="GP148" s="117"/>
      <c r="GQ148" s="117"/>
      <c r="GR148" s="117"/>
      <c r="GS148" s="117"/>
      <c r="GT148" s="117"/>
      <c r="GU148" s="117"/>
      <c r="GV148" s="117"/>
      <c r="GW148" s="117"/>
      <c r="GX148" s="117"/>
      <c r="GY148" s="117"/>
      <c r="GZ148" s="117"/>
      <c r="HA148" s="117"/>
      <c r="HB148" s="117"/>
      <c r="HC148" s="117"/>
      <c r="HD148" s="117"/>
      <c r="HE148" s="117"/>
      <c r="HF148" s="117"/>
      <c r="HG148" s="117"/>
      <c r="HH148" s="117"/>
      <c r="HI148" s="117"/>
      <c r="HJ148" s="117"/>
      <c r="HK148" s="117"/>
      <c r="HL148" s="117"/>
      <c r="HM148" s="117"/>
      <c r="HN148" s="117"/>
      <c r="HO148" s="117"/>
      <c r="HP148" s="117"/>
      <c r="HQ148" s="117"/>
      <c r="HR148" s="117"/>
      <c r="HS148" s="117"/>
      <c r="HT148" s="117"/>
      <c r="HU148" s="117"/>
      <c r="HV148" s="117"/>
      <c r="HW148" s="117"/>
      <c r="HX148" s="117"/>
      <c r="HY148" s="117"/>
      <c r="HZ148" s="117"/>
      <c r="IA148" s="117"/>
      <c r="IB148" s="117"/>
    </row>
    <row r="149" spans="1:236" s="79" customFormat="1" ht="14.25">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7"/>
      <c r="EI149" s="117"/>
      <c r="EJ149" s="117"/>
      <c r="EK149" s="117"/>
      <c r="EL149" s="117"/>
      <c r="EM149" s="117"/>
      <c r="EN149" s="117"/>
      <c r="EO149" s="117"/>
      <c r="EP149" s="117"/>
      <c r="EQ149" s="117"/>
      <c r="ER149" s="117"/>
      <c r="ES149" s="117"/>
      <c r="ET149" s="117"/>
      <c r="EU149" s="117"/>
      <c r="EV149" s="117"/>
      <c r="EW149" s="117"/>
      <c r="EX149" s="117"/>
      <c r="EY149" s="117"/>
      <c r="EZ149" s="117"/>
      <c r="FA149" s="117"/>
      <c r="FB149" s="117"/>
      <c r="FC149" s="117"/>
      <c r="FD149" s="117"/>
      <c r="FE149" s="117"/>
      <c r="FF149" s="117"/>
      <c r="FG149" s="117"/>
      <c r="FH149" s="117"/>
      <c r="FI149" s="117"/>
      <c r="FJ149" s="117"/>
      <c r="FK149" s="117"/>
      <c r="FL149" s="117"/>
      <c r="FM149" s="117"/>
      <c r="FN149" s="117"/>
      <c r="FO149" s="117"/>
      <c r="FP149" s="117"/>
      <c r="FQ149" s="117"/>
      <c r="FR149" s="117"/>
      <c r="FS149" s="117"/>
      <c r="FT149" s="117"/>
      <c r="FU149" s="117"/>
      <c r="FV149" s="117"/>
      <c r="FW149" s="117"/>
      <c r="FX149" s="117"/>
      <c r="FY149" s="117"/>
      <c r="FZ149" s="117"/>
      <c r="GA149" s="117"/>
      <c r="GB149" s="117"/>
      <c r="GC149" s="117"/>
      <c r="GD149" s="117"/>
      <c r="GE149" s="117"/>
      <c r="GF149" s="117"/>
      <c r="GG149" s="117"/>
      <c r="GH149" s="117"/>
      <c r="GI149" s="117"/>
      <c r="GJ149" s="117"/>
      <c r="GK149" s="117"/>
      <c r="GL149" s="117"/>
      <c r="GM149" s="117"/>
      <c r="GN149" s="117"/>
      <c r="GO149" s="117"/>
      <c r="GP149" s="117"/>
      <c r="GQ149" s="117"/>
      <c r="GR149" s="117"/>
      <c r="GS149" s="117"/>
      <c r="GT149" s="117"/>
      <c r="GU149" s="117"/>
      <c r="GV149" s="117"/>
      <c r="GW149" s="117"/>
      <c r="GX149" s="117"/>
      <c r="GY149" s="117"/>
      <c r="GZ149" s="117"/>
      <c r="HA149" s="117"/>
      <c r="HB149" s="117"/>
      <c r="HC149" s="117"/>
      <c r="HD149" s="117"/>
      <c r="HE149" s="117"/>
      <c r="HF149" s="117"/>
      <c r="HG149" s="117"/>
      <c r="HH149" s="117"/>
      <c r="HI149" s="117"/>
      <c r="HJ149" s="117"/>
      <c r="HK149" s="117"/>
      <c r="HL149" s="117"/>
      <c r="HM149" s="117"/>
      <c r="HN149" s="117"/>
      <c r="HO149" s="117"/>
      <c r="HP149" s="117"/>
      <c r="HQ149" s="117"/>
      <c r="HR149" s="117"/>
      <c r="HS149" s="117"/>
      <c r="HT149" s="117"/>
      <c r="HU149" s="117"/>
      <c r="HV149" s="117"/>
      <c r="HW149" s="117"/>
      <c r="HX149" s="117"/>
      <c r="HY149" s="117"/>
      <c r="HZ149" s="117"/>
      <c r="IA149" s="117"/>
      <c r="IB149" s="117"/>
    </row>
    <row r="150" spans="1:236" s="79" customFormat="1" ht="14.25">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7"/>
      <c r="EI150" s="117"/>
      <c r="EJ150" s="117"/>
      <c r="EK150" s="117"/>
      <c r="EL150" s="117"/>
      <c r="EM150" s="117"/>
      <c r="EN150" s="117"/>
      <c r="EO150" s="117"/>
      <c r="EP150" s="117"/>
      <c r="EQ150" s="117"/>
      <c r="ER150" s="117"/>
      <c r="ES150" s="117"/>
      <c r="ET150" s="117"/>
      <c r="EU150" s="117"/>
      <c r="EV150" s="117"/>
      <c r="EW150" s="117"/>
      <c r="EX150" s="117"/>
      <c r="EY150" s="117"/>
      <c r="EZ150" s="117"/>
      <c r="FA150" s="117"/>
      <c r="FB150" s="117"/>
      <c r="FC150" s="117"/>
      <c r="FD150" s="117"/>
      <c r="FE150" s="117"/>
      <c r="FF150" s="117"/>
      <c r="FG150" s="117"/>
      <c r="FH150" s="117"/>
      <c r="FI150" s="117"/>
      <c r="FJ150" s="117"/>
      <c r="FK150" s="117"/>
      <c r="FL150" s="117"/>
      <c r="FM150" s="117"/>
      <c r="FN150" s="117"/>
      <c r="FO150" s="117"/>
      <c r="FP150" s="117"/>
      <c r="FQ150" s="117"/>
      <c r="FR150" s="117"/>
      <c r="FS150" s="117"/>
      <c r="FT150" s="117"/>
      <c r="FU150" s="117"/>
      <c r="FV150" s="117"/>
      <c r="FW150" s="117"/>
      <c r="FX150" s="117"/>
      <c r="FY150" s="117"/>
      <c r="FZ150" s="117"/>
      <c r="GA150" s="117"/>
      <c r="GB150" s="117"/>
      <c r="GC150" s="117"/>
      <c r="GD150" s="117"/>
      <c r="GE150" s="117"/>
      <c r="GF150" s="117"/>
      <c r="GG150" s="117"/>
      <c r="GH150" s="117"/>
      <c r="GI150" s="117"/>
      <c r="GJ150" s="117"/>
      <c r="GK150" s="117"/>
      <c r="GL150" s="117"/>
      <c r="GM150" s="117"/>
      <c r="GN150" s="117"/>
      <c r="GO150" s="117"/>
      <c r="GP150" s="117"/>
      <c r="GQ150" s="117"/>
      <c r="GR150" s="117"/>
      <c r="GS150" s="117"/>
      <c r="GT150" s="117"/>
      <c r="GU150" s="117"/>
      <c r="GV150" s="117"/>
      <c r="GW150" s="117"/>
      <c r="GX150" s="117"/>
      <c r="GY150" s="117"/>
      <c r="GZ150" s="117"/>
      <c r="HA150" s="117"/>
      <c r="HB150" s="117"/>
      <c r="HC150" s="117"/>
      <c r="HD150" s="117"/>
      <c r="HE150" s="117"/>
      <c r="HF150" s="117"/>
      <c r="HG150" s="117"/>
      <c r="HH150" s="117"/>
      <c r="HI150" s="117"/>
      <c r="HJ150" s="117"/>
      <c r="HK150" s="117"/>
      <c r="HL150" s="117"/>
      <c r="HM150" s="117"/>
      <c r="HN150" s="117"/>
      <c r="HO150" s="117"/>
      <c r="HP150" s="117"/>
      <c r="HQ150" s="117"/>
      <c r="HR150" s="117"/>
      <c r="HS150" s="117"/>
      <c r="HT150" s="117"/>
      <c r="HU150" s="117"/>
      <c r="HV150" s="117"/>
      <c r="HW150" s="117"/>
      <c r="HX150" s="117"/>
      <c r="HY150" s="117"/>
      <c r="HZ150" s="117"/>
      <c r="IA150" s="117"/>
      <c r="IB150" s="117"/>
    </row>
    <row r="151" spans="1:236" s="79" customFormat="1" ht="14.25">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7"/>
      <c r="EI151" s="117"/>
      <c r="EJ151" s="117"/>
      <c r="EK151" s="117"/>
      <c r="EL151" s="117"/>
      <c r="EM151" s="117"/>
      <c r="EN151" s="117"/>
      <c r="EO151" s="117"/>
      <c r="EP151" s="117"/>
      <c r="EQ151" s="117"/>
      <c r="ER151" s="117"/>
      <c r="ES151" s="117"/>
      <c r="ET151" s="117"/>
      <c r="EU151" s="117"/>
      <c r="EV151" s="117"/>
      <c r="EW151" s="117"/>
      <c r="EX151" s="117"/>
      <c r="EY151" s="117"/>
      <c r="EZ151" s="117"/>
      <c r="FA151" s="117"/>
      <c r="FB151" s="117"/>
      <c r="FC151" s="117"/>
      <c r="FD151" s="117"/>
      <c r="FE151" s="117"/>
      <c r="FF151" s="117"/>
      <c r="FG151" s="117"/>
      <c r="FH151" s="117"/>
      <c r="FI151" s="117"/>
      <c r="FJ151" s="117"/>
      <c r="FK151" s="117"/>
      <c r="FL151" s="117"/>
      <c r="FM151" s="117"/>
      <c r="FN151" s="117"/>
      <c r="FO151" s="117"/>
      <c r="FP151" s="117"/>
      <c r="FQ151" s="117"/>
      <c r="FR151" s="117"/>
      <c r="FS151" s="117"/>
      <c r="FT151" s="117"/>
      <c r="FU151" s="117"/>
      <c r="FV151" s="117"/>
      <c r="FW151" s="117"/>
      <c r="FX151" s="117"/>
      <c r="FY151" s="117"/>
      <c r="FZ151" s="117"/>
      <c r="GA151" s="117"/>
      <c r="GB151" s="117"/>
      <c r="GC151" s="117"/>
      <c r="GD151" s="117"/>
      <c r="GE151" s="117"/>
      <c r="GF151" s="117"/>
      <c r="GG151" s="117"/>
      <c r="GH151" s="117"/>
      <c r="GI151" s="117"/>
      <c r="GJ151" s="117"/>
      <c r="GK151" s="117"/>
      <c r="GL151" s="117"/>
      <c r="GM151" s="117"/>
      <c r="GN151" s="117"/>
      <c r="GO151" s="117"/>
      <c r="GP151" s="117"/>
      <c r="GQ151" s="117"/>
      <c r="GR151" s="117"/>
      <c r="GS151" s="117"/>
      <c r="GT151" s="117"/>
      <c r="GU151" s="117"/>
      <c r="GV151" s="117"/>
      <c r="GW151" s="117"/>
      <c r="GX151" s="117"/>
      <c r="GY151" s="117"/>
      <c r="GZ151" s="117"/>
      <c r="HA151" s="117"/>
      <c r="HB151" s="117"/>
      <c r="HC151" s="117"/>
      <c r="HD151" s="117"/>
      <c r="HE151" s="117"/>
      <c r="HF151" s="117"/>
      <c r="HG151" s="117"/>
      <c r="HH151" s="117"/>
      <c r="HI151" s="117"/>
      <c r="HJ151" s="117"/>
      <c r="HK151" s="117"/>
      <c r="HL151" s="117"/>
      <c r="HM151" s="117"/>
      <c r="HN151" s="117"/>
      <c r="HO151" s="117"/>
      <c r="HP151" s="117"/>
      <c r="HQ151" s="117"/>
      <c r="HR151" s="117"/>
      <c r="HS151" s="117"/>
      <c r="HT151" s="117"/>
      <c r="HU151" s="117"/>
      <c r="HV151" s="117"/>
      <c r="HW151" s="117"/>
      <c r="HX151" s="117"/>
      <c r="HY151" s="117"/>
      <c r="HZ151" s="117"/>
      <c r="IA151" s="117"/>
      <c r="IB151" s="117"/>
    </row>
    <row r="152" spans="1:236" s="79" customFormat="1" ht="14.25">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7"/>
      <c r="EI152" s="117"/>
      <c r="EJ152" s="117"/>
      <c r="EK152" s="117"/>
      <c r="EL152" s="117"/>
      <c r="EM152" s="117"/>
      <c r="EN152" s="117"/>
      <c r="EO152" s="117"/>
      <c r="EP152" s="117"/>
      <c r="EQ152" s="117"/>
      <c r="ER152" s="117"/>
      <c r="ES152" s="117"/>
      <c r="ET152" s="117"/>
      <c r="EU152" s="117"/>
      <c r="EV152" s="117"/>
      <c r="EW152" s="117"/>
      <c r="EX152" s="117"/>
      <c r="EY152" s="117"/>
      <c r="EZ152" s="117"/>
      <c r="FA152" s="117"/>
      <c r="FB152" s="117"/>
      <c r="FC152" s="117"/>
      <c r="FD152" s="117"/>
      <c r="FE152" s="117"/>
      <c r="FF152" s="117"/>
      <c r="FG152" s="117"/>
      <c r="FH152" s="117"/>
      <c r="FI152" s="117"/>
      <c r="FJ152" s="117"/>
      <c r="FK152" s="117"/>
      <c r="FL152" s="117"/>
      <c r="FM152" s="117"/>
      <c r="FN152" s="117"/>
      <c r="FO152" s="117"/>
      <c r="FP152" s="117"/>
      <c r="FQ152" s="117"/>
      <c r="FR152" s="117"/>
      <c r="FS152" s="117"/>
      <c r="FT152" s="117"/>
      <c r="FU152" s="117"/>
      <c r="FV152" s="117"/>
      <c r="FW152" s="117"/>
      <c r="FX152" s="117"/>
      <c r="FY152" s="117"/>
      <c r="FZ152" s="117"/>
      <c r="GA152" s="117"/>
      <c r="GB152" s="117"/>
      <c r="GC152" s="117"/>
      <c r="GD152" s="117"/>
      <c r="GE152" s="117"/>
      <c r="GF152" s="117"/>
      <c r="GG152" s="117"/>
      <c r="GH152" s="117"/>
      <c r="GI152" s="117"/>
      <c r="GJ152" s="117"/>
      <c r="GK152" s="117"/>
      <c r="GL152" s="117"/>
      <c r="GM152" s="117"/>
      <c r="GN152" s="117"/>
      <c r="GO152" s="117"/>
      <c r="GP152" s="117"/>
      <c r="GQ152" s="117"/>
      <c r="GR152" s="117"/>
      <c r="GS152" s="117"/>
      <c r="GT152" s="117"/>
      <c r="GU152" s="117"/>
      <c r="GV152" s="117"/>
      <c r="GW152" s="117"/>
      <c r="GX152" s="117"/>
      <c r="GY152" s="117"/>
      <c r="GZ152" s="117"/>
      <c r="HA152" s="117"/>
      <c r="HB152" s="117"/>
      <c r="HC152" s="117"/>
      <c r="HD152" s="117"/>
      <c r="HE152" s="117"/>
      <c r="HF152" s="117"/>
      <c r="HG152" s="117"/>
      <c r="HH152" s="117"/>
      <c r="HI152" s="117"/>
      <c r="HJ152" s="117"/>
      <c r="HK152" s="117"/>
      <c r="HL152" s="117"/>
      <c r="HM152" s="117"/>
      <c r="HN152" s="117"/>
      <c r="HO152" s="117"/>
      <c r="HP152" s="117"/>
      <c r="HQ152" s="117"/>
      <c r="HR152" s="117"/>
      <c r="HS152" s="117"/>
      <c r="HT152" s="117"/>
      <c r="HU152" s="117"/>
      <c r="HV152" s="117"/>
      <c r="HW152" s="117"/>
      <c r="HX152" s="117"/>
      <c r="HY152" s="117"/>
      <c r="HZ152" s="117"/>
      <c r="IA152" s="117"/>
      <c r="IB152" s="117"/>
    </row>
    <row r="153" spans="1:236" s="79" customFormat="1" ht="14.25">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7"/>
      <c r="EI153" s="117"/>
      <c r="EJ153" s="117"/>
      <c r="EK153" s="117"/>
      <c r="EL153" s="117"/>
      <c r="EM153" s="117"/>
      <c r="EN153" s="117"/>
      <c r="EO153" s="117"/>
      <c r="EP153" s="117"/>
      <c r="EQ153" s="117"/>
      <c r="ER153" s="117"/>
      <c r="ES153" s="117"/>
      <c r="ET153" s="117"/>
      <c r="EU153" s="117"/>
      <c r="EV153" s="117"/>
      <c r="EW153" s="117"/>
      <c r="EX153" s="117"/>
      <c r="EY153" s="117"/>
      <c r="EZ153" s="117"/>
      <c r="FA153" s="117"/>
      <c r="FB153" s="117"/>
      <c r="FC153" s="117"/>
      <c r="FD153" s="117"/>
      <c r="FE153" s="117"/>
      <c r="FF153" s="117"/>
      <c r="FG153" s="117"/>
      <c r="FH153" s="117"/>
      <c r="FI153" s="117"/>
      <c r="FJ153" s="117"/>
      <c r="FK153" s="117"/>
      <c r="FL153" s="117"/>
      <c r="FM153" s="117"/>
      <c r="FN153" s="117"/>
      <c r="FO153" s="117"/>
      <c r="FP153" s="117"/>
      <c r="FQ153" s="117"/>
      <c r="FR153" s="117"/>
      <c r="FS153" s="117"/>
      <c r="FT153" s="117"/>
      <c r="FU153" s="117"/>
      <c r="FV153" s="117"/>
      <c r="FW153" s="117"/>
      <c r="FX153" s="117"/>
      <c r="FY153" s="117"/>
      <c r="FZ153" s="117"/>
      <c r="GA153" s="117"/>
      <c r="GB153" s="117"/>
      <c r="GC153" s="117"/>
      <c r="GD153" s="117"/>
      <c r="GE153" s="117"/>
      <c r="GF153" s="117"/>
      <c r="GG153" s="117"/>
      <c r="GH153" s="117"/>
      <c r="GI153" s="117"/>
      <c r="GJ153" s="117"/>
      <c r="GK153" s="117"/>
      <c r="GL153" s="117"/>
      <c r="GM153" s="117"/>
      <c r="GN153" s="117"/>
      <c r="GO153" s="117"/>
      <c r="GP153" s="117"/>
      <c r="GQ153" s="117"/>
      <c r="GR153" s="117"/>
      <c r="GS153" s="117"/>
      <c r="GT153" s="117"/>
      <c r="GU153" s="117"/>
      <c r="GV153" s="117"/>
      <c r="GW153" s="117"/>
      <c r="GX153" s="117"/>
      <c r="GY153" s="117"/>
      <c r="GZ153" s="117"/>
      <c r="HA153" s="117"/>
      <c r="HB153" s="117"/>
      <c r="HC153" s="117"/>
      <c r="HD153" s="117"/>
      <c r="HE153" s="117"/>
      <c r="HF153" s="117"/>
      <c r="HG153" s="117"/>
      <c r="HH153" s="117"/>
      <c r="HI153" s="117"/>
      <c r="HJ153" s="117"/>
      <c r="HK153" s="117"/>
      <c r="HL153" s="117"/>
      <c r="HM153" s="117"/>
      <c r="HN153" s="117"/>
      <c r="HO153" s="117"/>
      <c r="HP153" s="117"/>
      <c r="HQ153" s="117"/>
      <c r="HR153" s="117"/>
      <c r="HS153" s="117"/>
      <c r="HT153" s="117"/>
      <c r="HU153" s="117"/>
      <c r="HV153" s="117"/>
      <c r="HW153" s="117"/>
      <c r="HX153" s="117"/>
      <c r="HY153" s="117"/>
      <c r="HZ153" s="117"/>
      <c r="IA153" s="117"/>
      <c r="IB153" s="117"/>
    </row>
    <row r="154" spans="1:236" s="79" customFormat="1" ht="14.25">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7"/>
      <c r="EI154" s="117"/>
      <c r="EJ154" s="117"/>
      <c r="EK154" s="117"/>
      <c r="EL154" s="117"/>
      <c r="EM154" s="117"/>
      <c r="EN154" s="117"/>
      <c r="EO154" s="117"/>
      <c r="EP154" s="117"/>
      <c r="EQ154" s="117"/>
      <c r="ER154" s="117"/>
      <c r="ES154" s="117"/>
      <c r="ET154" s="117"/>
      <c r="EU154" s="117"/>
      <c r="EV154" s="117"/>
      <c r="EW154" s="117"/>
      <c r="EX154" s="117"/>
      <c r="EY154" s="117"/>
      <c r="EZ154" s="117"/>
      <c r="FA154" s="117"/>
      <c r="FB154" s="117"/>
      <c r="FC154" s="117"/>
      <c r="FD154" s="117"/>
      <c r="FE154" s="117"/>
      <c r="FF154" s="117"/>
      <c r="FG154" s="117"/>
      <c r="FH154" s="117"/>
      <c r="FI154" s="117"/>
      <c r="FJ154" s="117"/>
      <c r="FK154" s="117"/>
      <c r="FL154" s="117"/>
      <c r="FM154" s="117"/>
      <c r="FN154" s="117"/>
      <c r="FO154" s="117"/>
      <c r="FP154" s="117"/>
      <c r="FQ154" s="117"/>
      <c r="FR154" s="117"/>
      <c r="FS154" s="117"/>
      <c r="FT154" s="117"/>
      <c r="FU154" s="117"/>
      <c r="FV154" s="117"/>
      <c r="FW154" s="117"/>
      <c r="FX154" s="117"/>
      <c r="FY154" s="117"/>
      <c r="FZ154" s="117"/>
      <c r="GA154" s="117"/>
      <c r="GB154" s="117"/>
      <c r="GC154" s="117"/>
      <c r="GD154" s="117"/>
      <c r="GE154" s="117"/>
      <c r="GF154" s="117"/>
      <c r="GG154" s="117"/>
      <c r="GH154" s="117"/>
      <c r="GI154" s="117"/>
      <c r="GJ154" s="117"/>
      <c r="GK154" s="117"/>
      <c r="GL154" s="117"/>
      <c r="GM154" s="117"/>
      <c r="GN154" s="117"/>
      <c r="GO154" s="117"/>
      <c r="GP154" s="117"/>
      <c r="GQ154" s="117"/>
      <c r="GR154" s="117"/>
      <c r="GS154" s="117"/>
      <c r="GT154" s="117"/>
      <c r="GU154" s="117"/>
      <c r="GV154" s="117"/>
      <c r="GW154" s="117"/>
      <c r="GX154" s="117"/>
      <c r="GY154" s="117"/>
      <c r="GZ154" s="117"/>
      <c r="HA154" s="117"/>
      <c r="HB154" s="117"/>
      <c r="HC154" s="117"/>
      <c r="HD154" s="117"/>
      <c r="HE154" s="117"/>
      <c r="HF154" s="117"/>
      <c r="HG154" s="117"/>
      <c r="HH154" s="117"/>
      <c r="HI154" s="117"/>
      <c r="HJ154" s="117"/>
      <c r="HK154" s="117"/>
      <c r="HL154" s="117"/>
      <c r="HM154" s="117"/>
      <c r="HN154" s="117"/>
      <c r="HO154" s="117"/>
      <c r="HP154" s="117"/>
      <c r="HQ154" s="117"/>
      <c r="HR154" s="117"/>
      <c r="HS154" s="117"/>
      <c r="HT154" s="117"/>
      <c r="HU154" s="117"/>
      <c r="HV154" s="117"/>
      <c r="HW154" s="117"/>
      <c r="HX154" s="117"/>
      <c r="HY154" s="117"/>
      <c r="HZ154" s="117"/>
      <c r="IA154" s="117"/>
      <c r="IB154" s="117"/>
    </row>
    <row r="155" spans="1:236" s="79" customFormat="1" ht="14.25">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7"/>
      <c r="EI155" s="117"/>
      <c r="EJ155" s="117"/>
      <c r="EK155" s="117"/>
      <c r="EL155" s="117"/>
      <c r="EM155" s="117"/>
      <c r="EN155" s="117"/>
      <c r="EO155" s="117"/>
      <c r="EP155" s="117"/>
      <c r="EQ155" s="117"/>
      <c r="ER155" s="117"/>
      <c r="ES155" s="117"/>
      <c r="ET155" s="117"/>
      <c r="EU155" s="117"/>
      <c r="EV155" s="117"/>
      <c r="EW155" s="117"/>
      <c r="EX155" s="117"/>
      <c r="EY155" s="117"/>
      <c r="EZ155" s="117"/>
      <c r="FA155" s="117"/>
      <c r="FB155" s="117"/>
      <c r="FC155" s="117"/>
      <c r="FD155" s="117"/>
      <c r="FE155" s="117"/>
      <c r="FF155" s="117"/>
      <c r="FG155" s="117"/>
      <c r="FH155" s="117"/>
      <c r="FI155" s="117"/>
      <c r="FJ155" s="117"/>
      <c r="FK155" s="117"/>
      <c r="FL155" s="117"/>
      <c r="FM155" s="117"/>
      <c r="FN155" s="117"/>
      <c r="FO155" s="117"/>
      <c r="FP155" s="117"/>
      <c r="FQ155" s="117"/>
      <c r="FR155" s="117"/>
      <c r="FS155" s="117"/>
      <c r="FT155" s="117"/>
      <c r="FU155" s="117"/>
      <c r="FV155" s="117"/>
      <c r="FW155" s="117"/>
      <c r="FX155" s="117"/>
      <c r="FY155" s="117"/>
      <c r="FZ155" s="117"/>
      <c r="GA155" s="117"/>
      <c r="GB155" s="117"/>
      <c r="GC155" s="117"/>
      <c r="GD155" s="117"/>
      <c r="GE155" s="117"/>
      <c r="GF155" s="117"/>
      <c r="GG155" s="117"/>
      <c r="GH155" s="117"/>
      <c r="GI155" s="117"/>
      <c r="GJ155" s="117"/>
      <c r="GK155" s="117"/>
      <c r="GL155" s="117"/>
      <c r="GM155" s="117"/>
      <c r="GN155" s="117"/>
      <c r="GO155" s="117"/>
      <c r="GP155" s="117"/>
      <c r="GQ155" s="117"/>
      <c r="GR155" s="117"/>
      <c r="GS155" s="117"/>
      <c r="GT155" s="117"/>
      <c r="GU155" s="117"/>
      <c r="GV155" s="117"/>
      <c r="GW155" s="117"/>
      <c r="GX155" s="117"/>
      <c r="GY155" s="117"/>
      <c r="GZ155" s="117"/>
      <c r="HA155" s="117"/>
      <c r="HB155" s="117"/>
      <c r="HC155" s="117"/>
      <c r="HD155" s="117"/>
      <c r="HE155" s="117"/>
      <c r="HF155" s="117"/>
      <c r="HG155" s="117"/>
      <c r="HH155" s="117"/>
      <c r="HI155" s="117"/>
      <c r="HJ155" s="117"/>
      <c r="HK155" s="117"/>
      <c r="HL155" s="117"/>
      <c r="HM155" s="117"/>
      <c r="HN155" s="117"/>
      <c r="HO155" s="117"/>
      <c r="HP155" s="117"/>
      <c r="HQ155" s="117"/>
      <c r="HR155" s="117"/>
      <c r="HS155" s="117"/>
      <c r="HT155" s="117"/>
      <c r="HU155" s="117"/>
      <c r="HV155" s="117"/>
      <c r="HW155" s="117"/>
      <c r="HX155" s="117"/>
      <c r="HY155" s="117"/>
      <c r="HZ155" s="117"/>
      <c r="IA155" s="117"/>
      <c r="IB155" s="117"/>
    </row>
    <row r="156" spans="1:236" s="79" customFormat="1" ht="14.25">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7"/>
      <c r="EI156" s="117"/>
      <c r="EJ156" s="117"/>
      <c r="EK156" s="117"/>
      <c r="EL156" s="117"/>
      <c r="EM156" s="117"/>
      <c r="EN156" s="117"/>
      <c r="EO156" s="117"/>
      <c r="EP156" s="117"/>
      <c r="EQ156" s="117"/>
      <c r="ER156" s="117"/>
      <c r="ES156" s="117"/>
      <c r="ET156" s="117"/>
      <c r="EU156" s="117"/>
      <c r="EV156" s="117"/>
      <c r="EW156" s="117"/>
      <c r="EX156" s="117"/>
      <c r="EY156" s="117"/>
      <c r="EZ156" s="117"/>
      <c r="FA156" s="117"/>
      <c r="FB156" s="117"/>
      <c r="FC156" s="117"/>
      <c r="FD156" s="117"/>
      <c r="FE156" s="117"/>
      <c r="FF156" s="117"/>
      <c r="FG156" s="117"/>
      <c r="FH156" s="117"/>
      <c r="FI156" s="117"/>
      <c r="FJ156" s="117"/>
      <c r="FK156" s="117"/>
      <c r="FL156" s="117"/>
      <c r="FM156" s="117"/>
      <c r="FN156" s="117"/>
      <c r="FO156" s="117"/>
      <c r="FP156" s="117"/>
      <c r="FQ156" s="117"/>
      <c r="FR156" s="117"/>
      <c r="FS156" s="117"/>
      <c r="FT156" s="117"/>
      <c r="FU156" s="117"/>
      <c r="FV156" s="117"/>
      <c r="FW156" s="117"/>
      <c r="FX156" s="117"/>
      <c r="FY156" s="117"/>
      <c r="FZ156" s="117"/>
      <c r="GA156" s="117"/>
      <c r="GB156" s="117"/>
      <c r="GC156" s="117"/>
      <c r="GD156" s="117"/>
      <c r="GE156" s="117"/>
      <c r="GF156" s="117"/>
      <c r="GG156" s="117"/>
      <c r="GH156" s="117"/>
      <c r="GI156" s="117"/>
      <c r="GJ156" s="117"/>
      <c r="GK156" s="117"/>
      <c r="GL156" s="117"/>
      <c r="GM156" s="117"/>
      <c r="GN156" s="117"/>
      <c r="GO156" s="117"/>
      <c r="GP156" s="117"/>
      <c r="GQ156" s="117"/>
      <c r="GR156" s="117"/>
      <c r="GS156" s="117"/>
      <c r="GT156" s="117"/>
      <c r="GU156" s="117"/>
      <c r="GV156" s="117"/>
      <c r="GW156" s="117"/>
      <c r="GX156" s="117"/>
      <c r="GY156" s="117"/>
      <c r="GZ156" s="117"/>
      <c r="HA156" s="117"/>
      <c r="HB156" s="117"/>
      <c r="HC156" s="117"/>
      <c r="HD156" s="117"/>
      <c r="HE156" s="117"/>
      <c r="HF156" s="117"/>
      <c r="HG156" s="117"/>
      <c r="HH156" s="117"/>
      <c r="HI156" s="117"/>
      <c r="HJ156" s="117"/>
      <c r="HK156" s="117"/>
      <c r="HL156" s="117"/>
      <c r="HM156" s="117"/>
      <c r="HN156" s="117"/>
      <c r="HO156" s="117"/>
      <c r="HP156" s="117"/>
      <c r="HQ156" s="117"/>
      <c r="HR156" s="117"/>
      <c r="HS156" s="117"/>
      <c r="HT156" s="117"/>
      <c r="HU156" s="117"/>
      <c r="HV156" s="117"/>
      <c r="HW156" s="117"/>
      <c r="HX156" s="117"/>
      <c r="HY156" s="117"/>
      <c r="HZ156" s="117"/>
      <c r="IA156" s="117"/>
      <c r="IB156" s="117"/>
    </row>
    <row r="157" spans="1:236" s="79" customFormat="1" ht="14.25">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7"/>
      <c r="EI157" s="117"/>
      <c r="EJ157" s="117"/>
      <c r="EK157" s="117"/>
      <c r="EL157" s="117"/>
      <c r="EM157" s="117"/>
      <c r="EN157" s="117"/>
      <c r="EO157" s="117"/>
      <c r="EP157" s="117"/>
      <c r="EQ157" s="117"/>
      <c r="ER157" s="117"/>
      <c r="ES157" s="117"/>
      <c r="ET157" s="117"/>
      <c r="EU157" s="117"/>
      <c r="EV157" s="117"/>
      <c r="EW157" s="117"/>
      <c r="EX157" s="117"/>
      <c r="EY157" s="117"/>
      <c r="EZ157" s="117"/>
      <c r="FA157" s="117"/>
      <c r="FB157" s="117"/>
      <c r="FC157" s="117"/>
      <c r="FD157" s="117"/>
      <c r="FE157" s="117"/>
      <c r="FF157" s="117"/>
      <c r="FG157" s="117"/>
      <c r="FH157" s="117"/>
      <c r="FI157" s="117"/>
      <c r="FJ157" s="117"/>
      <c r="FK157" s="117"/>
      <c r="FL157" s="117"/>
      <c r="FM157" s="117"/>
      <c r="FN157" s="117"/>
      <c r="FO157" s="117"/>
      <c r="FP157" s="117"/>
      <c r="FQ157" s="117"/>
      <c r="FR157" s="117"/>
      <c r="FS157" s="117"/>
      <c r="FT157" s="117"/>
      <c r="FU157" s="117"/>
      <c r="FV157" s="117"/>
      <c r="FW157" s="117"/>
      <c r="FX157" s="117"/>
      <c r="FY157" s="117"/>
      <c r="FZ157" s="117"/>
      <c r="GA157" s="117"/>
      <c r="GB157" s="117"/>
      <c r="GC157" s="117"/>
      <c r="GD157" s="117"/>
      <c r="GE157" s="117"/>
      <c r="GF157" s="117"/>
      <c r="GG157" s="117"/>
      <c r="GH157" s="117"/>
      <c r="GI157" s="117"/>
      <c r="GJ157" s="117"/>
      <c r="GK157" s="117"/>
      <c r="GL157" s="117"/>
      <c r="GM157" s="117"/>
      <c r="GN157" s="117"/>
      <c r="GO157" s="117"/>
      <c r="GP157" s="117"/>
      <c r="GQ157" s="117"/>
      <c r="GR157" s="117"/>
      <c r="GS157" s="117"/>
      <c r="GT157" s="117"/>
      <c r="GU157" s="117"/>
      <c r="GV157" s="117"/>
      <c r="GW157" s="117"/>
      <c r="GX157" s="117"/>
      <c r="GY157" s="117"/>
      <c r="GZ157" s="117"/>
      <c r="HA157" s="117"/>
      <c r="HB157" s="117"/>
      <c r="HC157" s="117"/>
      <c r="HD157" s="117"/>
      <c r="HE157" s="117"/>
      <c r="HF157" s="117"/>
      <c r="HG157" s="117"/>
      <c r="HH157" s="117"/>
      <c r="HI157" s="117"/>
      <c r="HJ157" s="117"/>
      <c r="HK157" s="117"/>
      <c r="HL157" s="117"/>
      <c r="HM157" s="117"/>
      <c r="HN157" s="117"/>
      <c r="HO157" s="117"/>
      <c r="HP157" s="117"/>
      <c r="HQ157" s="117"/>
      <c r="HR157" s="117"/>
      <c r="HS157" s="117"/>
      <c r="HT157" s="117"/>
      <c r="HU157" s="117"/>
      <c r="HV157" s="117"/>
      <c r="HW157" s="117"/>
      <c r="HX157" s="117"/>
      <c r="HY157" s="117"/>
      <c r="HZ157" s="117"/>
      <c r="IA157" s="117"/>
      <c r="IB157" s="117"/>
    </row>
    <row r="158" spans="1:236" s="79" customFormat="1" ht="14.25">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7"/>
      <c r="EI158" s="117"/>
      <c r="EJ158" s="117"/>
      <c r="EK158" s="117"/>
      <c r="EL158" s="117"/>
      <c r="EM158" s="117"/>
      <c r="EN158" s="117"/>
      <c r="EO158" s="117"/>
      <c r="EP158" s="117"/>
      <c r="EQ158" s="117"/>
      <c r="ER158" s="117"/>
      <c r="ES158" s="117"/>
      <c r="ET158" s="117"/>
      <c r="EU158" s="117"/>
      <c r="EV158" s="117"/>
      <c r="EW158" s="117"/>
      <c r="EX158" s="117"/>
      <c r="EY158" s="117"/>
      <c r="EZ158" s="117"/>
      <c r="FA158" s="117"/>
      <c r="FB158" s="117"/>
      <c r="FC158" s="117"/>
      <c r="FD158" s="117"/>
      <c r="FE158" s="117"/>
      <c r="FF158" s="117"/>
      <c r="FG158" s="117"/>
      <c r="FH158" s="117"/>
      <c r="FI158" s="117"/>
      <c r="FJ158" s="117"/>
      <c r="FK158" s="117"/>
      <c r="FL158" s="117"/>
      <c r="FM158" s="117"/>
      <c r="FN158" s="117"/>
      <c r="FO158" s="117"/>
      <c r="FP158" s="117"/>
      <c r="FQ158" s="117"/>
      <c r="FR158" s="117"/>
      <c r="FS158" s="117"/>
      <c r="FT158" s="117"/>
      <c r="FU158" s="117"/>
      <c r="FV158" s="117"/>
      <c r="FW158" s="117"/>
      <c r="FX158" s="117"/>
      <c r="FY158" s="117"/>
      <c r="FZ158" s="117"/>
      <c r="GA158" s="117"/>
      <c r="GB158" s="117"/>
      <c r="GC158" s="117"/>
      <c r="GD158" s="117"/>
      <c r="GE158" s="117"/>
      <c r="GF158" s="117"/>
      <c r="GG158" s="117"/>
      <c r="GH158" s="117"/>
      <c r="GI158" s="117"/>
      <c r="GJ158" s="117"/>
      <c r="GK158" s="117"/>
      <c r="GL158" s="117"/>
      <c r="GM158" s="117"/>
      <c r="GN158" s="117"/>
      <c r="GO158" s="117"/>
      <c r="GP158" s="117"/>
      <c r="GQ158" s="117"/>
      <c r="GR158" s="117"/>
      <c r="GS158" s="117"/>
      <c r="GT158" s="117"/>
      <c r="GU158" s="117"/>
      <c r="GV158" s="117"/>
      <c r="GW158" s="117"/>
      <c r="GX158" s="117"/>
      <c r="GY158" s="117"/>
      <c r="GZ158" s="117"/>
      <c r="HA158" s="117"/>
      <c r="HB158" s="117"/>
      <c r="HC158" s="117"/>
      <c r="HD158" s="117"/>
      <c r="HE158" s="117"/>
      <c r="HF158" s="117"/>
      <c r="HG158" s="117"/>
      <c r="HH158" s="117"/>
      <c r="HI158" s="117"/>
      <c r="HJ158" s="117"/>
      <c r="HK158" s="117"/>
      <c r="HL158" s="117"/>
      <c r="HM158" s="117"/>
      <c r="HN158" s="117"/>
      <c r="HO158" s="117"/>
      <c r="HP158" s="117"/>
      <c r="HQ158" s="117"/>
      <c r="HR158" s="117"/>
      <c r="HS158" s="117"/>
      <c r="HT158" s="117"/>
      <c r="HU158" s="117"/>
      <c r="HV158" s="117"/>
      <c r="HW158" s="117"/>
      <c r="HX158" s="117"/>
      <c r="HY158" s="117"/>
      <c r="HZ158" s="117"/>
      <c r="IA158" s="117"/>
      <c r="IB158" s="117"/>
    </row>
    <row r="159" spans="1:236" s="79" customFormat="1" ht="14.25">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7"/>
      <c r="EI159" s="117"/>
      <c r="EJ159" s="117"/>
      <c r="EK159" s="117"/>
      <c r="EL159" s="117"/>
      <c r="EM159" s="117"/>
      <c r="EN159" s="117"/>
      <c r="EO159" s="117"/>
      <c r="EP159" s="117"/>
      <c r="EQ159" s="117"/>
      <c r="ER159" s="117"/>
      <c r="ES159" s="117"/>
      <c r="ET159" s="117"/>
      <c r="EU159" s="117"/>
      <c r="EV159" s="117"/>
      <c r="EW159" s="117"/>
      <c r="EX159" s="117"/>
      <c r="EY159" s="117"/>
      <c r="EZ159" s="117"/>
      <c r="FA159" s="117"/>
      <c r="FB159" s="117"/>
      <c r="FC159" s="117"/>
      <c r="FD159" s="117"/>
      <c r="FE159" s="117"/>
      <c r="FF159" s="117"/>
      <c r="FG159" s="117"/>
      <c r="FH159" s="117"/>
      <c r="FI159" s="117"/>
      <c r="FJ159" s="117"/>
      <c r="FK159" s="117"/>
      <c r="FL159" s="117"/>
      <c r="FM159" s="117"/>
      <c r="FN159" s="117"/>
      <c r="FO159" s="117"/>
      <c r="FP159" s="117"/>
      <c r="FQ159" s="117"/>
      <c r="FR159" s="117"/>
      <c r="FS159" s="117"/>
      <c r="FT159" s="117"/>
      <c r="FU159" s="117"/>
      <c r="FV159" s="117"/>
      <c r="FW159" s="117"/>
      <c r="FX159" s="117"/>
      <c r="FY159" s="117"/>
      <c r="FZ159" s="117"/>
      <c r="GA159" s="117"/>
      <c r="GB159" s="117"/>
      <c r="GC159" s="117"/>
      <c r="GD159" s="117"/>
      <c r="GE159" s="117"/>
      <c r="GF159" s="117"/>
      <c r="GG159" s="117"/>
      <c r="GH159" s="117"/>
      <c r="GI159" s="117"/>
      <c r="GJ159" s="117"/>
      <c r="GK159" s="117"/>
      <c r="GL159" s="117"/>
      <c r="GM159" s="117"/>
      <c r="GN159" s="117"/>
      <c r="GO159" s="117"/>
      <c r="GP159" s="117"/>
      <c r="GQ159" s="117"/>
      <c r="GR159" s="117"/>
      <c r="GS159" s="117"/>
      <c r="GT159" s="117"/>
      <c r="GU159" s="117"/>
      <c r="GV159" s="117"/>
      <c r="GW159" s="117"/>
      <c r="GX159" s="117"/>
      <c r="GY159" s="117"/>
      <c r="GZ159" s="117"/>
      <c r="HA159" s="117"/>
      <c r="HB159" s="117"/>
      <c r="HC159" s="117"/>
      <c r="HD159" s="117"/>
      <c r="HE159" s="117"/>
      <c r="HF159" s="117"/>
      <c r="HG159" s="117"/>
      <c r="HH159" s="117"/>
      <c r="HI159" s="117"/>
      <c r="HJ159" s="117"/>
      <c r="HK159" s="117"/>
      <c r="HL159" s="117"/>
      <c r="HM159" s="117"/>
      <c r="HN159" s="117"/>
      <c r="HO159" s="117"/>
      <c r="HP159" s="117"/>
      <c r="HQ159" s="117"/>
      <c r="HR159" s="117"/>
      <c r="HS159" s="117"/>
      <c r="HT159" s="117"/>
      <c r="HU159" s="117"/>
      <c r="HV159" s="117"/>
      <c r="HW159" s="117"/>
      <c r="HX159" s="117"/>
      <c r="HY159" s="117"/>
      <c r="HZ159" s="117"/>
      <c r="IA159" s="117"/>
      <c r="IB159" s="117"/>
    </row>
    <row r="160" spans="1:236" s="79" customFormat="1" ht="14.25">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7"/>
      <c r="EI160" s="117"/>
      <c r="EJ160" s="117"/>
      <c r="EK160" s="117"/>
      <c r="EL160" s="117"/>
      <c r="EM160" s="117"/>
      <c r="EN160" s="117"/>
      <c r="EO160" s="117"/>
      <c r="EP160" s="117"/>
      <c r="EQ160" s="117"/>
      <c r="ER160" s="117"/>
      <c r="ES160" s="117"/>
      <c r="ET160" s="117"/>
      <c r="EU160" s="117"/>
      <c r="EV160" s="117"/>
      <c r="EW160" s="117"/>
      <c r="EX160" s="117"/>
      <c r="EY160" s="117"/>
      <c r="EZ160" s="117"/>
      <c r="FA160" s="117"/>
      <c r="FB160" s="117"/>
      <c r="FC160" s="117"/>
      <c r="FD160" s="117"/>
      <c r="FE160" s="117"/>
      <c r="FF160" s="117"/>
      <c r="FG160" s="117"/>
      <c r="FH160" s="117"/>
      <c r="FI160" s="117"/>
      <c r="FJ160" s="117"/>
      <c r="FK160" s="117"/>
      <c r="FL160" s="117"/>
      <c r="FM160" s="117"/>
      <c r="FN160" s="117"/>
      <c r="FO160" s="117"/>
      <c r="FP160" s="117"/>
      <c r="FQ160" s="117"/>
      <c r="FR160" s="117"/>
      <c r="FS160" s="117"/>
      <c r="FT160" s="117"/>
      <c r="FU160" s="117"/>
      <c r="FV160" s="117"/>
      <c r="FW160" s="117"/>
      <c r="FX160" s="117"/>
      <c r="FY160" s="117"/>
      <c r="FZ160" s="117"/>
      <c r="GA160" s="117"/>
      <c r="GB160" s="117"/>
      <c r="GC160" s="117"/>
      <c r="GD160" s="117"/>
      <c r="GE160" s="117"/>
      <c r="GF160" s="117"/>
      <c r="GG160" s="117"/>
      <c r="GH160" s="117"/>
      <c r="GI160" s="117"/>
      <c r="GJ160" s="117"/>
      <c r="GK160" s="117"/>
      <c r="GL160" s="117"/>
      <c r="GM160" s="117"/>
      <c r="GN160" s="117"/>
      <c r="GO160" s="117"/>
      <c r="GP160" s="117"/>
      <c r="GQ160" s="117"/>
      <c r="GR160" s="117"/>
      <c r="GS160" s="117"/>
      <c r="GT160" s="117"/>
      <c r="GU160" s="117"/>
      <c r="GV160" s="117"/>
      <c r="GW160" s="117"/>
      <c r="GX160" s="117"/>
      <c r="GY160" s="117"/>
      <c r="GZ160" s="117"/>
      <c r="HA160" s="117"/>
      <c r="HB160" s="117"/>
      <c r="HC160" s="117"/>
      <c r="HD160" s="117"/>
      <c r="HE160" s="117"/>
      <c r="HF160" s="117"/>
      <c r="HG160" s="117"/>
      <c r="HH160" s="117"/>
      <c r="HI160" s="117"/>
      <c r="HJ160" s="117"/>
      <c r="HK160" s="117"/>
      <c r="HL160" s="117"/>
      <c r="HM160" s="117"/>
      <c r="HN160" s="117"/>
      <c r="HO160" s="117"/>
      <c r="HP160" s="117"/>
      <c r="HQ160" s="117"/>
      <c r="HR160" s="117"/>
      <c r="HS160" s="117"/>
      <c r="HT160" s="117"/>
      <c r="HU160" s="117"/>
      <c r="HV160" s="117"/>
      <c r="HW160" s="117"/>
      <c r="HX160" s="117"/>
      <c r="HY160" s="117"/>
      <c r="HZ160" s="117"/>
      <c r="IA160" s="117"/>
      <c r="IB160" s="117"/>
    </row>
    <row r="161" spans="1:236" s="79" customFormat="1" ht="14.25">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7"/>
      <c r="EI161" s="117"/>
      <c r="EJ161" s="117"/>
      <c r="EK161" s="117"/>
      <c r="EL161" s="117"/>
      <c r="EM161" s="117"/>
      <c r="EN161" s="117"/>
      <c r="EO161" s="117"/>
      <c r="EP161" s="117"/>
      <c r="EQ161" s="117"/>
      <c r="ER161" s="117"/>
      <c r="ES161" s="117"/>
      <c r="ET161" s="117"/>
      <c r="EU161" s="117"/>
      <c r="EV161" s="117"/>
      <c r="EW161" s="117"/>
      <c r="EX161" s="117"/>
      <c r="EY161" s="117"/>
      <c r="EZ161" s="117"/>
      <c r="FA161" s="117"/>
      <c r="FB161" s="117"/>
      <c r="FC161" s="117"/>
      <c r="FD161" s="117"/>
      <c r="FE161" s="117"/>
      <c r="FF161" s="117"/>
      <c r="FG161" s="117"/>
      <c r="FH161" s="117"/>
      <c r="FI161" s="117"/>
      <c r="FJ161" s="117"/>
      <c r="FK161" s="117"/>
      <c r="FL161" s="117"/>
      <c r="FM161" s="117"/>
      <c r="FN161" s="117"/>
      <c r="FO161" s="117"/>
      <c r="FP161" s="117"/>
      <c r="FQ161" s="117"/>
      <c r="FR161" s="117"/>
      <c r="FS161" s="117"/>
      <c r="FT161" s="117"/>
      <c r="FU161" s="117"/>
      <c r="FV161" s="117"/>
      <c r="FW161" s="117"/>
      <c r="FX161" s="117"/>
      <c r="FY161" s="117"/>
      <c r="FZ161" s="117"/>
      <c r="GA161" s="117"/>
      <c r="GB161" s="117"/>
      <c r="GC161" s="117"/>
      <c r="GD161" s="117"/>
      <c r="GE161" s="117"/>
      <c r="GF161" s="117"/>
      <c r="GG161" s="117"/>
      <c r="GH161" s="117"/>
      <c r="GI161" s="117"/>
      <c r="GJ161" s="117"/>
      <c r="GK161" s="117"/>
      <c r="GL161" s="117"/>
      <c r="GM161" s="117"/>
      <c r="GN161" s="117"/>
      <c r="GO161" s="117"/>
      <c r="GP161" s="117"/>
      <c r="GQ161" s="117"/>
      <c r="GR161" s="117"/>
      <c r="GS161" s="117"/>
      <c r="GT161" s="117"/>
      <c r="GU161" s="117"/>
      <c r="GV161" s="117"/>
      <c r="GW161" s="117"/>
      <c r="GX161" s="117"/>
      <c r="GY161" s="117"/>
      <c r="GZ161" s="117"/>
      <c r="HA161" s="117"/>
      <c r="HB161" s="117"/>
      <c r="HC161" s="117"/>
      <c r="HD161" s="117"/>
      <c r="HE161" s="117"/>
      <c r="HF161" s="117"/>
      <c r="HG161" s="117"/>
      <c r="HH161" s="117"/>
      <c r="HI161" s="117"/>
      <c r="HJ161" s="117"/>
      <c r="HK161" s="117"/>
      <c r="HL161" s="117"/>
      <c r="HM161" s="117"/>
      <c r="HN161" s="117"/>
      <c r="HO161" s="117"/>
      <c r="HP161" s="117"/>
      <c r="HQ161" s="117"/>
      <c r="HR161" s="117"/>
      <c r="HS161" s="117"/>
      <c r="HT161" s="117"/>
      <c r="HU161" s="117"/>
      <c r="HV161" s="117"/>
      <c r="HW161" s="117"/>
      <c r="HX161" s="117"/>
      <c r="HY161" s="117"/>
      <c r="HZ161" s="117"/>
      <c r="IA161" s="117"/>
      <c r="IB161" s="117"/>
    </row>
    <row r="162" spans="1:236" s="79" customFormat="1" ht="14.25">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7"/>
      <c r="EI162" s="117"/>
      <c r="EJ162" s="117"/>
      <c r="EK162" s="117"/>
      <c r="EL162" s="117"/>
      <c r="EM162" s="117"/>
      <c r="EN162" s="117"/>
      <c r="EO162" s="117"/>
      <c r="EP162" s="117"/>
      <c r="EQ162" s="117"/>
      <c r="ER162" s="117"/>
      <c r="ES162" s="117"/>
      <c r="ET162" s="117"/>
      <c r="EU162" s="117"/>
      <c r="EV162" s="117"/>
      <c r="EW162" s="117"/>
      <c r="EX162" s="117"/>
      <c r="EY162" s="117"/>
      <c r="EZ162" s="117"/>
      <c r="FA162" s="117"/>
      <c r="FB162" s="117"/>
      <c r="FC162" s="117"/>
      <c r="FD162" s="117"/>
      <c r="FE162" s="117"/>
      <c r="FF162" s="117"/>
      <c r="FG162" s="117"/>
      <c r="FH162" s="117"/>
      <c r="FI162" s="117"/>
      <c r="FJ162" s="117"/>
      <c r="FK162" s="117"/>
      <c r="FL162" s="117"/>
      <c r="FM162" s="117"/>
      <c r="FN162" s="117"/>
      <c r="FO162" s="117"/>
      <c r="FP162" s="117"/>
      <c r="FQ162" s="117"/>
      <c r="FR162" s="117"/>
      <c r="FS162" s="117"/>
      <c r="FT162" s="117"/>
      <c r="FU162" s="117"/>
      <c r="FV162" s="117"/>
      <c r="FW162" s="117"/>
      <c r="FX162" s="117"/>
      <c r="FY162" s="117"/>
      <c r="FZ162" s="117"/>
      <c r="GA162" s="117"/>
      <c r="GB162" s="117"/>
      <c r="GC162" s="117"/>
      <c r="GD162" s="117"/>
      <c r="GE162" s="117"/>
      <c r="GF162" s="117"/>
      <c r="GG162" s="117"/>
      <c r="GH162" s="117"/>
      <c r="GI162" s="117"/>
      <c r="GJ162" s="117"/>
      <c r="GK162" s="117"/>
      <c r="GL162" s="117"/>
      <c r="GM162" s="117"/>
      <c r="GN162" s="117"/>
      <c r="GO162" s="117"/>
      <c r="GP162" s="117"/>
      <c r="GQ162" s="117"/>
      <c r="GR162" s="117"/>
      <c r="GS162" s="117"/>
      <c r="GT162" s="117"/>
      <c r="GU162" s="117"/>
      <c r="GV162" s="117"/>
      <c r="GW162" s="117"/>
      <c r="GX162" s="117"/>
      <c r="GY162" s="117"/>
      <c r="GZ162" s="117"/>
      <c r="HA162" s="117"/>
      <c r="HB162" s="117"/>
      <c r="HC162" s="117"/>
      <c r="HD162" s="117"/>
      <c r="HE162" s="117"/>
      <c r="HF162" s="117"/>
      <c r="HG162" s="117"/>
      <c r="HH162" s="117"/>
      <c r="HI162" s="117"/>
      <c r="HJ162" s="117"/>
      <c r="HK162" s="117"/>
      <c r="HL162" s="117"/>
      <c r="HM162" s="117"/>
      <c r="HN162" s="117"/>
      <c r="HO162" s="117"/>
      <c r="HP162" s="117"/>
      <c r="HQ162" s="117"/>
      <c r="HR162" s="117"/>
      <c r="HS162" s="117"/>
      <c r="HT162" s="117"/>
      <c r="HU162" s="117"/>
      <c r="HV162" s="117"/>
      <c r="HW162" s="117"/>
      <c r="HX162" s="117"/>
      <c r="HY162" s="117"/>
      <c r="HZ162" s="117"/>
      <c r="IA162" s="117"/>
      <c r="IB162" s="117"/>
    </row>
    <row r="163" spans="1:236" s="79" customFormat="1" ht="14.25">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7"/>
      <c r="EI163" s="117"/>
      <c r="EJ163" s="117"/>
      <c r="EK163" s="117"/>
      <c r="EL163" s="117"/>
      <c r="EM163" s="117"/>
      <c r="EN163" s="117"/>
      <c r="EO163" s="117"/>
      <c r="EP163" s="117"/>
      <c r="EQ163" s="117"/>
      <c r="ER163" s="117"/>
      <c r="ES163" s="117"/>
      <c r="ET163" s="117"/>
      <c r="EU163" s="117"/>
      <c r="EV163" s="117"/>
      <c r="EW163" s="117"/>
      <c r="EX163" s="117"/>
      <c r="EY163" s="117"/>
      <c r="EZ163" s="117"/>
      <c r="FA163" s="117"/>
      <c r="FB163" s="117"/>
      <c r="FC163" s="117"/>
      <c r="FD163" s="117"/>
      <c r="FE163" s="117"/>
      <c r="FF163" s="117"/>
      <c r="FG163" s="117"/>
      <c r="FH163" s="117"/>
      <c r="FI163" s="117"/>
      <c r="FJ163" s="117"/>
      <c r="FK163" s="117"/>
      <c r="FL163" s="117"/>
      <c r="FM163" s="117"/>
      <c r="FN163" s="117"/>
      <c r="FO163" s="117"/>
      <c r="FP163" s="117"/>
      <c r="FQ163" s="117"/>
      <c r="FR163" s="117"/>
      <c r="FS163" s="117"/>
      <c r="FT163" s="117"/>
      <c r="FU163" s="117"/>
      <c r="FV163" s="117"/>
      <c r="FW163" s="117"/>
      <c r="FX163" s="117"/>
      <c r="FY163" s="117"/>
      <c r="FZ163" s="117"/>
      <c r="GA163" s="117"/>
      <c r="GB163" s="117"/>
      <c r="GC163" s="117"/>
      <c r="GD163" s="117"/>
      <c r="GE163" s="117"/>
      <c r="GF163" s="117"/>
      <c r="GG163" s="117"/>
      <c r="GH163" s="117"/>
      <c r="GI163" s="117"/>
      <c r="GJ163" s="117"/>
      <c r="GK163" s="117"/>
      <c r="GL163" s="117"/>
      <c r="GM163" s="117"/>
      <c r="GN163" s="117"/>
      <c r="GO163" s="117"/>
      <c r="GP163" s="117"/>
      <c r="GQ163" s="117"/>
      <c r="GR163" s="117"/>
      <c r="GS163" s="117"/>
      <c r="GT163" s="117"/>
      <c r="GU163" s="117"/>
      <c r="GV163" s="117"/>
      <c r="GW163" s="117"/>
      <c r="GX163" s="117"/>
      <c r="GY163" s="117"/>
      <c r="GZ163" s="117"/>
      <c r="HA163" s="117"/>
      <c r="HB163" s="117"/>
      <c r="HC163" s="117"/>
      <c r="HD163" s="117"/>
      <c r="HE163" s="117"/>
      <c r="HF163" s="117"/>
      <c r="HG163" s="117"/>
      <c r="HH163" s="117"/>
      <c r="HI163" s="117"/>
      <c r="HJ163" s="117"/>
      <c r="HK163" s="117"/>
      <c r="HL163" s="117"/>
      <c r="HM163" s="117"/>
      <c r="HN163" s="117"/>
      <c r="HO163" s="117"/>
      <c r="HP163" s="117"/>
      <c r="HQ163" s="117"/>
      <c r="HR163" s="117"/>
      <c r="HS163" s="117"/>
      <c r="HT163" s="117"/>
      <c r="HU163" s="117"/>
      <c r="HV163" s="117"/>
      <c r="HW163" s="117"/>
      <c r="HX163" s="117"/>
      <c r="HY163" s="117"/>
      <c r="HZ163" s="117"/>
      <c r="IA163" s="117"/>
      <c r="IB163" s="117"/>
    </row>
    <row r="164" spans="1:236" s="79" customFormat="1" ht="14.25">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7"/>
      <c r="EI164" s="117"/>
      <c r="EJ164" s="117"/>
      <c r="EK164" s="117"/>
      <c r="EL164" s="117"/>
      <c r="EM164" s="117"/>
      <c r="EN164" s="117"/>
      <c r="EO164" s="117"/>
      <c r="EP164" s="117"/>
      <c r="EQ164" s="117"/>
      <c r="ER164" s="117"/>
      <c r="ES164" s="117"/>
      <c r="ET164" s="117"/>
      <c r="EU164" s="117"/>
      <c r="EV164" s="117"/>
      <c r="EW164" s="117"/>
      <c r="EX164" s="117"/>
      <c r="EY164" s="117"/>
      <c r="EZ164" s="117"/>
      <c r="FA164" s="117"/>
      <c r="FB164" s="117"/>
      <c r="FC164" s="117"/>
      <c r="FD164" s="117"/>
      <c r="FE164" s="117"/>
      <c r="FF164" s="117"/>
      <c r="FG164" s="117"/>
      <c r="FH164" s="117"/>
      <c r="FI164" s="117"/>
      <c r="FJ164" s="117"/>
      <c r="FK164" s="117"/>
      <c r="FL164" s="117"/>
      <c r="FM164" s="117"/>
      <c r="FN164" s="117"/>
      <c r="FO164" s="117"/>
      <c r="FP164" s="117"/>
      <c r="FQ164" s="117"/>
      <c r="FR164" s="117"/>
      <c r="FS164" s="117"/>
      <c r="FT164" s="117"/>
      <c r="FU164" s="117"/>
      <c r="FV164" s="117"/>
      <c r="FW164" s="117"/>
      <c r="FX164" s="117"/>
      <c r="FY164" s="117"/>
      <c r="FZ164" s="117"/>
      <c r="GA164" s="117"/>
      <c r="GB164" s="117"/>
      <c r="GC164" s="117"/>
      <c r="GD164" s="117"/>
      <c r="GE164" s="117"/>
      <c r="GF164" s="117"/>
      <c r="GG164" s="117"/>
      <c r="GH164" s="117"/>
      <c r="GI164" s="117"/>
      <c r="GJ164" s="117"/>
      <c r="GK164" s="117"/>
      <c r="GL164" s="117"/>
      <c r="GM164" s="117"/>
      <c r="GN164" s="117"/>
      <c r="GO164" s="117"/>
      <c r="GP164" s="117"/>
      <c r="GQ164" s="117"/>
      <c r="GR164" s="117"/>
      <c r="GS164" s="117"/>
      <c r="GT164" s="117"/>
      <c r="GU164" s="117"/>
      <c r="GV164" s="117"/>
      <c r="GW164" s="117"/>
      <c r="GX164" s="117"/>
      <c r="GY164" s="117"/>
      <c r="GZ164" s="117"/>
      <c r="HA164" s="117"/>
      <c r="HB164" s="117"/>
      <c r="HC164" s="117"/>
      <c r="HD164" s="117"/>
      <c r="HE164" s="117"/>
      <c r="HF164" s="117"/>
      <c r="HG164" s="117"/>
      <c r="HH164" s="117"/>
      <c r="HI164" s="117"/>
      <c r="HJ164" s="117"/>
      <c r="HK164" s="117"/>
      <c r="HL164" s="117"/>
      <c r="HM164" s="117"/>
      <c r="HN164" s="117"/>
      <c r="HO164" s="117"/>
      <c r="HP164" s="117"/>
      <c r="HQ164" s="117"/>
      <c r="HR164" s="117"/>
      <c r="HS164" s="117"/>
      <c r="HT164" s="117"/>
      <c r="HU164" s="117"/>
      <c r="HV164" s="117"/>
      <c r="HW164" s="117"/>
      <c r="HX164" s="117"/>
      <c r="HY164" s="117"/>
      <c r="HZ164" s="117"/>
      <c r="IA164" s="117"/>
      <c r="IB164" s="117"/>
    </row>
    <row r="165" spans="1:236" s="79" customFormat="1" ht="14.25">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7"/>
      <c r="EI165" s="117"/>
      <c r="EJ165" s="117"/>
      <c r="EK165" s="117"/>
      <c r="EL165" s="117"/>
      <c r="EM165" s="117"/>
      <c r="EN165" s="117"/>
      <c r="EO165" s="117"/>
      <c r="EP165" s="117"/>
      <c r="EQ165" s="117"/>
      <c r="ER165" s="117"/>
      <c r="ES165" s="117"/>
      <c r="ET165" s="117"/>
      <c r="EU165" s="117"/>
      <c r="EV165" s="117"/>
      <c r="EW165" s="117"/>
      <c r="EX165" s="117"/>
      <c r="EY165" s="117"/>
      <c r="EZ165" s="117"/>
      <c r="FA165" s="117"/>
      <c r="FB165" s="117"/>
      <c r="FC165" s="117"/>
      <c r="FD165" s="117"/>
      <c r="FE165" s="117"/>
      <c r="FF165" s="117"/>
      <c r="FG165" s="117"/>
      <c r="FH165" s="117"/>
      <c r="FI165" s="117"/>
      <c r="FJ165" s="117"/>
      <c r="FK165" s="117"/>
      <c r="FL165" s="117"/>
      <c r="FM165" s="117"/>
      <c r="FN165" s="117"/>
      <c r="FO165" s="117"/>
      <c r="FP165" s="117"/>
      <c r="FQ165" s="117"/>
      <c r="FR165" s="117"/>
      <c r="FS165" s="117"/>
      <c r="FT165" s="117"/>
      <c r="FU165" s="117"/>
      <c r="FV165" s="117"/>
      <c r="FW165" s="117"/>
      <c r="FX165" s="117"/>
      <c r="FY165" s="117"/>
      <c r="FZ165" s="117"/>
      <c r="GA165" s="117"/>
      <c r="GB165" s="117"/>
      <c r="GC165" s="117"/>
      <c r="GD165" s="117"/>
      <c r="GE165" s="117"/>
      <c r="GF165" s="117"/>
      <c r="GG165" s="117"/>
      <c r="GH165" s="117"/>
      <c r="GI165" s="117"/>
      <c r="GJ165" s="117"/>
      <c r="GK165" s="117"/>
      <c r="GL165" s="117"/>
      <c r="GM165" s="117"/>
      <c r="GN165" s="117"/>
      <c r="GO165" s="117"/>
      <c r="GP165" s="117"/>
      <c r="GQ165" s="117"/>
      <c r="GR165" s="117"/>
      <c r="GS165" s="117"/>
      <c r="GT165" s="117"/>
      <c r="GU165" s="117"/>
      <c r="GV165" s="117"/>
      <c r="GW165" s="117"/>
      <c r="GX165" s="117"/>
      <c r="GY165" s="117"/>
      <c r="GZ165" s="117"/>
      <c r="HA165" s="117"/>
      <c r="HB165" s="117"/>
      <c r="HC165" s="117"/>
      <c r="HD165" s="117"/>
      <c r="HE165" s="117"/>
      <c r="HF165" s="117"/>
      <c r="HG165" s="117"/>
      <c r="HH165" s="117"/>
      <c r="HI165" s="117"/>
      <c r="HJ165" s="117"/>
      <c r="HK165" s="117"/>
      <c r="HL165" s="117"/>
      <c r="HM165" s="117"/>
      <c r="HN165" s="117"/>
      <c r="HO165" s="117"/>
      <c r="HP165" s="117"/>
      <c r="HQ165" s="117"/>
      <c r="HR165" s="117"/>
      <c r="HS165" s="117"/>
      <c r="HT165" s="117"/>
      <c r="HU165" s="117"/>
      <c r="HV165" s="117"/>
      <c r="HW165" s="117"/>
      <c r="HX165" s="117"/>
      <c r="HY165" s="117"/>
      <c r="HZ165" s="117"/>
      <c r="IA165" s="117"/>
      <c r="IB165" s="117"/>
    </row>
    <row r="166" spans="1:236" s="79" customFormat="1" ht="14.25">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7"/>
      <c r="EI166" s="117"/>
      <c r="EJ166" s="117"/>
      <c r="EK166" s="117"/>
      <c r="EL166" s="117"/>
      <c r="EM166" s="117"/>
      <c r="EN166" s="117"/>
      <c r="EO166" s="117"/>
      <c r="EP166" s="117"/>
      <c r="EQ166" s="117"/>
      <c r="ER166" s="117"/>
      <c r="ES166" s="117"/>
      <c r="ET166" s="117"/>
      <c r="EU166" s="117"/>
      <c r="EV166" s="117"/>
      <c r="EW166" s="117"/>
      <c r="EX166" s="117"/>
      <c r="EY166" s="117"/>
      <c r="EZ166" s="117"/>
      <c r="FA166" s="117"/>
      <c r="FB166" s="117"/>
      <c r="FC166" s="117"/>
      <c r="FD166" s="117"/>
      <c r="FE166" s="117"/>
      <c r="FF166" s="117"/>
      <c r="FG166" s="117"/>
      <c r="FH166" s="117"/>
      <c r="FI166" s="117"/>
      <c r="FJ166" s="117"/>
      <c r="FK166" s="117"/>
      <c r="FL166" s="117"/>
      <c r="FM166" s="117"/>
      <c r="FN166" s="117"/>
      <c r="FO166" s="117"/>
      <c r="FP166" s="117"/>
      <c r="FQ166" s="117"/>
      <c r="FR166" s="117"/>
      <c r="FS166" s="117"/>
      <c r="FT166" s="117"/>
      <c r="FU166" s="117"/>
      <c r="FV166" s="117"/>
      <c r="FW166" s="117"/>
      <c r="FX166" s="117"/>
      <c r="FY166" s="117"/>
      <c r="FZ166" s="117"/>
      <c r="GA166" s="117"/>
      <c r="GB166" s="117"/>
      <c r="GC166" s="117"/>
      <c r="GD166" s="117"/>
      <c r="GE166" s="117"/>
      <c r="GF166" s="117"/>
      <c r="GG166" s="117"/>
      <c r="GH166" s="117"/>
      <c r="GI166" s="117"/>
      <c r="GJ166" s="117"/>
      <c r="GK166" s="117"/>
      <c r="GL166" s="117"/>
      <c r="GM166" s="117"/>
      <c r="GN166" s="117"/>
      <c r="GO166" s="117"/>
      <c r="GP166" s="117"/>
      <c r="GQ166" s="117"/>
      <c r="GR166" s="117"/>
      <c r="GS166" s="117"/>
      <c r="GT166" s="117"/>
      <c r="GU166" s="117"/>
      <c r="GV166" s="117"/>
      <c r="GW166" s="117"/>
      <c r="GX166" s="117"/>
      <c r="GY166" s="117"/>
      <c r="GZ166" s="117"/>
      <c r="HA166" s="117"/>
      <c r="HB166" s="117"/>
      <c r="HC166" s="117"/>
      <c r="HD166" s="117"/>
      <c r="HE166" s="117"/>
      <c r="HF166" s="117"/>
      <c r="HG166" s="117"/>
      <c r="HH166" s="117"/>
      <c r="HI166" s="117"/>
      <c r="HJ166" s="117"/>
      <c r="HK166" s="117"/>
      <c r="HL166" s="117"/>
      <c r="HM166" s="117"/>
      <c r="HN166" s="117"/>
      <c r="HO166" s="117"/>
      <c r="HP166" s="117"/>
      <c r="HQ166" s="117"/>
      <c r="HR166" s="117"/>
      <c r="HS166" s="117"/>
      <c r="HT166" s="117"/>
      <c r="HU166" s="117"/>
      <c r="HV166" s="117"/>
      <c r="HW166" s="117"/>
      <c r="HX166" s="117"/>
      <c r="HY166" s="117"/>
      <c r="HZ166" s="117"/>
      <c r="IA166" s="117"/>
      <c r="IB166" s="117"/>
    </row>
    <row r="167" spans="1:236" s="79" customFormat="1" ht="14.25">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7"/>
      <c r="EI167" s="117"/>
      <c r="EJ167" s="117"/>
      <c r="EK167" s="117"/>
      <c r="EL167" s="117"/>
      <c r="EM167" s="117"/>
      <c r="EN167" s="117"/>
      <c r="EO167" s="117"/>
      <c r="EP167" s="117"/>
      <c r="EQ167" s="117"/>
      <c r="ER167" s="117"/>
      <c r="ES167" s="117"/>
      <c r="ET167" s="117"/>
      <c r="EU167" s="117"/>
      <c r="EV167" s="117"/>
      <c r="EW167" s="117"/>
      <c r="EX167" s="117"/>
      <c r="EY167" s="117"/>
      <c r="EZ167" s="117"/>
      <c r="FA167" s="117"/>
      <c r="FB167" s="117"/>
      <c r="FC167" s="117"/>
      <c r="FD167" s="117"/>
      <c r="FE167" s="117"/>
      <c r="FF167" s="117"/>
      <c r="FG167" s="117"/>
      <c r="FH167" s="117"/>
      <c r="FI167" s="117"/>
      <c r="FJ167" s="117"/>
      <c r="FK167" s="117"/>
      <c r="FL167" s="117"/>
      <c r="FM167" s="117"/>
      <c r="FN167" s="117"/>
      <c r="FO167" s="117"/>
      <c r="FP167" s="117"/>
      <c r="FQ167" s="117"/>
      <c r="FR167" s="117"/>
      <c r="FS167" s="117"/>
      <c r="FT167" s="117"/>
      <c r="FU167" s="117"/>
      <c r="FV167" s="117"/>
      <c r="FW167" s="117"/>
      <c r="FX167" s="117"/>
      <c r="FY167" s="117"/>
      <c r="FZ167" s="117"/>
      <c r="GA167" s="117"/>
      <c r="GB167" s="117"/>
      <c r="GC167" s="117"/>
      <c r="GD167" s="117"/>
      <c r="GE167" s="117"/>
      <c r="GF167" s="117"/>
      <c r="GG167" s="117"/>
      <c r="GH167" s="117"/>
      <c r="GI167" s="117"/>
      <c r="GJ167" s="117"/>
      <c r="GK167" s="117"/>
      <c r="GL167" s="117"/>
      <c r="GM167" s="117"/>
      <c r="GN167" s="117"/>
      <c r="GO167" s="117"/>
      <c r="GP167" s="117"/>
      <c r="GQ167" s="117"/>
      <c r="GR167" s="117"/>
      <c r="GS167" s="117"/>
      <c r="GT167" s="117"/>
      <c r="GU167" s="117"/>
      <c r="GV167" s="117"/>
      <c r="GW167" s="117"/>
      <c r="GX167" s="117"/>
      <c r="GY167" s="117"/>
      <c r="GZ167" s="117"/>
      <c r="HA167" s="117"/>
      <c r="HB167" s="117"/>
      <c r="HC167" s="117"/>
      <c r="HD167" s="117"/>
      <c r="HE167" s="117"/>
      <c r="HF167" s="117"/>
      <c r="HG167" s="117"/>
      <c r="HH167" s="117"/>
      <c r="HI167" s="117"/>
      <c r="HJ167" s="117"/>
      <c r="HK167" s="117"/>
      <c r="HL167" s="117"/>
      <c r="HM167" s="117"/>
      <c r="HN167" s="117"/>
      <c r="HO167" s="117"/>
      <c r="HP167" s="117"/>
      <c r="HQ167" s="117"/>
      <c r="HR167" s="117"/>
      <c r="HS167" s="117"/>
      <c r="HT167" s="117"/>
      <c r="HU167" s="117"/>
      <c r="HV167" s="117"/>
      <c r="HW167" s="117"/>
      <c r="HX167" s="117"/>
      <c r="HY167" s="117"/>
      <c r="HZ167" s="117"/>
      <c r="IA167" s="117"/>
      <c r="IB167" s="117"/>
    </row>
    <row r="168" spans="1:236" s="79" customFormat="1" ht="14.25">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7"/>
      <c r="EI168" s="117"/>
      <c r="EJ168" s="117"/>
      <c r="EK168" s="117"/>
      <c r="EL168" s="117"/>
      <c r="EM168" s="117"/>
      <c r="EN168" s="117"/>
      <c r="EO168" s="117"/>
      <c r="EP168" s="117"/>
      <c r="EQ168" s="117"/>
      <c r="ER168" s="117"/>
      <c r="ES168" s="117"/>
      <c r="ET168" s="117"/>
      <c r="EU168" s="117"/>
      <c r="EV168" s="117"/>
      <c r="EW168" s="117"/>
      <c r="EX168" s="117"/>
      <c r="EY168" s="117"/>
      <c r="EZ168" s="117"/>
      <c r="FA168" s="117"/>
      <c r="FB168" s="117"/>
      <c r="FC168" s="117"/>
      <c r="FD168" s="117"/>
      <c r="FE168" s="117"/>
      <c r="FF168" s="117"/>
      <c r="FG168" s="117"/>
      <c r="FH168" s="117"/>
      <c r="FI168" s="117"/>
      <c r="FJ168" s="117"/>
      <c r="FK168" s="117"/>
      <c r="FL168" s="117"/>
      <c r="FM168" s="117"/>
      <c r="FN168" s="117"/>
      <c r="FO168" s="117"/>
      <c r="FP168" s="117"/>
      <c r="FQ168" s="117"/>
      <c r="FR168" s="117"/>
      <c r="FS168" s="117"/>
      <c r="FT168" s="117"/>
      <c r="FU168" s="117"/>
      <c r="FV168" s="117"/>
      <c r="FW168" s="117"/>
      <c r="FX168" s="117"/>
      <c r="FY168" s="117"/>
      <c r="FZ168" s="117"/>
      <c r="GA168" s="117"/>
      <c r="GB168" s="117"/>
      <c r="GC168" s="117"/>
      <c r="GD168" s="117"/>
      <c r="GE168" s="117"/>
      <c r="GF168" s="117"/>
      <c r="GG168" s="117"/>
      <c r="GH168" s="117"/>
      <c r="GI168" s="117"/>
      <c r="GJ168" s="117"/>
      <c r="GK168" s="117"/>
      <c r="GL168" s="117"/>
      <c r="GM168" s="117"/>
      <c r="GN168" s="117"/>
      <c r="GO168" s="117"/>
      <c r="GP168" s="117"/>
      <c r="GQ168" s="117"/>
      <c r="GR168" s="117"/>
      <c r="GS168" s="117"/>
      <c r="GT168" s="117"/>
      <c r="GU168" s="117"/>
      <c r="GV168" s="117"/>
      <c r="GW168" s="117"/>
      <c r="GX168" s="117"/>
      <c r="GY168" s="117"/>
      <c r="GZ168" s="117"/>
      <c r="HA168" s="117"/>
      <c r="HB168" s="117"/>
      <c r="HC168" s="117"/>
      <c r="HD168" s="117"/>
      <c r="HE168" s="117"/>
      <c r="HF168" s="117"/>
      <c r="HG168" s="117"/>
      <c r="HH168" s="117"/>
      <c r="HI168" s="117"/>
      <c r="HJ168" s="117"/>
      <c r="HK168" s="117"/>
      <c r="HL168" s="117"/>
      <c r="HM168" s="117"/>
      <c r="HN168" s="117"/>
      <c r="HO168" s="117"/>
      <c r="HP168" s="117"/>
      <c r="HQ168" s="117"/>
      <c r="HR168" s="117"/>
      <c r="HS168" s="117"/>
      <c r="HT168" s="117"/>
      <c r="HU168" s="117"/>
      <c r="HV168" s="117"/>
      <c r="HW168" s="117"/>
      <c r="HX168" s="117"/>
      <c r="HY168" s="117"/>
      <c r="HZ168" s="117"/>
      <c r="IA168" s="117"/>
      <c r="IB168" s="117"/>
    </row>
    <row r="169" spans="1:236" s="79" customFormat="1" ht="14.25">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7"/>
      <c r="EI169" s="117"/>
      <c r="EJ169" s="117"/>
      <c r="EK169" s="117"/>
      <c r="EL169" s="117"/>
      <c r="EM169" s="117"/>
      <c r="EN169" s="117"/>
      <c r="EO169" s="117"/>
      <c r="EP169" s="117"/>
      <c r="EQ169" s="117"/>
      <c r="ER169" s="117"/>
      <c r="ES169" s="117"/>
      <c r="ET169" s="117"/>
      <c r="EU169" s="117"/>
      <c r="EV169" s="117"/>
      <c r="EW169" s="117"/>
      <c r="EX169" s="117"/>
      <c r="EY169" s="117"/>
      <c r="EZ169" s="117"/>
      <c r="FA169" s="117"/>
      <c r="FB169" s="117"/>
      <c r="FC169" s="117"/>
      <c r="FD169" s="117"/>
      <c r="FE169" s="117"/>
      <c r="FF169" s="117"/>
      <c r="FG169" s="117"/>
      <c r="FH169" s="117"/>
      <c r="FI169" s="117"/>
      <c r="FJ169" s="117"/>
      <c r="FK169" s="117"/>
      <c r="FL169" s="117"/>
      <c r="FM169" s="117"/>
      <c r="FN169" s="117"/>
      <c r="FO169" s="117"/>
      <c r="FP169" s="117"/>
      <c r="FQ169" s="117"/>
      <c r="FR169" s="117"/>
      <c r="FS169" s="117"/>
      <c r="FT169" s="117"/>
      <c r="FU169" s="117"/>
      <c r="FV169" s="117"/>
      <c r="FW169" s="117"/>
      <c r="FX169" s="117"/>
      <c r="FY169" s="117"/>
      <c r="FZ169" s="117"/>
      <c r="GA169" s="117"/>
      <c r="GB169" s="117"/>
      <c r="GC169" s="117"/>
      <c r="GD169" s="117"/>
      <c r="GE169" s="117"/>
      <c r="GF169" s="117"/>
      <c r="GG169" s="117"/>
      <c r="GH169" s="117"/>
      <c r="GI169" s="117"/>
      <c r="GJ169" s="117"/>
      <c r="GK169" s="117"/>
      <c r="GL169" s="117"/>
      <c r="GM169" s="117"/>
      <c r="GN169" s="117"/>
      <c r="GO169" s="117"/>
      <c r="GP169" s="117"/>
      <c r="GQ169" s="117"/>
      <c r="GR169" s="117"/>
      <c r="GS169" s="117"/>
      <c r="GT169" s="117"/>
      <c r="GU169" s="117"/>
      <c r="GV169" s="117"/>
      <c r="GW169" s="117"/>
      <c r="GX169" s="117"/>
      <c r="GY169" s="117"/>
      <c r="GZ169" s="117"/>
      <c r="HA169" s="117"/>
      <c r="HB169" s="117"/>
      <c r="HC169" s="117"/>
      <c r="HD169" s="117"/>
      <c r="HE169" s="117"/>
      <c r="HF169" s="117"/>
      <c r="HG169" s="117"/>
      <c r="HH169" s="117"/>
      <c r="HI169" s="117"/>
      <c r="HJ169" s="117"/>
      <c r="HK169" s="117"/>
      <c r="HL169" s="117"/>
      <c r="HM169" s="117"/>
      <c r="HN169" s="117"/>
      <c r="HO169" s="117"/>
      <c r="HP169" s="117"/>
      <c r="HQ169" s="117"/>
      <c r="HR169" s="117"/>
      <c r="HS169" s="117"/>
      <c r="HT169" s="117"/>
      <c r="HU169" s="117"/>
      <c r="HV169" s="117"/>
      <c r="HW169" s="117"/>
      <c r="HX169" s="117"/>
      <c r="HY169" s="117"/>
      <c r="HZ169" s="117"/>
      <c r="IA169" s="117"/>
      <c r="IB169" s="117"/>
    </row>
    <row r="170" spans="1:236" s="79" customFormat="1" ht="14.25">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7"/>
      <c r="EI170" s="117"/>
      <c r="EJ170" s="117"/>
      <c r="EK170" s="117"/>
      <c r="EL170" s="117"/>
      <c r="EM170" s="117"/>
      <c r="EN170" s="117"/>
      <c r="EO170" s="117"/>
      <c r="EP170" s="117"/>
      <c r="EQ170" s="117"/>
      <c r="ER170" s="117"/>
      <c r="ES170" s="117"/>
      <c r="ET170" s="117"/>
      <c r="EU170" s="117"/>
      <c r="EV170" s="117"/>
      <c r="EW170" s="117"/>
      <c r="EX170" s="117"/>
      <c r="EY170" s="117"/>
      <c r="EZ170" s="117"/>
      <c r="FA170" s="117"/>
      <c r="FB170" s="117"/>
      <c r="FC170" s="117"/>
      <c r="FD170" s="117"/>
      <c r="FE170" s="117"/>
      <c r="FF170" s="117"/>
      <c r="FG170" s="117"/>
      <c r="FH170" s="117"/>
      <c r="FI170" s="117"/>
      <c r="FJ170" s="117"/>
      <c r="FK170" s="117"/>
      <c r="FL170" s="117"/>
      <c r="FM170" s="117"/>
      <c r="FN170" s="117"/>
      <c r="FO170" s="117"/>
      <c r="FP170" s="117"/>
      <c r="FQ170" s="117"/>
      <c r="FR170" s="117"/>
      <c r="FS170" s="117"/>
      <c r="FT170" s="117"/>
      <c r="FU170" s="117"/>
      <c r="FV170" s="117"/>
      <c r="FW170" s="117"/>
      <c r="FX170" s="117"/>
      <c r="FY170" s="117"/>
      <c r="FZ170" s="117"/>
      <c r="GA170" s="117"/>
      <c r="GB170" s="117"/>
      <c r="GC170" s="117"/>
      <c r="GD170" s="117"/>
      <c r="GE170" s="117"/>
      <c r="GF170" s="117"/>
      <c r="GG170" s="117"/>
      <c r="GH170" s="117"/>
      <c r="GI170" s="117"/>
      <c r="GJ170" s="117"/>
      <c r="GK170" s="117"/>
      <c r="GL170" s="117"/>
      <c r="GM170" s="117"/>
      <c r="GN170" s="117"/>
      <c r="GO170" s="117"/>
      <c r="GP170" s="117"/>
      <c r="GQ170" s="117"/>
      <c r="GR170" s="117"/>
      <c r="GS170" s="117"/>
      <c r="GT170" s="117"/>
      <c r="GU170" s="117"/>
      <c r="GV170" s="117"/>
      <c r="GW170" s="117"/>
      <c r="GX170" s="117"/>
      <c r="GY170" s="117"/>
      <c r="GZ170" s="117"/>
      <c r="HA170" s="117"/>
      <c r="HB170" s="117"/>
      <c r="HC170" s="117"/>
      <c r="HD170" s="117"/>
      <c r="HE170" s="117"/>
      <c r="HF170" s="117"/>
      <c r="HG170" s="117"/>
      <c r="HH170" s="117"/>
      <c r="HI170" s="117"/>
      <c r="HJ170" s="117"/>
      <c r="HK170" s="117"/>
      <c r="HL170" s="117"/>
      <c r="HM170" s="117"/>
      <c r="HN170" s="117"/>
      <c r="HO170" s="117"/>
      <c r="HP170" s="117"/>
      <c r="HQ170" s="117"/>
      <c r="HR170" s="117"/>
      <c r="HS170" s="117"/>
      <c r="HT170" s="117"/>
      <c r="HU170" s="117"/>
      <c r="HV170" s="117"/>
      <c r="HW170" s="117"/>
      <c r="HX170" s="117"/>
      <c r="HY170" s="117"/>
      <c r="HZ170" s="117"/>
      <c r="IA170" s="117"/>
      <c r="IB170" s="117"/>
    </row>
    <row r="171" spans="1:236" s="79" customFormat="1" ht="14.25">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7"/>
      <c r="EI171" s="117"/>
      <c r="EJ171" s="117"/>
      <c r="EK171" s="117"/>
      <c r="EL171" s="117"/>
      <c r="EM171" s="117"/>
      <c r="EN171" s="117"/>
      <c r="EO171" s="117"/>
      <c r="EP171" s="117"/>
      <c r="EQ171" s="117"/>
      <c r="ER171" s="117"/>
      <c r="ES171" s="117"/>
      <c r="ET171" s="117"/>
      <c r="EU171" s="117"/>
      <c r="EV171" s="117"/>
      <c r="EW171" s="117"/>
      <c r="EX171" s="117"/>
      <c r="EY171" s="117"/>
      <c r="EZ171" s="117"/>
      <c r="FA171" s="117"/>
      <c r="FB171" s="117"/>
      <c r="FC171" s="117"/>
      <c r="FD171" s="117"/>
      <c r="FE171" s="117"/>
      <c r="FF171" s="117"/>
      <c r="FG171" s="117"/>
      <c r="FH171" s="117"/>
      <c r="FI171" s="117"/>
      <c r="FJ171" s="117"/>
      <c r="FK171" s="117"/>
      <c r="FL171" s="117"/>
      <c r="FM171" s="117"/>
      <c r="FN171" s="117"/>
      <c r="FO171" s="117"/>
      <c r="FP171" s="117"/>
      <c r="FQ171" s="117"/>
      <c r="FR171" s="117"/>
      <c r="FS171" s="117"/>
      <c r="FT171" s="117"/>
      <c r="FU171" s="117"/>
      <c r="FV171" s="117"/>
      <c r="FW171" s="117"/>
      <c r="FX171" s="117"/>
      <c r="FY171" s="117"/>
      <c r="FZ171" s="117"/>
      <c r="GA171" s="117"/>
      <c r="GB171" s="117"/>
      <c r="GC171" s="117"/>
      <c r="GD171" s="117"/>
      <c r="GE171" s="117"/>
      <c r="GF171" s="117"/>
      <c r="GG171" s="117"/>
      <c r="GH171" s="117"/>
      <c r="GI171" s="117"/>
      <c r="GJ171" s="117"/>
      <c r="GK171" s="117"/>
      <c r="GL171" s="117"/>
      <c r="GM171" s="117"/>
      <c r="GN171" s="117"/>
      <c r="GO171" s="117"/>
      <c r="GP171" s="117"/>
      <c r="GQ171" s="117"/>
      <c r="GR171" s="117"/>
      <c r="GS171" s="117"/>
      <c r="GT171" s="117"/>
      <c r="GU171" s="117"/>
      <c r="GV171" s="117"/>
      <c r="GW171" s="117"/>
      <c r="GX171" s="117"/>
      <c r="GY171" s="117"/>
      <c r="GZ171" s="117"/>
      <c r="HA171" s="117"/>
      <c r="HB171" s="117"/>
      <c r="HC171" s="117"/>
      <c r="HD171" s="117"/>
      <c r="HE171" s="117"/>
      <c r="HF171" s="117"/>
      <c r="HG171" s="117"/>
      <c r="HH171" s="117"/>
      <c r="HI171" s="117"/>
      <c r="HJ171" s="117"/>
      <c r="HK171" s="117"/>
      <c r="HL171" s="117"/>
      <c r="HM171" s="117"/>
      <c r="HN171" s="117"/>
      <c r="HO171" s="117"/>
      <c r="HP171" s="117"/>
      <c r="HQ171" s="117"/>
      <c r="HR171" s="117"/>
      <c r="HS171" s="117"/>
      <c r="HT171" s="117"/>
      <c r="HU171" s="117"/>
      <c r="HV171" s="117"/>
      <c r="HW171" s="117"/>
      <c r="HX171" s="117"/>
      <c r="HY171" s="117"/>
      <c r="HZ171" s="117"/>
      <c r="IA171" s="117"/>
      <c r="IB171" s="117"/>
    </row>
    <row r="172" spans="1:236" s="79" customFormat="1" ht="14.25">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7"/>
      <c r="EI172" s="117"/>
      <c r="EJ172" s="117"/>
      <c r="EK172" s="117"/>
      <c r="EL172" s="117"/>
      <c r="EM172" s="117"/>
      <c r="EN172" s="117"/>
      <c r="EO172" s="117"/>
      <c r="EP172" s="117"/>
      <c r="EQ172" s="117"/>
      <c r="ER172" s="117"/>
      <c r="ES172" s="117"/>
      <c r="ET172" s="117"/>
      <c r="EU172" s="117"/>
      <c r="EV172" s="117"/>
      <c r="EW172" s="117"/>
      <c r="EX172" s="117"/>
      <c r="EY172" s="117"/>
      <c r="EZ172" s="117"/>
      <c r="FA172" s="117"/>
      <c r="FB172" s="117"/>
      <c r="FC172" s="117"/>
      <c r="FD172" s="117"/>
      <c r="FE172" s="117"/>
      <c r="FF172" s="117"/>
      <c r="FG172" s="117"/>
      <c r="FH172" s="117"/>
      <c r="FI172" s="117"/>
      <c r="FJ172" s="117"/>
      <c r="FK172" s="117"/>
      <c r="FL172" s="117"/>
      <c r="FM172" s="117"/>
      <c r="FN172" s="117"/>
      <c r="FO172" s="117"/>
      <c r="FP172" s="117"/>
      <c r="FQ172" s="117"/>
      <c r="FR172" s="117"/>
      <c r="FS172" s="117"/>
      <c r="FT172" s="117"/>
      <c r="FU172" s="117"/>
      <c r="FV172" s="117"/>
      <c r="FW172" s="117"/>
      <c r="FX172" s="117"/>
      <c r="FY172" s="117"/>
      <c r="FZ172" s="117"/>
      <c r="GA172" s="117"/>
      <c r="GB172" s="117"/>
      <c r="GC172" s="117"/>
      <c r="GD172" s="117"/>
      <c r="GE172" s="117"/>
      <c r="GF172" s="117"/>
      <c r="GG172" s="117"/>
      <c r="GH172" s="117"/>
      <c r="GI172" s="117"/>
      <c r="GJ172" s="117"/>
      <c r="GK172" s="117"/>
      <c r="GL172" s="117"/>
      <c r="GM172" s="117"/>
      <c r="GN172" s="117"/>
      <c r="GO172" s="117"/>
      <c r="GP172" s="117"/>
      <c r="GQ172" s="117"/>
      <c r="GR172" s="117"/>
      <c r="GS172" s="117"/>
      <c r="GT172" s="117"/>
      <c r="GU172" s="117"/>
      <c r="GV172" s="117"/>
      <c r="GW172" s="117"/>
      <c r="GX172" s="117"/>
      <c r="GY172" s="117"/>
      <c r="GZ172" s="117"/>
      <c r="HA172" s="117"/>
      <c r="HB172" s="117"/>
      <c r="HC172" s="117"/>
      <c r="HD172" s="117"/>
      <c r="HE172" s="117"/>
      <c r="HF172" s="117"/>
      <c r="HG172" s="117"/>
      <c r="HH172" s="117"/>
      <c r="HI172" s="117"/>
      <c r="HJ172" s="117"/>
      <c r="HK172" s="117"/>
      <c r="HL172" s="117"/>
      <c r="HM172" s="117"/>
      <c r="HN172" s="117"/>
      <c r="HO172" s="117"/>
      <c r="HP172" s="117"/>
      <c r="HQ172" s="117"/>
      <c r="HR172" s="117"/>
      <c r="HS172" s="117"/>
      <c r="HT172" s="117"/>
      <c r="HU172" s="117"/>
      <c r="HV172" s="117"/>
      <c r="HW172" s="117"/>
      <c r="HX172" s="117"/>
      <c r="HY172" s="117"/>
      <c r="HZ172" s="117"/>
      <c r="IA172" s="117"/>
      <c r="IB172" s="117"/>
    </row>
    <row r="173" spans="1:236" s="79" customFormat="1" ht="14.25">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7"/>
      <c r="EI173" s="117"/>
      <c r="EJ173" s="117"/>
      <c r="EK173" s="117"/>
      <c r="EL173" s="117"/>
      <c r="EM173" s="117"/>
      <c r="EN173" s="117"/>
      <c r="EO173" s="117"/>
      <c r="EP173" s="117"/>
      <c r="EQ173" s="117"/>
      <c r="ER173" s="117"/>
      <c r="ES173" s="117"/>
      <c r="ET173" s="117"/>
      <c r="EU173" s="117"/>
      <c r="EV173" s="117"/>
      <c r="EW173" s="117"/>
      <c r="EX173" s="117"/>
      <c r="EY173" s="117"/>
      <c r="EZ173" s="117"/>
      <c r="FA173" s="117"/>
      <c r="FB173" s="117"/>
      <c r="FC173" s="117"/>
      <c r="FD173" s="117"/>
      <c r="FE173" s="117"/>
      <c r="FF173" s="117"/>
      <c r="FG173" s="117"/>
      <c r="FH173" s="117"/>
      <c r="FI173" s="117"/>
      <c r="FJ173" s="117"/>
      <c r="FK173" s="117"/>
      <c r="FL173" s="117"/>
      <c r="FM173" s="117"/>
      <c r="FN173" s="117"/>
      <c r="FO173" s="117"/>
      <c r="FP173" s="117"/>
      <c r="FQ173" s="117"/>
      <c r="FR173" s="117"/>
      <c r="FS173" s="117"/>
      <c r="FT173" s="117"/>
      <c r="FU173" s="117"/>
      <c r="FV173" s="117"/>
      <c r="FW173" s="117"/>
      <c r="FX173" s="117"/>
      <c r="FY173" s="117"/>
      <c r="FZ173" s="117"/>
      <c r="GA173" s="117"/>
      <c r="GB173" s="117"/>
      <c r="GC173" s="117"/>
      <c r="GD173" s="117"/>
      <c r="GE173" s="117"/>
      <c r="GF173" s="117"/>
      <c r="GG173" s="117"/>
      <c r="GH173" s="117"/>
      <c r="GI173" s="117"/>
      <c r="GJ173" s="117"/>
      <c r="GK173" s="117"/>
      <c r="GL173" s="117"/>
      <c r="GM173" s="117"/>
      <c r="GN173" s="117"/>
      <c r="GO173" s="117"/>
      <c r="GP173" s="117"/>
      <c r="GQ173" s="117"/>
      <c r="GR173" s="117"/>
      <c r="GS173" s="117"/>
      <c r="GT173" s="117"/>
      <c r="GU173" s="117"/>
      <c r="GV173" s="117"/>
      <c r="GW173" s="117"/>
      <c r="GX173" s="117"/>
      <c r="GY173" s="117"/>
      <c r="GZ173" s="117"/>
      <c r="HA173" s="117"/>
      <c r="HB173" s="117"/>
      <c r="HC173" s="117"/>
      <c r="HD173" s="117"/>
      <c r="HE173" s="117"/>
      <c r="HF173" s="117"/>
      <c r="HG173" s="117"/>
      <c r="HH173" s="117"/>
      <c r="HI173" s="117"/>
      <c r="HJ173" s="117"/>
      <c r="HK173" s="117"/>
      <c r="HL173" s="117"/>
      <c r="HM173" s="117"/>
      <c r="HN173" s="117"/>
      <c r="HO173" s="117"/>
      <c r="HP173" s="117"/>
      <c r="HQ173" s="117"/>
      <c r="HR173" s="117"/>
      <c r="HS173" s="117"/>
      <c r="HT173" s="117"/>
      <c r="HU173" s="117"/>
      <c r="HV173" s="117"/>
      <c r="HW173" s="117"/>
      <c r="HX173" s="117"/>
      <c r="HY173" s="117"/>
      <c r="HZ173" s="117"/>
      <c r="IA173" s="117"/>
      <c r="IB173" s="117"/>
    </row>
    <row r="174" spans="1:236">
      <c r="A174" s="117"/>
      <c r="B174" s="117"/>
      <c r="C174" s="117"/>
      <c r="D174" s="117"/>
      <c r="E174" s="117"/>
      <c r="F174" s="117"/>
      <c r="G174" s="117"/>
      <c r="H174" s="117"/>
      <c r="I174" s="117"/>
      <c r="J174" s="117"/>
      <c r="K174" s="117"/>
      <c r="L174" s="117"/>
      <c r="M174" s="117"/>
      <c r="N174" s="117"/>
      <c r="O174" s="117"/>
      <c r="P174" s="117"/>
      <c r="Q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7"/>
      <c r="EI174" s="117"/>
      <c r="EJ174" s="117"/>
      <c r="EK174" s="117"/>
      <c r="EL174" s="117"/>
      <c r="EM174" s="117"/>
      <c r="EN174" s="117"/>
      <c r="EO174" s="117"/>
      <c r="EP174" s="117"/>
      <c r="EQ174" s="117"/>
      <c r="ER174" s="117"/>
      <c r="ES174" s="117"/>
      <c r="ET174" s="117"/>
      <c r="EU174" s="117"/>
      <c r="EV174" s="117"/>
      <c r="EW174" s="117"/>
      <c r="EX174" s="117"/>
      <c r="EY174" s="117"/>
      <c r="EZ174" s="117"/>
      <c r="FA174" s="117"/>
      <c r="FB174" s="117"/>
      <c r="FC174" s="117"/>
      <c r="FD174" s="117"/>
      <c r="FE174" s="117"/>
      <c r="FF174" s="117"/>
      <c r="FG174" s="117"/>
      <c r="FH174" s="117"/>
      <c r="FI174" s="117"/>
      <c r="FJ174" s="117"/>
      <c r="FK174" s="117"/>
      <c r="FL174" s="117"/>
      <c r="FM174" s="117"/>
      <c r="FN174" s="117"/>
      <c r="FO174" s="117"/>
      <c r="FP174" s="117"/>
      <c r="FQ174" s="117"/>
      <c r="FR174" s="117"/>
      <c r="FS174" s="117"/>
      <c r="FT174" s="117"/>
      <c r="FU174" s="117"/>
      <c r="FV174" s="117"/>
      <c r="FW174" s="117"/>
      <c r="FX174" s="117"/>
      <c r="FY174" s="117"/>
      <c r="FZ174" s="117"/>
      <c r="GA174" s="117"/>
      <c r="GB174" s="117"/>
      <c r="GC174" s="117"/>
      <c r="GD174" s="117"/>
      <c r="GE174" s="117"/>
      <c r="GF174" s="117"/>
      <c r="GG174" s="117"/>
      <c r="GH174" s="117"/>
      <c r="GI174" s="117"/>
      <c r="GJ174" s="117"/>
      <c r="GK174" s="117"/>
      <c r="GL174" s="117"/>
      <c r="GM174" s="117"/>
      <c r="GN174" s="117"/>
      <c r="GO174" s="117"/>
      <c r="GP174" s="117"/>
      <c r="GQ174" s="117"/>
      <c r="GR174" s="117"/>
      <c r="GS174" s="117"/>
      <c r="GT174" s="117"/>
      <c r="GU174" s="117"/>
      <c r="GV174" s="117"/>
      <c r="GW174" s="117"/>
      <c r="GX174" s="117"/>
      <c r="GY174" s="117"/>
      <c r="GZ174" s="117"/>
      <c r="HA174" s="117"/>
      <c r="HB174" s="117"/>
      <c r="HC174" s="117"/>
      <c r="HD174" s="117"/>
      <c r="HE174" s="117"/>
      <c r="HF174" s="117"/>
      <c r="HG174" s="117"/>
      <c r="HH174" s="117"/>
      <c r="HI174" s="117"/>
      <c r="HJ174" s="117"/>
      <c r="HK174" s="117"/>
      <c r="HL174" s="117"/>
      <c r="HM174" s="117"/>
      <c r="HN174" s="117"/>
      <c r="HO174" s="117"/>
      <c r="HP174" s="117"/>
      <c r="HQ174" s="117"/>
      <c r="HR174" s="117"/>
      <c r="HS174" s="117"/>
      <c r="HT174" s="117"/>
      <c r="HU174" s="117"/>
      <c r="HV174" s="117"/>
      <c r="HW174" s="117"/>
      <c r="HX174" s="117"/>
      <c r="HY174" s="117"/>
      <c r="HZ174" s="117"/>
      <c r="IA174" s="117"/>
      <c r="IB174" s="117"/>
    </row>
    <row r="175" spans="1:236">
      <c r="A175" s="117"/>
      <c r="B175" s="117"/>
      <c r="C175" s="117"/>
      <c r="D175" s="117"/>
      <c r="E175" s="117"/>
      <c r="F175" s="117"/>
      <c r="G175" s="117"/>
      <c r="H175" s="117"/>
      <c r="I175" s="117"/>
      <c r="J175" s="117"/>
      <c r="K175" s="117"/>
      <c r="L175" s="117"/>
      <c r="M175" s="117"/>
      <c r="N175" s="117"/>
      <c r="O175" s="117"/>
      <c r="P175" s="117"/>
      <c r="Q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7"/>
      <c r="EI175" s="117"/>
      <c r="EJ175" s="117"/>
      <c r="EK175" s="117"/>
      <c r="EL175" s="117"/>
      <c r="EM175" s="117"/>
      <c r="EN175" s="117"/>
      <c r="EO175" s="117"/>
      <c r="EP175" s="117"/>
      <c r="EQ175" s="117"/>
      <c r="ER175" s="117"/>
      <c r="ES175" s="117"/>
      <c r="ET175" s="117"/>
      <c r="EU175" s="117"/>
      <c r="EV175" s="117"/>
      <c r="EW175" s="117"/>
      <c r="EX175" s="117"/>
      <c r="EY175" s="117"/>
      <c r="EZ175" s="117"/>
      <c r="FA175" s="117"/>
      <c r="FB175" s="117"/>
      <c r="FC175" s="117"/>
      <c r="FD175" s="117"/>
      <c r="FE175" s="117"/>
      <c r="FF175" s="117"/>
      <c r="FG175" s="117"/>
      <c r="FH175" s="117"/>
      <c r="FI175" s="117"/>
      <c r="FJ175" s="117"/>
      <c r="FK175" s="117"/>
      <c r="FL175" s="117"/>
      <c r="FM175" s="117"/>
      <c r="FN175" s="117"/>
      <c r="FO175" s="117"/>
      <c r="FP175" s="117"/>
      <c r="FQ175" s="117"/>
      <c r="FR175" s="117"/>
      <c r="FS175" s="117"/>
      <c r="FT175" s="117"/>
      <c r="FU175" s="117"/>
      <c r="FV175" s="117"/>
      <c r="FW175" s="117"/>
      <c r="FX175" s="117"/>
      <c r="FY175" s="117"/>
      <c r="FZ175" s="117"/>
      <c r="GA175" s="117"/>
      <c r="GB175" s="117"/>
      <c r="GC175" s="117"/>
      <c r="GD175" s="117"/>
      <c r="GE175" s="117"/>
      <c r="GF175" s="117"/>
      <c r="GG175" s="117"/>
      <c r="GH175" s="117"/>
      <c r="GI175" s="117"/>
      <c r="GJ175" s="117"/>
      <c r="GK175" s="117"/>
      <c r="GL175" s="117"/>
      <c r="GM175" s="117"/>
      <c r="GN175" s="117"/>
      <c r="GO175" s="117"/>
      <c r="GP175" s="117"/>
      <c r="GQ175" s="117"/>
      <c r="GR175" s="117"/>
      <c r="GS175" s="117"/>
      <c r="GT175" s="117"/>
      <c r="GU175" s="117"/>
      <c r="GV175" s="117"/>
      <c r="GW175" s="117"/>
      <c r="GX175" s="117"/>
      <c r="GY175" s="117"/>
      <c r="GZ175" s="117"/>
      <c r="HA175" s="117"/>
      <c r="HB175" s="117"/>
      <c r="HC175" s="117"/>
      <c r="HD175" s="117"/>
      <c r="HE175" s="117"/>
      <c r="HF175" s="117"/>
      <c r="HG175" s="117"/>
      <c r="HH175" s="117"/>
      <c r="HI175" s="117"/>
      <c r="HJ175" s="117"/>
      <c r="HK175" s="117"/>
      <c r="HL175" s="117"/>
      <c r="HM175" s="117"/>
      <c r="HN175" s="117"/>
      <c r="HO175" s="117"/>
      <c r="HP175" s="117"/>
      <c r="HQ175" s="117"/>
      <c r="HR175" s="117"/>
      <c r="HS175" s="117"/>
      <c r="HT175" s="117"/>
      <c r="HU175" s="117"/>
      <c r="HV175" s="117"/>
      <c r="HW175" s="117"/>
      <c r="HX175" s="117"/>
      <c r="HY175" s="117"/>
      <c r="HZ175" s="117"/>
      <c r="IA175" s="117"/>
      <c r="IB175" s="117"/>
    </row>
    <row r="176" spans="1:236">
      <c r="A176" s="117"/>
      <c r="B176" s="117"/>
      <c r="C176" s="117"/>
      <c r="D176" s="117"/>
      <c r="E176" s="117"/>
      <c r="F176" s="117"/>
      <c r="G176" s="117"/>
      <c r="H176" s="117"/>
      <c r="I176" s="117"/>
      <c r="J176" s="117"/>
      <c r="K176" s="117"/>
      <c r="L176" s="117"/>
      <c r="M176" s="117"/>
      <c r="N176" s="117"/>
      <c r="O176" s="117"/>
      <c r="P176" s="117"/>
      <c r="Q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7"/>
      <c r="EI176" s="117"/>
      <c r="EJ176" s="117"/>
      <c r="EK176" s="117"/>
      <c r="EL176" s="117"/>
      <c r="EM176" s="117"/>
      <c r="EN176" s="117"/>
      <c r="EO176" s="117"/>
      <c r="EP176" s="117"/>
      <c r="EQ176" s="117"/>
      <c r="ER176" s="117"/>
      <c r="ES176" s="117"/>
      <c r="ET176" s="117"/>
      <c r="EU176" s="117"/>
      <c r="EV176" s="117"/>
      <c r="EW176" s="117"/>
      <c r="EX176" s="117"/>
      <c r="EY176" s="117"/>
      <c r="EZ176" s="117"/>
      <c r="FA176" s="117"/>
      <c r="FB176" s="117"/>
      <c r="FC176" s="117"/>
      <c r="FD176" s="117"/>
      <c r="FE176" s="117"/>
      <c r="FF176" s="117"/>
      <c r="FG176" s="117"/>
      <c r="FH176" s="117"/>
      <c r="FI176" s="117"/>
      <c r="FJ176" s="117"/>
      <c r="FK176" s="117"/>
      <c r="FL176" s="117"/>
      <c r="FM176" s="117"/>
      <c r="FN176" s="117"/>
      <c r="FO176" s="117"/>
      <c r="FP176" s="117"/>
      <c r="FQ176" s="117"/>
      <c r="FR176" s="117"/>
      <c r="FS176" s="117"/>
      <c r="FT176" s="117"/>
      <c r="FU176" s="117"/>
      <c r="FV176" s="117"/>
      <c r="FW176" s="117"/>
      <c r="FX176" s="117"/>
      <c r="FY176" s="117"/>
      <c r="FZ176" s="117"/>
      <c r="GA176" s="117"/>
      <c r="GB176" s="117"/>
      <c r="GC176" s="117"/>
      <c r="GD176" s="117"/>
      <c r="GE176" s="117"/>
      <c r="GF176" s="117"/>
      <c r="GG176" s="117"/>
      <c r="GH176" s="117"/>
      <c r="GI176" s="117"/>
      <c r="GJ176" s="117"/>
      <c r="GK176" s="117"/>
      <c r="GL176" s="117"/>
      <c r="GM176" s="117"/>
      <c r="GN176" s="117"/>
      <c r="GO176" s="117"/>
      <c r="GP176" s="117"/>
      <c r="GQ176" s="117"/>
      <c r="GR176" s="117"/>
      <c r="GS176" s="117"/>
      <c r="GT176" s="117"/>
      <c r="GU176" s="117"/>
      <c r="GV176" s="117"/>
      <c r="GW176" s="117"/>
      <c r="GX176" s="117"/>
      <c r="GY176" s="117"/>
      <c r="GZ176" s="117"/>
      <c r="HA176" s="117"/>
      <c r="HB176" s="117"/>
      <c r="HC176" s="117"/>
      <c r="HD176" s="117"/>
      <c r="HE176" s="117"/>
      <c r="HF176" s="117"/>
      <c r="HG176" s="117"/>
      <c r="HH176" s="117"/>
      <c r="HI176" s="117"/>
      <c r="HJ176" s="117"/>
      <c r="HK176" s="117"/>
      <c r="HL176" s="117"/>
      <c r="HM176" s="117"/>
      <c r="HN176" s="117"/>
      <c r="HO176" s="117"/>
      <c r="HP176" s="117"/>
      <c r="HQ176" s="117"/>
      <c r="HR176" s="117"/>
      <c r="HS176" s="117"/>
      <c r="HT176" s="117"/>
      <c r="HU176" s="117"/>
      <c r="HV176" s="117"/>
      <c r="HW176" s="117"/>
      <c r="HX176" s="117"/>
      <c r="HY176" s="117"/>
      <c r="HZ176" s="117"/>
      <c r="IA176" s="117"/>
      <c r="IB176" s="117"/>
    </row>
    <row r="177" spans="1:236">
      <c r="A177" s="117"/>
      <c r="B177" s="117"/>
      <c r="C177" s="117"/>
      <c r="D177" s="117"/>
      <c r="E177" s="117"/>
      <c r="F177" s="117"/>
      <c r="G177" s="117"/>
      <c r="H177" s="117"/>
      <c r="I177" s="117"/>
      <c r="J177" s="117"/>
      <c r="K177" s="117"/>
      <c r="L177" s="117"/>
      <c r="M177" s="117"/>
      <c r="N177" s="117"/>
      <c r="O177" s="117"/>
      <c r="P177" s="117"/>
      <c r="Q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7"/>
      <c r="EI177" s="117"/>
      <c r="EJ177" s="117"/>
      <c r="EK177" s="117"/>
      <c r="EL177" s="117"/>
      <c r="EM177" s="117"/>
      <c r="EN177" s="117"/>
      <c r="EO177" s="117"/>
      <c r="EP177" s="117"/>
      <c r="EQ177" s="117"/>
      <c r="ER177" s="117"/>
      <c r="ES177" s="117"/>
      <c r="ET177" s="117"/>
      <c r="EU177" s="117"/>
      <c r="EV177" s="117"/>
      <c r="EW177" s="117"/>
      <c r="EX177" s="117"/>
      <c r="EY177" s="117"/>
      <c r="EZ177" s="117"/>
      <c r="FA177" s="117"/>
      <c r="FB177" s="117"/>
      <c r="FC177" s="117"/>
      <c r="FD177" s="117"/>
      <c r="FE177" s="117"/>
      <c r="FF177" s="117"/>
      <c r="FG177" s="117"/>
      <c r="FH177" s="117"/>
      <c r="FI177" s="117"/>
      <c r="FJ177" s="117"/>
      <c r="FK177" s="117"/>
      <c r="FL177" s="117"/>
      <c r="FM177" s="117"/>
      <c r="FN177" s="117"/>
      <c r="FO177" s="117"/>
      <c r="FP177" s="117"/>
      <c r="FQ177" s="117"/>
      <c r="FR177" s="117"/>
      <c r="FS177" s="117"/>
      <c r="FT177" s="117"/>
      <c r="FU177" s="117"/>
      <c r="FV177" s="117"/>
      <c r="FW177" s="117"/>
      <c r="FX177" s="117"/>
      <c r="FY177" s="117"/>
      <c r="FZ177" s="117"/>
      <c r="GA177" s="117"/>
      <c r="GB177" s="117"/>
      <c r="GC177" s="117"/>
      <c r="GD177" s="117"/>
      <c r="GE177" s="117"/>
      <c r="GF177" s="117"/>
      <c r="GG177" s="117"/>
      <c r="GH177" s="117"/>
      <c r="GI177" s="117"/>
      <c r="GJ177" s="117"/>
      <c r="GK177" s="117"/>
      <c r="GL177" s="117"/>
      <c r="GM177" s="117"/>
      <c r="GN177" s="117"/>
      <c r="GO177" s="117"/>
      <c r="GP177" s="117"/>
      <c r="GQ177" s="117"/>
      <c r="GR177" s="117"/>
      <c r="GS177" s="117"/>
      <c r="GT177" s="117"/>
      <c r="GU177" s="117"/>
      <c r="GV177" s="117"/>
      <c r="GW177" s="117"/>
      <c r="GX177" s="117"/>
      <c r="GY177" s="117"/>
      <c r="GZ177" s="117"/>
      <c r="HA177" s="117"/>
      <c r="HB177" s="117"/>
      <c r="HC177" s="117"/>
      <c r="HD177" s="117"/>
      <c r="HE177" s="117"/>
      <c r="HF177" s="117"/>
      <c r="HG177" s="117"/>
      <c r="HH177" s="117"/>
      <c r="HI177" s="117"/>
      <c r="HJ177" s="117"/>
      <c r="HK177" s="117"/>
      <c r="HL177" s="117"/>
      <c r="HM177" s="117"/>
      <c r="HN177" s="117"/>
      <c r="HO177" s="117"/>
      <c r="HP177" s="117"/>
      <c r="HQ177" s="117"/>
      <c r="HR177" s="117"/>
      <c r="HS177" s="117"/>
      <c r="HT177" s="117"/>
      <c r="HU177" s="117"/>
      <c r="HV177" s="117"/>
      <c r="HW177" s="117"/>
      <c r="HX177" s="117"/>
      <c r="HY177" s="117"/>
      <c r="HZ177" s="117"/>
      <c r="IA177" s="117"/>
      <c r="IB177" s="117"/>
    </row>
    <row r="178" spans="1:236">
      <c r="A178" s="117"/>
      <c r="B178" s="117"/>
      <c r="C178" s="117"/>
      <c r="D178" s="117"/>
      <c r="E178" s="117"/>
      <c r="F178" s="117"/>
      <c r="G178" s="117"/>
      <c r="H178" s="117"/>
      <c r="I178" s="117"/>
      <c r="J178" s="117"/>
      <c r="K178" s="117"/>
      <c r="L178" s="117"/>
      <c r="M178" s="117"/>
      <c r="N178" s="117"/>
      <c r="O178" s="117"/>
      <c r="P178" s="117"/>
      <c r="Q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7"/>
      <c r="EI178" s="117"/>
      <c r="EJ178" s="117"/>
      <c r="EK178" s="117"/>
      <c r="EL178" s="117"/>
      <c r="EM178" s="117"/>
      <c r="EN178" s="117"/>
      <c r="EO178" s="117"/>
      <c r="EP178" s="117"/>
      <c r="EQ178" s="117"/>
      <c r="ER178" s="117"/>
      <c r="ES178" s="117"/>
      <c r="ET178" s="117"/>
      <c r="EU178" s="117"/>
      <c r="EV178" s="117"/>
      <c r="EW178" s="117"/>
      <c r="EX178" s="117"/>
      <c r="EY178" s="117"/>
      <c r="EZ178" s="117"/>
      <c r="FA178" s="117"/>
      <c r="FB178" s="117"/>
      <c r="FC178" s="117"/>
      <c r="FD178" s="117"/>
      <c r="FE178" s="117"/>
      <c r="FF178" s="117"/>
      <c r="FG178" s="117"/>
      <c r="FH178" s="117"/>
      <c r="FI178" s="117"/>
      <c r="FJ178" s="117"/>
      <c r="FK178" s="117"/>
      <c r="FL178" s="117"/>
      <c r="FM178" s="117"/>
      <c r="FN178" s="117"/>
      <c r="FO178" s="117"/>
      <c r="FP178" s="117"/>
      <c r="FQ178" s="117"/>
      <c r="FR178" s="117"/>
      <c r="FS178" s="117"/>
      <c r="FT178" s="117"/>
      <c r="FU178" s="117"/>
      <c r="FV178" s="117"/>
      <c r="FW178" s="117"/>
      <c r="FX178" s="117"/>
      <c r="FY178" s="117"/>
      <c r="FZ178" s="117"/>
      <c r="GA178" s="117"/>
      <c r="GB178" s="117"/>
      <c r="GC178" s="117"/>
      <c r="GD178" s="117"/>
      <c r="GE178" s="117"/>
      <c r="GF178" s="117"/>
      <c r="GG178" s="117"/>
      <c r="GH178" s="117"/>
      <c r="GI178" s="117"/>
      <c r="GJ178" s="117"/>
      <c r="GK178" s="117"/>
      <c r="GL178" s="117"/>
      <c r="GM178" s="117"/>
      <c r="GN178" s="117"/>
      <c r="GO178" s="117"/>
      <c r="GP178" s="117"/>
      <c r="GQ178" s="117"/>
      <c r="GR178" s="117"/>
      <c r="GS178" s="117"/>
      <c r="GT178" s="117"/>
      <c r="GU178" s="117"/>
      <c r="GV178" s="117"/>
      <c r="GW178" s="117"/>
      <c r="GX178" s="117"/>
      <c r="GY178" s="117"/>
      <c r="GZ178" s="117"/>
      <c r="HA178" s="117"/>
      <c r="HB178" s="117"/>
      <c r="HC178" s="117"/>
      <c r="HD178" s="117"/>
      <c r="HE178" s="117"/>
      <c r="HF178" s="117"/>
      <c r="HG178" s="117"/>
      <c r="HH178" s="117"/>
      <c r="HI178" s="117"/>
      <c r="HJ178" s="117"/>
      <c r="HK178" s="117"/>
      <c r="HL178" s="117"/>
      <c r="HM178" s="117"/>
      <c r="HN178" s="117"/>
      <c r="HO178" s="117"/>
      <c r="HP178" s="117"/>
      <c r="HQ178" s="117"/>
      <c r="HR178" s="117"/>
      <c r="HS178" s="117"/>
      <c r="HT178" s="117"/>
      <c r="HU178" s="117"/>
      <c r="HV178" s="117"/>
      <c r="HW178" s="117"/>
      <c r="HX178" s="117"/>
      <c r="HY178" s="117"/>
      <c r="HZ178" s="117"/>
      <c r="IA178" s="117"/>
      <c r="IB178" s="117"/>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14"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7D608-DF82-4CD3-91CA-E07804FF5979}">
  <sheetPr codeName="Hoja21"/>
  <dimension ref="A1:AV46"/>
  <sheetViews>
    <sheetView showGridLines="0" zoomScale="85" zoomScaleNormal="85" workbookViewId="0">
      <selection sqref="A1:I1"/>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12.42578125" style="5" bestFit="1" customWidth="1"/>
    <col min="42" max="42" width="8.85546875" style="5" bestFit="1" customWidth="1"/>
    <col min="43" max="46" width="7.85546875" style="5"/>
    <col min="47" max="48" width="9.85546875" style="5" bestFit="1" customWidth="1"/>
    <col min="49" max="16384" width="7.85546875" style="5"/>
  </cols>
  <sheetData>
    <row r="1" spans="1:48"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8"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9863.99</v>
      </c>
      <c r="AQ2" s="576" t="s">
        <v>373</v>
      </c>
      <c r="AR2" s="572">
        <v>1</v>
      </c>
      <c r="AS2" s="572" t="s">
        <v>374</v>
      </c>
      <c r="AT2" s="576" t="s">
        <v>395</v>
      </c>
      <c r="AU2" s="574" t="str">
        <f t="shared" ref="AU2:AU11" si="0">+TEXT($B$4,"DD.MM.YYYY")</f>
        <v>31.12.2024</v>
      </c>
      <c r="AV2" s="574" t="str">
        <f t="shared" ref="AV2:AV11" si="1">+TEXT($G$4,"DD.MM.YYYY")</f>
        <v>07.01.2025</v>
      </c>
    </row>
    <row r="3" spans="1:48"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10275.27</v>
      </c>
      <c r="AQ3" s="576" t="s">
        <v>373</v>
      </c>
      <c r="AR3" s="572">
        <v>1</v>
      </c>
      <c r="AS3" s="572" t="s">
        <v>374</v>
      </c>
      <c r="AT3" s="576" t="s">
        <v>395</v>
      </c>
      <c r="AU3" s="574" t="str">
        <f t="shared" si="0"/>
        <v>31.12.2024</v>
      </c>
      <c r="AV3" s="574" t="str">
        <f t="shared" si="1"/>
        <v>07.01.2025</v>
      </c>
    </row>
    <row r="4" spans="1:48" ht="18.75">
      <c r="A4" s="600" t="s">
        <v>421</v>
      </c>
      <c r="B4" s="599">
        <v>45657</v>
      </c>
      <c r="C4" s="585"/>
      <c r="D4" s="598"/>
      <c r="F4" s="579" t="s">
        <v>422</v>
      </c>
      <c r="G4" s="599">
        <v>45664</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9779.69</v>
      </c>
      <c r="AQ4" s="576" t="s">
        <v>373</v>
      </c>
      <c r="AR4" s="572">
        <v>1</v>
      </c>
      <c r="AS4" s="572" t="s">
        <v>374</v>
      </c>
      <c r="AT4" s="576" t="s">
        <v>395</v>
      </c>
      <c r="AU4" s="574" t="str">
        <f t="shared" si="0"/>
        <v>31.12.2024</v>
      </c>
      <c r="AV4" s="574" t="str">
        <f t="shared" si="1"/>
        <v>07.01.2025</v>
      </c>
    </row>
    <row r="5" spans="1:48" ht="15.75" thickBot="1">
      <c r="A5" s="556"/>
      <c r="B5" s="113">
        <v>0</v>
      </c>
      <c r="C5" s="113">
        <v>0.02</v>
      </c>
      <c r="D5" s="113">
        <v>0</v>
      </c>
      <c r="E5" s="113">
        <v>0.02</v>
      </c>
      <c r="F5" s="113">
        <v>0</v>
      </c>
      <c r="G5" s="557">
        <v>0.02</v>
      </c>
      <c r="H5" s="557">
        <v>0</v>
      </c>
      <c r="I5" s="557">
        <v>0.02</v>
      </c>
      <c r="J5" s="113">
        <v>0</v>
      </c>
      <c r="K5" s="558">
        <v>0</v>
      </c>
      <c r="AA5" s="594" t="s">
        <v>371</v>
      </c>
      <c r="AB5" s="594">
        <v>929</v>
      </c>
      <c r="AC5" s="594" t="s">
        <v>372</v>
      </c>
      <c r="AD5" s="594"/>
      <c r="AE5" s="594"/>
      <c r="AF5" s="594">
        <v>2000</v>
      </c>
      <c r="AG5" s="594"/>
      <c r="AH5" s="594"/>
      <c r="AI5" s="594"/>
      <c r="AJ5" s="594"/>
      <c r="AK5" s="594"/>
      <c r="AL5" s="594"/>
      <c r="AM5" s="594" t="s">
        <v>393</v>
      </c>
      <c r="AN5" s="594"/>
      <c r="AO5" s="594">
        <v>30000009291</v>
      </c>
      <c r="AP5" s="593">
        <f>+ROUND($F$7*98%,2)</f>
        <v>9863.99</v>
      </c>
      <c r="AQ5" s="592" t="s">
        <v>373</v>
      </c>
      <c r="AR5" s="594">
        <v>1</v>
      </c>
      <c r="AS5" s="594" t="s">
        <v>374</v>
      </c>
      <c r="AT5" s="592" t="s">
        <v>395</v>
      </c>
      <c r="AU5" s="591" t="str">
        <f t="shared" si="0"/>
        <v>31.12.2024</v>
      </c>
      <c r="AV5" s="591" t="str">
        <f t="shared" si="1"/>
        <v>07.01.2025</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10275.27</v>
      </c>
      <c r="AQ6" s="592" t="s">
        <v>373</v>
      </c>
      <c r="AR6" s="594">
        <v>1</v>
      </c>
      <c r="AS6" s="594" t="s">
        <v>374</v>
      </c>
      <c r="AT6" s="592" t="s">
        <v>395</v>
      </c>
      <c r="AU6" s="591" t="str">
        <f t="shared" si="0"/>
        <v>31.12.2024</v>
      </c>
      <c r="AV6" s="591" t="str">
        <f t="shared" si="1"/>
        <v>07.01.2025</v>
      </c>
    </row>
    <row r="7" spans="1:48" ht="27.6" customHeight="1">
      <c r="A7" s="70" t="s">
        <v>200</v>
      </c>
      <c r="B7" s="562">
        <v>9979.2800000000007</v>
      </c>
      <c r="C7" s="565">
        <f>+B7</f>
        <v>9979.2800000000007</v>
      </c>
      <c r="D7" s="562">
        <v>9979.2800000000007</v>
      </c>
      <c r="E7" s="565">
        <f>+D7</f>
        <v>9979.2800000000007</v>
      </c>
      <c r="F7" s="562">
        <v>10065.299999999999</v>
      </c>
      <c r="G7" s="565">
        <f>+F7</f>
        <v>10065.299999999999</v>
      </c>
      <c r="H7" s="562">
        <v>10484.969999999999</v>
      </c>
      <c r="I7" s="565">
        <f>+H7</f>
        <v>10484.969999999999</v>
      </c>
      <c r="J7" s="565">
        <f>+B7</f>
        <v>9979.2800000000007</v>
      </c>
      <c r="K7" s="564">
        <f>+J7</f>
        <v>9979.2800000000007</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9779.69</v>
      </c>
      <c r="AQ7" s="592" t="s">
        <v>373</v>
      </c>
      <c r="AR7" s="594">
        <v>1</v>
      </c>
      <c r="AS7" s="594" t="s">
        <v>374</v>
      </c>
      <c r="AT7" s="592" t="s">
        <v>395</v>
      </c>
      <c r="AU7" s="591" t="str">
        <f t="shared" si="0"/>
        <v>31.12.2024</v>
      </c>
      <c r="AV7" s="591" t="str">
        <f t="shared" si="1"/>
        <v>07.01.2025</v>
      </c>
    </row>
    <row r="8" spans="1:48" ht="27.6" customHeight="1">
      <c r="A8" s="232" t="s">
        <v>407</v>
      </c>
      <c r="B8" s="349">
        <f>+D8</f>
        <v>0</v>
      </c>
      <c r="C8" s="224">
        <f>+BIODIESEL!$B$7</f>
        <v>21572.3</v>
      </c>
      <c r="D8" s="246">
        <v>0</v>
      </c>
      <c r="E8" s="224">
        <f>+BIODIESEL!$B$7</f>
        <v>21572.3</v>
      </c>
      <c r="F8" s="349">
        <v>0</v>
      </c>
      <c r="G8" s="224">
        <f>+BIODIESEL!$B$7</f>
        <v>21572.3</v>
      </c>
      <c r="H8" s="349">
        <v>0</v>
      </c>
      <c r="I8" s="636">
        <v>21732.585714285713</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si="0"/>
        <v>31.12.2024</v>
      </c>
      <c r="AV8" s="574" t="str">
        <f t="shared" si="1"/>
        <v>07.01.2025</v>
      </c>
    </row>
    <row r="9" spans="1:48" ht="35.450000000000003" customHeight="1">
      <c r="A9" s="248" t="s">
        <v>139</v>
      </c>
      <c r="B9" s="224">
        <f>+ROUND(B8*B5,2)+B7*(1-B5)</f>
        <v>9979.2800000000007</v>
      </c>
      <c r="C9" s="224">
        <f>+ROUND(C8*C5,2)+C7*(1-C5)</f>
        <v>10211.144400000001</v>
      </c>
      <c r="D9" s="247">
        <f>+D8*D5+D7*(1-D5)</f>
        <v>9979.2800000000007</v>
      </c>
      <c r="E9" s="224">
        <f>+ROUND(E8*E5,2)+ROUND(E7*(1-E5),2)</f>
        <v>10211.140000000001</v>
      </c>
      <c r="F9" s="224">
        <f>+ROUND(F8*F5,2)+F7*(1-F5)</f>
        <v>10065.299999999999</v>
      </c>
      <c r="G9" s="224">
        <f>ROUND((G8*G5),2)+ROUND(G7*(1-G5),2)</f>
        <v>10295.44</v>
      </c>
      <c r="H9" s="224">
        <f>+ROUND(H8*H5,2)+H7*(1-H5)</f>
        <v>10484.969999999999</v>
      </c>
      <c r="I9" s="224">
        <f>+ROUND(I8*I5,2)+I7*(1-I5)</f>
        <v>10709.920599999999</v>
      </c>
      <c r="J9" s="318">
        <f>+J7</f>
        <v>9979.2800000000007</v>
      </c>
      <c r="K9" s="291">
        <f>+K7</f>
        <v>9979.2800000000007</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434.65</v>
      </c>
      <c r="AQ9" s="576" t="s">
        <v>373</v>
      </c>
      <c r="AR9" s="572">
        <v>1</v>
      </c>
      <c r="AS9" s="572" t="s">
        <v>374</v>
      </c>
      <c r="AT9" s="576" t="s">
        <v>395</v>
      </c>
      <c r="AU9" s="574" t="str">
        <f t="shared" si="0"/>
        <v>31.12.2024</v>
      </c>
      <c r="AV9" s="574" t="str">
        <f t="shared" si="1"/>
        <v>07.01.2025</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0"/>
        <v>31.12.2024</v>
      </c>
      <c r="AV10" s="574" t="str">
        <f t="shared" si="1"/>
        <v>07.01.2025</v>
      </c>
    </row>
    <row r="11" spans="1:48"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2">+(S10-S9)/S9</f>
        <v>0</v>
      </c>
      <c r="T11" s="330">
        <f t="shared" si="2"/>
        <v>-8.6521733848730145E-2</v>
      </c>
      <c r="U11" s="330">
        <f t="shared" si="2"/>
        <v>0</v>
      </c>
      <c r="V11" s="330">
        <f t="shared" si="2"/>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0"/>
        <v>31.12.2024</v>
      </c>
      <c r="AV11" s="591" t="str">
        <f t="shared" si="1"/>
        <v>07.01.2025</v>
      </c>
    </row>
    <row r="12" spans="1:48"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8"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8"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9779.69</v>
      </c>
      <c r="AQ15" s="576" t="s">
        <v>373</v>
      </c>
      <c r="AR15" s="572">
        <v>1</v>
      </c>
      <c r="AS15" s="572" t="s">
        <v>374</v>
      </c>
      <c r="AT15" s="576" t="s">
        <v>395</v>
      </c>
      <c r="AU15" s="574" t="str">
        <f t="shared" ref="AU15:AU17" si="3">+TEXT($B$4,"DD.MM.YYYY")</f>
        <v>31.12.2024</v>
      </c>
      <c r="AV15" s="574" t="str">
        <f t="shared" ref="AV15:AV17" si="4">+TEXT($G$4,"DD.MM.YYYY")</f>
        <v>07.01.2025</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9979.2800000000007</v>
      </c>
      <c r="AQ16" s="576" t="s">
        <v>373</v>
      </c>
      <c r="AR16" s="572">
        <v>1</v>
      </c>
      <c r="AS16" s="572" t="s">
        <v>374</v>
      </c>
      <c r="AT16" s="576" t="s">
        <v>395</v>
      </c>
      <c r="AU16" s="574" t="str">
        <f t="shared" si="3"/>
        <v>31.12.2024</v>
      </c>
      <c r="AV16" s="574" t="str">
        <f t="shared" si="4"/>
        <v>07.01.2025</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3"/>
        <v>31.12.2024</v>
      </c>
      <c r="AV17" s="574" t="str">
        <f t="shared" si="4"/>
        <v>07.01.2025</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5">+E18</f>
        <v>(5)</v>
      </c>
      <c r="I18" s="411" t="str">
        <f t="shared" si="5"/>
        <v>(5)</v>
      </c>
      <c r="J18" s="411" t="str">
        <f t="shared" si="5"/>
        <v>(5)</v>
      </c>
      <c r="K18" s="561" t="str">
        <f t="shared" si="5"/>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m7zoS1+0w+sjNFdsqNind16b2UPwIm6szgFnNltwUZdKIKb2c8Ip/QkFQA34QoT9bsx09Syqz1lNaGnFC4/OXA==" saltValue="IdBQuU10f8VAdVhtoeaBTA==" spinCount="100000" sheet="1" objects="1" scenarios="1"/>
  <mergeCells count="9">
    <mergeCell ref="A32:H32"/>
    <mergeCell ref="A33:H33"/>
    <mergeCell ref="A34:E34"/>
    <mergeCell ref="A1:I1"/>
    <mergeCell ref="A2:I2"/>
    <mergeCell ref="A3:I3"/>
    <mergeCell ref="A26:I26"/>
    <mergeCell ref="A28:I28"/>
    <mergeCell ref="A30:I31"/>
  </mergeCells>
  <conditionalFormatting sqref="AA2:AV11">
    <cfRule type="containsText" dxfId="59" priority="2" operator="containsText" text="Seleccione...">
      <formula>NOT(ISERROR(SEARCH("Seleccione...",AA2)))</formula>
    </cfRule>
  </conditionalFormatting>
  <conditionalFormatting sqref="AA15:AV17">
    <cfRule type="containsText" dxfId="58"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BDC6474-05C4-4C99-AE96-CFF0D82C1589}">
          <x14:formula1>
            <xm:f>Fechas!$A$2:$A$831</xm:f>
          </x14:formula1>
          <xm:sqref>B4 G4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5E4EF-1A04-4329-B418-1974A9622CCC}">
  <sheetPr codeName="Hoja22"/>
  <dimension ref="A1:AV46"/>
  <sheetViews>
    <sheetView showGridLines="0" zoomScale="70" zoomScaleNormal="70" workbookViewId="0">
      <selection sqref="A1:I1"/>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12.42578125" style="5" bestFit="1" customWidth="1"/>
    <col min="42" max="42" width="8.85546875" style="5" bestFit="1" customWidth="1"/>
    <col min="43" max="46" width="7.85546875" style="5"/>
    <col min="47" max="48" width="9.85546875" style="5" bestFit="1" customWidth="1"/>
    <col min="49" max="16384" width="7.85546875" style="5"/>
  </cols>
  <sheetData>
    <row r="1" spans="1:48"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8"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10385.530000000001</v>
      </c>
      <c r="AQ2" s="576" t="s">
        <v>373</v>
      </c>
      <c r="AR2" s="572">
        <v>1</v>
      </c>
      <c r="AS2" s="572" t="s">
        <v>374</v>
      </c>
      <c r="AT2" s="576" t="s">
        <v>395</v>
      </c>
      <c r="AU2" s="574" t="str">
        <f t="shared" ref="AU2:AU11" si="0">+TEXT($B$4,"DD.MM.YYYY")</f>
        <v>08.01.2025</v>
      </c>
      <c r="AV2" s="574" t="str">
        <f t="shared" ref="AV2:AV11" si="1">+TEXT($G$4,"DD.MM.YYYY")</f>
        <v>13.01.2025</v>
      </c>
    </row>
    <row r="3" spans="1:48"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10797.25</v>
      </c>
      <c r="AQ3" s="576" t="s">
        <v>373</v>
      </c>
      <c r="AR3" s="572">
        <v>1</v>
      </c>
      <c r="AS3" s="572" t="s">
        <v>374</v>
      </c>
      <c r="AT3" s="576" t="s">
        <v>395</v>
      </c>
      <c r="AU3" s="574" t="str">
        <f t="shared" si="0"/>
        <v>08.01.2025</v>
      </c>
      <c r="AV3" s="574" t="str">
        <f t="shared" si="1"/>
        <v>13.01.2025</v>
      </c>
    </row>
    <row r="4" spans="1:48" ht="18.75">
      <c r="A4" s="600" t="s">
        <v>421</v>
      </c>
      <c r="B4" s="599">
        <v>45665</v>
      </c>
      <c r="C4" s="585"/>
      <c r="D4" s="598"/>
      <c r="F4" s="579" t="s">
        <v>422</v>
      </c>
      <c r="G4" s="599">
        <v>45670</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10298.700000000001</v>
      </c>
      <c r="AQ4" s="576" t="s">
        <v>373</v>
      </c>
      <c r="AR4" s="572">
        <v>1</v>
      </c>
      <c r="AS4" s="572" t="s">
        <v>374</v>
      </c>
      <c r="AT4" s="576" t="s">
        <v>395</v>
      </c>
      <c r="AU4" s="574" t="str">
        <f t="shared" si="0"/>
        <v>08.01.2025</v>
      </c>
      <c r="AV4" s="574" t="str">
        <f t="shared" si="1"/>
        <v>13.01.2025</v>
      </c>
    </row>
    <row r="5" spans="1:48" ht="15.75" thickBot="1">
      <c r="A5" s="556"/>
      <c r="B5" s="113">
        <v>0</v>
      </c>
      <c r="C5" s="113">
        <v>0.02</v>
      </c>
      <c r="D5" s="113">
        <v>0</v>
      </c>
      <c r="E5" s="113">
        <v>0.02</v>
      </c>
      <c r="F5" s="113">
        <v>0</v>
      </c>
      <c r="G5" s="557">
        <v>0.02</v>
      </c>
      <c r="H5" s="557">
        <v>0</v>
      </c>
      <c r="I5" s="557">
        <v>0.02</v>
      </c>
      <c r="J5" s="113">
        <v>0</v>
      </c>
      <c r="K5" s="558">
        <v>0</v>
      </c>
      <c r="AA5" s="594" t="s">
        <v>371</v>
      </c>
      <c r="AB5" s="594">
        <v>929</v>
      </c>
      <c r="AC5" s="594" t="s">
        <v>372</v>
      </c>
      <c r="AD5" s="594"/>
      <c r="AE5" s="594"/>
      <c r="AF5" s="594">
        <v>2000</v>
      </c>
      <c r="AG5" s="594"/>
      <c r="AH5" s="594"/>
      <c r="AI5" s="594"/>
      <c r="AJ5" s="594"/>
      <c r="AK5" s="594"/>
      <c r="AL5" s="594"/>
      <c r="AM5" s="594" t="s">
        <v>393</v>
      </c>
      <c r="AN5" s="594"/>
      <c r="AO5" s="594">
        <v>30000009291</v>
      </c>
      <c r="AP5" s="593">
        <f>+ROUND($F$7*98%,2)</f>
        <v>10385.530000000001</v>
      </c>
      <c r="AQ5" s="592" t="s">
        <v>373</v>
      </c>
      <c r="AR5" s="594">
        <v>1</v>
      </c>
      <c r="AS5" s="594" t="s">
        <v>374</v>
      </c>
      <c r="AT5" s="592" t="s">
        <v>395</v>
      </c>
      <c r="AU5" s="591" t="str">
        <f t="shared" si="0"/>
        <v>08.01.2025</v>
      </c>
      <c r="AV5" s="591" t="str">
        <f t="shared" si="1"/>
        <v>13.01.2025</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10797.25</v>
      </c>
      <c r="AQ6" s="592" t="s">
        <v>373</v>
      </c>
      <c r="AR6" s="594">
        <v>1</v>
      </c>
      <c r="AS6" s="594" t="s">
        <v>374</v>
      </c>
      <c r="AT6" s="592" t="s">
        <v>395</v>
      </c>
      <c r="AU6" s="591" t="str">
        <f t="shared" si="0"/>
        <v>08.01.2025</v>
      </c>
      <c r="AV6" s="591" t="str">
        <f t="shared" si="1"/>
        <v>13.01.2025</v>
      </c>
    </row>
    <row r="7" spans="1:48" ht="27.6" customHeight="1">
      <c r="A7" s="70" t="s">
        <v>200</v>
      </c>
      <c r="B7" s="562">
        <v>10508.88</v>
      </c>
      <c r="C7" s="565">
        <f>+B7</f>
        <v>10508.88</v>
      </c>
      <c r="D7" s="562">
        <v>10508.88</v>
      </c>
      <c r="E7" s="565">
        <f>+D7</f>
        <v>10508.88</v>
      </c>
      <c r="F7" s="562">
        <v>10597.48</v>
      </c>
      <c r="G7" s="565">
        <f>+F7</f>
        <v>10597.48</v>
      </c>
      <c r="H7" s="562">
        <v>11017.6</v>
      </c>
      <c r="I7" s="565">
        <f>+H7</f>
        <v>11017.6</v>
      </c>
      <c r="J7" s="565">
        <f>+B7</f>
        <v>10508.88</v>
      </c>
      <c r="K7" s="564">
        <f>+J7</f>
        <v>10508.88</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10298.700000000001</v>
      </c>
      <c r="AQ7" s="592" t="s">
        <v>373</v>
      </c>
      <c r="AR7" s="594">
        <v>1</v>
      </c>
      <c r="AS7" s="594" t="s">
        <v>374</v>
      </c>
      <c r="AT7" s="592" t="s">
        <v>395</v>
      </c>
      <c r="AU7" s="591" t="str">
        <f t="shared" si="0"/>
        <v>08.01.2025</v>
      </c>
      <c r="AV7" s="591" t="str">
        <f t="shared" si="1"/>
        <v>13.01.2025</v>
      </c>
    </row>
    <row r="8" spans="1:48" ht="27.6" customHeight="1">
      <c r="A8" s="232" t="s">
        <v>407</v>
      </c>
      <c r="B8" s="349">
        <f>+D8</f>
        <v>0</v>
      </c>
      <c r="C8" s="224">
        <f>+BIODIESEL!$B$7</f>
        <v>21572.3</v>
      </c>
      <c r="D8" s="246">
        <v>0</v>
      </c>
      <c r="E8" s="224">
        <f>+BIODIESEL!$B$7</f>
        <v>21572.3</v>
      </c>
      <c r="F8" s="349">
        <v>0</v>
      </c>
      <c r="G8" s="224">
        <f>+BIODIESEL!$B$7</f>
        <v>21572.3</v>
      </c>
      <c r="H8" s="349">
        <v>0</v>
      </c>
      <c r="I8" s="636">
        <v>21732.585714285713</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si="0"/>
        <v>08.01.2025</v>
      </c>
      <c r="AV8" s="574" t="str">
        <f t="shared" si="1"/>
        <v>13.01.2025</v>
      </c>
    </row>
    <row r="9" spans="1:48" ht="35.450000000000003" customHeight="1">
      <c r="A9" s="248" t="s">
        <v>139</v>
      </c>
      <c r="B9" s="224">
        <f>+ROUND(B8*B5,2)+B7*(1-B5)</f>
        <v>10508.88</v>
      </c>
      <c r="C9" s="224">
        <f>+ROUND(C8*C5,2)+C7*(1-C5)</f>
        <v>10730.152399999999</v>
      </c>
      <c r="D9" s="247">
        <f>+D8*D5+D7*(1-D5)</f>
        <v>10508.88</v>
      </c>
      <c r="E9" s="224">
        <f>+ROUND(E8*E5,2)+ROUND(E7*(1-E5),2)</f>
        <v>10730.150000000001</v>
      </c>
      <c r="F9" s="224">
        <f>+ROUND(F8*F5,2)+F7*(1-F5)</f>
        <v>10597.48</v>
      </c>
      <c r="G9" s="224">
        <f>ROUND((G8*G5),2)+ROUND(G7*(1-G5),2)</f>
        <v>10816.980000000001</v>
      </c>
      <c r="H9" s="224">
        <f>+ROUND(H8*H5,2)+H7*(1-H5)</f>
        <v>11017.6</v>
      </c>
      <c r="I9" s="224">
        <f>+ROUND(I8*I5,2)+I7*(1-I5)</f>
        <v>11231.897999999999</v>
      </c>
      <c r="J9" s="318">
        <f>+J7</f>
        <v>10508.88</v>
      </c>
      <c r="K9" s="291">
        <f>+K7</f>
        <v>10508.88</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434.65</v>
      </c>
      <c r="AQ9" s="576" t="s">
        <v>373</v>
      </c>
      <c r="AR9" s="572">
        <v>1</v>
      </c>
      <c r="AS9" s="572" t="s">
        <v>374</v>
      </c>
      <c r="AT9" s="576" t="s">
        <v>395</v>
      </c>
      <c r="AU9" s="574" t="str">
        <f t="shared" si="0"/>
        <v>08.01.2025</v>
      </c>
      <c r="AV9" s="574" t="str">
        <f t="shared" si="1"/>
        <v>13.01.2025</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0"/>
        <v>08.01.2025</v>
      </c>
      <c r="AV10" s="574" t="str">
        <f t="shared" si="1"/>
        <v>13.01.2025</v>
      </c>
    </row>
    <row r="11" spans="1:48"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2">+(S10-S9)/S9</f>
        <v>0</v>
      </c>
      <c r="T11" s="330">
        <f t="shared" si="2"/>
        <v>-8.6521733848730145E-2</v>
      </c>
      <c r="U11" s="330">
        <f t="shared" si="2"/>
        <v>0</v>
      </c>
      <c r="V11" s="330">
        <f t="shared" si="2"/>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0"/>
        <v>08.01.2025</v>
      </c>
      <c r="AV11" s="591" t="str">
        <f t="shared" si="1"/>
        <v>13.01.2025</v>
      </c>
    </row>
    <row r="12" spans="1:48"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8"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8"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10298.700000000001</v>
      </c>
      <c r="AQ15" s="576" t="s">
        <v>373</v>
      </c>
      <c r="AR15" s="572">
        <v>1</v>
      </c>
      <c r="AS15" s="572" t="s">
        <v>374</v>
      </c>
      <c r="AT15" s="576" t="s">
        <v>395</v>
      </c>
      <c r="AU15" s="574" t="str">
        <f t="shared" ref="AU15:AU17" si="3">+TEXT($B$4,"DD.MM.YYYY")</f>
        <v>08.01.2025</v>
      </c>
      <c r="AV15" s="574" t="str">
        <f t="shared" ref="AV15:AV17" si="4">+TEXT($G$4,"DD.MM.YYYY")</f>
        <v>13.01.2025</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10508.88</v>
      </c>
      <c r="AQ16" s="576" t="s">
        <v>373</v>
      </c>
      <c r="AR16" s="572">
        <v>1</v>
      </c>
      <c r="AS16" s="572" t="s">
        <v>374</v>
      </c>
      <c r="AT16" s="576" t="s">
        <v>395</v>
      </c>
      <c r="AU16" s="574" t="str">
        <f t="shared" si="3"/>
        <v>08.01.2025</v>
      </c>
      <c r="AV16" s="574" t="str">
        <f t="shared" si="4"/>
        <v>13.01.2025</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3"/>
        <v>08.01.2025</v>
      </c>
      <c r="AV17" s="574" t="str">
        <f t="shared" si="4"/>
        <v>13.01.2025</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5">+E18</f>
        <v>(5)</v>
      </c>
      <c r="I18" s="411" t="str">
        <f t="shared" si="5"/>
        <v>(5)</v>
      </c>
      <c r="J18" s="411" t="str">
        <f t="shared" si="5"/>
        <v>(5)</v>
      </c>
      <c r="K18" s="561" t="str">
        <f t="shared" si="5"/>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HHIagdaYAZOPXAEM2cdIscCQv9q1exMTVV5UbR4oYKCrLdmGmmAzl53ONnfxci98A7ux32sgiUvpSqkX3SImDQ==" saltValue="XvUausritOp3+LV0vUu7PQ==" spinCount="100000" sheet="1" objects="1" scenarios="1"/>
  <mergeCells count="9">
    <mergeCell ref="A32:H32"/>
    <mergeCell ref="A33:H33"/>
    <mergeCell ref="A34:E34"/>
    <mergeCell ref="A1:I1"/>
    <mergeCell ref="A2:I2"/>
    <mergeCell ref="A3:I3"/>
    <mergeCell ref="A26:I26"/>
    <mergeCell ref="A28:I28"/>
    <mergeCell ref="A30:I31"/>
  </mergeCells>
  <conditionalFormatting sqref="AA2:AV11">
    <cfRule type="containsText" dxfId="57" priority="2" operator="containsText" text="Seleccione...">
      <formula>NOT(ISERROR(SEARCH("Seleccione...",AA2)))</formula>
    </cfRule>
  </conditionalFormatting>
  <conditionalFormatting sqref="AA15:AV17">
    <cfRule type="containsText" dxfId="56"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2E9D436-9094-48E7-BD5D-9F93F3E894DC}">
          <x14:formula1>
            <xm:f>Fechas!$A$2:$A$831</xm:f>
          </x14:formula1>
          <xm:sqref>B4 G4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CEED0-F286-4F06-98F0-DE49502BF251}">
  <sheetPr codeName="Hoja23"/>
  <dimension ref="A1:AV46"/>
  <sheetViews>
    <sheetView showGridLines="0" topLeftCell="I1" zoomScale="70" zoomScaleNormal="70" workbookViewId="0">
      <selection activeCell="AA15" sqref="AA15:AV17"/>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12.42578125" style="5" bestFit="1" customWidth="1"/>
    <col min="42" max="42" width="8.85546875" style="5" bestFit="1" customWidth="1"/>
    <col min="43" max="46" width="7.85546875" style="5"/>
    <col min="47" max="48" width="9.85546875" style="5" bestFit="1" customWidth="1"/>
    <col min="49" max="16384" width="7.85546875" style="5"/>
  </cols>
  <sheetData>
    <row r="1" spans="1:48"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8"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10456.120000000001</v>
      </c>
      <c r="AQ2" s="576" t="s">
        <v>373</v>
      </c>
      <c r="AR2" s="572">
        <v>1</v>
      </c>
      <c r="AS2" s="572" t="s">
        <v>374</v>
      </c>
      <c r="AT2" s="576" t="s">
        <v>395</v>
      </c>
      <c r="AU2" s="574" t="str">
        <f t="shared" ref="AU2:AU11" si="0">+TEXT($B$4,"DD.MM.YYYY")</f>
        <v>14.01.2025</v>
      </c>
      <c r="AV2" s="574" t="str">
        <f t="shared" ref="AV2:AV11" si="1">+TEXT($G$4,"DD.MM.YYYY")</f>
        <v>20.01.2025</v>
      </c>
    </row>
    <row r="3" spans="1:48"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10765.36</v>
      </c>
      <c r="AQ3" s="576" t="s">
        <v>373</v>
      </c>
      <c r="AR3" s="572">
        <v>1</v>
      </c>
      <c r="AS3" s="572" t="s">
        <v>374</v>
      </c>
      <c r="AT3" s="576" t="s">
        <v>395</v>
      </c>
      <c r="AU3" s="574" t="str">
        <f t="shared" si="0"/>
        <v>14.01.2025</v>
      </c>
      <c r="AV3" s="574" t="str">
        <f t="shared" si="1"/>
        <v>20.01.2025</v>
      </c>
    </row>
    <row r="4" spans="1:48" ht="18.75">
      <c r="A4" s="600" t="s">
        <v>421</v>
      </c>
      <c r="B4" s="599">
        <v>45671</v>
      </c>
      <c r="C4" s="585"/>
      <c r="D4" s="598"/>
      <c r="F4" s="579" t="s">
        <v>422</v>
      </c>
      <c r="G4" s="599">
        <v>45677</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10369.290000000001</v>
      </c>
      <c r="AQ4" s="576" t="s">
        <v>373</v>
      </c>
      <c r="AR4" s="572">
        <v>1</v>
      </c>
      <c r="AS4" s="572" t="s">
        <v>374</v>
      </c>
      <c r="AT4" s="576" t="s">
        <v>395</v>
      </c>
      <c r="AU4" s="574" t="str">
        <f t="shared" si="0"/>
        <v>14.01.2025</v>
      </c>
      <c r="AV4" s="574" t="str">
        <f t="shared" si="1"/>
        <v>20.01.2025</v>
      </c>
    </row>
    <row r="5" spans="1:48" ht="15.75" thickBot="1">
      <c r="A5" s="556"/>
      <c r="B5" s="113">
        <v>0</v>
      </c>
      <c r="C5" s="113">
        <v>0.02</v>
      </c>
      <c r="D5" s="113">
        <v>0</v>
      </c>
      <c r="E5" s="113">
        <v>0.02</v>
      </c>
      <c r="F5" s="113">
        <v>0</v>
      </c>
      <c r="G5" s="557">
        <v>0.02</v>
      </c>
      <c r="H5" s="557">
        <v>0</v>
      </c>
      <c r="I5" s="557">
        <v>0.02</v>
      </c>
      <c r="J5" s="113">
        <v>0</v>
      </c>
      <c r="K5" s="558">
        <v>0</v>
      </c>
      <c r="AA5" s="594" t="s">
        <v>371</v>
      </c>
      <c r="AB5" s="594">
        <v>929</v>
      </c>
      <c r="AC5" s="594" t="s">
        <v>372</v>
      </c>
      <c r="AD5" s="594"/>
      <c r="AE5" s="594"/>
      <c r="AF5" s="594">
        <v>2000</v>
      </c>
      <c r="AG5" s="594"/>
      <c r="AH5" s="594"/>
      <c r="AI5" s="594"/>
      <c r="AJ5" s="594"/>
      <c r="AK5" s="594"/>
      <c r="AL5" s="594"/>
      <c r="AM5" s="594" t="s">
        <v>393</v>
      </c>
      <c r="AN5" s="594"/>
      <c r="AO5" s="594">
        <v>30000009291</v>
      </c>
      <c r="AP5" s="593">
        <f>+ROUND($F$7*98%,2)</f>
        <v>10456.120000000001</v>
      </c>
      <c r="AQ5" s="592" t="s">
        <v>373</v>
      </c>
      <c r="AR5" s="594">
        <v>1</v>
      </c>
      <c r="AS5" s="594" t="s">
        <v>374</v>
      </c>
      <c r="AT5" s="592" t="s">
        <v>395</v>
      </c>
      <c r="AU5" s="591" t="str">
        <f t="shared" si="0"/>
        <v>14.01.2025</v>
      </c>
      <c r="AV5" s="591" t="str">
        <f t="shared" si="1"/>
        <v>20.01.2025</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10765.36</v>
      </c>
      <c r="AQ6" s="592" t="s">
        <v>373</v>
      </c>
      <c r="AR6" s="594">
        <v>1</v>
      </c>
      <c r="AS6" s="594" t="s">
        <v>374</v>
      </c>
      <c r="AT6" s="592" t="s">
        <v>395</v>
      </c>
      <c r="AU6" s="591" t="str">
        <f t="shared" si="0"/>
        <v>14.01.2025</v>
      </c>
      <c r="AV6" s="591" t="str">
        <f t="shared" si="1"/>
        <v>20.01.2025</v>
      </c>
    </row>
    <row r="7" spans="1:48" ht="27.6" customHeight="1">
      <c r="A7" s="70" t="s">
        <v>200</v>
      </c>
      <c r="B7" s="562">
        <v>10580.91</v>
      </c>
      <c r="C7" s="565">
        <f>+B7</f>
        <v>10580.91</v>
      </c>
      <c r="D7" s="562">
        <v>10580.91</v>
      </c>
      <c r="E7" s="565">
        <f>+D7</f>
        <v>10580.91</v>
      </c>
      <c r="F7" s="562">
        <v>10669.51</v>
      </c>
      <c r="G7" s="565">
        <f>+F7</f>
        <v>10669.51</v>
      </c>
      <c r="H7" s="562">
        <v>10985.06</v>
      </c>
      <c r="I7" s="565">
        <f>+H7</f>
        <v>10985.06</v>
      </c>
      <c r="J7" s="565">
        <f>+B7</f>
        <v>10580.91</v>
      </c>
      <c r="K7" s="564">
        <f>+J7</f>
        <v>10580.91</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10369.290000000001</v>
      </c>
      <c r="AQ7" s="592" t="s">
        <v>373</v>
      </c>
      <c r="AR7" s="594">
        <v>1</v>
      </c>
      <c r="AS7" s="594" t="s">
        <v>374</v>
      </c>
      <c r="AT7" s="592" t="s">
        <v>395</v>
      </c>
      <c r="AU7" s="591" t="str">
        <f t="shared" si="0"/>
        <v>14.01.2025</v>
      </c>
      <c r="AV7" s="591" t="str">
        <f t="shared" si="1"/>
        <v>20.01.2025</v>
      </c>
    </row>
    <row r="8" spans="1:48" ht="27.6" customHeight="1">
      <c r="A8" s="232" t="s">
        <v>407</v>
      </c>
      <c r="B8" s="349">
        <f>+D8</f>
        <v>0</v>
      </c>
      <c r="C8" s="224">
        <f>+BIODIESEL!$B$7</f>
        <v>21572.3</v>
      </c>
      <c r="D8" s="246">
        <v>0</v>
      </c>
      <c r="E8" s="224">
        <f>+BIODIESEL!$B$7</f>
        <v>21572.3</v>
      </c>
      <c r="F8" s="349">
        <v>0</v>
      </c>
      <c r="G8" s="224">
        <f>+BIODIESEL!$B$7</f>
        <v>21572.3</v>
      </c>
      <c r="H8" s="349">
        <v>0</v>
      </c>
      <c r="I8" s="636">
        <v>21732.585714285713</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si="0"/>
        <v>14.01.2025</v>
      </c>
      <c r="AV8" s="574" t="str">
        <f t="shared" si="1"/>
        <v>20.01.2025</v>
      </c>
    </row>
    <row r="9" spans="1:48" ht="35.450000000000003" customHeight="1">
      <c r="A9" s="248" t="s">
        <v>139</v>
      </c>
      <c r="B9" s="224">
        <f>+ROUND(B8*B5,2)+B7*(1-B5)</f>
        <v>10580.91</v>
      </c>
      <c r="C9" s="224">
        <f>+ROUND(C8*C5,2)+C7*(1-C5)</f>
        <v>10800.7418</v>
      </c>
      <c r="D9" s="247">
        <f>+D8*D5+D7*(1-D5)</f>
        <v>10580.91</v>
      </c>
      <c r="E9" s="224">
        <f>+ROUND(E8*E5,2)+ROUND(E7*(1-E5),2)</f>
        <v>10800.740000000002</v>
      </c>
      <c r="F9" s="224">
        <f>+ROUND(F8*F5,2)+F7*(1-F5)</f>
        <v>10669.51</v>
      </c>
      <c r="G9" s="224">
        <f>ROUND((G8*G5),2)+ROUND(G7*(1-G5),2)</f>
        <v>10887.570000000002</v>
      </c>
      <c r="H9" s="224">
        <f>+ROUND(H8*H5,2)+H7*(1-H5)</f>
        <v>10985.06</v>
      </c>
      <c r="I9" s="224">
        <f>+ROUND(I8*I5,2)+I7*(1-I5)</f>
        <v>11200.0088</v>
      </c>
      <c r="J9" s="318">
        <f>+J7</f>
        <v>10580.91</v>
      </c>
      <c r="K9" s="291">
        <f>+K7</f>
        <v>10580.91</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434.65</v>
      </c>
      <c r="AQ9" s="576" t="s">
        <v>373</v>
      </c>
      <c r="AR9" s="572">
        <v>1</v>
      </c>
      <c r="AS9" s="572" t="s">
        <v>374</v>
      </c>
      <c r="AT9" s="576" t="s">
        <v>395</v>
      </c>
      <c r="AU9" s="574" t="str">
        <f t="shared" si="0"/>
        <v>14.01.2025</v>
      </c>
      <c r="AV9" s="574" t="str">
        <f t="shared" si="1"/>
        <v>20.01.2025</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0"/>
        <v>14.01.2025</v>
      </c>
      <c r="AV10" s="574" t="str">
        <f t="shared" si="1"/>
        <v>20.01.2025</v>
      </c>
    </row>
    <row r="11" spans="1:48"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2">+(S10-S9)/S9</f>
        <v>0</v>
      </c>
      <c r="T11" s="330">
        <f t="shared" si="2"/>
        <v>-8.6521733848730145E-2</v>
      </c>
      <c r="U11" s="330">
        <f t="shared" si="2"/>
        <v>0</v>
      </c>
      <c r="V11" s="330">
        <f t="shared" si="2"/>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0"/>
        <v>14.01.2025</v>
      </c>
      <c r="AV11" s="591" t="str">
        <f t="shared" si="1"/>
        <v>20.01.2025</v>
      </c>
    </row>
    <row r="12" spans="1:48"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8"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8"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10369.290000000001</v>
      </c>
      <c r="AQ15" s="576" t="s">
        <v>373</v>
      </c>
      <c r="AR15" s="572">
        <v>1</v>
      </c>
      <c r="AS15" s="572" t="s">
        <v>374</v>
      </c>
      <c r="AT15" s="576" t="s">
        <v>395</v>
      </c>
      <c r="AU15" s="574" t="str">
        <f t="shared" ref="AU15:AU17" si="3">+TEXT($B$4,"DD.MM.YYYY")</f>
        <v>14.01.2025</v>
      </c>
      <c r="AV15" s="574" t="str">
        <f t="shared" ref="AV15:AV17" si="4">+TEXT($G$4,"DD.MM.YYYY")</f>
        <v>20.01.2025</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10580.91</v>
      </c>
      <c r="AQ16" s="576" t="s">
        <v>373</v>
      </c>
      <c r="AR16" s="572">
        <v>1</v>
      </c>
      <c r="AS16" s="572" t="s">
        <v>374</v>
      </c>
      <c r="AT16" s="576" t="s">
        <v>395</v>
      </c>
      <c r="AU16" s="574" t="str">
        <f t="shared" si="3"/>
        <v>14.01.2025</v>
      </c>
      <c r="AV16" s="574" t="str">
        <f t="shared" si="4"/>
        <v>20.01.2025</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3"/>
        <v>14.01.2025</v>
      </c>
      <c r="AV17" s="574" t="str">
        <f t="shared" si="4"/>
        <v>20.01.2025</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5">+E18</f>
        <v>(5)</v>
      </c>
      <c r="I18" s="411" t="str">
        <f t="shared" si="5"/>
        <v>(5)</v>
      </c>
      <c r="J18" s="411" t="str">
        <f t="shared" si="5"/>
        <v>(5)</v>
      </c>
      <c r="K18" s="561" t="str">
        <f t="shared" si="5"/>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vZo82G6XygrjyL09AY56chm30sCXOk5aIm5rv1D27hIlXFnQdwiC2xYwtcAPLN8yxwEFcgPXKEZUVKWUU8flPA==" saltValue="a9NS+Lbam2oUtZC7hvu2PA==" spinCount="100000" sheet="1" objects="1" scenarios="1"/>
  <mergeCells count="9">
    <mergeCell ref="A32:H32"/>
    <mergeCell ref="A33:H33"/>
    <mergeCell ref="A34:E34"/>
    <mergeCell ref="A1:I1"/>
    <mergeCell ref="A2:I2"/>
    <mergeCell ref="A3:I3"/>
    <mergeCell ref="A26:I26"/>
    <mergeCell ref="A28:I28"/>
    <mergeCell ref="A30:I31"/>
  </mergeCells>
  <conditionalFormatting sqref="AA2:AV11">
    <cfRule type="containsText" dxfId="55" priority="2" operator="containsText" text="Seleccione...">
      <formula>NOT(ISERROR(SEARCH("Seleccione...",AA2)))</formula>
    </cfRule>
  </conditionalFormatting>
  <conditionalFormatting sqref="AA15:AV17">
    <cfRule type="containsText" dxfId="54"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3478C95-9AB4-4C0A-8D12-E21012909571}">
          <x14:formula1>
            <xm:f>Fechas!$A$2:$A$831</xm:f>
          </x14:formula1>
          <xm:sqref>B4 G4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169A9-1DD3-430D-8B19-89E7D4E2A53C}">
  <dimension ref="A1:AV46"/>
  <sheetViews>
    <sheetView showGridLines="0" topLeftCell="D1" zoomScale="55" zoomScaleNormal="55" workbookViewId="0">
      <selection activeCell="AA15" sqref="AA15:AV17"/>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12.42578125" style="5" bestFit="1" customWidth="1"/>
    <col min="42" max="42" width="8.85546875" style="5" bestFit="1" customWidth="1"/>
    <col min="43" max="46" width="7.85546875" style="5"/>
    <col min="47" max="48" width="9.85546875" style="5" bestFit="1" customWidth="1"/>
    <col min="49" max="16384" width="7.85546875" style="5"/>
  </cols>
  <sheetData>
    <row r="1" spans="1:48"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8"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11143.11</v>
      </c>
      <c r="AQ2" s="576" t="s">
        <v>373</v>
      </c>
      <c r="AR2" s="572">
        <v>1</v>
      </c>
      <c r="AS2" s="572" t="s">
        <v>374</v>
      </c>
      <c r="AT2" s="576" t="s">
        <v>395</v>
      </c>
      <c r="AU2" s="574" t="str">
        <f t="shared" ref="AU2:AU11" si="0">+TEXT($B$4,"DD.MM.YYYY")</f>
        <v>21.01.2025</v>
      </c>
      <c r="AV2" s="574" t="str">
        <f t="shared" ref="AV2:AV11" si="1">+TEXT($G$4,"DD.MM.YYYY")</f>
        <v>27.01.2025</v>
      </c>
    </row>
    <row r="3" spans="1:48"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11452</v>
      </c>
      <c r="AQ3" s="576" t="s">
        <v>373</v>
      </c>
      <c r="AR3" s="572">
        <v>1</v>
      </c>
      <c r="AS3" s="572" t="s">
        <v>374</v>
      </c>
      <c r="AT3" s="576" t="s">
        <v>395</v>
      </c>
      <c r="AU3" s="574" t="str">
        <f t="shared" si="0"/>
        <v>21.01.2025</v>
      </c>
      <c r="AV3" s="574" t="str">
        <f t="shared" si="1"/>
        <v>27.01.2025</v>
      </c>
    </row>
    <row r="4" spans="1:48" ht="18.75">
      <c r="A4" s="600" t="s">
        <v>421</v>
      </c>
      <c r="B4" s="599">
        <v>45678</v>
      </c>
      <c r="C4" s="585"/>
      <c r="D4" s="598"/>
      <c r="F4" s="579" t="s">
        <v>422</v>
      </c>
      <c r="G4" s="599">
        <v>45684</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11056.28</v>
      </c>
      <c r="AQ4" s="576" t="s">
        <v>373</v>
      </c>
      <c r="AR4" s="572">
        <v>1</v>
      </c>
      <c r="AS4" s="572" t="s">
        <v>374</v>
      </c>
      <c r="AT4" s="576" t="s">
        <v>395</v>
      </c>
      <c r="AU4" s="574" t="str">
        <f t="shared" si="0"/>
        <v>21.01.2025</v>
      </c>
      <c r="AV4" s="574" t="str">
        <f t="shared" si="1"/>
        <v>27.01.2025</v>
      </c>
    </row>
    <row r="5" spans="1:48" ht="15.75" thickBot="1">
      <c r="A5" s="556"/>
      <c r="B5" s="113">
        <v>0</v>
      </c>
      <c r="C5" s="113">
        <v>0.02</v>
      </c>
      <c r="D5" s="113">
        <v>0</v>
      </c>
      <c r="E5" s="113">
        <v>0.02</v>
      </c>
      <c r="F5" s="113">
        <v>0</v>
      </c>
      <c r="G5" s="557">
        <v>0.02</v>
      </c>
      <c r="H5" s="557">
        <v>0</v>
      </c>
      <c r="I5" s="557">
        <v>0.02</v>
      </c>
      <c r="J5" s="113">
        <v>0</v>
      </c>
      <c r="K5" s="558">
        <v>0</v>
      </c>
      <c r="AA5" s="594" t="s">
        <v>371</v>
      </c>
      <c r="AB5" s="594">
        <v>929</v>
      </c>
      <c r="AC5" s="594" t="s">
        <v>372</v>
      </c>
      <c r="AD5" s="594"/>
      <c r="AE5" s="594"/>
      <c r="AF5" s="594">
        <v>2000</v>
      </c>
      <c r="AG5" s="594"/>
      <c r="AH5" s="594"/>
      <c r="AI5" s="594"/>
      <c r="AJ5" s="594"/>
      <c r="AK5" s="594"/>
      <c r="AL5" s="594"/>
      <c r="AM5" s="594" t="s">
        <v>393</v>
      </c>
      <c r="AN5" s="594"/>
      <c r="AO5" s="594">
        <v>30000009291</v>
      </c>
      <c r="AP5" s="593">
        <f>+ROUND($F$7*98%,2)</f>
        <v>11143.11</v>
      </c>
      <c r="AQ5" s="592" t="s">
        <v>373</v>
      </c>
      <c r="AR5" s="594">
        <v>1</v>
      </c>
      <c r="AS5" s="594" t="s">
        <v>374</v>
      </c>
      <c r="AT5" s="592" t="s">
        <v>395</v>
      </c>
      <c r="AU5" s="591" t="str">
        <f t="shared" si="0"/>
        <v>21.01.2025</v>
      </c>
      <c r="AV5" s="591" t="str">
        <f t="shared" si="1"/>
        <v>27.01.2025</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11452</v>
      </c>
      <c r="AQ6" s="592" t="s">
        <v>373</v>
      </c>
      <c r="AR6" s="594">
        <v>1</v>
      </c>
      <c r="AS6" s="594" t="s">
        <v>374</v>
      </c>
      <c r="AT6" s="592" t="s">
        <v>395</v>
      </c>
      <c r="AU6" s="591" t="str">
        <f t="shared" si="0"/>
        <v>21.01.2025</v>
      </c>
      <c r="AV6" s="591" t="str">
        <f t="shared" si="1"/>
        <v>27.01.2025</v>
      </c>
    </row>
    <row r="7" spans="1:48" ht="27.6" customHeight="1">
      <c r="A7" s="70" t="s">
        <v>200</v>
      </c>
      <c r="B7" s="562">
        <v>11281.922300462857</v>
      </c>
      <c r="C7" s="565">
        <f>+B7</f>
        <v>11281.922300462857</v>
      </c>
      <c r="D7" s="565">
        <f>+B7</f>
        <v>11281.922300462857</v>
      </c>
      <c r="E7" s="565">
        <f>+D7</f>
        <v>11281.922300462857</v>
      </c>
      <c r="F7" s="562">
        <v>11370.52</v>
      </c>
      <c r="G7" s="565">
        <f>+F7</f>
        <v>11370.52</v>
      </c>
      <c r="H7" s="562">
        <v>11685.71</v>
      </c>
      <c r="I7" s="565">
        <f>+H7</f>
        <v>11685.71</v>
      </c>
      <c r="J7" s="565">
        <f>+B7</f>
        <v>11281.922300462857</v>
      </c>
      <c r="K7" s="564">
        <f>+J7</f>
        <v>11281.922300462857</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11056.28</v>
      </c>
      <c r="AQ7" s="592" t="s">
        <v>373</v>
      </c>
      <c r="AR7" s="594">
        <v>1</v>
      </c>
      <c r="AS7" s="594" t="s">
        <v>374</v>
      </c>
      <c r="AT7" s="592" t="s">
        <v>395</v>
      </c>
      <c r="AU7" s="591" t="str">
        <f t="shared" si="0"/>
        <v>21.01.2025</v>
      </c>
      <c r="AV7" s="591" t="str">
        <f t="shared" si="1"/>
        <v>27.01.2025</v>
      </c>
    </row>
    <row r="8" spans="1:48" ht="27.6" customHeight="1">
      <c r="A8" s="232" t="s">
        <v>407</v>
      </c>
      <c r="B8" s="349">
        <f>+D8</f>
        <v>0</v>
      </c>
      <c r="C8" s="224">
        <f>+BIODIESEL!$B$7</f>
        <v>21572.3</v>
      </c>
      <c r="D8" s="246">
        <v>0</v>
      </c>
      <c r="E8" s="224">
        <f>+BIODIESEL!$B$7</f>
        <v>21572.3</v>
      </c>
      <c r="F8" s="349">
        <v>0</v>
      </c>
      <c r="G8" s="224">
        <f>+BIODIESEL!$B$7</f>
        <v>21572.3</v>
      </c>
      <c r="H8" s="349">
        <v>0</v>
      </c>
      <c r="I8" s="636">
        <v>21732.585714285713</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si="0"/>
        <v>21.01.2025</v>
      </c>
      <c r="AV8" s="574" t="str">
        <f t="shared" si="1"/>
        <v>27.01.2025</v>
      </c>
    </row>
    <row r="9" spans="1:48" ht="35.450000000000003" customHeight="1">
      <c r="A9" s="248" t="s">
        <v>139</v>
      </c>
      <c r="B9" s="224">
        <f>+ROUND(B8*B5,2)+B7*(1-B5)</f>
        <v>11281.922300462857</v>
      </c>
      <c r="C9" s="224">
        <f>+ROUND(C8*C5,2)+C7*(1-C5)</f>
        <v>11487.7338544536</v>
      </c>
      <c r="D9" s="247">
        <f>+D8*D5+D7*(1-D5)</f>
        <v>11281.922300462857</v>
      </c>
      <c r="E9" s="224">
        <f>+ROUND(E8*E5,2)+ROUND(E7*(1-E5),2)</f>
        <v>11487.730000000001</v>
      </c>
      <c r="F9" s="224">
        <f>+ROUND(F8*F5,2)+F7*(1-F5)</f>
        <v>11370.52</v>
      </c>
      <c r="G9" s="224">
        <f>ROUND((G8*G5),2)+ROUND(G7*(1-G5),2)</f>
        <v>11574.560000000001</v>
      </c>
      <c r="H9" s="224">
        <f>+ROUND(H8*H5,2)+H7*(1-H5)</f>
        <v>11685.71</v>
      </c>
      <c r="I9" s="224">
        <f>+ROUND(I8*I5,2)+I7*(1-I5)</f>
        <v>11886.645799999998</v>
      </c>
      <c r="J9" s="318">
        <f>+J7</f>
        <v>11281.922300462857</v>
      </c>
      <c r="K9" s="291">
        <f>+K7</f>
        <v>11281.922300462857</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434.65</v>
      </c>
      <c r="AQ9" s="576" t="s">
        <v>373</v>
      </c>
      <c r="AR9" s="572">
        <v>1</v>
      </c>
      <c r="AS9" s="572" t="s">
        <v>374</v>
      </c>
      <c r="AT9" s="576" t="s">
        <v>395</v>
      </c>
      <c r="AU9" s="574" t="str">
        <f t="shared" si="0"/>
        <v>21.01.2025</v>
      </c>
      <c r="AV9" s="574" t="str">
        <f t="shared" si="1"/>
        <v>27.01.2025</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0"/>
        <v>21.01.2025</v>
      </c>
      <c r="AV10" s="574" t="str">
        <f t="shared" si="1"/>
        <v>27.01.2025</v>
      </c>
    </row>
    <row r="11" spans="1:48"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2">+(S10-S9)/S9</f>
        <v>0</v>
      </c>
      <c r="T11" s="330">
        <f t="shared" si="2"/>
        <v>-8.6521733848730145E-2</v>
      </c>
      <c r="U11" s="330">
        <f t="shared" si="2"/>
        <v>0</v>
      </c>
      <c r="V11" s="330">
        <f t="shared" si="2"/>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0"/>
        <v>21.01.2025</v>
      </c>
      <c r="AV11" s="591" t="str">
        <f t="shared" si="1"/>
        <v>27.01.2025</v>
      </c>
    </row>
    <row r="12" spans="1:48"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8"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8"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11056.28</v>
      </c>
      <c r="AQ15" s="576" t="s">
        <v>373</v>
      </c>
      <c r="AR15" s="572">
        <v>1</v>
      </c>
      <c r="AS15" s="572" t="s">
        <v>374</v>
      </c>
      <c r="AT15" s="576" t="s">
        <v>395</v>
      </c>
      <c r="AU15" s="574" t="str">
        <f t="shared" ref="AU15:AU17" si="3">+TEXT($B$4,"DD.MM.YYYY")</f>
        <v>21.01.2025</v>
      </c>
      <c r="AV15" s="574" t="str">
        <f t="shared" ref="AV15:AV17" si="4">+TEXT($G$4,"DD.MM.YYYY")</f>
        <v>27.01.2025</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11281.922300462857</v>
      </c>
      <c r="AQ16" s="576" t="s">
        <v>373</v>
      </c>
      <c r="AR16" s="572">
        <v>1</v>
      </c>
      <c r="AS16" s="572" t="s">
        <v>374</v>
      </c>
      <c r="AT16" s="576" t="s">
        <v>395</v>
      </c>
      <c r="AU16" s="574" t="str">
        <f t="shared" si="3"/>
        <v>21.01.2025</v>
      </c>
      <c r="AV16" s="574" t="str">
        <f t="shared" si="4"/>
        <v>27.01.2025</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3"/>
        <v>21.01.2025</v>
      </c>
      <c r="AV17" s="574" t="str">
        <f t="shared" si="4"/>
        <v>27.01.2025</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5">+E18</f>
        <v>(5)</v>
      </c>
      <c r="I18" s="411" t="str">
        <f t="shared" si="5"/>
        <v>(5)</v>
      </c>
      <c r="J18" s="411" t="str">
        <f t="shared" si="5"/>
        <v>(5)</v>
      </c>
      <c r="K18" s="561" t="str">
        <f t="shared" si="5"/>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xHH9GtK6jCICqLhYkUjaFl/bKA+6Ymr1dGp0UsbIybebfK1gK2Hn94t3xfbHzoedTjSg/6EYsKeO2688zplC6g==" saltValue="py7nruEfDRWzQPKiptBxng==" spinCount="100000" sheet="1" objects="1" scenarios="1"/>
  <mergeCells count="9">
    <mergeCell ref="A32:H32"/>
    <mergeCell ref="A33:H33"/>
    <mergeCell ref="A34:E34"/>
    <mergeCell ref="A1:I1"/>
    <mergeCell ref="A2:I2"/>
    <mergeCell ref="A3:I3"/>
    <mergeCell ref="A26:I26"/>
    <mergeCell ref="A28:I28"/>
    <mergeCell ref="A30:I31"/>
  </mergeCells>
  <conditionalFormatting sqref="AA2:AV11">
    <cfRule type="containsText" dxfId="53" priority="2" operator="containsText" text="Seleccione...">
      <formula>NOT(ISERROR(SEARCH("Seleccione...",AA2)))</formula>
    </cfRule>
  </conditionalFormatting>
  <conditionalFormatting sqref="AA15:AV17">
    <cfRule type="containsText" dxfId="52"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720401E-5E4D-4A66-A218-214548075DC5}">
          <x14:formula1>
            <xm:f>Fechas!$A$2:$A$831</xm:f>
          </x14:formula1>
          <xm:sqref>B4 G4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DB396-3867-4B3C-805F-9FA7E2F52C44}">
  <dimension ref="A1:AV46"/>
  <sheetViews>
    <sheetView showGridLines="0" topLeftCell="D1" zoomScale="55" zoomScaleNormal="55" workbookViewId="0">
      <selection activeCell="AE26" sqref="AE26"/>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12.42578125" style="5" bestFit="1" customWidth="1"/>
    <col min="42" max="42" width="8.85546875" style="5" bestFit="1" customWidth="1"/>
    <col min="43" max="46" width="7.85546875" style="5"/>
    <col min="47" max="48" width="9.85546875" style="5" bestFit="1" customWidth="1"/>
    <col min="49" max="16384" width="7.85546875" style="5"/>
  </cols>
  <sheetData>
    <row r="1" spans="1:48" s="11" customFormat="1" ht="18.75" thickTop="1">
      <c r="A1" s="766" t="s">
        <v>25</v>
      </c>
      <c r="B1" s="767"/>
      <c r="C1" s="767"/>
      <c r="D1" s="767"/>
      <c r="E1" s="767"/>
      <c r="F1" s="767"/>
      <c r="G1" s="767"/>
      <c r="H1" s="767"/>
      <c r="I1" s="767"/>
      <c r="J1" s="552"/>
      <c r="K1" s="553"/>
      <c r="AA1" s="575" t="s">
        <v>349</v>
      </c>
      <c r="AB1" s="575" t="s">
        <v>350</v>
      </c>
      <c r="AC1" s="575" t="s">
        <v>351</v>
      </c>
      <c r="AD1" s="575" t="s">
        <v>352</v>
      </c>
      <c r="AE1" s="575" t="s">
        <v>353</v>
      </c>
      <c r="AF1" s="575" t="s">
        <v>354</v>
      </c>
      <c r="AG1" s="575" t="s">
        <v>355</v>
      </c>
      <c r="AH1" s="575" t="s">
        <v>356</v>
      </c>
      <c r="AI1" s="575" t="s">
        <v>357</v>
      </c>
      <c r="AJ1" s="575" t="s">
        <v>358</v>
      </c>
      <c r="AK1" s="575" t="s">
        <v>359</v>
      </c>
      <c r="AL1" s="575" t="s">
        <v>360</v>
      </c>
      <c r="AM1" s="575" t="s">
        <v>361</v>
      </c>
      <c r="AN1" s="575" t="s">
        <v>362</v>
      </c>
      <c r="AO1" s="575" t="s">
        <v>363</v>
      </c>
      <c r="AP1" s="575" t="s">
        <v>364</v>
      </c>
      <c r="AQ1" s="575" t="s">
        <v>365</v>
      </c>
      <c r="AR1" s="575" t="s">
        <v>366</v>
      </c>
      <c r="AS1" s="575" t="s">
        <v>367</v>
      </c>
      <c r="AT1" s="575" t="s">
        <v>368</v>
      </c>
      <c r="AU1" s="575" t="s">
        <v>369</v>
      </c>
      <c r="AV1" s="575" t="s">
        <v>370</v>
      </c>
    </row>
    <row r="2" spans="1:48" s="11" customFormat="1" ht="56.1" customHeight="1">
      <c r="A2" s="768" t="s">
        <v>236</v>
      </c>
      <c r="B2" s="769"/>
      <c r="C2" s="769"/>
      <c r="D2" s="769"/>
      <c r="E2" s="769"/>
      <c r="F2" s="769"/>
      <c r="G2" s="769"/>
      <c r="H2" s="769"/>
      <c r="I2" s="769"/>
      <c r="K2" s="554"/>
      <c r="L2" s="5"/>
      <c r="M2" s="5"/>
      <c r="N2" s="5"/>
      <c r="O2" s="5"/>
      <c r="P2" s="5"/>
      <c r="Q2" s="5"/>
      <c r="Z2" s="579" t="s">
        <v>428</v>
      </c>
      <c r="AA2" s="572" t="s">
        <v>371</v>
      </c>
      <c r="AB2" s="572">
        <v>929</v>
      </c>
      <c r="AC2" s="572" t="s">
        <v>372</v>
      </c>
      <c r="AD2" s="572"/>
      <c r="AE2" s="572"/>
      <c r="AF2" s="572">
        <v>2000</v>
      </c>
      <c r="AG2" s="572"/>
      <c r="AH2" s="572"/>
      <c r="AI2" s="572"/>
      <c r="AJ2" s="572"/>
      <c r="AK2" s="572"/>
      <c r="AL2" s="572"/>
      <c r="AM2" s="572" t="s">
        <v>393</v>
      </c>
      <c r="AN2" s="572"/>
      <c r="AO2" s="572">
        <v>30000002129</v>
      </c>
      <c r="AP2" s="573">
        <f>+ROUND($F$7*98%,2)</f>
        <v>10736</v>
      </c>
      <c r="AQ2" s="576" t="s">
        <v>373</v>
      </c>
      <c r="AR2" s="572">
        <v>1</v>
      </c>
      <c r="AS2" s="572" t="s">
        <v>374</v>
      </c>
      <c r="AT2" s="576" t="s">
        <v>395</v>
      </c>
      <c r="AU2" s="574" t="str">
        <f t="shared" ref="AU2:AU11" si="0">+TEXT($B$4,"DD.MM.YYYY")</f>
        <v>28.01.2025</v>
      </c>
      <c r="AV2" s="574" t="str">
        <f t="shared" ref="AV2:AV11" si="1">+TEXT($G$4,"DD.MM.YYYY")</f>
        <v>31.01.2025</v>
      </c>
    </row>
    <row r="3" spans="1:48" ht="24.75" customHeight="1">
      <c r="A3" s="768" t="s">
        <v>21</v>
      </c>
      <c r="B3" s="769"/>
      <c r="C3" s="769"/>
      <c r="D3" s="769"/>
      <c r="E3" s="769"/>
      <c r="F3" s="769"/>
      <c r="G3" s="769"/>
      <c r="H3" s="769"/>
      <c r="I3" s="769"/>
      <c r="J3" s="310"/>
      <c r="K3" s="555"/>
      <c r="L3" s="310"/>
      <c r="M3" s="310"/>
      <c r="N3" s="310"/>
      <c r="AA3" s="572" t="s">
        <v>371</v>
      </c>
      <c r="AB3" s="572">
        <v>929</v>
      </c>
      <c r="AC3" s="572" t="s">
        <v>372</v>
      </c>
      <c r="AD3" s="572"/>
      <c r="AE3" s="572"/>
      <c r="AF3" s="572">
        <v>3010</v>
      </c>
      <c r="AG3" s="572"/>
      <c r="AH3" s="572"/>
      <c r="AI3" s="572"/>
      <c r="AJ3" s="572"/>
      <c r="AK3" s="572"/>
      <c r="AL3" s="572"/>
      <c r="AM3" s="572" t="s">
        <v>393</v>
      </c>
      <c r="AN3" s="572"/>
      <c r="AO3" s="572">
        <v>30000002129</v>
      </c>
      <c r="AP3" s="573">
        <f>+ROUND($I$7*98%,2)</f>
        <v>11037.18</v>
      </c>
      <c r="AQ3" s="576" t="s">
        <v>373</v>
      </c>
      <c r="AR3" s="572">
        <v>1</v>
      </c>
      <c r="AS3" s="572" t="s">
        <v>374</v>
      </c>
      <c r="AT3" s="576" t="s">
        <v>395</v>
      </c>
      <c r="AU3" s="574" t="str">
        <f t="shared" si="0"/>
        <v>28.01.2025</v>
      </c>
      <c r="AV3" s="574" t="str">
        <f t="shared" si="1"/>
        <v>31.01.2025</v>
      </c>
    </row>
    <row r="4" spans="1:48" ht="18.75">
      <c r="A4" s="600" t="s">
        <v>421</v>
      </c>
      <c r="B4" s="599">
        <v>45685</v>
      </c>
      <c r="C4" s="585"/>
      <c r="D4" s="598"/>
      <c r="F4" s="579" t="s">
        <v>422</v>
      </c>
      <c r="G4" s="599">
        <v>45688</v>
      </c>
      <c r="H4" s="598"/>
      <c r="I4" s="585"/>
      <c r="K4" s="526"/>
      <c r="AA4" s="572" t="s">
        <v>371</v>
      </c>
      <c r="AB4" s="572">
        <v>929</v>
      </c>
      <c r="AC4" s="572" t="s">
        <v>372</v>
      </c>
      <c r="AD4" s="572"/>
      <c r="AE4" s="572"/>
      <c r="AF4" s="572">
        <v>4502</v>
      </c>
      <c r="AG4" s="572"/>
      <c r="AH4" s="572"/>
      <c r="AI4" s="572"/>
      <c r="AJ4" s="572"/>
      <c r="AK4" s="572"/>
      <c r="AL4" s="572"/>
      <c r="AM4" s="572" t="s">
        <v>393</v>
      </c>
      <c r="AN4" s="572"/>
      <c r="AO4" s="572">
        <v>30000002129</v>
      </c>
      <c r="AP4" s="573">
        <f>+ROUND($D$7*98%,2)</f>
        <v>10649.17</v>
      </c>
      <c r="AQ4" s="576" t="s">
        <v>373</v>
      </c>
      <c r="AR4" s="572">
        <v>1</v>
      </c>
      <c r="AS4" s="572" t="s">
        <v>374</v>
      </c>
      <c r="AT4" s="576" t="s">
        <v>395</v>
      </c>
      <c r="AU4" s="574" t="str">
        <f t="shared" si="0"/>
        <v>28.01.2025</v>
      </c>
      <c r="AV4" s="574" t="str">
        <f t="shared" si="1"/>
        <v>31.01.2025</v>
      </c>
    </row>
    <row r="5" spans="1:48" ht="15.75" thickBot="1">
      <c r="A5" s="556"/>
      <c r="B5" s="113">
        <v>0</v>
      </c>
      <c r="C5" s="113">
        <v>0.02</v>
      </c>
      <c r="D5" s="113">
        <v>0</v>
      </c>
      <c r="E5" s="113">
        <v>0.02</v>
      </c>
      <c r="F5" s="113">
        <v>0</v>
      </c>
      <c r="G5" s="557">
        <v>0.02</v>
      </c>
      <c r="H5" s="557">
        <v>0</v>
      </c>
      <c r="I5" s="557">
        <v>0.02</v>
      </c>
      <c r="J5" s="113">
        <v>0</v>
      </c>
      <c r="K5" s="558">
        <v>0</v>
      </c>
      <c r="AA5" s="594" t="s">
        <v>371</v>
      </c>
      <c r="AB5" s="594">
        <v>929</v>
      </c>
      <c r="AC5" s="594" t="s">
        <v>372</v>
      </c>
      <c r="AD5" s="594"/>
      <c r="AE5" s="594"/>
      <c r="AF5" s="594">
        <v>2000</v>
      </c>
      <c r="AG5" s="594"/>
      <c r="AH5" s="594"/>
      <c r="AI5" s="594"/>
      <c r="AJ5" s="594"/>
      <c r="AK5" s="594"/>
      <c r="AL5" s="594"/>
      <c r="AM5" s="594" t="s">
        <v>393</v>
      </c>
      <c r="AN5" s="594"/>
      <c r="AO5" s="594">
        <v>30000009291</v>
      </c>
      <c r="AP5" s="593">
        <f>+ROUND($F$7*98%,2)</f>
        <v>10736</v>
      </c>
      <c r="AQ5" s="592" t="s">
        <v>373</v>
      </c>
      <c r="AR5" s="594">
        <v>1</v>
      </c>
      <c r="AS5" s="594" t="s">
        <v>374</v>
      </c>
      <c r="AT5" s="592" t="s">
        <v>395</v>
      </c>
      <c r="AU5" s="591" t="str">
        <f t="shared" si="0"/>
        <v>28.01.2025</v>
      </c>
      <c r="AV5" s="591" t="str">
        <f t="shared" si="1"/>
        <v>31.01.2025</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59" t="str">
        <f>+CONCATENATE("Cartagena Diesel Marino (B0) con cupo",$B$43)</f>
        <v>Cartagena Diesel Marino (B0) con cupo.</v>
      </c>
      <c r="AA6" s="594" t="s">
        <v>371</v>
      </c>
      <c r="AB6" s="594">
        <v>929</v>
      </c>
      <c r="AC6" s="594" t="s">
        <v>372</v>
      </c>
      <c r="AD6" s="594"/>
      <c r="AE6" s="594"/>
      <c r="AF6" s="594">
        <v>3010</v>
      </c>
      <c r="AG6" s="594"/>
      <c r="AH6" s="594"/>
      <c r="AI6" s="594"/>
      <c r="AJ6" s="594"/>
      <c r="AK6" s="594"/>
      <c r="AL6" s="594"/>
      <c r="AM6" s="594" t="s">
        <v>393</v>
      </c>
      <c r="AN6" s="594"/>
      <c r="AO6" s="594">
        <v>30000009291</v>
      </c>
      <c r="AP6" s="593">
        <f>+ROUND($I$7*98%,2)</f>
        <v>11037.18</v>
      </c>
      <c r="AQ6" s="592" t="s">
        <v>373</v>
      </c>
      <c r="AR6" s="594">
        <v>1</v>
      </c>
      <c r="AS6" s="594" t="s">
        <v>374</v>
      </c>
      <c r="AT6" s="592" t="s">
        <v>395</v>
      </c>
      <c r="AU6" s="591" t="str">
        <f t="shared" si="0"/>
        <v>28.01.2025</v>
      </c>
      <c r="AV6" s="591" t="str">
        <f t="shared" si="1"/>
        <v>31.01.2025</v>
      </c>
    </row>
    <row r="7" spans="1:48" ht="27.6" customHeight="1">
      <c r="A7" s="70" t="s">
        <v>200</v>
      </c>
      <c r="B7" s="562">
        <v>10866.5</v>
      </c>
      <c r="C7" s="565">
        <f>+B7</f>
        <v>10866.5</v>
      </c>
      <c r="D7" s="565">
        <f>+B7</f>
        <v>10866.5</v>
      </c>
      <c r="E7" s="565">
        <f>+D7</f>
        <v>10866.5</v>
      </c>
      <c r="F7" s="562">
        <v>10955.1</v>
      </c>
      <c r="G7" s="565">
        <f>+F7</f>
        <v>10955.1</v>
      </c>
      <c r="H7" s="562">
        <v>11262.43</v>
      </c>
      <c r="I7" s="565">
        <f>+H7</f>
        <v>11262.43</v>
      </c>
      <c r="J7" s="565">
        <f>+B7</f>
        <v>10866.5</v>
      </c>
      <c r="K7" s="564">
        <f>+J7</f>
        <v>10866.5</v>
      </c>
      <c r="N7" s="341"/>
      <c r="AA7" s="594" t="s">
        <v>371</v>
      </c>
      <c r="AB7" s="594">
        <v>929</v>
      </c>
      <c r="AC7" s="594" t="s">
        <v>372</v>
      </c>
      <c r="AD7" s="594"/>
      <c r="AE7" s="594"/>
      <c r="AF7" s="594">
        <v>4502</v>
      </c>
      <c r="AG7" s="594"/>
      <c r="AH7" s="594"/>
      <c r="AI7" s="594"/>
      <c r="AJ7" s="594"/>
      <c r="AK7" s="594"/>
      <c r="AL7" s="594"/>
      <c r="AM7" s="594" t="s">
        <v>393</v>
      </c>
      <c r="AN7" s="594"/>
      <c r="AO7" s="594">
        <v>30000009291</v>
      </c>
      <c r="AP7" s="593">
        <f>+ROUND($D$7*98%,2)</f>
        <v>10649.17</v>
      </c>
      <c r="AQ7" s="592" t="s">
        <v>373</v>
      </c>
      <c r="AR7" s="594">
        <v>1</v>
      </c>
      <c r="AS7" s="594" t="s">
        <v>374</v>
      </c>
      <c r="AT7" s="592" t="s">
        <v>395</v>
      </c>
      <c r="AU7" s="591" t="str">
        <f t="shared" si="0"/>
        <v>28.01.2025</v>
      </c>
      <c r="AV7" s="591" t="str">
        <f t="shared" si="1"/>
        <v>31.01.2025</v>
      </c>
    </row>
    <row r="8" spans="1:48" ht="27.6" customHeight="1">
      <c r="A8" s="232" t="s">
        <v>407</v>
      </c>
      <c r="B8" s="349">
        <f>+D8</f>
        <v>0</v>
      </c>
      <c r="C8" s="224">
        <f>+BIODIESEL!$B$7</f>
        <v>21572.3</v>
      </c>
      <c r="D8" s="246">
        <v>0</v>
      </c>
      <c r="E8" s="224">
        <f>+BIODIESEL!$B$7</f>
        <v>21572.3</v>
      </c>
      <c r="F8" s="349">
        <v>0</v>
      </c>
      <c r="G8" s="224">
        <f>+BIODIESEL!$B$7</f>
        <v>21572.3</v>
      </c>
      <c r="H8" s="349">
        <v>0</v>
      </c>
      <c r="I8" s="636">
        <v>21732.585714285713</v>
      </c>
      <c r="J8" s="349">
        <f>+B8</f>
        <v>0</v>
      </c>
      <c r="K8" s="463">
        <f>+B8</f>
        <v>0</v>
      </c>
      <c r="N8" s="342"/>
      <c r="O8" s="342"/>
      <c r="P8" s="342"/>
      <c r="Q8" s="342"/>
      <c r="R8" s="342"/>
      <c r="S8" s="26"/>
      <c r="T8" s="26"/>
      <c r="U8" s="26"/>
      <c r="V8" s="26"/>
      <c r="W8" s="26"/>
      <c r="X8" s="26"/>
      <c r="Y8" s="26"/>
      <c r="Z8" s="26"/>
      <c r="AA8" s="572" t="s">
        <v>375</v>
      </c>
      <c r="AB8" s="572">
        <v>929</v>
      </c>
      <c r="AC8" s="572" t="s">
        <v>372</v>
      </c>
      <c r="AD8" s="572"/>
      <c r="AE8" s="572"/>
      <c r="AF8" s="572">
        <v>2000</v>
      </c>
      <c r="AG8" s="572"/>
      <c r="AH8" s="572"/>
      <c r="AI8" s="572"/>
      <c r="AJ8" s="572"/>
      <c r="AK8" s="572"/>
      <c r="AL8" s="572"/>
      <c r="AM8" s="572" t="s">
        <v>393</v>
      </c>
      <c r="AN8" s="572"/>
      <c r="AO8" s="572">
        <v>30000002129</v>
      </c>
      <c r="AP8" s="573">
        <f>+ROUND($G$8*2%,2)</f>
        <v>431.45</v>
      </c>
      <c r="AQ8" s="576" t="s">
        <v>373</v>
      </c>
      <c r="AR8" s="572">
        <v>1</v>
      </c>
      <c r="AS8" s="572" t="s">
        <v>374</v>
      </c>
      <c r="AT8" s="576" t="s">
        <v>395</v>
      </c>
      <c r="AU8" s="574" t="str">
        <f t="shared" si="0"/>
        <v>28.01.2025</v>
      </c>
      <c r="AV8" s="574" t="str">
        <f t="shared" si="1"/>
        <v>31.01.2025</v>
      </c>
    </row>
    <row r="9" spans="1:48" ht="35.450000000000003" customHeight="1">
      <c r="A9" s="248" t="s">
        <v>139</v>
      </c>
      <c r="B9" s="224">
        <f>+ROUND(B8*B5,2)+B7*(1-B5)</f>
        <v>10866.5</v>
      </c>
      <c r="C9" s="224">
        <f>+ROUND(C8*C5,2)+C7*(1-C5)</f>
        <v>11080.62</v>
      </c>
      <c r="D9" s="247">
        <f>+D8*D5+D7*(1-D5)</f>
        <v>10866.5</v>
      </c>
      <c r="E9" s="224">
        <f>+ROUND(E8*E5,2)+ROUND(E7*(1-E5),2)</f>
        <v>11080.62</v>
      </c>
      <c r="F9" s="224">
        <f>+ROUND(F8*F5,2)+F7*(1-F5)</f>
        <v>10955.1</v>
      </c>
      <c r="G9" s="224">
        <f>ROUND((G8*G5),2)+ROUND(G7*(1-G5),2)</f>
        <v>11167.45</v>
      </c>
      <c r="H9" s="224">
        <f>+ROUND(H8*H5,2)+H7*(1-H5)</f>
        <v>11262.43</v>
      </c>
      <c r="I9" s="224">
        <f>+ROUND(I8*I5,2)+I7*(1-I5)</f>
        <v>11471.831399999999</v>
      </c>
      <c r="J9" s="318">
        <f>+J7</f>
        <v>10866.5</v>
      </c>
      <c r="K9" s="291">
        <f>+K7</f>
        <v>10866.5</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72" t="s">
        <v>375</v>
      </c>
      <c r="AB9" s="572">
        <v>929</v>
      </c>
      <c r="AC9" s="572" t="s">
        <v>372</v>
      </c>
      <c r="AD9" s="572"/>
      <c r="AE9" s="572"/>
      <c r="AF9" s="572">
        <v>3010</v>
      </c>
      <c r="AG9" s="572"/>
      <c r="AH9" s="572"/>
      <c r="AI9" s="572"/>
      <c r="AJ9" s="572"/>
      <c r="AK9" s="572"/>
      <c r="AL9" s="572"/>
      <c r="AM9" s="572" t="s">
        <v>393</v>
      </c>
      <c r="AN9" s="572"/>
      <c r="AO9" s="572">
        <v>30000002129</v>
      </c>
      <c r="AP9" s="573">
        <f>+ROUND($I$8*2%,2)</f>
        <v>434.65</v>
      </c>
      <c r="AQ9" s="576" t="s">
        <v>373</v>
      </c>
      <c r="AR9" s="572">
        <v>1</v>
      </c>
      <c r="AS9" s="572" t="s">
        <v>374</v>
      </c>
      <c r="AT9" s="576" t="s">
        <v>395</v>
      </c>
      <c r="AU9" s="574" t="str">
        <f t="shared" si="0"/>
        <v>28.01.2025</v>
      </c>
      <c r="AV9" s="574" t="str">
        <f t="shared" si="1"/>
        <v>31.01.2025</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63">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72" t="s">
        <v>375</v>
      </c>
      <c r="AB10" s="572">
        <v>929</v>
      </c>
      <c r="AC10" s="572" t="s">
        <v>372</v>
      </c>
      <c r="AD10" s="572"/>
      <c r="AE10" s="572"/>
      <c r="AF10" s="572">
        <v>4502</v>
      </c>
      <c r="AG10" s="572"/>
      <c r="AH10" s="572"/>
      <c r="AI10" s="572"/>
      <c r="AJ10" s="572"/>
      <c r="AK10" s="572"/>
      <c r="AL10" s="572"/>
      <c r="AM10" s="572" t="s">
        <v>393</v>
      </c>
      <c r="AN10" s="572"/>
      <c r="AO10" s="572">
        <v>30000002129</v>
      </c>
      <c r="AP10" s="573">
        <f>+ROUND($E$8*2%,2)</f>
        <v>431.45</v>
      </c>
      <c r="AQ10" s="576" t="s">
        <v>373</v>
      </c>
      <c r="AR10" s="572">
        <v>1</v>
      </c>
      <c r="AS10" s="572" t="s">
        <v>374</v>
      </c>
      <c r="AT10" s="576" t="s">
        <v>395</v>
      </c>
      <c r="AU10" s="574" t="str">
        <f t="shared" si="0"/>
        <v>28.01.2025</v>
      </c>
      <c r="AV10" s="574" t="str">
        <f t="shared" si="1"/>
        <v>31.01.2025</v>
      </c>
    </row>
    <row r="11" spans="1:48" ht="27.6" customHeight="1">
      <c r="A11" s="232" t="s">
        <v>152</v>
      </c>
      <c r="B11" s="247" t="s">
        <v>11</v>
      </c>
      <c r="C11" s="247" t="s">
        <v>11</v>
      </c>
      <c r="D11" s="247" t="s">
        <v>11</v>
      </c>
      <c r="E11" s="247" t="s">
        <v>11</v>
      </c>
      <c r="F11" s="247" t="s">
        <v>11</v>
      </c>
      <c r="G11" s="247" t="s">
        <v>11</v>
      </c>
      <c r="H11" s="247" t="s">
        <v>11</v>
      </c>
      <c r="I11" s="247" t="s">
        <v>11</v>
      </c>
      <c r="J11" s="247" t="s">
        <v>11</v>
      </c>
      <c r="K11" s="563" t="s">
        <v>11</v>
      </c>
      <c r="N11" s="26"/>
      <c r="O11" s="26"/>
      <c r="P11" s="26"/>
      <c r="Q11" s="26"/>
      <c r="R11" s="26"/>
      <c r="S11" s="330">
        <f t="shared" ref="S11:V11" si="2">+(S10-S9)/S9</f>
        <v>0</v>
      </c>
      <c r="T11" s="330">
        <f t="shared" si="2"/>
        <v>-8.6521733848730145E-2</v>
      </c>
      <c r="U11" s="330">
        <f t="shared" si="2"/>
        <v>0</v>
      </c>
      <c r="V11" s="330">
        <f t="shared" si="2"/>
        <v>0</v>
      </c>
      <c r="W11" s="26"/>
      <c r="X11" s="26"/>
      <c r="Y11" s="26"/>
      <c r="Z11" s="26"/>
      <c r="AA11" s="594" t="s">
        <v>375</v>
      </c>
      <c r="AB11" s="594">
        <v>929</v>
      </c>
      <c r="AC11" s="594" t="s">
        <v>372</v>
      </c>
      <c r="AD11" s="594"/>
      <c r="AE11" s="594"/>
      <c r="AF11" s="594">
        <v>2000</v>
      </c>
      <c r="AG11" s="594"/>
      <c r="AH11" s="594"/>
      <c r="AI11" s="594"/>
      <c r="AJ11" s="594"/>
      <c r="AK11" s="594"/>
      <c r="AL11" s="594"/>
      <c r="AM11" s="594" t="s">
        <v>393</v>
      </c>
      <c r="AN11" s="594"/>
      <c r="AO11" s="594">
        <v>30000009291</v>
      </c>
      <c r="AP11" s="593">
        <f>+ROUND($G$8*2%,2)</f>
        <v>431.45</v>
      </c>
      <c r="AQ11" s="592" t="s">
        <v>373</v>
      </c>
      <c r="AR11" s="594">
        <v>1</v>
      </c>
      <c r="AS11" s="594" t="s">
        <v>374</v>
      </c>
      <c r="AT11" s="592" t="s">
        <v>395</v>
      </c>
      <c r="AU11" s="591" t="str">
        <f t="shared" si="0"/>
        <v>28.01.2025</v>
      </c>
      <c r="AV11" s="591" t="str">
        <f t="shared" si="1"/>
        <v>31.01.2025</v>
      </c>
    </row>
    <row r="12" spans="1:48" ht="23.65" hidden="1" customHeight="1">
      <c r="A12" s="57"/>
      <c r="B12" s="247"/>
      <c r="C12" s="247"/>
      <c r="D12" s="247"/>
      <c r="E12" s="247"/>
      <c r="F12" s="247"/>
      <c r="G12" s="247"/>
      <c r="H12" s="459"/>
      <c r="I12" s="459"/>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leyes'!$V$35</f>
        <v>693.65</v>
      </c>
      <c r="C13" s="247">
        <f>+ROUND('Resoluciones, leyes'!$V$35*(1-C$5),2)</f>
        <v>679.78</v>
      </c>
      <c r="D13" s="247">
        <f>+'Resoluciones, leyes'!$V$35</f>
        <v>693.65</v>
      </c>
      <c r="E13" s="247">
        <f>+ROUND('Resoluciones, leyes'!$V$35*(1-E$5),2)</f>
        <v>679.78</v>
      </c>
      <c r="F13" s="247">
        <f>+'Resoluciones, leyes'!$V$35</f>
        <v>693.65</v>
      </c>
      <c r="G13" s="247">
        <f>+ROUND('Resoluciones, leyes'!$V$35*(1-G$5),2)</f>
        <v>679.78</v>
      </c>
      <c r="H13" s="247">
        <f>+'Resoluciones, leyes'!$V$35</f>
        <v>693.65</v>
      </c>
      <c r="I13" s="247">
        <f>+ROUND('Resoluciones, leyes'!$V$35*(1-I$5),2)</f>
        <v>679.78</v>
      </c>
      <c r="J13" s="247">
        <f>+'Resoluciones, leyes'!$V$35</f>
        <v>693.65</v>
      </c>
      <c r="K13" s="291">
        <f>+'Resoluciones, leyes'!V38</f>
        <v>884.07</v>
      </c>
    </row>
    <row r="14" spans="1:48" ht="27.6" customHeight="1">
      <c r="A14" s="232" t="s">
        <v>210</v>
      </c>
      <c r="B14" s="464" t="s">
        <v>398</v>
      </c>
      <c r="C14" s="303" t="s">
        <v>398</v>
      </c>
      <c r="D14" s="303" t="s">
        <v>398</v>
      </c>
      <c r="E14" s="303" t="s">
        <v>398</v>
      </c>
      <c r="F14" s="303" t="s">
        <v>398</v>
      </c>
      <c r="G14" s="303" t="s">
        <v>398</v>
      </c>
      <c r="H14" s="303" t="s">
        <v>398</v>
      </c>
      <c r="I14" s="303" t="s">
        <v>398</v>
      </c>
      <c r="J14" s="303" t="s">
        <v>398</v>
      </c>
      <c r="K14" s="305" t="s">
        <v>398</v>
      </c>
    </row>
    <row r="15" spans="1:48" ht="27.6" customHeight="1">
      <c r="A15" s="560" t="s">
        <v>237</v>
      </c>
      <c r="B15" s="247">
        <f>+'Resoluciones, leyes'!$V$91</f>
        <v>210.63</v>
      </c>
      <c r="C15" s="247">
        <f>+B15*(1-C5)</f>
        <v>206.41739999999999</v>
      </c>
      <c r="D15" s="247">
        <f>+'Resoluciones, leyes'!$V$91</f>
        <v>210.63</v>
      </c>
      <c r="E15" s="247">
        <f>+D15*(1-E5)</f>
        <v>206.41739999999999</v>
      </c>
      <c r="F15" s="247">
        <f>+'Resoluciones, leyes'!$V$91</f>
        <v>210.63</v>
      </c>
      <c r="G15" s="247">
        <f>+F15*(1-G5)</f>
        <v>206.41739999999999</v>
      </c>
      <c r="H15" s="247">
        <f>+'Resoluciones, leyes'!$V$91</f>
        <v>210.63</v>
      </c>
      <c r="I15" s="247">
        <f>+H15*(1-I5)</f>
        <v>206.41739999999999</v>
      </c>
      <c r="J15" s="247">
        <f>+'Resoluciones, leyes'!$V$91</f>
        <v>210.63</v>
      </c>
      <c r="K15" s="291">
        <f>+'Resoluciones, leyes'!$V$38</f>
        <v>884.07</v>
      </c>
      <c r="M15" s="302"/>
      <c r="Z15" s="579" t="s">
        <v>427</v>
      </c>
      <c r="AA15" s="572" t="s">
        <v>371</v>
      </c>
      <c r="AB15" s="572">
        <v>567</v>
      </c>
      <c r="AC15" s="572" t="s">
        <v>380</v>
      </c>
      <c r="AD15" s="572"/>
      <c r="AE15" s="572"/>
      <c r="AF15" s="572"/>
      <c r="AG15" s="572"/>
      <c r="AH15" s="572"/>
      <c r="AI15" s="572"/>
      <c r="AJ15" s="572"/>
      <c r="AK15" s="572"/>
      <c r="AL15" s="572"/>
      <c r="AM15" s="572" t="s">
        <v>393</v>
      </c>
      <c r="AN15" s="572"/>
      <c r="AO15" s="572">
        <v>30000002129</v>
      </c>
      <c r="AP15" s="573">
        <f>+ROUND(C7*98%,2)</f>
        <v>10649.17</v>
      </c>
      <c r="AQ15" s="576" t="s">
        <v>373</v>
      </c>
      <c r="AR15" s="572">
        <v>1</v>
      </c>
      <c r="AS15" s="572" t="s">
        <v>374</v>
      </c>
      <c r="AT15" s="576" t="s">
        <v>395</v>
      </c>
      <c r="AU15" s="574" t="str">
        <f t="shared" ref="AU15:AU17" si="3">+TEXT($B$4,"DD.MM.YYYY")</f>
        <v>28.01.2025</v>
      </c>
      <c r="AV15" s="574" t="str">
        <f t="shared" ref="AV15:AV17" si="4">+TEXT($G$4,"DD.MM.YYYY")</f>
        <v>31.01.2025</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c r="AA16" s="572" t="s">
        <v>378</v>
      </c>
      <c r="AB16" s="572">
        <v>567</v>
      </c>
      <c r="AC16" s="572" t="s">
        <v>380</v>
      </c>
      <c r="AD16" s="572"/>
      <c r="AE16" s="572"/>
      <c r="AF16" s="572"/>
      <c r="AG16" s="572"/>
      <c r="AH16" s="572"/>
      <c r="AI16" s="572"/>
      <c r="AJ16" s="572"/>
      <c r="AK16" s="572"/>
      <c r="AL16" s="572"/>
      <c r="AM16" s="572" t="s">
        <v>393</v>
      </c>
      <c r="AN16" s="572"/>
      <c r="AO16" s="572">
        <v>30000000003</v>
      </c>
      <c r="AP16" s="573">
        <f>+$C$7</f>
        <v>10866.5</v>
      </c>
      <c r="AQ16" s="576" t="s">
        <v>373</v>
      </c>
      <c r="AR16" s="572">
        <v>1</v>
      </c>
      <c r="AS16" s="572" t="s">
        <v>374</v>
      </c>
      <c r="AT16" s="576" t="s">
        <v>395</v>
      </c>
      <c r="AU16" s="574" t="str">
        <f t="shared" si="3"/>
        <v>28.01.2025</v>
      </c>
      <c r="AV16" s="574" t="str">
        <f t="shared" si="4"/>
        <v>31.01.2025</v>
      </c>
    </row>
    <row r="17" spans="1:48" ht="27.6" customHeight="1">
      <c r="A17" s="232" t="s">
        <v>201</v>
      </c>
      <c r="B17" s="247" t="s">
        <v>175</v>
      </c>
      <c r="C17" s="247" t="s">
        <v>175</v>
      </c>
      <c r="D17" s="247" t="s">
        <v>175</v>
      </c>
      <c r="E17" s="247" t="s">
        <v>175</v>
      </c>
      <c r="F17" s="247" t="s">
        <v>175</v>
      </c>
      <c r="G17" s="247" t="s">
        <v>175</v>
      </c>
      <c r="H17" s="247" t="s">
        <v>175</v>
      </c>
      <c r="I17" s="247" t="s">
        <v>175</v>
      </c>
      <c r="J17" s="318" t="s">
        <v>175</v>
      </c>
      <c r="K17" s="291" t="s">
        <v>175</v>
      </c>
      <c r="AA17" s="572" t="s">
        <v>375</v>
      </c>
      <c r="AB17" s="572">
        <v>567</v>
      </c>
      <c r="AC17" s="572" t="s">
        <v>380</v>
      </c>
      <c r="AD17" s="572"/>
      <c r="AE17" s="572"/>
      <c r="AF17" s="572"/>
      <c r="AG17" s="572"/>
      <c r="AH17" s="572"/>
      <c r="AI17" s="572"/>
      <c r="AJ17" s="572"/>
      <c r="AK17" s="572"/>
      <c r="AL17" s="572"/>
      <c r="AM17" s="572" t="s">
        <v>393</v>
      </c>
      <c r="AN17" s="572"/>
      <c r="AO17" s="572">
        <v>30000002129</v>
      </c>
      <c r="AP17" s="573">
        <f>+ROUND($C$8*2%,2)</f>
        <v>431.45</v>
      </c>
      <c r="AQ17" s="576" t="s">
        <v>373</v>
      </c>
      <c r="AR17" s="572">
        <v>1</v>
      </c>
      <c r="AS17" s="572" t="s">
        <v>374</v>
      </c>
      <c r="AT17" s="576" t="s">
        <v>395</v>
      </c>
      <c r="AU17" s="574" t="str">
        <f t="shared" si="3"/>
        <v>28.01.2025</v>
      </c>
      <c r="AV17" s="574" t="str">
        <f t="shared" si="4"/>
        <v>31.01.2025</v>
      </c>
    </row>
    <row r="18" spans="1:48" ht="27.6" customHeight="1" thickBot="1">
      <c r="A18" s="250" t="s">
        <v>317</v>
      </c>
      <c r="B18" s="411" t="str">
        <f>+D18</f>
        <v>(5)</v>
      </c>
      <c r="C18" s="411" t="str">
        <f>+D18</f>
        <v>(5)</v>
      </c>
      <c r="D18" s="411" t="str">
        <f>+'COMBUSTIBLES '!$E$16</f>
        <v>(5)</v>
      </c>
      <c r="E18" s="411" t="str">
        <f>+'COMBUSTIBLES '!$E$16</f>
        <v>(5)</v>
      </c>
      <c r="F18" s="411" t="str">
        <f>+E18</f>
        <v>(5)</v>
      </c>
      <c r="G18" s="411" t="str">
        <f>+D18</f>
        <v>(5)</v>
      </c>
      <c r="H18" s="411" t="str">
        <f t="shared" ref="H18:K18" si="5">+E18</f>
        <v>(5)</v>
      </c>
      <c r="I18" s="411" t="str">
        <f t="shared" si="5"/>
        <v>(5)</v>
      </c>
      <c r="J18" s="411" t="str">
        <f t="shared" si="5"/>
        <v>(5)</v>
      </c>
      <c r="K18" s="561" t="str">
        <f t="shared" si="5"/>
        <v>(5)</v>
      </c>
    </row>
    <row r="19" spans="1:48" s="26" customFormat="1" ht="15.95" customHeight="1" thickTop="1">
      <c r="A19" s="569"/>
      <c r="B19" s="16"/>
      <c r="C19" s="16"/>
      <c r="D19" s="16"/>
      <c r="E19" s="16"/>
      <c r="H19" s="16"/>
    </row>
    <row r="20" spans="1:48" s="26" customFormat="1" ht="15.95" customHeight="1">
      <c r="A20" s="301"/>
      <c r="B20" s="16"/>
      <c r="C20" s="16"/>
      <c r="D20" s="16"/>
      <c r="E20" s="16"/>
      <c r="H20" s="16"/>
    </row>
    <row r="21" spans="1:48" s="26" customFormat="1" ht="15.95" customHeight="1">
      <c r="A21" s="431" t="s">
        <v>337</v>
      </c>
      <c r="B21" s="16"/>
      <c r="C21" s="16"/>
      <c r="D21" s="16"/>
      <c r="E21" s="16"/>
      <c r="H21" s="16"/>
    </row>
    <row r="22" spans="1:48" s="26" customFormat="1" ht="18" customHeight="1">
      <c r="A22" s="12" t="s">
        <v>141</v>
      </c>
      <c r="B22" s="16"/>
      <c r="C22" s="16"/>
      <c r="D22" s="16"/>
      <c r="E22" s="16"/>
      <c r="H22" s="16"/>
    </row>
    <row r="23" spans="1:48" s="14" customFormat="1" ht="15">
      <c r="B23" s="13"/>
      <c r="C23" s="13"/>
    </row>
    <row r="24" spans="1:48" s="14" customFormat="1" ht="15">
      <c r="A24" s="12" t="s">
        <v>403</v>
      </c>
      <c r="B24" s="13"/>
      <c r="C24" s="13"/>
      <c r="J24" s="14" t="s">
        <v>138</v>
      </c>
    </row>
    <row r="25" spans="1:48" s="14" customFormat="1" ht="11.25" customHeight="1">
      <c r="A25" s="12"/>
      <c r="B25" s="13"/>
      <c r="C25" s="13"/>
    </row>
    <row r="26" spans="1:48" s="14" customFormat="1" ht="32.25" customHeight="1">
      <c r="A26" s="770" t="s">
        <v>199</v>
      </c>
      <c r="B26" s="770"/>
      <c r="C26" s="770"/>
      <c r="D26" s="770"/>
      <c r="E26" s="770"/>
      <c r="F26" s="770"/>
      <c r="G26" s="770"/>
      <c r="H26" s="770"/>
      <c r="I26" s="770"/>
    </row>
    <row r="27" spans="1:48" s="14" customFormat="1" ht="8.4499999999999993" customHeight="1">
      <c r="A27" s="12"/>
      <c r="B27" s="13"/>
      <c r="C27" s="13"/>
    </row>
    <row r="28" spans="1:48" s="14" customFormat="1" ht="30.75" customHeight="1">
      <c r="A28" s="770" t="s">
        <v>203</v>
      </c>
      <c r="B28" s="770"/>
      <c r="C28" s="770"/>
      <c r="D28" s="770"/>
      <c r="E28" s="770"/>
      <c r="F28" s="770"/>
      <c r="G28" s="770"/>
      <c r="H28" s="770"/>
      <c r="I28" s="770"/>
    </row>
    <row r="29" spans="1:48" s="14" customFormat="1" ht="9.6" customHeight="1">
      <c r="A29" s="12"/>
      <c r="B29" s="13"/>
      <c r="C29" s="13"/>
    </row>
    <row r="30" spans="1:48" s="14" customFormat="1" ht="14.25" customHeight="1">
      <c r="A30" s="771" t="s">
        <v>256</v>
      </c>
      <c r="B30" s="771"/>
      <c r="C30" s="771"/>
      <c r="D30" s="771"/>
      <c r="E30" s="771"/>
      <c r="F30" s="771"/>
      <c r="G30" s="771"/>
      <c r="H30" s="771"/>
      <c r="I30" s="771"/>
    </row>
    <row r="31" spans="1:48" ht="70.900000000000006" customHeight="1">
      <c r="A31" s="771"/>
      <c r="B31" s="771"/>
      <c r="C31" s="771"/>
      <c r="D31" s="771"/>
      <c r="E31" s="771"/>
      <c r="F31" s="771"/>
      <c r="G31" s="771"/>
      <c r="H31" s="771"/>
      <c r="I31" s="771"/>
    </row>
    <row r="32" spans="1:48" ht="23.65" customHeight="1">
      <c r="A32" s="764" t="s">
        <v>318</v>
      </c>
      <c r="B32" s="764"/>
      <c r="C32" s="764"/>
      <c r="D32" s="764"/>
      <c r="E32" s="764"/>
      <c r="F32" s="764"/>
      <c r="G32" s="764"/>
      <c r="H32" s="764"/>
    </row>
    <row r="33" spans="1:11">
      <c r="A33" s="764" t="s">
        <v>406</v>
      </c>
      <c r="B33" s="764"/>
      <c r="C33" s="764"/>
      <c r="D33" s="764"/>
      <c r="E33" s="764"/>
      <c r="F33" s="764"/>
      <c r="G33" s="764"/>
      <c r="H33" s="764"/>
    </row>
    <row r="34" spans="1:11" ht="203.25" customHeight="1">
      <c r="A34" s="765" t="s">
        <v>397</v>
      </c>
      <c r="B34" s="755"/>
      <c r="C34" s="755"/>
      <c r="D34" s="755"/>
      <c r="E34" s="755"/>
    </row>
    <row r="36" spans="1:11">
      <c r="A36" s="5" t="b">
        <f>+D7=E7</f>
        <v>1</v>
      </c>
      <c r="B36" s="462" t="str">
        <f>+D6</f>
        <v>Pozos Colorados (B0).</v>
      </c>
    </row>
    <row r="37" spans="1:11">
      <c r="A37" s="5" t="b">
        <f>+B7=C7</f>
        <v>1</v>
      </c>
      <c r="B37" s="462" t="str">
        <f>+B6</f>
        <v>Cartagena (B0).</v>
      </c>
    </row>
    <row r="38" spans="1:11">
      <c r="A38" s="5" t="b">
        <f>+F7=G7</f>
        <v>1</v>
      </c>
      <c r="B38" s="462" t="str">
        <f>+F6</f>
        <v>Barrancabermeja (B0).</v>
      </c>
    </row>
    <row r="39" spans="1:11">
      <c r="A39" s="5" t="b">
        <f>+I7=H7</f>
        <v>1</v>
      </c>
      <c r="B39" s="462" t="str">
        <f>+I6</f>
        <v>Puerto Palermo (B2).</v>
      </c>
    </row>
    <row r="40" spans="1:11">
      <c r="A40" s="5" t="b">
        <f>+J7=B7</f>
        <v>1</v>
      </c>
      <c r="B40" s="462"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YLPxlog8+QftRWhq0yS4PdZxgjGhiKap8nPwyvL9bJCetGmXpoSD8oOLyK7gnipiTauBi8zX6Y7Iw96eefAN3g==" saltValue="39U3gXMiv4AikZClP7DlvA==" spinCount="100000" sheet="1" objects="1" scenarios="1"/>
  <mergeCells count="9">
    <mergeCell ref="A32:H32"/>
    <mergeCell ref="A33:H33"/>
    <mergeCell ref="A34:E34"/>
    <mergeCell ref="A1:I1"/>
    <mergeCell ref="A2:I2"/>
    <mergeCell ref="A3:I3"/>
    <mergeCell ref="A26:I26"/>
    <mergeCell ref="A28:I28"/>
    <mergeCell ref="A30:I31"/>
  </mergeCells>
  <conditionalFormatting sqref="AA2:AV11">
    <cfRule type="containsText" dxfId="51" priority="2" operator="containsText" text="Seleccione...">
      <formula>NOT(ISERROR(SEARCH("Seleccione...",AA2)))</formula>
    </cfRule>
  </conditionalFormatting>
  <conditionalFormatting sqref="AA15:AV17">
    <cfRule type="containsText" dxfId="50" priority="1" operator="containsText" text="Seleccione...">
      <formula>NOT(ISERROR(SEARCH("Seleccione...",AA15)))</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028F5B2-EE6F-44E7-A044-3BDC39C83954}">
          <x14:formula1>
            <xm:f>Fechas!$A$2:$A$831</xm:f>
          </x14:formula1>
          <xm:sqref>B4 G4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EABDC-B815-4240-A458-9CA7BD23BBC4}">
  <sheetPr codeName="Hoja24"/>
  <dimension ref="A1:AW42"/>
  <sheetViews>
    <sheetView showGridLines="0" topLeftCell="O1" zoomScale="85" zoomScaleNormal="85" workbookViewId="0">
      <selection activeCell="AF18" sqref="AF18"/>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26" width="7.85546875" style="5"/>
    <col min="27" max="27" width="10.7109375" style="5" bestFit="1" customWidth="1"/>
    <col min="28" max="41" width="7.85546875" style="5"/>
    <col min="42" max="42" width="12.140625" style="5" bestFit="1" customWidth="1"/>
    <col min="43" max="43" width="8" style="5" bestFit="1" customWidth="1"/>
    <col min="44" max="47" width="7.85546875" style="5"/>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8115.67</v>
      </c>
      <c r="AR2" s="583" t="s">
        <v>373</v>
      </c>
      <c r="AS2" s="583">
        <v>1</v>
      </c>
      <c r="AT2" s="581" t="s">
        <v>374</v>
      </c>
      <c r="AU2" s="580" t="s">
        <v>395</v>
      </c>
      <c r="AV2" s="574" t="str">
        <f>+TEXT($B$4,"DD.MM.YYYY")</f>
        <v>31.12.2024</v>
      </c>
      <c r="AW2" s="574" t="str">
        <f>+TEXT($B$5,"DD.MM.YYYY")</f>
        <v>06.01.2025</v>
      </c>
    </row>
    <row r="3" spans="1:49" ht="24.75" customHeight="1">
      <c r="A3" s="768" t="s">
        <v>21</v>
      </c>
      <c r="B3" s="769"/>
      <c r="C3" s="769"/>
      <c r="D3" s="769"/>
      <c r="E3" s="769"/>
      <c r="F3" s="310"/>
      <c r="G3" s="310"/>
      <c r="H3" s="310"/>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9267.68</v>
      </c>
      <c r="AR3" s="602" t="s">
        <v>373</v>
      </c>
      <c r="AS3" s="602">
        <v>1</v>
      </c>
      <c r="AT3" s="604" t="s">
        <v>374</v>
      </c>
      <c r="AU3" s="605" t="s">
        <v>395</v>
      </c>
      <c r="AV3" s="574" t="str">
        <f>+TEXT($B$4,"DD.MM.YYYY")</f>
        <v>31.12.2024</v>
      </c>
      <c r="AW3" s="574" t="str">
        <f>+TEXT($B$5,"DD.MM.YYYY")</f>
        <v>06.01.2025</v>
      </c>
    </row>
    <row r="4" spans="1:49" ht="24.75" customHeight="1">
      <c r="A4" s="600" t="s">
        <v>421</v>
      </c>
      <c r="B4" s="599">
        <v>45657</v>
      </c>
      <c r="C4" s="590"/>
      <c r="D4" s="590"/>
      <c r="E4" s="590"/>
      <c r="F4" s="310"/>
      <c r="G4" s="310"/>
      <c r="H4" s="310"/>
      <c r="J4" s="525"/>
      <c r="K4" s="525"/>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31.12.2024</v>
      </c>
      <c r="AW4" s="574" t="str">
        <f>+TEXT($B$5,"DD.MM.YYYY")</f>
        <v>06.01.2025</v>
      </c>
    </row>
    <row r="5" spans="1:49" ht="18.75">
      <c r="A5" s="579" t="s">
        <v>422</v>
      </c>
      <c r="B5" s="599">
        <v>45663</v>
      </c>
      <c r="C5" s="585"/>
      <c r="D5" s="598"/>
      <c r="E5" s="585"/>
      <c r="AB5" s="575" t="s">
        <v>378</v>
      </c>
      <c r="AC5" s="575">
        <v>929</v>
      </c>
      <c r="AD5" s="583" t="s">
        <v>372</v>
      </c>
      <c r="AE5" s="583"/>
      <c r="AF5" s="583"/>
      <c r="AG5" s="583">
        <v>2000</v>
      </c>
      <c r="AH5" s="583"/>
      <c r="AI5" s="583"/>
      <c r="AJ5" s="583"/>
      <c r="AK5" s="583"/>
      <c r="AL5" s="583"/>
      <c r="AM5" s="583"/>
      <c r="AN5" s="583" t="s">
        <v>424</v>
      </c>
      <c r="AO5" s="583"/>
      <c r="AP5" s="583">
        <v>30000000003</v>
      </c>
      <c r="AQ5" s="582">
        <f>+ROUND($D$8,2)</f>
        <v>9456.82</v>
      </c>
      <c r="AR5" s="583" t="s">
        <v>373</v>
      </c>
      <c r="AS5" s="583">
        <v>1</v>
      </c>
      <c r="AT5" s="581" t="s">
        <v>374</v>
      </c>
      <c r="AU5" s="580" t="s">
        <v>395</v>
      </c>
      <c r="AV5" s="574" t="str">
        <f>+TEXT($B$4,"DD.MM.YYYY")</f>
        <v>31.12.2024</v>
      </c>
      <c r="AW5" s="574" t="str">
        <f>+TEXT($B$5,"DD.MM.YYYY")</f>
        <v>06.01.2025</v>
      </c>
    </row>
    <row r="6" spans="1:49" ht="15.75" thickBot="1">
      <c r="A6" s="556"/>
      <c r="B6" s="113">
        <v>0</v>
      </c>
      <c r="C6" s="113">
        <v>0.02</v>
      </c>
      <c r="D6" s="113">
        <v>0</v>
      </c>
      <c r="E6" s="557">
        <v>0.02</v>
      </c>
    </row>
    <row r="7" spans="1:49" ht="72.75" customHeight="1" thickTop="1">
      <c r="A7" s="244" t="s">
        <v>14</v>
      </c>
      <c r="B7" s="245" t="s">
        <v>412</v>
      </c>
      <c r="C7" s="245" t="s">
        <v>413</v>
      </c>
      <c r="D7" s="245" t="s">
        <v>414</v>
      </c>
      <c r="E7" s="245" t="s">
        <v>415</v>
      </c>
    </row>
    <row r="8" spans="1:49" ht="27.6" customHeight="1">
      <c r="A8" s="70" t="s">
        <v>408</v>
      </c>
      <c r="B8" s="562">
        <v>9542.8357328000002</v>
      </c>
      <c r="C8" s="565">
        <f>+B8</f>
        <v>9542.8357328000002</v>
      </c>
      <c r="D8" s="562">
        <v>9456.8157327999979</v>
      </c>
      <c r="E8" s="565">
        <f>+D8</f>
        <v>9456.8157327999979</v>
      </c>
      <c r="H8" s="341"/>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342"/>
      <c r="J9" s="342"/>
      <c r="K9" s="342"/>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8201.69</v>
      </c>
      <c r="AR9" s="583" t="s">
        <v>373</v>
      </c>
      <c r="AS9" s="583">
        <v>1</v>
      </c>
      <c r="AT9" s="581" t="s">
        <v>374</v>
      </c>
      <c r="AU9" s="580" t="s">
        <v>395</v>
      </c>
      <c r="AV9" s="574" t="str">
        <f>+TEXT($B$4,"DD.MM.YYYY")</f>
        <v>31.12.2024</v>
      </c>
      <c r="AW9" s="574" t="str">
        <f>+TEXT($B$5,"DD.MM.YYYY")</f>
        <v>06.01.2025</v>
      </c>
    </row>
    <row r="10" spans="1:49" ht="35.450000000000003" customHeight="1">
      <c r="A10" s="248" t="s">
        <v>139</v>
      </c>
      <c r="B10" s="224">
        <f t="shared" ref="B10" si="0">+ROUND(B9*B6,2)+B8*(1-B6)</f>
        <v>9542.8357328000002</v>
      </c>
      <c r="C10" s="224">
        <f>+ROUND(C9*C6,2)+C8*(1-C6)</f>
        <v>9783.429018144001</v>
      </c>
      <c r="D10" s="224">
        <f t="shared" ref="D10:E10" si="1">+ROUND(D9*D6,2)+D8*(1-D6)</f>
        <v>9456.8157327999979</v>
      </c>
      <c r="E10" s="224">
        <f t="shared" si="1"/>
        <v>9699.1294181439989</v>
      </c>
      <c r="F10" s="310"/>
      <c r="G10" s="329" t="s">
        <v>138</v>
      </c>
      <c r="H10" s="342"/>
      <c r="I10" s="26">
        <v>6978.4077749146245</v>
      </c>
      <c r="J10" s="26">
        <v>6875.1811988924737</v>
      </c>
      <c r="K10" s="26">
        <v>7272.6860170874797</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9351.98</v>
      </c>
      <c r="AR10" s="602" t="s">
        <v>373</v>
      </c>
      <c r="AS10" s="602">
        <v>1</v>
      </c>
      <c r="AT10" s="604" t="s">
        <v>374</v>
      </c>
      <c r="AU10" s="605" t="s">
        <v>395</v>
      </c>
      <c r="AV10" s="574" t="str">
        <f>+TEXT($B$4,"DD.MM.YYYY")</f>
        <v>31.12.2024</v>
      </c>
      <c r="AW10" s="574" t="str">
        <f>+TEXT($B$5,"DD.MM.YYYY")</f>
        <v>06.01.2025</v>
      </c>
    </row>
    <row r="11" spans="1:49" ht="35.450000000000003" customHeight="1">
      <c r="A11" s="248" t="s">
        <v>410</v>
      </c>
      <c r="B11" s="570">
        <v>8201.6914665999993</v>
      </c>
      <c r="C11" s="224"/>
      <c r="D11" s="570">
        <v>8115.6714665999989</v>
      </c>
      <c r="E11" s="224"/>
      <c r="F11" s="310"/>
      <c r="G11" s="329"/>
      <c r="H11" s="342"/>
      <c r="I11" s="26"/>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31.12.2024</v>
      </c>
      <c r="AW11" s="574" t="str">
        <f>+TEXT($B$5,"DD.MM.YYYY")</f>
        <v>06.01.2025</v>
      </c>
    </row>
    <row r="12" spans="1:49" ht="27.6" customHeight="1">
      <c r="A12" s="232" t="s">
        <v>47</v>
      </c>
      <c r="B12" s="224">
        <f>+'COMBUSTIBLES '!E8</f>
        <v>9.43</v>
      </c>
      <c r="C12" s="224">
        <f>+B12</f>
        <v>9.43</v>
      </c>
      <c r="D12" s="224">
        <f>+C12</f>
        <v>9.43</v>
      </c>
      <c r="E12" s="224">
        <f>+BIODIESEL!D14</f>
        <v>9.43</v>
      </c>
      <c r="H12" s="26">
        <v>6474.0480291453787</v>
      </c>
      <c r="I12" s="26">
        <v>6414.6173003313961</v>
      </c>
      <c r="J12" s="26">
        <v>6875.1811988924737</v>
      </c>
      <c r="K12" s="26">
        <v>6660.1986685624715</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9542.84</v>
      </c>
      <c r="AR12" s="583" t="s">
        <v>373</v>
      </c>
      <c r="AS12" s="583">
        <v>1</v>
      </c>
      <c r="AT12" s="581" t="s">
        <v>374</v>
      </c>
      <c r="AU12" s="580" t="s">
        <v>395</v>
      </c>
      <c r="AV12" s="574" t="str">
        <f>+TEXT($B$4,"DD.MM.YYYY")</f>
        <v>31.12.2024</v>
      </c>
      <c r="AW12" s="574" t="str">
        <f>+TEXT($B$5,"DD.MM.YYYY")</f>
        <v>06.01.2025</v>
      </c>
    </row>
    <row r="13" spans="1:49" ht="27.6" customHeight="1">
      <c r="A13" s="232"/>
      <c r="B13" s="247"/>
      <c r="C13" s="247"/>
      <c r="D13" s="247"/>
      <c r="E13" s="247"/>
      <c r="H13" s="26"/>
      <c r="I13" s="26"/>
      <c r="J13" s="26"/>
      <c r="K13" s="26"/>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26"/>
      <c r="J14" s="26"/>
      <c r="K14" s="26"/>
      <c r="L14" s="26"/>
      <c r="M14" s="26"/>
      <c r="N14" s="26"/>
      <c r="O14" s="26"/>
      <c r="P14" s="26"/>
      <c r="Q14" s="26"/>
      <c r="R14" s="26"/>
      <c r="S14" s="26"/>
      <c r="T14" s="26"/>
    </row>
    <row r="15" spans="1:49" s="26" customFormat="1" ht="15.95" customHeight="1">
      <c r="A15" s="569"/>
      <c r="B15" s="16"/>
      <c r="C15" s="16"/>
    </row>
    <row r="16" spans="1:49" s="26" customFormat="1" ht="15.95" customHeight="1">
      <c r="A16" s="301"/>
      <c r="B16" s="16"/>
      <c r="C16" s="16"/>
    </row>
    <row r="17" spans="1:5" s="26" customFormat="1" ht="15.95" customHeight="1">
      <c r="A17" s="431" t="s">
        <v>409</v>
      </c>
      <c r="B17" s="16"/>
      <c r="C17" s="16"/>
    </row>
    <row r="18" spans="1:5" s="26" customFormat="1" ht="18" customHeight="1">
      <c r="A18" s="12" t="s">
        <v>141</v>
      </c>
      <c r="B18" s="16"/>
      <c r="C18" s="16"/>
    </row>
    <row r="19" spans="1:5" s="14" customFormat="1" ht="15">
      <c r="B19" s="13"/>
      <c r="C19" s="13"/>
    </row>
    <row r="20" spans="1:5" s="14" customFormat="1" ht="15">
      <c r="A20" s="12"/>
      <c r="B20" s="13"/>
      <c r="C20" s="13"/>
    </row>
    <row r="21" spans="1:5" s="14" customFormat="1" ht="11.25" customHeight="1">
      <c r="A21" s="12"/>
      <c r="B21" s="13"/>
      <c r="C21" s="13"/>
    </row>
    <row r="22" spans="1:5" s="14" customFormat="1" ht="246.6" customHeight="1">
      <c r="A22" s="773" t="s">
        <v>416</v>
      </c>
      <c r="B22" s="773"/>
      <c r="C22" s="773"/>
      <c r="D22" s="773"/>
      <c r="E22" s="773"/>
    </row>
    <row r="23" spans="1:5" s="14" customFormat="1" ht="8.4499999999999993" customHeight="1">
      <c r="A23" s="12"/>
      <c r="B23" s="13"/>
      <c r="C23" s="13"/>
    </row>
    <row r="24" spans="1:5" s="14" customFormat="1" ht="30.75" customHeight="1">
      <c r="A24" s="770"/>
      <c r="B24" s="770"/>
      <c r="C24" s="770"/>
      <c r="D24" s="770"/>
      <c r="E24" s="770"/>
    </row>
    <row r="25" spans="1:5" s="14" customFormat="1" ht="9.6" customHeight="1">
      <c r="A25" s="12"/>
      <c r="B25" s="13"/>
      <c r="C25" s="13"/>
    </row>
    <row r="26" spans="1:5" s="14" customFormat="1" ht="14.25" customHeight="1">
      <c r="A26" s="771"/>
      <c r="B26" s="771"/>
      <c r="C26" s="771"/>
      <c r="D26" s="771"/>
      <c r="E26" s="771"/>
    </row>
    <row r="27" spans="1:5" ht="70.900000000000006" customHeight="1">
      <c r="A27" s="771"/>
      <c r="B27" s="771"/>
      <c r="C27" s="771"/>
      <c r="D27" s="771"/>
      <c r="E27" s="771"/>
    </row>
    <row r="28" spans="1:5" ht="23.65" customHeight="1">
      <c r="A28" s="764"/>
      <c r="B28" s="764"/>
      <c r="C28" s="764"/>
      <c r="D28" s="764"/>
      <c r="E28" s="764"/>
    </row>
    <row r="29" spans="1:5">
      <c r="A29" s="764"/>
      <c r="B29" s="764"/>
      <c r="C29" s="764"/>
      <c r="D29" s="764"/>
      <c r="E29" s="764"/>
    </row>
    <row r="30" spans="1:5" ht="203.25" customHeight="1"/>
    <row r="32" spans="1:5">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zxPhOEAOuANwxH7E9XBqCpOd2RWVEhkx/rFgoa3tO9ngJBnf5bVm39lc80VucBiCiESG6HoNEchZvtFepCV0MQ==" saltValue="O4X0Adl7XhrT6axnJ9YQXQ=="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49" priority="2" operator="containsText" text="Seleccione...">
      <formula>NOT(ISERROR(SEARCH("Seleccione...",AV2)))</formula>
    </cfRule>
  </conditionalFormatting>
  <conditionalFormatting sqref="AV9:AW12">
    <cfRule type="containsText" dxfId="48"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538C791-D112-41CA-AF7E-00EBCEB9A6EB}">
          <x14:formula1>
            <xm:f>Fechas!$A$2:$A$831</xm:f>
          </x14:formula1>
          <xm:sqref>B4:B5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D0B9C-271C-4C3B-B9E9-47AE153748A6}">
  <sheetPr codeName="Hoja25"/>
  <dimension ref="A1:AW42"/>
  <sheetViews>
    <sheetView showGridLines="0" topLeftCell="M1" zoomScale="85" zoomScaleNormal="85" workbookViewId="0">
      <selection activeCell="AB9" sqref="AB9:AW12"/>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8" width="7.85546875" style="5"/>
    <col min="9" max="9" width="29.140625" style="5" bestFit="1" customWidth="1"/>
    <col min="10" max="10" width="18.85546875" style="5" bestFit="1" customWidth="1"/>
    <col min="11" max="11" width="13.85546875" style="5" bestFit="1" customWidth="1"/>
    <col min="12" max="26" width="7.85546875" style="5"/>
    <col min="27" max="27" width="10.7109375" style="5" bestFit="1" customWidth="1"/>
    <col min="28" max="41" width="7.85546875" style="5"/>
    <col min="42" max="42" width="12.140625" style="5" bestFit="1" customWidth="1"/>
    <col min="43" max="43" width="8" style="5" bestFit="1" customWidth="1"/>
    <col min="44" max="47" width="7.85546875" style="5"/>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thickBo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8426.0499999999993</v>
      </c>
      <c r="AR2" s="583" t="s">
        <v>373</v>
      </c>
      <c r="AS2" s="583">
        <v>1</v>
      </c>
      <c r="AT2" s="581" t="s">
        <v>374</v>
      </c>
      <c r="AU2" s="580" t="s">
        <v>395</v>
      </c>
      <c r="AV2" s="574" t="str">
        <f>+TEXT($B$4,"DD.MM.YYYY")</f>
        <v>07.01.2025</v>
      </c>
      <c r="AW2" s="574" t="str">
        <f>+TEXT($B$5,"DD.MM.YYYY")</f>
        <v>13.01.2025</v>
      </c>
    </row>
    <row r="3" spans="1:49" ht="24.75" customHeight="1" thickBot="1">
      <c r="A3" s="768" t="s">
        <v>21</v>
      </c>
      <c r="B3" s="769"/>
      <c r="C3" s="769"/>
      <c r="D3" s="769"/>
      <c r="E3" s="769"/>
      <c r="F3" s="310"/>
      <c r="G3" s="310"/>
      <c r="H3" s="310"/>
      <c r="I3" s="643" t="s">
        <v>440</v>
      </c>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9773.48</v>
      </c>
      <c r="AR3" s="602" t="s">
        <v>373</v>
      </c>
      <c r="AS3" s="602">
        <v>1</v>
      </c>
      <c r="AT3" s="604" t="s">
        <v>374</v>
      </c>
      <c r="AU3" s="605" t="s">
        <v>395</v>
      </c>
      <c r="AV3" s="574" t="str">
        <f>+TEXT($B$4,"DD.MM.YYYY")</f>
        <v>07.01.2025</v>
      </c>
      <c r="AW3" s="574" t="str">
        <f>+TEXT($B$5,"DD.MM.YYYY")</f>
        <v>13.01.2025</v>
      </c>
    </row>
    <row r="4" spans="1:49" ht="24.75" customHeight="1">
      <c r="A4" s="600" t="s">
        <v>421</v>
      </c>
      <c r="B4" s="599">
        <v>45664</v>
      </c>
      <c r="C4" s="590"/>
      <c r="D4" s="590"/>
      <c r="E4" s="590"/>
      <c r="F4" s="310"/>
      <c r="G4" s="310"/>
      <c r="H4" s="310"/>
      <c r="I4" s="642" t="s">
        <v>434</v>
      </c>
      <c r="J4" s="637" t="s">
        <v>435</v>
      </c>
      <c r="K4" s="637" t="s">
        <v>436</v>
      </c>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07.01.2025</v>
      </c>
      <c r="AW4" s="574" t="str">
        <f>+TEXT($B$5,"DD.MM.YYYY")</f>
        <v>13.01.2025</v>
      </c>
    </row>
    <row r="5" spans="1:49" ht="18.75">
      <c r="A5" s="579" t="s">
        <v>422</v>
      </c>
      <c r="B5" s="599">
        <v>45670</v>
      </c>
      <c r="C5" s="585"/>
      <c r="D5" s="598"/>
      <c r="E5" s="585"/>
      <c r="I5" s="638">
        <v>45656</v>
      </c>
      <c r="J5" s="639">
        <v>9843.1472759999997</v>
      </c>
      <c r="K5" s="639">
        <v>9931.7472760000001</v>
      </c>
      <c r="AB5" s="575" t="s">
        <v>378</v>
      </c>
      <c r="AC5" s="575">
        <v>929</v>
      </c>
      <c r="AD5" s="583" t="s">
        <v>372</v>
      </c>
      <c r="AE5" s="583"/>
      <c r="AF5" s="583"/>
      <c r="AG5" s="583">
        <v>2000</v>
      </c>
      <c r="AH5" s="583"/>
      <c r="AI5" s="583"/>
      <c r="AJ5" s="583"/>
      <c r="AK5" s="583"/>
      <c r="AL5" s="583"/>
      <c r="AM5" s="583"/>
      <c r="AN5" s="583" t="s">
        <v>424</v>
      </c>
      <c r="AO5" s="583"/>
      <c r="AP5" s="583">
        <v>30000000003</v>
      </c>
      <c r="AQ5" s="582">
        <f>+ROUND($D$8,2)</f>
        <v>9972.94</v>
      </c>
      <c r="AR5" s="583" t="s">
        <v>373</v>
      </c>
      <c r="AS5" s="583">
        <v>1</v>
      </c>
      <c r="AT5" s="581" t="s">
        <v>374</v>
      </c>
      <c r="AU5" s="580" t="s">
        <v>395</v>
      </c>
      <c r="AV5" s="574" t="str">
        <f>+TEXT($B$4,"DD.MM.YYYY")</f>
        <v>07.01.2025</v>
      </c>
      <c r="AW5" s="574" t="str">
        <f>+TEXT($B$5,"DD.MM.YYYY")</f>
        <v>13.01.2025</v>
      </c>
    </row>
    <row r="6" spans="1:49" ht="15.75" thickBot="1">
      <c r="A6" s="556"/>
      <c r="B6" s="113">
        <v>0</v>
      </c>
      <c r="C6" s="113">
        <v>0.02</v>
      </c>
      <c r="D6" s="113">
        <v>0</v>
      </c>
      <c r="E6" s="557">
        <v>0.02</v>
      </c>
      <c r="I6" s="638">
        <v>45657</v>
      </c>
      <c r="J6" s="639">
        <v>9926.3433099999984</v>
      </c>
      <c r="K6" s="639">
        <v>10014.943309999999</v>
      </c>
    </row>
    <row r="7" spans="1:49" ht="72.75" customHeight="1" thickTop="1">
      <c r="A7" s="244" t="s">
        <v>14</v>
      </c>
      <c r="B7" s="245" t="s">
        <v>412</v>
      </c>
      <c r="C7" s="245" t="s">
        <v>413</v>
      </c>
      <c r="D7" s="245" t="s">
        <v>414</v>
      </c>
      <c r="E7" s="245" t="s">
        <v>415</v>
      </c>
      <c r="I7" s="638">
        <v>45658</v>
      </c>
      <c r="J7" s="639">
        <v>9926.3433099999984</v>
      </c>
      <c r="K7" s="639">
        <v>10014.943309999999</v>
      </c>
    </row>
    <row r="8" spans="1:49" ht="27.6" customHeight="1">
      <c r="A8" s="70" t="s">
        <v>408</v>
      </c>
      <c r="B8" s="562">
        <f>+ROUND(K10,2)</f>
        <v>10061.540000000001</v>
      </c>
      <c r="C8" s="565">
        <f>+B8</f>
        <v>10061.540000000001</v>
      </c>
      <c r="D8" s="562">
        <f>+ROUND(J10,2)</f>
        <v>9972.94</v>
      </c>
      <c r="E8" s="565">
        <f>+D8</f>
        <v>9972.94</v>
      </c>
      <c r="H8" s="341"/>
      <c r="I8" s="638">
        <v>45659</v>
      </c>
      <c r="J8" s="639">
        <v>10096.536499999998</v>
      </c>
      <c r="K8" s="639">
        <v>10185.136499999999</v>
      </c>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638">
        <v>45660</v>
      </c>
      <c r="J9" s="639">
        <v>10072.309899999998</v>
      </c>
      <c r="K9" s="639">
        <v>10160.909899999999</v>
      </c>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8514.65</v>
      </c>
      <c r="AR9" s="583" t="s">
        <v>373</v>
      </c>
      <c r="AS9" s="583">
        <v>1</v>
      </c>
      <c r="AT9" s="581" t="s">
        <v>374</v>
      </c>
      <c r="AU9" s="580" t="s">
        <v>395</v>
      </c>
      <c r="AV9" s="574" t="str">
        <f>+TEXT($B$4,"DD.MM.YYYY")</f>
        <v>07.01.2025</v>
      </c>
      <c r="AW9" s="574" t="str">
        <f>+TEXT($B$5,"DD.MM.YYYY")</f>
        <v>13.01.2025</v>
      </c>
    </row>
    <row r="10" spans="1:49" ht="35.450000000000003" customHeight="1">
      <c r="A10" s="248" t="s">
        <v>139</v>
      </c>
      <c r="B10" s="224">
        <f t="shared" ref="B10" si="0">+ROUND(B9*B6,2)+B8*(1-B6)</f>
        <v>10061.540000000001</v>
      </c>
      <c r="C10" s="224">
        <f>+ROUND(C9*C6,2)+C8*(1-C6)</f>
        <v>10291.759200000002</v>
      </c>
      <c r="D10" s="224">
        <f t="shared" ref="D10:E10" si="1">+ROUND(D9*D6,2)+D8*(1-D6)</f>
        <v>9972.94</v>
      </c>
      <c r="E10" s="224">
        <f t="shared" si="1"/>
        <v>10204.931200000001</v>
      </c>
      <c r="F10" s="310"/>
      <c r="G10" s="329" t="s">
        <v>138</v>
      </c>
      <c r="H10" s="342"/>
      <c r="I10" s="640" t="s">
        <v>437</v>
      </c>
      <c r="J10" s="641">
        <v>9972.9360591999994</v>
      </c>
      <c r="K10" s="641">
        <v>10061.536059199998</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9860.31</v>
      </c>
      <c r="AR10" s="602" t="s">
        <v>373</v>
      </c>
      <c r="AS10" s="602">
        <v>1</v>
      </c>
      <c r="AT10" s="604" t="s">
        <v>374</v>
      </c>
      <c r="AU10" s="605" t="s">
        <v>395</v>
      </c>
      <c r="AV10" s="574" t="str">
        <f>+TEXT($B$4,"DD.MM.YYYY")</f>
        <v>07.01.2025</v>
      </c>
      <c r="AW10" s="574" t="str">
        <f>+TEXT($B$5,"DD.MM.YYYY")</f>
        <v>13.01.2025</v>
      </c>
    </row>
    <row r="11" spans="1:49" ht="35.450000000000003" customHeight="1">
      <c r="A11" s="248" t="s">
        <v>410</v>
      </c>
      <c r="B11" s="570">
        <f>+ROUND(K18,2)</f>
        <v>8514.65</v>
      </c>
      <c r="C11" s="224"/>
      <c r="D11" s="570">
        <f>+ROUND(J18,2)</f>
        <v>8426.0499999999993</v>
      </c>
      <c r="E11" s="224"/>
      <c r="F11" s="310"/>
      <c r="G11" s="329"/>
      <c r="H11" s="342"/>
      <c r="I11" s="644" t="s">
        <v>441</v>
      </c>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07.01.2025</v>
      </c>
      <c r="AW11" s="574" t="str">
        <f>+TEXT($B$5,"DD.MM.YYYY")</f>
        <v>13.01.2025</v>
      </c>
    </row>
    <row r="12" spans="1:49" ht="27.6" customHeight="1">
      <c r="A12" s="232" t="s">
        <v>47</v>
      </c>
      <c r="B12" s="224">
        <f>+'COMBUSTIBLES '!E8</f>
        <v>9.43</v>
      </c>
      <c r="C12" s="224">
        <f>+B12</f>
        <v>9.43</v>
      </c>
      <c r="D12" s="224">
        <f>+C12</f>
        <v>9.43</v>
      </c>
      <c r="E12" s="224">
        <f>+BIODIESEL!D14</f>
        <v>9.43</v>
      </c>
      <c r="H12" s="26">
        <v>6474.0480291453787</v>
      </c>
      <c r="I12" s="637" t="s">
        <v>434</v>
      </c>
      <c r="J12" s="637" t="s">
        <v>435</v>
      </c>
      <c r="K12" s="637" t="s">
        <v>436</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10061.540000000001</v>
      </c>
      <c r="AR12" s="583" t="s">
        <v>373</v>
      </c>
      <c r="AS12" s="583">
        <v>1</v>
      </c>
      <c r="AT12" s="581" t="s">
        <v>374</v>
      </c>
      <c r="AU12" s="580" t="s">
        <v>395</v>
      </c>
      <c r="AV12" s="574" t="str">
        <f>+TEXT($B$4,"DD.MM.YYYY")</f>
        <v>07.01.2025</v>
      </c>
      <c r="AW12" s="574" t="str">
        <f>+TEXT($B$5,"DD.MM.YYYY")</f>
        <v>13.01.2025</v>
      </c>
    </row>
    <row r="13" spans="1:49" ht="27.6" customHeight="1">
      <c r="A13" s="232"/>
      <c r="B13" s="247"/>
      <c r="C13" s="247"/>
      <c r="D13" s="247"/>
      <c r="E13" s="247"/>
      <c r="H13" s="26"/>
      <c r="I13" s="638">
        <v>45656</v>
      </c>
      <c r="J13" s="639">
        <v>8292.3297219999968</v>
      </c>
      <c r="K13" s="639">
        <v>8380.9297219999971</v>
      </c>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638">
        <v>45657</v>
      </c>
      <c r="J14" s="639">
        <v>8335.7424474999989</v>
      </c>
      <c r="K14" s="639">
        <v>8424.3424474999993</v>
      </c>
      <c r="L14" s="26"/>
      <c r="M14" s="26"/>
      <c r="N14" s="26"/>
      <c r="O14" s="26"/>
      <c r="P14" s="26"/>
      <c r="Q14" s="26"/>
      <c r="R14" s="26"/>
      <c r="S14" s="26"/>
      <c r="T14" s="26"/>
    </row>
    <row r="15" spans="1:49" s="26" customFormat="1" ht="15.95" customHeight="1">
      <c r="A15" s="569"/>
      <c r="B15" s="16"/>
      <c r="C15" s="16"/>
      <c r="I15" s="638">
        <v>45658</v>
      </c>
      <c r="J15" s="639">
        <v>8335.7424474999989</v>
      </c>
      <c r="K15" s="639">
        <v>8424.3424474999993</v>
      </c>
    </row>
    <row r="16" spans="1:49" s="26" customFormat="1" ht="15.95" customHeight="1">
      <c r="A16" s="301"/>
      <c r="B16" s="16"/>
      <c r="C16" s="16"/>
      <c r="I16" s="638">
        <v>45659</v>
      </c>
      <c r="J16" s="639">
        <v>8529.7450475000005</v>
      </c>
      <c r="K16" s="639">
        <v>8618.3450475000009</v>
      </c>
    </row>
    <row r="17" spans="1:11" s="26" customFormat="1" ht="15.95" customHeight="1">
      <c r="I17" s="638">
        <v>45660</v>
      </c>
      <c r="J17" s="639">
        <v>8636.6921499999989</v>
      </c>
      <c r="K17" s="639">
        <v>8725.2921499999993</v>
      </c>
    </row>
    <row r="18" spans="1:11" s="26" customFormat="1" ht="18" customHeight="1">
      <c r="I18" s="640" t="s">
        <v>438</v>
      </c>
      <c r="J18" s="641">
        <v>8426.0503628999977</v>
      </c>
      <c r="K18" s="641">
        <v>8514.6503628999999</v>
      </c>
    </row>
    <row r="19" spans="1:11" s="14" customFormat="1" ht="15">
      <c r="A19" s="431" t="s">
        <v>409</v>
      </c>
      <c r="B19" s="16"/>
      <c r="C19" s="16"/>
      <c r="D19" s="26"/>
      <c r="E19" s="26"/>
      <c r="F19" s="26"/>
    </row>
    <row r="20" spans="1:11" s="14" customFormat="1" ht="15">
      <c r="A20" s="12" t="s">
        <v>141</v>
      </c>
      <c r="B20" s="16"/>
      <c r="C20" s="16"/>
      <c r="D20" s="26"/>
      <c r="E20" s="26"/>
      <c r="F20" s="26"/>
    </row>
    <row r="21" spans="1:11" s="14" customFormat="1" ht="11.25" customHeight="1">
      <c r="A21" s="12"/>
      <c r="B21" s="13"/>
      <c r="C21" s="13"/>
    </row>
    <row r="22" spans="1:11" s="14" customFormat="1" ht="246.6" customHeight="1">
      <c r="A22" s="773" t="s">
        <v>416</v>
      </c>
      <c r="B22" s="773"/>
      <c r="C22" s="773"/>
      <c r="D22" s="773"/>
      <c r="E22" s="773"/>
    </row>
    <row r="23" spans="1:11" s="14" customFormat="1" ht="8.4499999999999993" customHeight="1">
      <c r="A23" s="12"/>
      <c r="B23" s="13"/>
      <c r="C23" s="13"/>
    </row>
    <row r="24" spans="1:11" s="14" customFormat="1" ht="30.75" customHeight="1">
      <c r="A24" s="770"/>
      <c r="B24" s="770"/>
      <c r="C24" s="770"/>
      <c r="D24" s="770"/>
      <c r="E24" s="770"/>
    </row>
    <row r="25" spans="1:11" s="14" customFormat="1" ht="9.6" customHeight="1">
      <c r="A25" s="12"/>
      <c r="B25" s="13"/>
      <c r="C25" s="13"/>
    </row>
    <row r="26" spans="1:11" s="14" customFormat="1" ht="14.25" customHeight="1">
      <c r="A26" s="771"/>
      <c r="B26" s="771"/>
      <c r="C26" s="771"/>
      <c r="D26" s="771"/>
      <c r="E26" s="771"/>
    </row>
    <row r="27" spans="1:11" ht="70.900000000000006" customHeight="1">
      <c r="A27" s="771"/>
      <c r="B27" s="771"/>
      <c r="C27" s="771"/>
      <c r="D27" s="771"/>
      <c r="E27" s="771"/>
    </row>
    <row r="28" spans="1:11" ht="23.65" customHeight="1">
      <c r="A28" s="764"/>
      <c r="B28" s="764"/>
      <c r="C28" s="764"/>
      <c r="D28" s="764"/>
      <c r="E28" s="764"/>
    </row>
    <row r="29" spans="1:11">
      <c r="A29" s="764"/>
      <c r="B29" s="764"/>
      <c r="C29" s="764"/>
      <c r="D29" s="764"/>
      <c r="E29" s="764"/>
    </row>
    <row r="30" spans="1:11" ht="203.25" customHeight="1"/>
    <row r="32" spans="1:11">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5Ezlj4QjQkvMdx1Z2Kt9PU7DyuoJ5HLhCySaEF5xeIy0670LdMcP5Z8pQP84nMp2u23I0WbWkrRA5HxLvhUdUA==" saltValue="3sEKRHOT6SRrFczOKCSZzA=="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47" priority="2" operator="containsText" text="Seleccione...">
      <formula>NOT(ISERROR(SEARCH("Seleccione...",AV2)))</formula>
    </cfRule>
  </conditionalFormatting>
  <conditionalFormatting sqref="AV9:AW12">
    <cfRule type="containsText" dxfId="46"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B4AE5B6-BCB4-4151-AE41-BFFE3B8ED739}">
          <x14:formula1>
            <xm:f>Fechas!$A$2:$A$831</xm:f>
          </x14:formula1>
          <xm:sqref>B4:B5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2B55D-7E74-45DC-A75A-4540C886062A}">
  <sheetPr codeName="Hoja26"/>
  <dimension ref="A1:AW42"/>
  <sheetViews>
    <sheetView showGridLines="0" topLeftCell="Q1" zoomScale="85" zoomScaleNormal="85" workbookViewId="0">
      <selection activeCell="AJ18" sqref="AJ18"/>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8" width="7.85546875" style="5"/>
    <col min="9" max="9" width="29.140625" style="5" bestFit="1" customWidth="1"/>
    <col min="10" max="10" width="18.85546875" style="5" bestFit="1" customWidth="1"/>
    <col min="11" max="11" width="13.85546875" style="5" bestFit="1" customWidth="1"/>
    <col min="12" max="26" width="7.85546875" style="5"/>
    <col min="27" max="27" width="10.7109375" style="5" bestFit="1" customWidth="1"/>
    <col min="28" max="41" width="7.85546875" style="5"/>
    <col min="42" max="42" width="12.140625" style="5" bestFit="1" customWidth="1"/>
    <col min="43" max="43" width="8" style="5" bestFit="1" customWidth="1"/>
    <col min="44" max="47" width="7.85546875" style="5"/>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thickBo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8430.76</v>
      </c>
      <c r="AR2" s="583" t="s">
        <v>373</v>
      </c>
      <c r="AS2" s="583">
        <v>1</v>
      </c>
      <c r="AT2" s="581" t="s">
        <v>374</v>
      </c>
      <c r="AU2" s="580" t="s">
        <v>395</v>
      </c>
      <c r="AV2" s="574" t="str">
        <f>+TEXT($B$4,"DD.MM.YYYY")</f>
        <v>14.01.2025</v>
      </c>
      <c r="AW2" s="574" t="str">
        <f>+TEXT($B$5,"DD.MM.YYYY")</f>
        <v>20.01.2025</v>
      </c>
    </row>
    <row r="3" spans="1:49" ht="24.75" customHeight="1" thickBot="1">
      <c r="A3" s="768" t="s">
        <v>21</v>
      </c>
      <c r="B3" s="769"/>
      <c r="C3" s="769"/>
      <c r="D3" s="769"/>
      <c r="E3" s="769"/>
      <c r="F3" s="310"/>
      <c r="G3" s="310"/>
      <c r="H3" s="310"/>
      <c r="I3" s="643" t="s">
        <v>440</v>
      </c>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9856.94</v>
      </c>
      <c r="AR3" s="602" t="s">
        <v>373</v>
      </c>
      <c r="AS3" s="602">
        <v>1</v>
      </c>
      <c r="AT3" s="604" t="s">
        <v>374</v>
      </c>
      <c r="AU3" s="605" t="s">
        <v>395</v>
      </c>
      <c r="AV3" s="574" t="str">
        <f>+TEXT($B$4,"DD.MM.YYYY")</f>
        <v>14.01.2025</v>
      </c>
      <c r="AW3" s="574" t="str">
        <f>+TEXT($B$5,"DD.MM.YYYY")</f>
        <v>20.01.2025</v>
      </c>
    </row>
    <row r="4" spans="1:49" ht="24.75" customHeight="1">
      <c r="A4" s="600" t="s">
        <v>421</v>
      </c>
      <c r="B4" s="599">
        <v>45671</v>
      </c>
      <c r="C4" s="590"/>
      <c r="D4" s="590"/>
      <c r="E4" s="590"/>
      <c r="F4" s="310"/>
      <c r="G4" s="310"/>
      <c r="H4" s="310"/>
      <c r="I4" s="642" t="s">
        <v>434</v>
      </c>
      <c r="J4" s="637" t="s">
        <v>435</v>
      </c>
      <c r="K4" s="637" t="s">
        <v>436</v>
      </c>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14.01.2025</v>
      </c>
      <c r="AW4" s="574" t="str">
        <f>+TEXT($B$5,"DD.MM.YYYY")</f>
        <v>20.01.2025</v>
      </c>
    </row>
    <row r="5" spans="1:49" ht="18.75">
      <c r="A5" s="579" t="s">
        <v>422</v>
      </c>
      <c r="B5" s="645">
        <f>+B4+6</f>
        <v>45677</v>
      </c>
      <c r="C5" s="585"/>
      <c r="D5" s="598"/>
      <c r="E5" s="585"/>
      <c r="I5" s="638">
        <v>45663</v>
      </c>
      <c r="J5" s="639">
        <v>9966.9659370000008</v>
      </c>
      <c r="K5" s="639">
        <v>10055.565937000001</v>
      </c>
      <c r="AB5" s="575" t="s">
        <v>378</v>
      </c>
      <c r="AC5" s="575">
        <v>929</v>
      </c>
      <c r="AD5" s="583" t="s">
        <v>372</v>
      </c>
      <c r="AE5" s="583"/>
      <c r="AF5" s="583"/>
      <c r="AG5" s="583">
        <v>2000</v>
      </c>
      <c r="AH5" s="583"/>
      <c r="AI5" s="583"/>
      <c r="AJ5" s="583"/>
      <c r="AK5" s="583"/>
      <c r="AL5" s="583"/>
      <c r="AM5" s="583"/>
      <c r="AN5" s="583" t="s">
        <v>424</v>
      </c>
      <c r="AO5" s="583"/>
      <c r="AP5" s="583">
        <v>30000000003</v>
      </c>
      <c r="AQ5" s="582">
        <f>+ROUND($D$8,2)</f>
        <v>10058.1</v>
      </c>
      <c r="AR5" s="583" t="s">
        <v>373</v>
      </c>
      <c r="AS5" s="583">
        <v>1</v>
      </c>
      <c r="AT5" s="581" t="s">
        <v>374</v>
      </c>
      <c r="AU5" s="580" t="s">
        <v>395</v>
      </c>
      <c r="AV5" s="574" t="str">
        <f>+TEXT($B$4,"DD.MM.YYYY")</f>
        <v>14.01.2025</v>
      </c>
      <c r="AW5" s="574" t="str">
        <f>+TEXT($B$5,"DD.MM.YYYY")</f>
        <v>20.01.2025</v>
      </c>
    </row>
    <row r="6" spans="1:49" ht="15.75" thickBot="1">
      <c r="A6" s="556"/>
      <c r="B6" s="113">
        <v>0</v>
      </c>
      <c r="C6" s="113">
        <v>0.02</v>
      </c>
      <c r="D6" s="113">
        <v>0</v>
      </c>
      <c r="E6" s="557">
        <v>0.02</v>
      </c>
      <c r="I6" s="638">
        <v>45664</v>
      </c>
      <c r="J6" s="639">
        <v>9991.356792999999</v>
      </c>
      <c r="K6" s="639">
        <v>10079.956792999999</v>
      </c>
    </row>
    <row r="7" spans="1:49" ht="72.75" customHeight="1" thickTop="1">
      <c r="A7" s="244" t="s">
        <v>14</v>
      </c>
      <c r="B7" s="245" t="s">
        <v>412</v>
      </c>
      <c r="C7" s="245" t="s">
        <v>413</v>
      </c>
      <c r="D7" s="245" t="s">
        <v>414</v>
      </c>
      <c r="E7" s="245" t="s">
        <v>415</v>
      </c>
      <c r="I7" s="638">
        <v>45665</v>
      </c>
      <c r="J7" s="639">
        <v>9880.0410670000001</v>
      </c>
      <c r="K7" s="639">
        <v>9968.6410670000005</v>
      </c>
    </row>
    <row r="8" spans="1:49" ht="27.6" customHeight="1">
      <c r="A8" s="70" t="s">
        <v>408</v>
      </c>
      <c r="B8" s="562">
        <f>+ROUND(K10,2)</f>
        <v>10146.700000000001</v>
      </c>
      <c r="C8" s="565">
        <f>+B8</f>
        <v>10146.700000000001</v>
      </c>
      <c r="D8" s="562">
        <f>+ROUND(J10,2)</f>
        <v>10058.1</v>
      </c>
      <c r="E8" s="565">
        <f>+D8</f>
        <v>10058.1</v>
      </c>
      <c r="H8" s="341"/>
      <c r="I8" s="638">
        <v>45666</v>
      </c>
      <c r="J8" s="639">
        <v>10006.978724000001</v>
      </c>
      <c r="K8" s="639">
        <v>10095.578724000001</v>
      </c>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638">
        <v>45667</v>
      </c>
      <c r="J9" s="639">
        <v>10445.164862999998</v>
      </c>
      <c r="K9" s="639">
        <v>10533.764862999999</v>
      </c>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8519.36</v>
      </c>
      <c r="AR9" s="583" t="s">
        <v>373</v>
      </c>
      <c r="AS9" s="583">
        <v>1</v>
      </c>
      <c r="AT9" s="581" t="s">
        <v>374</v>
      </c>
      <c r="AU9" s="580" t="s">
        <v>395</v>
      </c>
      <c r="AV9" s="574" t="str">
        <f>+TEXT($B$4,"DD.MM.YYYY")</f>
        <v>14.01.2025</v>
      </c>
      <c r="AW9" s="574" t="str">
        <f>+TEXT($B$5,"DD.MM.YYYY")</f>
        <v>20.01.2025</v>
      </c>
    </row>
    <row r="10" spans="1:49" ht="35.450000000000003" customHeight="1">
      <c r="A10" s="248" t="s">
        <v>139</v>
      </c>
      <c r="B10" s="224">
        <f t="shared" ref="B10" si="0">+ROUND(B9*B6,2)+B8*(1-B6)</f>
        <v>10146.700000000001</v>
      </c>
      <c r="C10" s="224">
        <f>+ROUND(C9*C6,2)+C8*(1-C6)</f>
        <v>10375.216000000002</v>
      </c>
      <c r="D10" s="224">
        <f t="shared" ref="D10:E10" si="1">+ROUND(D9*D6,2)+D8*(1-D6)</f>
        <v>10058.1</v>
      </c>
      <c r="E10" s="224">
        <f t="shared" si="1"/>
        <v>10288.388000000001</v>
      </c>
      <c r="F10" s="310"/>
      <c r="G10" s="329" t="s">
        <v>138</v>
      </c>
      <c r="H10" s="342"/>
      <c r="I10" s="640" t="s">
        <v>437</v>
      </c>
      <c r="J10" s="641">
        <v>10058.101476799999</v>
      </c>
      <c r="K10" s="641">
        <v>10146.701476799999</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9943.77</v>
      </c>
      <c r="AR10" s="602" t="s">
        <v>373</v>
      </c>
      <c r="AS10" s="602">
        <v>1</v>
      </c>
      <c r="AT10" s="604" t="s">
        <v>374</v>
      </c>
      <c r="AU10" s="605" t="s">
        <v>395</v>
      </c>
      <c r="AV10" s="574" t="str">
        <f>+TEXT($B$4,"DD.MM.YYYY")</f>
        <v>14.01.2025</v>
      </c>
      <c r="AW10" s="574" t="str">
        <f>+TEXT($B$5,"DD.MM.YYYY")</f>
        <v>20.01.2025</v>
      </c>
    </row>
    <row r="11" spans="1:49" ht="35.450000000000003" customHeight="1">
      <c r="A11" s="248" t="s">
        <v>410</v>
      </c>
      <c r="B11" s="570">
        <f>+ROUND(K18,2)</f>
        <v>8519.36</v>
      </c>
      <c r="C11" s="224"/>
      <c r="D11" s="570">
        <f>+ROUND(J18,2)</f>
        <v>8430.76</v>
      </c>
      <c r="E11" s="224"/>
      <c r="F11" s="310"/>
      <c r="G11" s="329"/>
      <c r="H11" s="342"/>
      <c r="I11" s="644" t="s">
        <v>441</v>
      </c>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14.01.2025</v>
      </c>
      <c r="AW11" s="574" t="str">
        <f>+TEXT($B$5,"DD.MM.YYYY")</f>
        <v>20.01.2025</v>
      </c>
    </row>
    <row r="12" spans="1:49" ht="27.6" customHeight="1">
      <c r="A12" s="232" t="s">
        <v>47</v>
      </c>
      <c r="B12" s="224">
        <f>+'COMBUSTIBLES '!E8</f>
        <v>9.43</v>
      </c>
      <c r="C12" s="224">
        <f>+B12</f>
        <v>9.43</v>
      </c>
      <c r="D12" s="224">
        <f>+C12</f>
        <v>9.43</v>
      </c>
      <c r="E12" s="224">
        <f>+BIODIESEL!D14</f>
        <v>9.43</v>
      </c>
      <c r="H12" s="26">
        <v>6474.0480291453787</v>
      </c>
      <c r="I12" s="637" t="s">
        <v>434</v>
      </c>
      <c r="J12" s="637" t="s">
        <v>435</v>
      </c>
      <c r="K12" s="637" t="s">
        <v>436</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10146.700000000001</v>
      </c>
      <c r="AR12" s="583" t="s">
        <v>373</v>
      </c>
      <c r="AS12" s="583">
        <v>1</v>
      </c>
      <c r="AT12" s="581" t="s">
        <v>374</v>
      </c>
      <c r="AU12" s="580" t="s">
        <v>395</v>
      </c>
      <c r="AV12" s="574" t="str">
        <f>+TEXT($B$4,"DD.MM.YYYY")</f>
        <v>14.01.2025</v>
      </c>
      <c r="AW12" s="574" t="str">
        <f>+TEXT($B$5,"DD.MM.YYYY")</f>
        <v>20.01.2025</v>
      </c>
    </row>
    <row r="13" spans="1:49" ht="27.6" customHeight="1">
      <c r="A13" s="232"/>
      <c r="B13" s="247"/>
      <c r="C13" s="247"/>
      <c r="D13" s="247"/>
      <c r="E13" s="247"/>
      <c r="H13" s="26"/>
      <c r="I13" s="638">
        <v>45663</v>
      </c>
      <c r="J13" s="639">
        <v>8408.5644590000011</v>
      </c>
      <c r="K13" s="639">
        <v>8497.1644590000014</v>
      </c>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638">
        <v>45664</v>
      </c>
      <c r="J14" s="639">
        <v>8352.8139310000006</v>
      </c>
      <c r="K14" s="639">
        <v>8441.413931000001</v>
      </c>
      <c r="L14" s="26"/>
      <c r="M14" s="26"/>
      <c r="N14" s="26"/>
      <c r="O14" s="26"/>
      <c r="P14" s="26"/>
      <c r="Q14" s="26"/>
      <c r="R14" s="26"/>
      <c r="S14" s="26"/>
      <c r="T14" s="26"/>
    </row>
    <row r="15" spans="1:49" s="26" customFormat="1" ht="15.95" customHeight="1">
      <c r="A15" s="569"/>
      <c r="B15" s="16"/>
      <c r="C15" s="16"/>
      <c r="I15" s="638">
        <v>45665</v>
      </c>
      <c r="J15" s="639">
        <v>8338.5210170000009</v>
      </c>
      <c r="K15" s="639">
        <v>8427.1210170000013</v>
      </c>
    </row>
    <row r="16" spans="1:49" s="26" customFormat="1" ht="15.95" customHeight="1">
      <c r="A16" s="301"/>
      <c r="B16" s="16"/>
      <c r="C16" s="16"/>
      <c r="I16" s="638">
        <v>45666</v>
      </c>
      <c r="J16" s="639">
        <v>8422.7788760000003</v>
      </c>
      <c r="K16" s="639">
        <v>8511.3788760000007</v>
      </c>
    </row>
    <row r="17" spans="1:11" s="26" customFormat="1" ht="15.95" customHeight="1">
      <c r="I17" s="638">
        <v>45667</v>
      </c>
      <c r="J17" s="639">
        <v>8631.129300999999</v>
      </c>
      <c r="K17" s="639">
        <v>8719.7293009999994</v>
      </c>
    </row>
    <row r="18" spans="1:11" s="26" customFormat="1" ht="18" customHeight="1">
      <c r="I18" s="640" t="s">
        <v>438</v>
      </c>
      <c r="J18" s="641">
        <v>8430.7615168000011</v>
      </c>
      <c r="K18" s="641">
        <v>8519.3615167999997</v>
      </c>
    </row>
    <row r="19" spans="1:11" s="14" customFormat="1" ht="15">
      <c r="A19" s="431" t="s">
        <v>409</v>
      </c>
      <c r="B19" s="16"/>
      <c r="C19" s="16"/>
      <c r="D19" s="26"/>
      <c r="E19" s="26"/>
      <c r="F19" s="26"/>
    </row>
    <row r="20" spans="1:11" s="14" customFormat="1" ht="15">
      <c r="A20" s="12" t="s">
        <v>141</v>
      </c>
      <c r="B20" s="16"/>
      <c r="C20" s="16"/>
      <c r="D20" s="26"/>
      <c r="E20" s="26"/>
      <c r="F20" s="26"/>
    </row>
    <row r="21" spans="1:11" s="14" customFormat="1" ht="11.25" customHeight="1">
      <c r="A21" s="12"/>
      <c r="B21" s="13"/>
      <c r="C21" s="13"/>
    </row>
    <row r="22" spans="1:11" s="14" customFormat="1" ht="246.6" customHeight="1">
      <c r="A22" s="773" t="s">
        <v>416</v>
      </c>
      <c r="B22" s="773"/>
      <c r="C22" s="773"/>
      <c r="D22" s="773"/>
      <c r="E22" s="773"/>
    </row>
    <row r="23" spans="1:11" s="14" customFormat="1" ht="8.4499999999999993" customHeight="1">
      <c r="A23" s="12"/>
      <c r="B23" s="13"/>
      <c r="C23" s="13"/>
    </row>
    <row r="24" spans="1:11" s="14" customFormat="1" ht="30.75" customHeight="1">
      <c r="A24" s="770"/>
      <c r="B24" s="770"/>
      <c r="C24" s="770"/>
      <c r="D24" s="770"/>
      <c r="E24" s="770"/>
    </row>
    <row r="25" spans="1:11" s="14" customFormat="1" ht="9.6" customHeight="1">
      <c r="A25" s="12"/>
      <c r="B25" s="13"/>
      <c r="C25" s="13"/>
    </row>
    <row r="26" spans="1:11" s="14" customFormat="1" ht="14.25" customHeight="1">
      <c r="A26" s="771"/>
      <c r="B26" s="771"/>
      <c r="C26" s="771"/>
      <c r="D26" s="771"/>
      <c r="E26" s="771"/>
    </row>
    <row r="27" spans="1:11" ht="70.900000000000006" customHeight="1">
      <c r="A27" s="771"/>
      <c r="B27" s="771"/>
      <c r="C27" s="771"/>
      <c r="D27" s="771"/>
      <c r="E27" s="771"/>
    </row>
    <row r="28" spans="1:11" ht="23.65" customHeight="1">
      <c r="A28" s="764"/>
      <c r="B28" s="764"/>
      <c r="C28" s="764"/>
      <c r="D28" s="764"/>
      <c r="E28" s="764"/>
    </row>
    <row r="29" spans="1:11">
      <c r="A29" s="764"/>
      <c r="B29" s="764"/>
      <c r="C29" s="764"/>
      <c r="D29" s="764"/>
      <c r="E29" s="764"/>
    </row>
    <row r="30" spans="1:11" ht="203.25" customHeight="1"/>
    <row r="32" spans="1:11">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vWzCrLWiYBbKrJezGWszOhq7jJAgtFtotSS3Z8VMUdr7Qn38V/YY7Ky+x9mo/9mFs3AZWtkb25Nt/mltm6/H9A==" saltValue="67FY0rTlphGog9GOMWjRUQ=="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45" priority="2" operator="containsText" text="Seleccione...">
      <formula>NOT(ISERROR(SEARCH("Seleccione...",AV2)))</formula>
    </cfRule>
  </conditionalFormatting>
  <conditionalFormatting sqref="AV9:AW12">
    <cfRule type="containsText" dxfId="44"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511A9A2-726F-4F2F-94C1-60984CD6DF98}">
          <x14:formula1>
            <xm:f>Fechas!$A$2:$A$831</xm:f>
          </x14:formula1>
          <xm:sqref>B4:B5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FD6B-A84C-4CBA-9E82-9D5AD8C215F2}">
  <dimension ref="A1:AW42"/>
  <sheetViews>
    <sheetView showGridLines="0" topLeftCell="O1" zoomScale="85" zoomScaleNormal="85" workbookViewId="0">
      <selection activeCell="AB9" sqref="AB9:AW12"/>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8" width="7.85546875" style="5"/>
    <col min="9" max="9" width="29.140625" style="5" bestFit="1" customWidth="1"/>
    <col min="10" max="10" width="18.85546875" style="5" bestFit="1" customWidth="1"/>
    <col min="11" max="11" width="13.85546875" style="5" bestFit="1" customWidth="1"/>
    <col min="12" max="26" width="7.85546875" style="5"/>
    <col min="27" max="27" width="10.7109375" style="5" bestFit="1" customWidth="1"/>
    <col min="28" max="41" width="7.85546875" style="5"/>
    <col min="42" max="42" width="12.140625" style="5" bestFit="1" customWidth="1"/>
    <col min="43" max="43" width="8" style="5" bestFit="1" customWidth="1"/>
    <col min="44" max="47" width="7.85546875" style="5"/>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thickBo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8765.18</v>
      </c>
      <c r="AR2" s="583" t="s">
        <v>373</v>
      </c>
      <c r="AS2" s="583">
        <v>1</v>
      </c>
      <c r="AT2" s="581" t="s">
        <v>374</v>
      </c>
      <c r="AU2" s="580" t="s">
        <v>395</v>
      </c>
      <c r="AV2" s="574" t="str">
        <f>+TEXT($B$4,"DD.MM.YYYY")</f>
        <v>21.01.2025</v>
      </c>
      <c r="AW2" s="574" t="str">
        <f>+TEXT($B$5,"DD.MM.YYYY")</f>
        <v>27.01.2025</v>
      </c>
    </row>
    <row r="3" spans="1:49" ht="24.75" customHeight="1" thickBot="1">
      <c r="A3" s="768" t="s">
        <v>21</v>
      </c>
      <c r="B3" s="769"/>
      <c r="C3" s="769"/>
      <c r="D3" s="769"/>
      <c r="E3" s="769"/>
      <c r="F3" s="310"/>
      <c r="G3" s="310"/>
      <c r="H3" s="310"/>
      <c r="I3" s="643" t="s">
        <v>440</v>
      </c>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10544.62</v>
      </c>
      <c r="AR3" s="602" t="s">
        <v>373</v>
      </c>
      <c r="AS3" s="602">
        <v>1</v>
      </c>
      <c r="AT3" s="604" t="s">
        <v>374</v>
      </c>
      <c r="AU3" s="605" t="s">
        <v>395</v>
      </c>
      <c r="AV3" s="574" t="str">
        <f>+TEXT($B$4,"DD.MM.YYYY")</f>
        <v>21.01.2025</v>
      </c>
      <c r="AW3" s="574" t="str">
        <f>+TEXT($B$5,"DD.MM.YYYY")</f>
        <v>27.01.2025</v>
      </c>
    </row>
    <row r="4" spans="1:49" ht="24.75" customHeight="1">
      <c r="A4" s="600" t="s">
        <v>421</v>
      </c>
      <c r="B4" s="599">
        <v>45678</v>
      </c>
      <c r="C4" s="590"/>
      <c r="D4" s="590"/>
      <c r="E4" s="590"/>
      <c r="F4" s="310"/>
      <c r="G4" s="310"/>
      <c r="H4" s="310"/>
      <c r="I4" s="642" t="s">
        <v>434</v>
      </c>
      <c r="J4" s="637" t="s">
        <v>435</v>
      </c>
      <c r="K4" s="637" t="s">
        <v>436</v>
      </c>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21.01.2025</v>
      </c>
      <c r="AW4" s="574" t="str">
        <f>+TEXT($B$5,"DD.MM.YYYY")</f>
        <v>27.01.2025</v>
      </c>
    </row>
    <row r="5" spans="1:49" ht="18.75">
      <c r="A5" s="579" t="s">
        <v>422</v>
      </c>
      <c r="B5" s="645">
        <f>+B4+6</f>
        <v>45684</v>
      </c>
      <c r="C5" s="585"/>
      <c r="D5" s="598"/>
      <c r="E5" s="585"/>
      <c r="I5" s="638">
        <v>45670</v>
      </c>
      <c r="J5" s="639">
        <v>10597.663843999999</v>
      </c>
      <c r="K5" s="639">
        <v>10686.263843999999</v>
      </c>
      <c r="AB5" s="575" t="s">
        <v>378</v>
      </c>
      <c r="AC5" s="575">
        <v>929</v>
      </c>
      <c r="AD5" s="583" t="s">
        <v>372</v>
      </c>
      <c r="AE5" s="583"/>
      <c r="AF5" s="583"/>
      <c r="AG5" s="583">
        <v>2000</v>
      </c>
      <c r="AH5" s="583"/>
      <c r="AI5" s="583"/>
      <c r="AJ5" s="583"/>
      <c r="AK5" s="583"/>
      <c r="AL5" s="583"/>
      <c r="AM5" s="583"/>
      <c r="AN5" s="583" t="s">
        <v>424</v>
      </c>
      <c r="AO5" s="583"/>
      <c r="AP5" s="583">
        <v>30000000003</v>
      </c>
      <c r="AQ5" s="582">
        <f>+ROUND($D$8,2)</f>
        <v>10759.82</v>
      </c>
      <c r="AR5" s="583" t="s">
        <v>373</v>
      </c>
      <c r="AS5" s="583">
        <v>1</v>
      </c>
      <c r="AT5" s="581" t="s">
        <v>374</v>
      </c>
      <c r="AU5" s="580" t="s">
        <v>395</v>
      </c>
      <c r="AV5" s="574" t="str">
        <f>+TEXT($B$4,"DD.MM.YYYY")</f>
        <v>21.01.2025</v>
      </c>
      <c r="AW5" s="574" t="str">
        <f>+TEXT($B$5,"DD.MM.YYYY")</f>
        <v>27.01.2025</v>
      </c>
    </row>
    <row r="6" spans="1:49" ht="15.75" thickBot="1">
      <c r="A6" s="556"/>
      <c r="B6" s="113">
        <v>0</v>
      </c>
      <c r="C6" s="113">
        <v>0.02</v>
      </c>
      <c r="D6" s="113">
        <v>0</v>
      </c>
      <c r="E6" s="557">
        <v>0.02</v>
      </c>
      <c r="I6" s="638">
        <v>45671</v>
      </c>
      <c r="J6" s="639">
        <v>10535.040943999998</v>
      </c>
      <c r="K6" s="639">
        <v>10623.640943999999</v>
      </c>
    </row>
    <row r="7" spans="1:49" ht="72.75" customHeight="1" thickTop="1">
      <c r="A7" s="244" t="s">
        <v>14</v>
      </c>
      <c r="B7" s="245" t="s">
        <v>412</v>
      </c>
      <c r="C7" s="245" t="s">
        <v>413</v>
      </c>
      <c r="D7" s="245" t="s">
        <v>414</v>
      </c>
      <c r="E7" s="245" t="s">
        <v>415</v>
      </c>
      <c r="I7" s="638">
        <v>45672</v>
      </c>
      <c r="J7" s="639">
        <v>10795.30744</v>
      </c>
      <c r="K7" s="639">
        <v>10883.907440000001</v>
      </c>
    </row>
    <row r="8" spans="1:49" ht="27.6" customHeight="1">
      <c r="A8" s="70" t="s">
        <v>408</v>
      </c>
      <c r="B8" s="562">
        <f>+ROUND(K10,2)</f>
        <v>10848.42</v>
      </c>
      <c r="C8" s="565">
        <f>+B8</f>
        <v>10848.42</v>
      </c>
      <c r="D8" s="562">
        <f>+ROUND(J10,2)</f>
        <v>10759.82</v>
      </c>
      <c r="E8" s="565">
        <f>+D8</f>
        <v>10759.82</v>
      </c>
      <c r="H8" s="341"/>
      <c r="I8" s="638">
        <v>45673</v>
      </c>
      <c r="J8" s="639">
        <v>10817.151166999998</v>
      </c>
      <c r="K8" s="639">
        <v>10905.751166999999</v>
      </c>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638">
        <v>45674</v>
      </c>
      <c r="J9" s="639">
        <v>11053.938274999999</v>
      </c>
      <c r="K9" s="639">
        <v>11142.538274999999</v>
      </c>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8853.7800000000007</v>
      </c>
      <c r="AR9" s="583" t="s">
        <v>373</v>
      </c>
      <c r="AS9" s="583">
        <v>1</v>
      </c>
      <c r="AT9" s="581" t="s">
        <v>374</v>
      </c>
      <c r="AU9" s="580" t="s">
        <v>395</v>
      </c>
      <c r="AV9" s="574" t="str">
        <f>+TEXT($B$4,"DD.MM.YYYY")</f>
        <v>21.01.2025</v>
      </c>
      <c r="AW9" s="574" t="str">
        <f>+TEXT($B$5,"DD.MM.YYYY")</f>
        <v>27.01.2025</v>
      </c>
    </row>
    <row r="10" spans="1:49" ht="35.450000000000003" customHeight="1">
      <c r="A10" s="248" t="s">
        <v>139</v>
      </c>
      <c r="B10" s="224">
        <f t="shared" ref="B10" si="0">+ROUND(B9*B6,2)+B8*(1-B6)</f>
        <v>10848.42</v>
      </c>
      <c r="C10" s="224">
        <f>+ROUND(C9*C6,2)+C8*(1-C6)</f>
        <v>11062.901600000001</v>
      </c>
      <c r="D10" s="224">
        <f t="shared" ref="D10:E10" si="1">+ROUND(D9*D6,2)+D8*(1-D6)</f>
        <v>10759.82</v>
      </c>
      <c r="E10" s="224">
        <f t="shared" si="1"/>
        <v>10976.0736</v>
      </c>
      <c r="F10" s="310"/>
      <c r="G10" s="329" t="s">
        <v>138</v>
      </c>
      <c r="H10" s="342"/>
      <c r="I10" s="640" t="s">
        <v>437</v>
      </c>
      <c r="J10" s="641">
        <v>10759.820334</v>
      </c>
      <c r="K10" s="641">
        <v>10848.420334</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10631.45</v>
      </c>
      <c r="AR10" s="602" t="s">
        <v>373</v>
      </c>
      <c r="AS10" s="602">
        <v>1</v>
      </c>
      <c r="AT10" s="604" t="s">
        <v>374</v>
      </c>
      <c r="AU10" s="605" t="s">
        <v>395</v>
      </c>
      <c r="AV10" s="574" t="str">
        <f>+TEXT($B$4,"DD.MM.YYYY")</f>
        <v>21.01.2025</v>
      </c>
      <c r="AW10" s="574" t="str">
        <f>+TEXT($B$5,"DD.MM.YYYY")</f>
        <v>27.01.2025</v>
      </c>
    </row>
    <row r="11" spans="1:49" ht="35.450000000000003" customHeight="1">
      <c r="A11" s="248" t="s">
        <v>410</v>
      </c>
      <c r="B11" s="570">
        <f>+ROUND(K18,2)</f>
        <v>8853.7800000000007</v>
      </c>
      <c r="C11" s="224"/>
      <c r="D11" s="570">
        <f>+ROUND(J18,2)</f>
        <v>8765.18</v>
      </c>
      <c r="E11" s="224"/>
      <c r="F11" s="310"/>
      <c r="G11" s="329"/>
      <c r="H11" s="342"/>
      <c r="I11" s="644" t="s">
        <v>441</v>
      </c>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21.01.2025</v>
      </c>
      <c r="AW11" s="574" t="str">
        <f>+TEXT($B$5,"DD.MM.YYYY")</f>
        <v>27.01.2025</v>
      </c>
    </row>
    <row r="12" spans="1:49" ht="27.6" customHeight="1">
      <c r="A12" s="232" t="s">
        <v>47</v>
      </c>
      <c r="B12" s="224">
        <f>+'COMBUSTIBLES '!E8</f>
        <v>9.43</v>
      </c>
      <c r="C12" s="224">
        <f>+B12</f>
        <v>9.43</v>
      </c>
      <c r="D12" s="224">
        <f>+C12</f>
        <v>9.43</v>
      </c>
      <c r="E12" s="224">
        <f>+BIODIESEL!D14</f>
        <v>9.43</v>
      </c>
      <c r="H12" s="26">
        <v>6474.0480291453787</v>
      </c>
      <c r="I12" s="637" t="s">
        <v>434</v>
      </c>
      <c r="J12" s="637" t="s">
        <v>435</v>
      </c>
      <c r="K12" s="637" t="s">
        <v>436</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10848.42</v>
      </c>
      <c r="AR12" s="583" t="s">
        <v>373</v>
      </c>
      <c r="AS12" s="583">
        <v>1</v>
      </c>
      <c r="AT12" s="581" t="s">
        <v>374</v>
      </c>
      <c r="AU12" s="580" t="s">
        <v>395</v>
      </c>
      <c r="AV12" s="574" t="str">
        <f>+TEXT($B$4,"DD.MM.YYYY")</f>
        <v>21.01.2025</v>
      </c>
      <c r="AW12" s="574" t="str">
        <f>+TEXT($B$5,"DD.MM.YYYY")</f>
        <v>27.01.2025</v>
      </c>
    </row>
    <row r="13" spans="1:49" ht="27.6" customHeight="1">
      <c r="A13" s="232"/>
      <c r="B13" s="247"/>
      <c r="C13" s="247"/>
      <c r="D13" s="247"/>
      <c r="E13" s="247"/>
      <c r="H13" s="26"/>
      <c r="I13" s="638">
        <v>45670</v>
      </c>
      <c r="J13" s="639">
        <v>8791.4276859999991</v>
      </c>
      <c r="K13" s="639">
        <v>8880.0276859999994</v>
      </c>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638">
        <v>45671</v>
      </c>
      <c r="J14" s="639">
        <v>8686.0388569999996</v>
      </c>
      <c r="K14" s="639">
        <v>8774.6388569999999</v>
      </c>
      <c r="L14" s="26"/>
      <c r="M14" s="26"/>
      <c r="N14" s="26"/>
      <c r="O14" s="26"/>
      <c r="P14" s="26"/>
      <c r="Q14" s="26"/>
      <c r="R14" s="26"/>
      <c r="S14" s="26"/>
      <c r="T14" s="26"/>
    </row>
    <row r="15" spans="1:49" s="26" customFormat="1" ht="15.95" customHeight="1">
      <c r="A15" s="569"/>
      <c r="B15" s="16"/>
      <c r="C15" s="16"/>
      <c r="I15" s="638">
        <v>45672</v>
      </c>
      <c r="J15" s="639">
        <v>8866.4347879999968</v>
      </c>
      <c r="K15" s="639">
        <v>8955.0347879999972</v>
      </c>
    </row>
    <row r="16" spans="1:49" s="26" customFormat="1" ht="15.95" customHeight="1">
      <c r="A16" s="301"/>
      <c r="B16" s="16"/>
      <c r="C16" s="16"/>
      <c r="I16" s="638">
        <v>45673</v>
      </c>
      <c r="J16" s="639">
        <v>8699.9402314999988</v>
      </c>
      <c r="K16" s="639">
        <v>8788.5402314999992</v>
      </c>
    </row>
    <row r="17" spans="1:11" s="26" customFormat="1" ht="15.95" customHeight="1">
      <c r="I17" s="638">
        <v>45674</v>
      </c>
      <c r="J17" s="639">
        <v>8782.0491199999979</v>
      </c>
      <c r="K17" s="639">
        <v>8870.6491199999982</v>
      </c>
    </row>
    <row r="18" spans="1:11" s="26" customFormat="1" ht="18" customHeight="1">
      <c r="I18" s="640" t="s">
        <v>438</v>
      </c>
      <c r="J18" s="641">
        <v>8765.178136499997</v>
      </c>
      <c r="K18" s="641">
        <v>8853.778136500001</v>
      </c>
    </row>
    <row r="19" spans="1:11" s="14" customFormat="1" ht="15">
      <c r="A19" s="431" t="s">
        <v>409</v>
      </c>
      <c r="B19" s="16"/>
      <c r="C19" s="16"/>
      <c r="D19" s="26"/>
      <c r="E19" s="26"/>
      <c r="F19" s="26"/>
    </row>
    <row r="20" spans="1:11" s="14" customFormat="1" ht="15">
      <c r="A20" s="12" t="s">
        <v>141</v>
      </c>
      <c r="B20" s="16"/>
      <c r="C20" s="16"/>
      <c r="D20" s="26"/>
      <c r="E20" s="26"/>
      <c r="F20" s="26"/>
    </row>
    <row r="21" spans="1:11" s="14" customFormat="1" ht="11.25" customHeight="1">
      <c r="A21" s="12"/>
      <c r="B21" s="13"/>
      <c r="C21" s="13"/>
    </row>
    <row r="22" spans="1:11" s="14" customFormat="1" ht="246.6" customHeight="1">
      <c r="A22" s="773" t="s">
        <v>416</v>
      </c>
      <c r="B22" s="773"/>
      <c r="C22" s="773"/>
      <c r="D22" s="773"/>
      <c r="E22" s="773"/>
    </row>
    <row r="23" spans="1:11" s="14" customFormat="1" ht="8.4499999999999993" customHeight="1">
      <c r="A23" s="12"/>
      <c r="B23" s="13"/>
      <c r="C23" s="13"/>
    </row>
    <row r="24" spans="1:11" s="14" customFormat="1" ht="30.75" customHeight="1">
      <c r="A24" s="770"/>
      <c r="B24" s="770"/>
      <c r="C24" s="770"/>
      <c r="D24" s="770"/>
      <c r="E24" s="770"/>
    </row>
    <row r="25" spans="1:11" s="14" customFormat="1" ht="9.6" customHeight="1">
      <c r="A25" s="12"/>
      <c r="B25" s="13"/>
      <c r="C25" s="13"/>
    </row>
    <row r="26" spans="1:11" s="14" customFormat="1" ht="14.25" customHeight="1">
      <c r="A26" s="771"/>
      <c r="B26" s="771"/>
      <c r="C26" s="771"/>
      <c r="D26" s="771"/>
      <c r="E26" s="771"/>
    </row>
    <row r="27" spans="1:11" ht="70.900000000000006" customHeight="1">
      <c r="A27" s="771"/>
      <c r="B27" s="771"/>
      <c r="C27" s="771"/>
      <c r="D27" s="771"/>
      <c r="E27" s="771"/>
    </row>
    <row r="28" spans="1:11" ht="23.65" customHeight="1">
      <c r="A28" s="764"/>
      <c r="B28" s="764"/>
      <c r="C28" s="764"/>
      <c r="D28" s="764"/>
      <c r="E28" s="764"/>
    </row>
    <row r="29" spans="1:11">
      <c r="A29" s="764"/>
      <c r="B29" s="764"/>
      <c r="C29" s="764"/>
      <c r="D29" s="764"/>
      <c r="E29" s="764"/>
    </row>
    <row r="30" spans="1:11" ht="203.25" customHeight="1"/>
    <row r="32" spans="1:11">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YZzn1O7sp9OAJoN1+CVSfV8AbzFK07CXaAohe1QEvSq1p40+aq0tGgdNryK/5mFeUdoOkz2OKlmpotaSKa0Siw==" saltValue="BDQ/fOhmOQS/ST5KLYqk0w=="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43" priority="2" operator="containsText" text="Seleccione...">
      <formula>NOT(ISERROR(SEARCH("Seleccione...",AV2)))</formula>
    </cfRule>
  </conditionalFormatting>
  <conditionalFormatting sqref="AV9:AW12">
    <cfRule type="containsText" dxfId="42"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5309523-9E9D-45E8-8655-D21B5E0472A2}">
          <x14:formula1>
            <xm:f>Fechas!$A$2:$A$831</xm:f>
          </x14:formula1>
          <xm:sqref>B4:B5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A19BD-EEF4-4297-AE45-975C888ED3B6}">
  <dimension ref="A1:AW42"/>
  <sheetViews>
    <sheetView showGridLines="0" topLeftCell="O1" zoomScale="85" zoomScaleNormal="85" workbookViewId="0">
      <selection activeCell="AJ17" sqref="AJ17:AK17"/>
    </sheetView>
  </sheetViews>
  <sheetFormatPr baseColWidth="10" defaultColWidth="7.85546875" defaultRowHeight="14.25"/>
  <cols>
    <col min="1" max="1" width="56.28515625" style="5" customWidth="1"/>
    <col min="2" max="2" width="20.42578125" style="5" customWidth="1"/>
    <col min="3" max="3" width="18.5703125" style="5" customWidth="1"/>
    <col min="4" max="4" width="13.85546875" style="5" customWidth="1"/>
    <col min="5" max="5" width="16.7109375" style="5" customWidth="1"/>
    <col min="6" max="6" width="11.7109375" style="5" bestFit="1" customWidth="1"/>
    <col min="7" max="8" width="7.85546875" style="5"/>
    <col min="9" max="9" width="29.140625" style="5" bestFit="1" customWidth="1"/>
    <col min="10" max="10" width="18.85546875" style="5" bestFit="1" customWidth="1"/>
    <col min="11" max="11" width="13.85546875" style="5" bestFit="1" customWidth="1"/>
    <col min="12" max="26" width="7.85546875" style="5"/>
    <col min="27" max="27" width="10.7109375" style="5" bestFit="1" customWidth="1"/>
    <col min="28" max="41" width="7.85546875" style="5"/>
    <col min="42" max="42" width="12.140625" style="5" bestFit="1" customWidth="1"/>
    <col min="43" max="43" width="8" style="5" bestFit="1" customWidth="1"/>
    <col min="44" max="47" width="7.85546875" style="5"/>
    <col min="48" max="48" width="9.85546875" style="5" bestFit="1" customWidth="1"/>
    <col min="49" max="49" width="10.140625" style="5" bestFit="1" customWidth="1"/>
    <col min="50" max="16384" width="7.85546875" style="5"/>
  </cols>
  <sheetData>
    <row r="1" spans="1:49" s="11" customFormat="1" ht="18.75" thickTop="1">
      <c r="A1" s="766" t="s">
        <v>25</v>
      </c>
      <c r="B1" s="767"/>
      <c r="C1" s="767"/>
      <c r="D1" s="767"/>
      <c r="E1" s="767"/>
      <c r="AB1" s="588" t="s">
        <v>349</v>
      </c>
      <c r="AC1" s="589" t="s">
        <v>350</v>
      </c>
      <c r="AD1" s="588" t="s">
        <v>351</v>
      </c>
      <c r="AE1" s="588" t="s">
        <v>352</v>
      </c>
      <c r="AF1" s="588" t="s">
        <v>353</v>
      </c>
      <c r="AG1" s="588" t="s">
        <v>354</v>
      </c>
      <c r="AH1" s="588" t="s">
        <v>355</v>
      </c>
      <c r="AI1" s="588" t="s">
        <v>356</v>
      </c>
      <c r="AJ1" s="588" t="s">
        <v>357</v>
      </c>
      <c r="AK1" s="588" t="s">
        <v>358</v>
      </c>
      <c r="AL1" s="588" t="s">
        <v>359</v>
      </c>
      <c r="AM1" s="588" t="s">
        <v>360</v>
      </c>
      <c r="AN1" s="588" t="s">
        <v>361</v>
      </c>
      <c r="AO1" s="588" t="s">
        <v>362</v>
      </c>
      <c r="AP1" s="588" t="s">
        <v>363</v>
      </c>
      <c r="AQ1" s="588" t="s">
        <v>364</v>
      </c>
      <c r="AR1" s="588" t="s">
        <v>365</v>
      </c>
      <c r="AS1" s="588" t="s">
        <v>366</v>
      </c>
      <c r="AT1" s="588" t="s">
        <v>367</v>
      </c>
      <c r="AU1" s="586" t="s">
        <v>368</v>
      </c>
      <c r="AV1" s="587" t="s">
        <v>369</v>
      </c>
      <c r="AW1" s="587" t="s">
        <v>370</v>
      </c>
    </row>
    <row r="2" spans="1:49" s="11" customFormat="1" ht="56.1" customHeight="1" thickBot="1">
      <c r="A2" s="768" t="s">
        <v>411</v>
      </c>
      <c r="B2" s="769"/>
      <c r="C2" s="769"/>
      <c r="D2" s="769"/>
      <c r="E2" s="769"/>
      <c r="F2" s="5"/>
      <c r="G2" s="5"/>
      <c r="H2" s="5"/>
      <c r="I2" s="5"/>
      <c r="J2" s="5"/>
      <c r="K2" s="5"/>
      <c r="AA2" s="606" t="s">
        <v>425</v>
      </c>
      <c r="AB2" s="575" t="s">
        <v>378</v>
      </c>
      <c r="AC2" s="575">
        <v>929</v>
      </c>
      <c r="AD2" s="583" t="s">
        <v>372</v>
      </c>
      <c r="AE2" s="583"/>
      <c r="AF2" s="583"/>
      <c r="AG2" s="583">
        <v>2000</v>
      </c>
      <c r="AH2" s="583"/>
      <c r="AI2" s="583"/>
      <c r="AJ2" s="583"/>
      <c r="AK2" s="583"/>
      <c r="AL2" s="583"/>
      <c r="AM2" s="583"/>
      <c r="AN2" s="583" t="s">
        <v>424</v>
      </c>
      <c r="AO2" s="583"/>
      <c r="AP2" s="583">
        <v>30000000070</v>
      </c>
      <c r="AQ2" s="582">
        <f>+ROUND($D$11,2)</f>
        <v>8647.93</v>
      </c>
      <c r="AR2" s="583" t="s">
        <v>373</v>
      </c>
      <c r="AS2" s="583">
        <v>1</v>
      </c>
      <c r="AT2" s="581" t="s">
        <v>374</v>
      </c>
      <c r="AU2" s="580" t="s">
        <v>395</v>
      </c>
      <c r="AV2" s="574" t="str">
        <f>+TEXT($B$4,"DD.MM.YYYY")</f>
        <v>28.01.2025</v>
      </c>
      <c r="AW2" s="574" t="str">
        <f>+TEXT($B$5,"DD.MM.YYYY")</f>
        <v>03.02.2025</v>
      </c>
    </row>
    <row r="3" spans="1:49" ht="24.75" customHeight="1" thickBot="1">
      <c r="A3" s="768" t="s">
        <v>21</v>
      </c>
      <c r="B3" s="769"/>
      <c r="C3" s="769"/>
      <c r="D3" s="769"/>
      <c r="E3" s="769"/>
      <c r="F3" s="310"/>
      <c r="G3" s="310"/>
      <c r="H3" s="310"/>
      <c r="I3" s="643" t="s">
        <v>440</v>
      </c>
      <c r="J3" s="772" t="s">
        <v>417</v>
      </c>
      <c r="K3" s="772"/>
      <c r="L3" s="772"/>
      <c r="M3" s="772"/>
      <c r="N3" s="772"/>
      <c r="O3" s="772"/>
      <c r="P3" s="772"/>
      <c r="AB3" s="575" t="s">
        <v>371</v>
      </c>
      <c r="AC3" s="575">
        <v>929</v>
      </c>
      <c r="AD3" s="602" t="s">
        <v>372</v>
      </c>
      <c r="AE3" s="602"/>
      <c r="AF3" s="602"/>
      <c r="AG3" s="602">
        <v>2000</v>
      </c>
      <c r="AH3" s="602"/>
      <c r="AI3" s="602"/>
      <c r="AJ3" s="602"/>
      <c r="AK3" s="602"/>
      <c r="AL3" s="602"/>
      <c r="AM3" s="602"/>
      <c r="AN3" s="602" t="s">
        <v>424</v>
      </c>
      <c r="AO3" s="602"/>
      <c r="AP3" s="602">
        <v>30000002129</v>
      </c>
      <c r="AQ3" s="603">
        <f>+ROUND($E$8*98%,2)</f>
        <v>10259.52</v>
      </c>
      <c r="AR3" s="602" t="s">
        <v>373</v>
      </c>
      <c r="AS3" s="602">
        <v>1</v>
      </c>
      <c r="AT3" s="604" t="s">
        <v>374</v>
      </c>
      <c r="AU3" s="605" t="s">
        <v>395</v>
      </c>
      <c r="AV3" s="574" t="str">
        <f>+TEXT($B$4,"DD.MM.YYYY")</f>
        <v>28.01.2025</v>
      </c>
      <c r="AW3" s="574" t="str">
        <f>+TEXT($B$5,"DD.MM.YYYY")</f>
        <v>03.02.2025</v>
      </c>
    </row>
    <row r="4" spans="1:49" ht="24.75" customHeight="1">
      <c r="A4" s="600" t="s">
        <v>421</v>
      </c>
      <c r="B4" s="599">
        <v>45685</v>
      </c>
      <c r="C4" s="590"/>
      <c r="D4" s="590"/>
      <c r="E4" s="590"/>
      <c r="F4" s="310"/>
      <c r="G4" s="310"/>
      <c r="H4" s="310"/>
      <c r="I4" s="642" t="s">
        <v>434</v>
      </c>
      <c r="J4" s="637" t="s">
        <v>435</v>
      </c>
      <c r="K4" s="637" t="s">
        <v>436</v>
      </c>
      <c r="L4" s="525"/>
      <c r="M4" s="525"/>
      <c r="N4" s="525"/>
      <c r="O4" s="525"/>
      <c r="P4" s="525"/>
      <c r="AB4" s="575" t="s">
        <v>375</v>
      </c>
      <c r="AC4" s="575">
        <v>929</v>
      </c>
      <c r="AD4" s="602" t="s">
        <v>372</v>
      </c>
      <c r="AE4" s="602"/>
      <c r="AF4" s="602"/>
      <c r="AG4" s="602">
        <v>2000</v>
      </c>
      <c r="AH4" s="602"/>
      <c r="AI4" s="602"/>
      <c r="AJ4" s="602"/>
      <c r="AK4" s="602"/>
      <c r="AL4" s="602"/>
      <c r="AM4" s="602"/>
      <c r="AN4" s="602" t="s">
        <v>424</v>
      </c>
      <c r="AO4" s="602"/>
      <c r="AP4" s="602">
        <v>30000002129</v>
      </c>
      <c r="AQ4" s="603">
        <f>+ROUND($E$9*2%,2)</f>
        <v>431.45</v>
      </c>
      <c r="AR4" s="602" t="s">
        <v>373</v>
      </c>
      <c r="AS4" s="602">
        <v>1</v>
      </c>
      <c r="AT4" s="604" t="s">
        <v>374</v>
      </c>
      <c r="AU4" s="605" t="s">
        <v>395</v>
      </c>
      <c r="AV4" s="574" t="str">
        <f>+TEXT($B$4,"DD.MM.YYYY")</f>
        <v>28.01.2025</v>
      </c>
      <c r="AW4" s="574" t="str">
        <f>+TEXT($B$5,"DD.MM.YYYY")</f>
        <v>03.02.2025</v>
      </c>
    </row>
    <row r="5" spans="1:49" ht="18.75">
      <c r="A5" s="579" t="s">
        <v>422</v>
      </c>
      <c r="B5" s="645">
        <f>+B4+6</f>
        <v>45691</v>
      </c>
      <c r="C5" s="585"/>
      <c r="D5" s="598"/>
      <c r="E5" s="585"/>
      <c r="I5" s="638">
        <v>45677</v>
      </c>
      <c r="J5" s="639">
        <v>11069.657494999999</v>
      </c>
      <c r="K5" s="639">
        <v>11158.257495</v>
      </c>
      <c r="AB5" s="575" t="s">
        <v>378</v>
      </c>
      <c r="AC5" s="575">
        <v>929</v>
      </c>
      <c r="AD5" s="583" t="s">
        <v>372</v>
      </c>
      <c r="AE5" s="583"/>
      <c r="AF5" s="583"/>
      <c r="AG5" s="583">
        <v>2000</v>
      </c>
      <c r="AH5" s="583"/>
      <c r="AI5" s="583"/>
      <c r="AJ5" s="583"/>
      <c r="AK5" s="583"/>
      <c r="AL5" s="583"/>
      <c r="AM5" s="583"/>
      <c r="AN5" s="583" t="s">
        <v>424</v>
      </c>
      <c r="AO5" s="583"/>
      <c r="AP5" s="583">
        <v>30000000003</v>
      </c>
      <c r="AQ5" s="582">
        <f>+ROUND($D$8,2)</f>
        <v>10468.9</v>
      </c>
      <c r="AR5" s="583" t="s">
        <v>373</v>
      </c>
      <c r="AS5" s="583">
        <v>1</v>
      </c>
      <c r="AT5" s="581" t="s">
        <v>374</v>
      </c>
      <c r="AU5" s="580" t="s">
        <v>395</v>
      </c>
      <c r="AV5" s="574" t="str">
        <f>+TEXT($B$4,"DD.MM.YYYY")</f>
        <v>28.01.2025</v>
      </c>
      <c r="AW5" s="574" t="str">
        <f>+TEXT($B$5,"DD.MM.YYYY")</f>
        <v>03.02.2025</v>
      </c>
    </row>
    <row r="6" spans="1:49" ht="15.75" thickBot="1">
      <c r="A6" s="556"/>
      <c r="B6" s="113">
        <v>0</v>
      </c>
      <c r="C6" s="113">
        <v>0.02</v>
      </c>
      <c r="D6" s="113">
        <v>0</v>
      </c>
      <c r="E6" s="557">
        <v>0.02</v>
      </c>
      <c r="I6" s="638">
        <v>45678</v>
      </c>
      <c r="J6" s="639">
        <v>10720.812614</v>
      </c>
      <c r="K6" s="639">
        <v>10809.412614000001</v>
      </c>
    </row>
    <row r="7" spans="1:49" ht="72.75" customHeight="1" thickTop="1">
      <c r="A7" s="244" t="s">
        <v>14</v>
      </c>
      <c r="B7" s="245" t="s">
        <v>412</v>
      </c>
      <c r="C7" s="245" t="s">
        <v>413</v>
      </c>
      <c r="D7" s="245" t="s">
        <v>414</v>
      </c>
      <c r="E7" s="245" t="s">
        <v>415</v>
      </c>
      <c r="I7" s="638">
        <v>45679</v>
      </c>
      <c r="J7" s="639">
        <v>10268.611229</v>
      </c>
      <c r="K7" s="639">
        <v>10357.211229</v>
      </c>
    </row>
    <row r="8" spans="1:49" ht="27.6" customHeight="1">
      <c r="A8" s="70" t="s">
        <v>408</v>
      </c>
      <c r="B8" s="562">
        <f>+ROUND(K10,2)</f>
        <v>10557.5</v>
      </c>
      <c r="C8" s="565">
        <f>+B8</f>
        <v>10557.5</v>
      </c>
      <c r="D8" s="562">
        <f>+ROUND(J10,2)</f>
        <v>10468.9</v>
      </c>
      <c r="E8" s="565">
        <f>+D8</f>
        <v>10468.9</v>
      </c>
      <c r="H8" s="341"/>
      <c r="I8" s="638">
        <v>45680</v>
      </c>
      <c r="J8" s="639">
        <v>10161.084159</v>
      </c>
      <c r="K8" s="639">
        <v>10249.684159</v>
      </c>
      <c r="AA8" s="606"/>
      <c r="AB8" s="588" t="s">
        <v>349</v>
      </c>
      <c r="AC8" s="588" t="s">
        <v>350</v>
      </c>
      <c r="AD8" s="588" t="s">
        <v>351</v>
      </c>
      <c r="AE8" s="588" t="s">
        <v>352</v>
      </c>
      <c r="AF8" s="588" t="s">
        <v>353</v>
      </c>
      <c r="AG8" s="588" t="s">
        <v>354</v>
      </c>
      <c r="AH8" s="588" t="s">
        <v>355</v>
      </c>
      <c r="AI8" s="588" t="s">
        <v>356</v>
      </c>
      <c r="AJ8" s="588" t="s">
        <v>357</v>
      </c>
      <c r="AK8" s="588" t="s">
        <v>358</v>
      </c>
      <c r="AL8" s="588" t="s">
        <v>359</v>
      </c>
      <c r="AM8" s="588" t="s">
        <v>360</v>
      </c>
      <c r="AN8" s="588" t="s">
        <v>361</v>
      </c>
      <c r="AO8" s="588" t="s">
        <v>362</v>
      </c>
      <c r="AP8" s="588" t="s">
        <v>363</v>
      </c>
      <c r="AQ8" s="588" t="s">
        <v>364</v>
      </c>
      <c r="AR8" s="588" t="s">
        <v>365</v>
      </c>
      <c r="AS8" s="588" t="s">
        <v>366</v>
      </c>
      <c r="AT8" s="588" t="s">
        <v>367</v>
      </c>
      <c r="AU8" s="586" t="s">
        <v>368</v>
      </c>
      <c r="AV8" s="587" t="s">
        <v>369</v>
      </c>
      <c r="AW8" s="587" t="s">
        <v>370</v>
      </c>
    </row>
    <row r="9" spans="1:49" ht="27.6" customHeight="1">
      <c r="A9" s="232" t="s">
        <v>407</v>
      </c>
      <c r="B9" s="349">
        <v>0</v>
      </c>
      <c r="C9" s="224">
        <f>+BIODIESEL!$B$7</f>
        <v>21572.3</v>
      </c>
      <c r="D9" s="349">
        <v>0</v>
      </c>
      <c r="E9" s="224">
        <f>+BIODIESEL!$B$7</f>
        <v>21572.3</v>
      </c>
      <c r="H9" s="342"/>
      <c r="I9" s="638">
        <v>45681</v>
      </c>
      <c r="J9" s="639">
        <v>10124.311074999998</v>
      </c>
      <c r="K9" s="639">
        <v>10212.911074999998</v>
      </c>
      <c r="L9" s="342"/>
      <c r="M9" s="26"/>
      <c r="N9" s="26"/>
      <c r="O9" s="26"/>
      <c r="P9" s="26"/>
      <c r="Q9" s="26"/>
      <c r="R9" s="26"/>
      <c r="S9" s="26"/>
      <c r="T9" s="26"/>
      <c r="AA9" s="5" t="s">
        <v>426</v>
      </c>
      <c r="AB9" s="575" t="s">
        <v>378</v>
      </c>
      <c r="AC9" s="575">
        <v>567</v>
      </c>
      <c r="AD9" s="583" t="s">
        <v>380</v>
      </c>
      <c r="AE9" s="583"/>
      <c r="AF9" s="583"/>
      <c r="AG9" s="583"/>
      <c r="AH9" s="583"/>
      <c r="AI9" s="583"/>
      <c r="AJ9" s="583"/>
      <c r="AK9" s="583"/>
      <c r="AL9" s="583"/>
      <c r="AM9" s="583"/>
      <c r="AN9" s="583" t="s">
        <v>424</v>
      </c>
      <c r="AO9" s="583"/>
      <c r="AP9" s="583">
        <v>30000000070</v>
      </c>
      <c r="AQ9" s="582">
        <f>+ROUND($B$11,2)</f>
        <v>8736.5300000000007</v>
      </c>
      <c r="AR9" s="583" t="s">
        <v>373</v>
      </c>
      <c r="AS9" s="583">
        <v>1</v>
      </c>
      <c r="AT9" s="581" t="s">
        <v>374</v>
      </c>
      <c r="AU9" s="580" t="s">
        <v>395</v>
      </c>
      <c r="AV9" s="574" t="str">
        <f>+TEXT($B$4,"DD.MM.YYYY")</f>
        <v>28.01.2025</v>
      </c>
      <c r="AW9" s="574" t="str">
        <f>+TEXT($B$5,"DD.MM.YYYY")</f>
        <v>03.02.2025</v>
      </c>
    </row>
    <row r="10" spans="1:49" ht="35.450000000000003" customHeight="1">
      <c r="A10" s="248" t="s">
        <v>139</v>
      </c>
      <c r="B10" s="224">
        <f t="shared" ref="B10" si="0">+ROUND(B9*B6,2)+B8*(1-B6)</f>
        <v>10557.5</v>
      </c>
      <c r="C10" s="224">
        <f>+ROUND(C9*C6,2)+C8*(1-C6)</f>
        <v>10777.800000000001</v>
      </c>
      <c r="D10" s="224">
        <f t="shared" ref="D10:E10" si="1">+ROUND(D9*D6,2)+D8*(1-D6)</f>
        <v>10468.9</v>
      </c>
      <c r="E10" s="224">
        <f t="shared" si="1"/>
        <v>10690.972</v>
      </c>
      <c r="F10" s="310"/>
      <c r="G10" s="329" t="s">
        <v>138</v>
      </c>
      <c r="H10" s="342"/>
      <c r="I10" s="640" t="s">
        <v>437</v>
      </c>
      <c r="J10" s="641">
        <v>10468.895314400001</v>
      </c>
      <c r="K10" s="641">
        <v>10557.495314399999</v>
      </c>
      <c r="L10" s="26">
        <v>6794.4669776671717</v>
      </c>
      <c r="M10" s="26">
        <v>6537.1057563440854</v>
      </c>
      <c r="N10" s="26">
        <v>7022.1892934113339</v>
      </c>
      <c r="O10" s="26">
        <v>6875.1811988924737</v>
      </c>
      <c r="P10" s="26">
        <v>6875.1811988924737</v>
      </c>
      <c r="Q10" s="26"/>
      <c r="R10" s="26"/>
      <c r="S10" s="26"/>
      <c r="T10" s="26"/>
      <c r="AB10" s="575" t="s">
        <v>371</v>
      </c>
      <c r="AC10" s="575">
        <v>567</v>
      </c>
      <c r="AD10" s="583" t="s">
        <v>380</v>
      </c>
      <c r="AE10" s="602"/>
      <c r="AF10" s="602"/>
      <c r="AG10" s="602"/>
      <c r="AH10" s="602"/>
      <c r="AI10" s="602"/>
      <c r="AJ10" s="602"/>
      <c r="AK10" s="602"/>
      <c r="AL10" s="602"/>
      <c r="AM10" s="602"/>
      <c r="AN10" s="602" t="s">
        <v>424</v>
      </c>
      <c r="AO10" s="602"/>
      <c r="AP10" s="602">
        <v>30000002129</v>
      </c>
      <c r="AQ10" s="603">
        <f>+ROUND($B$8*98%,2)</f>
        <v>10346.35</v>
      </c>
      <c r="AR10" s="602" t="s">
        <v>373</v>
      </c>
      <c r="AS10" s="602">
        <v>1</v>
      </c>
      <c r="AT10" s="604" t="s">
        <v>374</v>
      </c>
      <c r="AU10" s="605" t="s">
        <v>395</v>
      </c>
      <c r="AV10" s="574" t="str">
        <f>+TEXT($B$4,"DD.MM.YYYY")</f>
        <v>28.01.2025</v>
      </c>
      <c r="AW10" s="574" t="str">
        <f>+TEXT($B$5,"DD.MM.YYYY")</f>
        <v>03.02.2025</v>
      </c>
    </row>
    <row r="11" spans="1:49" ht="35.450000000000003" customHeight="1">
      <c r="A11" s="248" t="s">
        <v>410</v>
      </c>
      <c r="B11" s="570">
        <f>+ROUND(K18,2)</f>
        <v>8736.5300000000007</v>
      </c>
      <c r="C11" s="224"/>
      <c r="D11" s="570">
        <f>+ROUND(J18,2)</f>
        <v>8647.93</v>
      </c>
      <c r="E11" s="224"/>
      <c r="F11" s="310"/>
      <c r="G11" s="329"/>
      <c r="H11" s="342"/>
      <c r="I11" s="644" t="s">
        <v>441</v>
      </c>
      <c r="J11" s="26"/>
      <c r="K11" s="26"/>
      <c r="L11" s="26"/>
      <c r="M11" s="26"/>
      <c r="N11" s="26"/>
      <c r="O11" s="26"/>
      <c r="P11" s="26"/>
      <c r="Q11" s="26"/>
      <c r="R11" s="26"/>
      <c r="S11" s="26"/>
      <c r="T11" s="26"/>
      <c r="AB11" s="575" t="s">
        <v>375</v>
      </c>
      <c r="AC11" s="575">
        <v>567</v>
      </c>
      <c r="AD11" s="583" t="s">
        <v>380</v>
      </c>
      <c r="AE11" s="602"/>
      <c r="AF11" s="602"/>
      <c r="AG11" s="602"/>
      <c r="AH11" s="602"/>
      <c r="AI11" s="602"/>
      <c r="AJ11" s="602"/>
      <c r="AK11" s="602"/>
      <c r="AL11" s="602"/>
      <c r="AM11" s="602"/>
      <c r="AN11" s="602" t="s">
        <v>424</v>
      </c>
      <c r="AO11" s="602"/>
      <c r="AP11" s="602">
        <v>30000002129</v>
      </c>
      <c r="AQ11" s="603">
        <f>+ROUND($C$9*2%,2)</f>
        <v>431.45</v>
      </c>
      <c r="AR11" s="602" t="s">
        <v>373</v>
      </c>
      <c r="AS11" s="602">
        <v>1</v>
      </c>
      <c r="AT11" s="604" t="s">
        <v>374</v>
      </c>
      <c r="AU11" s="605" t="s">
        <v>395</v>
      </c>
      <c r="AV11" s="574" t="str">
        <f>+TEXT($B$4,"DD.MM.YYYY")</f>
        <v>28.01.2025</v>
      </c>
      <c r="AW11" s="574" t="str">
        <f>+TEXT($B$5,"DD.MM.YYYY")</f>
        <v>03.02.2025</v>
      </c>
    </row>
    <row r="12" spans="1:49" ht="27.6" customHeight="1">
      <c r="A12" s="232" t="s">
        <v>47</v>
      </c>
      <c r="B12" s="224">
        <f>+'COMBUSTIBLES '!E8</f>
        <v>9.43</v>
      </c>
      <c r="C12" s="224">
        <f>+B12</f>
        <v>9.43</v>
      </c>
      <c r="D12" s="224">
        <f>+C12</f>
        <v>9.43</v>
      </c>
      <c r="E12" s="224">
        <f>+BIODIESEL!D14</f>
        <v>9.43</v>
      </c>
      <c r="H12" s="26">
        <v>6474.0480291453787</v>
      </c>
      <c r="I12" s="637" t="s">
        <v>434</v>
      </c>
      <c r="J12" s="637" t="s">
        <v>435</v>
      </c>
      <c r="K12" s="637" t="s">
        <v>436</v>
      </c>
      <c r="L12" s="26">
        <v>6794.4669776671717</v>
      </c>
      <c r="M12" s="26">
        <v>6537.1057563440854</v>
      </c>
      <c r="N12" s="26">
        <v>6414.6173003313961</v>
      </c>
      <c r="O12" s="26">
        <v>6875.1811988924737</v>
      </c>
      <c r="P12" s="26">
        <v>6875.1811988924737</v>
      </c>
      <c r="Q12" s="26"/>
      <c r="R12" s="26"/>
      <c r="S12" s="26"/>
      <c r="T12" s="26"/>
      <c r="AB12" s="575" t="s">
        <v>378</v>
      </c>
      <c r="AC12" s="575">
        <v>567</v>
      </c>
      <c r="AD12" s="583" t="s">
        <v>380</v>
      </c>
      <c r="AE12" s="583"/>
      <c r="AF12" s="583"/>
      <c r="AG12" s="583"/>
      <c r="AH12" s="583"/>
      <c r="AI12" s="583"/>
      <c r="AJ12" s="583"/>
      <c r="AK12" s="583"/>
      <c r="AL12" s="583"/>
      <c r="AM12" s="583"/>
      <c r="AN12" s="583" t="s">
        <v>424</v>
      </c>
      <c r="AO12" s="583"/>
      <c r="AP12" s="583">
        <v>30000000003</v>
      </c>
      <c r="AQ12" s="582">
        <f>+ROUND($B$8,2)</f>
        <v>10557.5</v>
      </c>
      <c r="AR12" s="583" t="s">
        <v>373</v>
      </c>
      <c r="AS12" s="583">
        <v>1</v>
      </c>
      <c r="AT12" s="581" t="s">
        <v>374</v>
      </c>
      <c r="AU12" s="580" t="s">
        <v>395</v>
      </c>
      <c r="AV12" s="574" t="str">
        <f>+TEXT($B$4,"DD.MM.YYYY")</f>
        <v>28.01.2025</v>
      </c>
      <c r="AW12" s="574" t="str">
        <f>+TEXT($B$5,"DD.MM.YYYY")</f>
        <v>03.02.2025</v>
      </c>
    </row>
    <row r="13" spans="1:49" ht="27.6" customHeight="1">
      <c r="A13" s="232"/>
      <c r="B13" s="247"/>
      <c r="C13" s="247"/>
      <c r="D13" s="247"/>
      <c r="E13" s="247"/>
      <c r="H13" s="26"/>
      <c r="I13" s="638">
        <v>45677</v>
      </c>
      <c r="J13" s="639">
        <v>9000.4816939999982</v>
      </c>
      <c r="K13" s="639">
        <v>9089.0816939999986</v>
      </c>
      <c r="L13" s="26"/>
      <c r="M13" s="330">
        <f t="shared" ref="M13:P13" si="2">+(M12-M10)/M10</f>
        <v>0</v>
      </c>
      <c r="N13" s="330">
        <f t="shared" si="2"/>
        <v>-8.6521733848730145E-2</v>
      </c>
      <c r="O13" s="330">
        <f t="shared" si="2"/>
        <v>0</v>
      </c>
      <c r="P13" s="330">
        <f t="shared" si="2"/>
        <v>0</v>
      </c>
      <c r="Q13" s="26"/>
      <c r="R13" s="26"/>
      <c r="S13" s="26"/>
      <c r="T13" s="26"/>
    </row>
    <row r="14" spans="1:49" ht="23.65" customHeight="1">
      <c r="A14" s="57"/>
      <c r="B14" s="247"/>
      <c r="C14" s="247"/>
      <c r="D14" s="247"/>
      <c r="E14" s="247"/>
      <c r="H14" s="26"/>
      <c r="I14" s="638">
        <v>45678</v>
      </c>
      <c r="J14" s="639">
        <v>8734.3517138000007</v>
      </c>
      <c r="K14" s="639">
        <v>8822.951713800001</v>
      </c>
      <c r="L14" s="26"/>
      <c r="M14" s="26"/>
      <c r="N14" s="26"/>
      <c r="O14" s="26"/>
      <c r="P14" s="26"/>
      <c r="Q14" s="26"/>
      <c r="R14" s="26"/>
      <c r="S14" s="26"/>
      <c r="T14" s="26"/>
    </row>
    <row r="15" spans="1:49" s="26" customFormat="1" ht="15.95" customHeight="1">
      <c r="A15" s="569"/>
      <c r="B15" s="16"/>
      <c r="C15" s="16"/>
      <c r="I15" s="638">
        <v>45679</v>
      </c>
      <c r="J15" s="639">
        <v>8528.1242419999999</v>
      </c>
      <c r="K15" s="639">
        <v>8616.7242420000002</v>
      </c>
    </row>
    <row r="16" spans="1:49" s="26" customFormat="1" ht="15.95" customHeight="1">
      <c r="A16" s="301"/>
      <c r="B16" s="16"/>
      <c r="C16" s="16"/>
      <c r="I16" s="638">
        <v>45680</v>
      </c>
      <c r="J16" s="639">
        <v>8551.9106975000013</v>
      </c>
      <c r="K16" s="639">
        <v>8640.5106975000017</v>
      </c>
    </row>
    <row r="17" spans="1:11" s="26" customFormat="1" ht="15.95" customHeight="1">
      <c r="I17" s="638">
        <v>45681</v>
      </c>
      <c r="J17" s="639">
        <v>8424.7773799999995</v>
      </c>
      <c r="K17" s="639">
        <v>8513.3773799999999</v>
      </c>
    </row>
    <row r="18" spans="1:11" s="26" customFormat="1" ht="18" customHeight="1">
      <c r="I18" s="640" t="s">
        <v>438</v>
      </c>
      <c r="J18" s="641">
        <v>8647.9291454599988</v>
      </c>
      <c r="K18" s="641">
        <v>8736.529145460001</v>
      </c>
    </row>
    <row r="19" spans="1:11" s="14" customFormat="1" ht="15">
      <c r="A19" s="431" t="s">
        <v>409</v>
      </c>
      <c r="B19" s="16"/>
      <c r="C19" s="16"/>
      <c r="D19" s="26"/>
      <c r="E19" s="26"/>
      <c r="F19" s="26"/>
    </row>
    <row r="20" spans="1:11" s="14" customFormat="1" ht="15">
      <c r="A20" s="12" t="s">
        <v>141</v>
      </c>
      <c r="B20" s="16"/>
      <c r="C20" s="16"/>
      <c r="D20" s="26"/>
      <c r="E20" s="26"/>
      <c r="F20" s="26"/>
    </row>
    <row r="21" spans="1:11" s="14" customFormat="1" ht="11.25" customHeight="1">
      <c r="A21" s="12"/>
      <c r="B21" s="13"/>
      <c r="C21" s="13"/>
    </row>
    <row r="22" spans="1:11" s="14" customFormat="1" ht="246.6" customHeight="1">
      <c r="A22" s="773" t="s">
        <v>416</v>
      </c>
      <c r="B22" s="773"/>
      <c r="C22" s="773"/>
      <c r="D22" s="773"/>
      <c r="E22" s="773"/>
    </row>
    <row r="23" spans="1:11" s="14" customFormat="1" ht="8.4499999999999993" customHeight="1">
      <c r="A23" s="12"/>
      <c r="B23" s="13"/>
      <c r="C23" s="13"/>
    </row>
    <row r="24" spans="1:11" s="14" customFormat="1" ht="30.75" customHeight="1">
      <c r="A24" s="770"/>
      <c r="B24" s="770"/>
      <c r="C24" s="770"/>
      <c r="D24" s="770"/>
      <c r="E24" s="770"/>
    </row>
    <row r="25" spans="1:11" s="14" customFormat="1" ht="9.6" customHeight="1">
      <c r="A25" s="12"/>
      <c r="B25" s="13"/>
      <c r="C25" s="13"/>
    </row>
    <row r="26" spans="1:11" s="14" customFormat="1" ht="14.25" customHeight="1">
      <c r="A26" s="771"/>
      <c r="B26" s="771"/>
      <c r="C26" s="771"/>
      <c r="D26" s="771"/>
      <c r="E26" s="771"/>
    </row>
    <row r="27" spans="1:11" ht="70.900000000000006" customHeight="1">
      <c r="A27" s="771"/>
      <c r="B27" s="771"/>
      <c r="C27" s="771"/>
      <c r="D27" s="771"/>
      <c r="E27" s="771"/>
    </row>
    <row r="28" spans="1:11" ht="23.65" customHeight="1">
      <c r="A28" s="764"/>
      <c r="B28" s="764"/>
      <c r="C28" s="764"/>
      <c r="D28" s="764"/>
      <c r="E28" s="764"/>
    </row>
    <row r="29" spans="1:11">
      <c r="A29" s="764"/>
      <c r="B29" s="764"/>
      <c r="C29" s="764"/>
      <c r="D29" s="764"/>
      <c r="E29" s="764"/>
    </row>
    <row r="30" spans="1:11" ht="203.25" customHeight="1"/>
    <row r="32" spans="1:11">
      <c r="A32" s="5" t="e">
        <f>+#REF!=#REF!</f>
        <v>#REF!</v>
      </c>
      <c r="B32" s="462" t="e">
        <f>+#REF!</f>
        <v>#REF!</v>
      </c>
    </row>
    <row r="33" spans="1:5">
      <c r="A33" s="5" t="b">
        <f>+B8=C8</f>
        <v>1</v>
      </c>
      <c r="B33" s="462" t="str">
        <f>+B7</f>
        <v>Cartagena (B0).</v>
      </c>
    </row>
    <row r="34" spans="1:5">
      <c r="A34" s="5" t="b">
        <f>+D8=E8</f>
        <v>1</v>
      </c>
      <c r="B34" s="462" t="str">
        <f>+D7</f>
        <v>Barrancabermeja (B0).</v>
      </c>
    </row>
    <row r="35" spans="1:5">
      <c r="A35" s="5" t="e">
        <f>+#REF!=#REF!</f>
        <v>#REF!</v>
      </c>
      <c r="B35" s="462" t="e">
        <f>+#REF!</f>
        <v>#REF!</v>
      </c>
    </row>
    <row r="36" spans="1:5">
      <c r="A36" s="5" t="e">
        <f>+#REF!=B8</f>
        <v>#REF!</v>
      </c>
      <c r="B36" s="462" t="e">
        <f>+#REF!</f>
        <v>#REF!</v>
      </c>
    </row>
    <row r="39" spans="1:5">
      <c r="A39" s="32">
        <f>+COUNTIF($A$32:$A$36,"FALSO")</f>
        <v>0</v>
      </c>
      <c r="B39" s="32" t="str">
        <f>+IF(A39=0,".","ESTA MAL")</f>
        <v>.</v>
      </c>
    </row>
    <row r="41" spans="1:5">
      <c r="D41" s="310"/>
      <c r="E41" s="310"/>
    </row>
    <row r="42" spans="1:5">
      <c r="D42" s="310"/>
      <c r="E42" s="310"/>
    </row>
  </sheetData>
  <sheetProtection algorithmName="SHA-512" hashValue="kGExw6t9DfrLoc5swjtO1VYm2hSF6DrqUEYhdPWgmLW8bilq3FmN+deCx9G+WnDRArj4wWQqHUypuebYPXls0Q==" saltValue="LCsBYSaQ4uJHTSa5BB3mlA==" spinCount="100000" sheet="1" objects="1" scenarios="1"/>
  <mergeCells count="9">
    <mergeCell ref="A29:E29"/>
    <mergeCell ref="A1:E1"/>
    <mergeCell ref="A2:E2"/>
    <mergeCell ref="A3:E3"/>
    <mergeCell ref="J3:P3"/>
    <mergeCell ref="A22:E22"/>
    <mergeCell ref="A24:E24"/>
    <mergeCell ref="A26:E27"/>
    <mergeCell ref="A28:E28"/>
  </mergeCells>
  <conditionalFormatting sqref="AV2:AW5">
    <cfRule type="containsText" dxfId="41" priority="2" operator="containsText" text="Seleccione...">
      <formula>NOT(ISERROR(SEARCH("Seleccione...",AV2)))</formula>
    </cfRule>
  </conditionalFormatting>
  <conditionalFormatting sqref="AV9:AW12">
    <cfRule type="containsText" dxfId="40" priority="1" operator="containsText" text="Seleccione...">
      <formula>NOT(ISERROR(SEARCH("Seleccione...",AV9)))</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753126F9-5F87-4A2F-8AB3-C41159BA4A94}">
          <x14:formula1>
            <xm:f>Fechas!$A$2:$A$831</xm:f>
          </x14:formula1>
          <xm:sqref>B4:B5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2D6A6-B223-4FB6-A42D-9107C123D905}">
  <sheetPr codeName="Hoja20"/>
  <dimension ref="A1:B855"/>
  <sheetViews>
    <sheetView workbookViewId="0">
      <selection activeCell="A3" sqref="A3:A850"/>
    </sheetView>
  </sheetViews>
  <sheetFormatPr baseColWidth="10" defaultRowHeight="12.75"/>
  <cols>
    <col min="1" max="1" width="52.7109375" bestFit="1" customWidth="1"/>
  </cols>
  <sheetData>
    <row r="1" spans="1:2" ht="15">
      <c r="A1" s="578" t="s">
        <v>423</v>
      </c>
    </row>
    <row r="2" spans="1:2" ht="15">
      <c r="A2" s="601">
        <v>45535</v>
      </c>
      <c r="B2" t="str">
        <f>+TEXT(A2,"ddddddddd")</f>
        <v>sábado</v>
      </c>
    </row>
    <row r="3" spans="1:2" ht="15">
      <c r="A3" s="601">
        <v>45536</v>
      </c>
      <c r="B3" t="str">
        <f t="shared" ref="B3:B66" si="0">+TEXT(A3,"ddddddddd")</f>
        <v>domingo</v>
      </c>
    </row>
    <row r="4" spans="1:2" ht="15">
      <c r="A4" s="601">
        <v>45537</v>
      </c>
      <c r="B4" t="str">
        <f t="shared" si="0"/>
        <v>lunes</v>
      </c>
    </row>
    <row r="5" spans="1:2" ht="15">
      <c r="A5" s="601">
        <v>45538</v>
      </c>
      <c r="B5" t="str">
        <f t="shared" si="0"/>
        <v>martes</v>
      </c>
    </row>
    <row r="6" spans="1:2" ht="15">
      <c r="A6" s="601">
        <v>45539</v>
      </c>
      <c r="B6" t="str">
        <f t="shared" si="0"/>
        <v>miércoles</v>
      </c>
    </row>
    <row r="7" spans="1:2" ht="15">
      <c r="A7" s="601">
        <v>45540</v>
      </c>
      <c r="B7" t="str">
        <f t="shared" si="0"/>
        <v>jueves</v>
      </c>
    </row>
    <row r="8" spans="1:2" ht="15">
      <c r="A8" s="601">
        <v>45541</v>
      </c>
      <c r="B8" t="str">
        <f t="shared" si="0"/>
        <v>viernes</v>
      </c>
    </row>
    <row r="9" spans="1:2" ht="15">
      <c r="A9" s="601">
        <v>45542</v>
      </c>
      <c r="B9" t="str">
        <f t="shared" si="0"/>
        <v>sábado</v>
      </c>
    </row>
    <row r="10" spans="1:2" ht="15">
      <c r="A10" s="601">
        <v>45543</v>
      </c>
      <c r="B10" t="str">
        <f t="shared" si="0"/>
        <v>domingo</v>
      </c>
    </row>
    <row r="11" spans="1:2" ht="15">
      <c r="A11" s="601">
        <v>45544</v>
      </c>
      <c r="B11" t="str">
        <f t="shared" si="0"/>
        <v>lunes</v>
      </c>
    </row>
    <row r="12" spans="1:2" ht="15">
      <c r="A12" s="601">
        <v>45545</v>
      </c>
      <c r="B12" t="str">
        <f t="shared" si="0"/>
        <v>martes</v>
      </c>
    </row>
    <row r="13" spans="1:2" ht="15">
      <c r="A13" s="601">
        <v>45546</v>
      </c>
      <c r="B13" t="str">
        <f t="shared" si="0"/>
        <v>miércoles</v>
      </c>
    </row>
    <row r="14" spans="1:2" ht="15">
      <c r="A14" s="601">
        <v>45547</v>
      </c>
      <c r="B14" t="str">
        <f t="shared" si="0"/>
        <v>jueves</v>
      </c>
    </row>
    <row r="15" spans="1:2" ht="15">
      <c r="A15" s="601">
        <v>45548</v>
      </c>
      <c r="B15" t="str">
        <f t="shared" si="0"/>
        <v>viernes</v>
      </c>
    </row>
    <row r="16" spans="1:2" ht="15">
      <c r="A16" s="601">
        <v>45549</v>
      </c>
      <c r="B16" t="str">
        <f t="shared" si="0"/>
        <v>sábado</v>
      </c>
    </row>
    <row r="17" spans="1:2" ht="15">
      <c r="A17" s="601">
        <v>45550</v>
      </c>
      <c r="B17" t="str">
        <f t="shared" si="0"/>
        <v>domingo</v>
      </c>
    </row>
    <row r="18" spans="1:2" ht="15">
      <c r="A18" s="601">
        <v>45551</v>
      </c>
      <c r="B18" t="str">
        <f t="shared" si="0"/>
        <v>lunes</v>
      </c>
    </row>
    <row r="19" spans="1:2" ht="15">
      <c r="A19" s="601">
        <v>45552</v>
      </c>
      <c r="B19" t="str">
        <f t="shared" si="0"/>
        <v>martes</v>
      </c>
    </row>
    <row r="20" spans="1:2" ht="15">
      <c r="A20" s="601">
        <v>45553</v>
      </c>
      <c r="B20" t="str">
        <f t="shared" si="0"/>
        <v>miércoles</v>
      </c>
    </row>
    <row r="21" spans="1:2" ht="15">
      <c r="A21" s="601">
        <v>45554</v>
      </c>
      <c r="B21" t="str">
        <f t="shared" si="0"/>
        <v>jueves</v>
      </c>
    </row>
    <row r="22" spans="1:2" ht="15">
      <c r="A22" s="601">
        <v>45555</v>
      </c>
      <c r="B22" t="str">
        <f t="shared" si="0"/>
        <v>viernes</v>
      </c>
    </row>
    <row r="23" spans="1:2" ht="15">
      <c r="A23" s="601">
        <v>45556</v>
      </c>
      <c r="B23" t="str">
        <f t="shared" si="0"/>
        <v>sábado</v>
      </c>
    </row>
    <row r="24" spans="1:2" ht="15">
      <c r="A24" s="601">
        <v>45557</v>
      </c>
      <c r="B24" t="str">
        <f t="shared" si="0"/>
        <v>domingo</v>
      </c>
    </row>
    <row r="25" spans="1:2" ht="15">
      <c r="A25" s="601">
        <v>45558</v>
      </c>
      <c r="B25" t="str">
        <f t="shared" si="0"/>
        <v>lunes</v>
      </c>
    </row>
    <row r="26" spans="1:2" ht="15">
      <c r="A26" s="601">
        <v>45559</v>
      </c>
      <c r="B26" t="str">
        <f t="shared" si="0"/>
        <v>martes</v>
      </c>
    </row>
    <row r="27" spans="1:2" ht="15">
      <c r="A27" s="601">
        <v>45560</v>
      </c>
      <c r="B27" t="str">
        <f t="shared" si="0"/>
        <v>miércoles</v>
      </c>
    </row>
    <row r="28" spans="1:2" ht="15">
      <c r="A28" s="601">
        <v>45561</v>
      </c>
      <c r="B28" t="str">
        <f t="shared" si="0"/>
        <v>jueves</v>
      </c>
    </row>
    <row r="29" spans="1:2" ht="15">
      <c r="A29" s="601">
        <v>45562</v>
      </c>
      <c r="B29" t="str">
        <f t="shared" si="0"/>
        <v>viernes</v>
      </c>
    </row>
    <row r="30" spans="1:2" ht="15">
      <c r="A30" s="601">
        <v>45563</v>
      </c>
      <c r="B30" t="str">
        <f t="shared" si="0"/>
        <v>sábado</v>
      </c>
    </row>
    <row r="31" spans="1:2" ht="15">
      <c r="A31" s="601">
        <v>45564</v>
      </c>
      <c r="B31" t="str">
        <f t="shared" si="0"/>
        <v>domingo</v>
      </c>
    </row>
    <row r="32" spans="1:2" ht="15">
      <c r="A32" s="601">
        <v>45565</v>
      </c>
      <c r="B32" t="str">
        <f t="shared" si="0"/>
        <v>lunes</v>
      </c>
    </row>
    <row r="33" spans="1:2" ht="15">
      <c r="A33" s="601">
        <v>45566</v>
      </c>
      <c r="B33" t="str">
        <f t="shared" si="0"/>
        <v>martes</v>
      </c>
    </row>
    <row r="34" spans="1:2" ht="15">
      <c r="A34" s="601">
        <v>45567</v>
      </c>
      <c r="B34" t="str">
        <f t="shared" si="0"/>
        <v>miércoles</v>
      </c>
    </row>
    <row r="35" spans="1:2" ht="15">
      <c r="A35" s="601">
        <v>45568</v>
      </c>
      <c r="B35" t="str">
        <f t="shared" si="0"/>
        <v>jueves</v>
      </c>
    </row>
    <row r="36" spans="1:2" ht="15">
      <c r="A36" s="601">
        <v>45569</v>
      </c>
      <c r="B36" t="str">
        <f t="shared" si="0"/>
        <v>viernes</v>
      </c>
    </row>
    <row r="37" spans="1:2" ht="15">
      <c r="A37" s="601">
        <v>45570</v>
      </c>
      <c r="B37" t="str">
        <f t="shared" si="0"/>
        <v>sábado</v>
      </c>
    </row>
    <row r="38" spans="1:2" ht="15">
      <c r="A38" s="601">
        <v>45571</v>
      </c>
      <c r="B38" t="str">
        <f t="shared" si="0"/>
        <v>domingo</v>
      </c>
    </row>
    <row r="39" spans="1:2" ht="15">
      <c r="A39" s="601">
        <v>45572</v>
      </c>
      <c r="B39" t="str">
        <f t="shared" si="0"/>
        <v>lunes</v>
      </c>
    </row>
    <row r="40" spans="1:2" ht="15">
      <c r="A40" s="601">
        <v>45573</v>
      </c>
      <c r="B40" t="str">
        <f t="shared" si="0"/>
        <v>martes</v>
      </c>
    </row>
    <row r="41" spans="1:2" ht="15">
      <c r="A41" s="601">
        <v>45574</v>
      </c>
      <c r="B41" t="str">
        <f t="shared" si="0"/>
        <v>miércoles</v>
      </c>
    </row>
    <row r="42" spans="1:2" ht="15">
      <c r="A42" s="601">
        <v>45575</v>
      </c>
      <c r="B42" t="str">
        <f t="shared" si="0"/>
        <v>jueves</v>
      </c>
    </row>
    <row r="43" spans="1:2" ht="15">
      <c r="A43" s="601">
        <v>45576</v>
      </c>
      <c r="B43" t="str">
        <f t="shared" si="0"/>
        <v>viernes</v>
      </c>
    </row>
    <row r="44" spans="1:2" ht="15">
      <c r="A44" s="601">
        <v>45577</v>
      </c>
      <c r="B44" t="str">
        <f t="shared" si="0"/>
        <v>sábado</v>
      </c>
    </row>
    <row r="45" spans="1:2" ht="15">
      <c r="A45" s="601">
        <v>45578</v>
      </c>
      <c r="B45" t="str">
        <f t="shared" si="0"/>
        <v>domingo</v>
      </c>
    </row>
    <row r="46" spans="1:2" ht="15">
      <c r="A46" s="601">
        <v>45579</v>
      </c>
      <c r="B46" t="str">
        <f t="shared" si="0"/>
        <v>lunes</v>
      </c>
    </row>
    <row r="47" spans="1:2" ht="15">
      <c r="A47" s="601">
        <v>45580</v>
      </c>
      <c r="B47" t="str">
        <f t="shared" si="0"/>
        <v>martes</v>
      </c>
    </row>
    <row r="48" spans="1:2" ht="15">
      <c r="A48" s="601">
        <v>45581</v>
      </c>
      <c r="B48" t="str">
        <f t="shared" si="0"/>
        <v>miércoles</v>
      </c>
    </row>
    <row r="49" spans="1:2" ht="15">
      <c r="A49" s="601">
        <v>45582</v>
      </c>
      <c r="B49" t="str">
        <f t="shared" si="0"/>
        <v>jueves</v>
      </c>
    </row>
    <row r="50" spans="1:2" ht="15">
      <c r="A50" s="601">
        <v>45583</v>
      </c>
      <c r="B50" t="str">
        <f t="shared" si="0"/>
        <v>viernes</v>
      </c>
    </row>
    <row r="51" spans="1:2" ht="15">
      <c r="A51" s="601">
        <v>45584</v>
      </c>
      <c r="B51" t="str">
        <f t="shared" si="0"/>
        <v>sábado</v>
      </c>
    </row>
    <row r="52" spans="1:2" ht="15">
      <c r="A52" s="601">
        <v>45585</v>
      </c>
      <c r="B52" t="str">
        <f t="shared" si="0"/>
        <v>domingo</v>
      </c>
    </row>
    <row r="53" spans="1:2" ht="15">
      <c r="A53" s="601">
        <v>45586</v>
      </c>
      <c r="B53" t="str">
        <f t="shared" si="0"/>
        <v>lunes</v>
      </c>
    </row>
    <row r="54" spans="1:2" ht="15">
      <c r="A54" s="601">
        <v>45587</v>
      </c>
      <c r="B54" t="str">
        <f t="shared" si="0"/>
        <v>martes</v>
      </c>
    </row>
    <row r="55" spans="1:2" ht="15">
      <c r="A55" s="601">
        <v>45588</v>
      </c>
      <c r="B55" t="str">
        <f t="shared" si="0"/>
        <v>miércoles</v>
      </c>
    </row>
    <row r="56" spans="1:2" ht="15">
      <c r="A56" s="601">
        <v>45589</v>
      </c>
      <c r="B56" t="str">
        <f t="shared" si="0"/>
        <v>jueves</v>
      </c>
    </row>
    <row r="57" spans="1:2" ht="15">
      <c r="A57" s="601">
        <v>45590</v>
      </c>
      <c r="B57" t="str">
        <f t="shared" si="0"/>
        <v>viernes</v>
      </c>
    </row>
    <row r="58" spans="1:2" ht="15">
      <c r="A58" s="601">
        <v>45591</v>
      </c>
      <c r="B58" t="str">
        <f t="shared" si="0"/>
        <v>sábado</v>
      </c>
    </row>
    <row r="59" spans="1:2" ht="15">
      <c r="A59" s="601">
        <v>45592</v>
      </c>
      <c r="B59" t="str">
        <f t="shared" si="0"/>
        <v>domingo</v>
      </c>
    </row>
    <row r="60" spans="1:2" ht="15">
      <c r="A60" s="601">
        <v>45593</v>
      </c>
      <c r="B60" t="str">
        <f t="shared" si="0"/>
        <v>lunes</v>
      </c>
    </row>
    <row r="61" spans="1:2" ht="15">
      <c r="A61" s="601">
        <v>45594</v>
      </c>
      <c r="B61" t="str">
        <f t="shared" si="0"/>
        <v>martes</v>
      </c>
    </row>
    <row r="62" spans="1:2" ht="15">
      <c r="A62" s="601">
        <v>45595</v>
      </c>
      <c r="B62" t="str">
        <f t="shared" si="0"/>
        <v>miércoles</v>
      </c>
    </row>
    <row r="63" spans="1:2" ht="15">
      <c r="A63" s="601">
        <v>45596</v>
      </c>
      <c r="B63" t="str">
        <f t="shared" si="0"/>
        <v>jueves</v>
      </c>
    </row>
    <row r="64" spans="1:2" ht="15">
      <c r="A64" s="601">
        <v>45597</v>
      </c>
      <c r="B64" t="str">
        <f t="shared" si="0"/>
        <v>viernes</v>
      </c>
    </row>
    <row r="65" spans="1:2" ht="15">
      <c r="A65" s="601">
        <v>45598</v>
      </c>
      <c r="B65" t="str">
        <f t="shared" si="0"/>
        <v>sábado</v>
      </c>
    </row>
    <row r="66" spans="1:2" ht="15">
      <c r="A66" s="601">
        <v>45599</v>
      </c>
      <c r="B66" t="str">
        <f t="shared" si="0"/>
        <v>domingo</v>
      </c>
    </row>
    <row r="67" spans="1:2" ht="15">
      <c r="A67" s="601">
        <v>45600</v>
      </c>
      <c r="B67" t="str">
        <f t="shared" ref="B67:B130" si="1">+TEXT(A67,"ddddddddd")</f>
        <v>lunes</v>
      </c>
    </row>
    <row r="68" spans="1:2" ht="15">
      <c r="A68" s="601">
        <v>45601</v>
      </c>
      <c r="B68" t="str">
        <f t="shared" si="1"/>
        <v>martes</v>
      </c>
    </row>
    <row r="69" spans="1:2" ht="15">
      <c r="A69" s="601">
        <v>45602</v>
      </c>
      <c r="B69" t="str">
        <f t="shared" si="1"/>
        <v>miércoles</v>
      </c>
    </row>
    <row r="70" spans="1:2" ht="15">
      <c r="A70" s="601">
        <v>45603</v>
      </c>
      <c r="B70" t="str">
        <f t="shared" si="1"/>
        <v>jueves</v>
      </c>
    </row>
    <row r="71" spans="1:2" ht="15">
      <c r="A71" s="601">
        <v>45604</v>
      </c>
      <c r="B71" t="str">
        <f t="shared" si="1"/>
        <v>viernes</v>
      </c>
    </row>
    <row r="72" spans="1:2" ht="15">
      <c r="A72" s="601">
        <v>45605</v>
      </c>
      <c r="B72" t="str">
        <f t="shared" si="1"/>
        <v>sábado</v>
      </c>
    </row>
    <row r="73" spans="1:2" ht="15">
      <c r="A73" s="601">
        <v>45606</v>
      </c>
      <c r="B73" t="str">
        <f t="shared" si="1"/>
        <v>domingo</v>
      </c>
    </row>
    <row r="74" spans="1:2" ht="15">
      <c r="A74" s="601">
        <v>45607</v>
      </c>
      <c r="B74" t="str">
        <f t="shared" si="1"/>
        <v>lunes</v>
      </c>
    </row>
    <row r="75" spans="1:2" ht="15">
      <c r="A75" s="601">
        <v>45608</v>
      </c>
      <c r="B75" t="str">
        <f t="shared" si="1"/>
        <v>martes</v>
      </c>
    </row>
    <row r="76" spans="1:2" ht="15">
      <c r="A76" s="601">
        <v>45609</v>
      </c>
      <c r="B76" t="str">
        <f t="shared" si="1"/>
        <v>miércoles</v>
      </c>
    </row>
    <row r="77" spans="1:2" ht="15">
      <c r="A77" s="601">
        <v>45610</v>
      </c>
      <c r="B77" t="str">
        <f t="shared" si="1"/>
        <v>jueves</v>
      </c>
    </row>
    <row r="78" spans="1:2" ht="15">
      <c r="A78" s="601">
        <v>45611</v>
      </c>
      <c r="B78" t="str">
        <f t="shared" si="1"/>
        <v>viernes</v>
      </c>
    </row>
    <row r="79" spans="1:2" ht="15">
      <c r="A79" s="601">
        <v>45612</v>
      </c>
      <c r="B79" t="str">
        <f t="shared" si="1"/>
        <v>sábado</v>
      </c>
    </row>
    <row r="80" spans="1:2" ht="15">
      <c r="A80" s="601">
        <v>45613</v>
      </c>
      <c r="B80" t="str">
        <f t="shared" si="1"/>
        <v>domingo</v>
      </c>
    </row>
    <row r="81" spans="1:2" ht="15">
      <c r="A81" s="601">
        <v>45614</v>
      </c>
      <c r="B81" t="str">
        <f t="shared" si="1"/>
        <v>lunes</v>
      </c>
    </row>
    <row r="82" spans="1:2" ht="15">
      <c r="A82" s="601">
        <v>45615</v>
      </c>
      <c r="B82" t="str">
        <f t="shared" si="1"/>
        <v>martes</v>
      </c>
    </row>
    <row r="83" spans="1:2" ht="15">
      <c r="A83" s="601">
        <v>45616</v>
      </c>
      <c r="B83" t="str">
        <f t="shared" si="1"/>
        <v>miércoles</v>
      </c>
    </row>
    <row r="84" spans="1:2" ht="15">
      <c r="A84" s="601">
        <v>45617</v>
      </c>
      <c r="B84" t="str">
        <f t="shared" si="1"/>
        <v>jueves</v>
      </c>
    </row>
    <row r="85" spans="1:2" ht="15">
      <c r="A85" s="601">
        <v>45618</v>
      </c>
      <c r="B85" t="str">
        <f t="shared" si="1"/>
        <v>viernes</v>
      </c>
    </row>
    <row r="86" spans="1:2" ht="15">
      <c r="A86" s="601">
        <v>45619</v>
      </c>
      <c r="B86" t="str">
        <f t="shared" si="1"/>
        <v>sábado</v>
      </c>
    </row>
    <row r="87" spans="1:2" ht="15">
      <c r="A87" s="601">
        <v>45620</v>
      </c>
      <c r="B87" t="str">
        <f t="shared" si="1"/>
        <v>domingo</v>
      </c>
    </row>
    <row r="88" spans="1:2" ht="15">
      <c r="A88" s="601">
        <v>45621</v>
      </c>
      <c r="B88" t="str">
        <f t="shared" si="1"/>
        <v>lunes</v>
      </c>
    </row>
    <row r="89" spans="1:2" ht="15">
      <c r="A89" s="601">
        <v>45622</v>
      </c>
      <c r="B89" t="str">
        <f t="shared" si="1"/>
        <v>martes</v>
      </c>
    </row>
    <row r="90" spans="1:2" ht="15">
      <c r="A90" s="601">
        <v>45623</v>
      </c>
      <c r="B90" t="str">
        <f t="shared" si="1"/>
        <v>miércoles</v>
      </c>
    </row>
    <row r="91" spans="1:2" ht="15">
      <c r="A91" s="601">
        <v>45624</v>
      </c>
      <c r="B91" t="str">
        <f t="shared" si="1"/>
        <v>jueves</v>
      </c>
    </row>
    <row r="92" spans="1:2" ht="15">
      <c r="A92" s="601">
        <v>45625</v>
      </c>
      <c r="B92" t="str">
        <f t="shared" si="1"/>
        <v>viernes</v>
      </c>
    </row>
    <row r="93" spans="1:2" ht="15">
      <c r="A93" s="601">
        <v>45626</v>
      </c>
      <c r="B93" t="str">
        <f t="shared" si="1"/>
        <v>sábado</v>
      </c>
    </row>
    <row r="94" spans="1:2" ht="15">
      <c r="A94" s="601">
        <v>45627</v>
      </c>
      <c r="B94" t="str">
        <f t="shared" si="1"/>
        <v>domingo</v>
      </c>
    </row>
    <row r="95" spans="1:2" ht="15">
      <c r="A95" s="601">
        <v>45628</v>
      </c>
      <c r="B95" t="str">
        <f t="shared" si="1"/>
        <v>lunes</v>
      </c>
    </row>
    <row r="96" spans="1:2" ht="15">
      <c r="A96" s="601">
        <v>45629</v>
      </c>
      <c r="B96" t="str">
        <f t="shared" si="1"/>
        <v>martes</v>
      </c>
    </row>
    <row r="97" spans="1:2" ht="15">
      <c r="A97" s="601">
        <v>45630</v>
      </c>
      <c r="B97" t="str">
        <f t="shared" si="1"/>
        <v>miércoles</v>
      </c>
    </row>
    <row r="98" spans="1:2" ht="15">
      <c r="A98" s="601">
        <v>45631</v>
      </c>
      <c r="B98" t="str">
        <f t="shared" si="1"/>
        <v>jueves</v>
      </c>
    </row>
    <row r="99" spans="1:2" ht="15">
      <c r="A99" s="601">
        <v>45632</v>
      </c>
      <c r="B99" t="str">
        <f t="shared" si="1"/>
        <v>viernes</v>
      </c>
    </row>
    <row r="100" spans="1:2" ht="15">
      <c r="A100" s="601">
        <v>45633</v>
      </c>
      <c r="B100" t="str">
        <f t="shared" si="1"/>
        <v>sábado</v>
      </c>
    </row>
    <row r="101" spans="1:2" ht="15">
      <c r="A101" s="601">
        <v>45634</v>
      </c>
      <c r="B101" t="str">
        <f t="shared" si="1"/>
        <v>domingo</v>
      </c>
    </row>
    <row r="102" spans="1:2" ht="15">
      <c r="A102" s="601">
        <v>45635</v>
      </c>
      <c r="B102" t="str">
        <f t="shared" si="1"/>
        <v>lunes</v>
      </c>
    </row>
    <row r="103" spans="1:2" ht="15">
      <c r="A103" s="601">
        <v>45636</v>
      </c>
      <c r="B103" t="str">
        <f t="shared" si="1"/>
        <v>martes</v>
      </c>
    </row>
    <row r="104" spans="1:2" ht="15">
      <c r="A104" s="601">
        <v>45637</v>
      </c>
      <c r="B104" t="str">
        <f t="shared" si="1"/>
        <v>miércoles</v>
      </c>
    </row>
    <row r="105" spans="1:2" ht="15">
      <c r="A105" s="601">
        <v>45638</v>
      </c>
      <c r="B105" t="str">
        <f t="shared" si="1"/>
        <v>jueves</v>
      </c>
    </row>
    <row r="106" spans="1:2" ht="15">
      <c r="A106" s="601">
        <v>45639</v>
      </c>
      <c r="B106" t="str">
        <f t="shared" si="1"/>
        <v>viernes</v>
      </c>
    </row>
    <row r="107" spans="1:2" ht="15">
      <c r="A107" s="601">
        <v>45640</v>
      </c>
      <c r="B107" t="str">
        <f t="shared" si="1"/>
        <v>sábado</v>
      </c>
    </row>
    <row r="108" spans="1:2" ht="15">
      <c r="A108" s="601">
        <v>45641</v>
      </c>
      <c r="B108" t="str">
        <f t="shared" si="1"/>
        <v>domingo</v>
      </c>
    </row>
    <row r="109" spans="1:2" ht="15">
      <c r="A109" s="601">
        <v>45642</v>
      </c>
      <c r="B109" t="str">
        <f t="shared" si="1"/>
        <v>lunes</v>
      </c>
    </row>
    <row r="110" spans="1:2" ht="15">
      <c r="A110" s="601">
        <v>45643</v>
      </c>
      <c r="B110" t="str">
        <f t="shared" si="1"/>
        <v>martes</v>
      </c>
    </row>
    <row r="111" spans="1:2" ht="15">
      <c r="A111" s="601">
        <v>45644</v>
      </c>
      <c r="B111" t="str">
        <f t="shared" si="1"/>
        <v>miércoles</v>
      </c>
    </row>
    <row r="112" spans="1:2" ht="15">
      <c r="A112" s="601">
        <v>45645</v>
      </c>
      <c r="B112" t="str">
        <f t="shared" si="1"/>
        <v>jueves</v>
      </c>
    </row>
    <row r="113" spans="1:2" ht="15">
      <c r="A113" s="601">
        <v>45646</v>
      </c>
      <c r="B113" t="str">
        <f t="shared" si="1"/>
        <v>viernes</v>
      </c>
    </row>
    <row r="114" spans="1:2" ht="15">
      <c r="A114" s="601">
        <v>45647</v>
      </c>
      <c r="B114" t="str">
        <f t="shared" si="1"/>
        <v>sábado</v>
      </c>
    </row>
    <row r="115" spans="1:2" ht="15">
      <c r="A115" s="601">
        <v>45648</v>
      </c>
      <c r="B115" t="str">
        <f t="shared" si="1"/>
        <v>domingo</v>
      </c>
    </row>
    <row r="116" spans="1:2" ht="15">
      <c r="A116" s="601">
        <v>45649</v>
      </c>
      <c r="B116" t="str">
        <f t="shared" si="1"/>
        <v>lunes</v>
      </c>
    </row>
    <row r="117" spans="1:2" ht="15">
      <c r="A117" s="601">
        <v>45650</v>
      </c>
      <c r="B117" t="str">
        <f t="shared" si="1"/>
        <v>martes</v>
      </c>
    </row>
    <row r="118" spans="1:2" ht="15">
      <c r="A118" s="601">
        <v>45651</v>
      </c>
      <c r="B118" t="str">
        <f t="shared" si="1"/>
        <v>miércoles</v>
      </c>
    </row>
    <row r="119" spans="1:2" ht="15">
      <c r="A119" s="601">
        <v>45652</v>
      </c>
      <c r="B119" t="str">
        <f t="shared" si="1"/>
        <v>jueves</v>
      </c>
    </row>
    <row r="120" spans="1:2" ht="15">
      <c r="A120" s="601">
        <v>45653</v>
      </c>
      <c r="B120" t="str">
        <f t="shared" si="1"/>
        <v>viernes</v>
      </c>
    </row>
    <row r="121" spans="1:2" ht="15">
      <c r="A121" s="601">
        <v>45654</v>
      </c>
      <c r="B121" t="str">
        <f t="shared" si="1"/>
        <v>sábado</v>
      </c>
    </row>
    <row r="122" spans="1:2" ht="15">
      <c r="A122" s="601">
        <v>45655</v>
      </c>
      <c r="B122" t="str">
        <f t="shared" si="1"/>
        <v>domingo</v>
      </c>
    </row>
    <row r="123" spans="1:2" ht="15">
      <c r="A123" s="601">
        <v>45656</v>
      </c>
      <c r="B123" t="str">
        <f t="shared" si="1"/>
        <v>lunes</v>
      </c>
    </row>
    <row r="124" spans="1:2" ht="15">
      <c r="A124" s="601">
        <v>45657</v>
      </c>
      <c r="B124" t="str">
        <f t="shared" si="1"/>
        <v>martes</v>
      </c>
    </row>
    <row r="125" spans="1:2" ht="15">
      <c r="A125" s="601">
        <v>45658</v>
      </c>
      <c r="B125" t="str">
        <f t="shared" si="1"/>
        <v>miércoles</v>
      </c>
    </row>
    <row r="126" spans="1:2" ht="15">
      <c r="A126" s="601">
        <v>45659</v>
      </c>
      <c r="B126" t="str">
        <f t="shared" si="1"/>
        <v>jueves</v>
      </c>
    </row>
    <row r="127" spans="1:2" ht="15">
      <c r="A127" s="601">
        <v>45660</v>
      </c>
      <c r="B127" t="str">
        <f t="shared" si="1"/>
        <v>viernes</v>
      </c>
    </row>
    <row r="128" spans="1:2" ht="15">
      <c r="A128" s="601">
        <v>45661</v>
      </c>
      <c r="B128" t="str">
        <f t="shared" si="1"/>
        <v>sábado</v>
      </c>
    </row>
    <row r="129" spans="1:2" ht="15">
      <c r="A129" s="601">
        <v>45662</v>
      </c>
      <c r="B129" t="str">
        <f t="shared" si="1"/>
        <v>domingo</v>
      </c>
    </row>
    <row r="130" spans="1:2" ht="15">
      <c r="A130" s="601">
        <v>45663</v>
      </c>
      <c r="B130" t="str">
        <f t="shared" si="1"/>
        <v>lunes</v>
      </c>
    </row>
    <row r="131" spans="1:2" ht="15">
      <c r="A131" s="601">
        <v>45664</v>
      </c>
      <c r="B131" t="str">
        <f t="shared" ref="B131:B194" si="2">+TEXT(A131,"ddddddddd")</f>
        <v>martes</v>
      </c>
    </row>
    <row r="132" spans="1:2" ht="15">
      <c r="A132" s="601">
        <v>45665</v>
      </c>
      <c r="B132" t="str">
        <f t="shared" si="2"/>
        <v>miércoles</v>
      </c>
    </row>
    <row r="133" spans="1:2" ht="15">
      <c r="A133" s="601">
        <v>45666</v>
      </c>
      <c r="B133" t="str">
        <f t="shared" si="2"/>
        <v>jueves</v>
      </c>
    </row>
    <row r="134" spans="1:2" ht="15">
      <c r="A134" s="601">
        <v>45667</v>
      </c>
      <c r="B134" t="str">
        <f t="shared" si="2"/>
        <v>viernes</v>
      </c>
    </row>
    <row r="135" spans="1:2" ht="15">
      <c r="A135" s="601">
        <v>45668</v>
      </c>
      <c r="B135" t="str">
        <f t="shared" si="2"/>
        <v>sábado</v>
      </c>
    </row>
    <row r="136" spans="1:2" ht="15">
      <c r="A136" s="601">
        <v>45669</v>
      </c>
      <c r="B136" t="str">
        <f t="shared" si="2"/>
        <v>domingo</v>
      </c>
    </row>
    <row r="137" spans="1:2" ht="15">
      <c r="A137" s="601">
        <v>45670</v>
      </c>
      <c r="B137" t="str">
        <f t="shared" si="2"/>
        <v>lunes</v>
      </c>
    </row>
    <row r="138" spans="1:2" ht="15">
      <c r="A138" s="601">
        <v>45671</v>
      </c>
      <c r="B138" t="str">
        <f t="shared" si="2"/>
        <v>martes</v>
      </c>
    </row>
    <row r="139" spans="1:2" ht="15">
      <c r="A139" s="601">
        <v>45672</v>
      </c>
      <c r="B139" t="str">
        <f t="shared" si="2"/>
        <v>miércoles</v>
      </c>
    </row>
    <row r="140" spans="1:2" ht="15">
      <c r="A140" s="601">
        <v>45673</v>
      </c>
      <c r="B140" t="str">
        <f t="shared" si="2"/>
        <v>jueves</v>
      </c>
    </row>
    <row r="141" spans="1:2" ht="15">
      <c r="A141" s="601">
        <v>45674</v>
      </c>
      <c r="B141" t="str">
        <f t="shared" si="2"/>
        <v>viernes</v>
      </c>
    </row>
    <row r="142" spans="1:2" ht="15">
      <c r="A142" s="601">
        <v>45675</v>
      </c>
      <c r="B142" t="str">
        <f t="shared" si="2"/>
        <v>sábado</v>
      </c>
    </row>
    <row r="143" spans="1:2" ht="15">
      <c r="A143" s="601">
        <v>45676</v>
      </c>
      <c r="B143" t="str">
        <f t="shared" si="2"/>
        <v>domingo</v>
      </c>
    </row>
    <row r="144" spans="1:2" ht="15">
      <c r="A144" s="601">
        <v>45677</v>
      </c>
      <c r="B144" t="str">
        <f t="shared" si="2"/>
        <v>lunes</v>
      </c>
    </row>
    <row r="145" spans="1:2" ht="15">
      <c r="A145" s="601">
        <v>45678</v>
      </c>
      <c r="B145" t="str">
        <f t="shared" si="2"/>
        <v>martes</v>
      </c>
    </row>
    <row r="146" spans="1:2" ht="15">
      <c r="A146" s="601">
        <v>45679</v>
      </c>
      <c r="B146" t="str">
        <f t="shared" si="2"/>
        <v>miércoles</v>
      </c>
    </row>
    <row r="147" spans="1:2" ht="15">
      <c r="A147" s="601">
        <v>45680</v>
      </c>
      <c r="B147" t="str">
        <f t="shared" si="2"/>
        <v>jueves</v>
      </c>
    </row>
    <row r="148" spans="1:2" ht="15">
      <c r="A148" s="601">
        <v>45681</v>
      </c>
      <c r="B148" t="str">
        <f t="shared" si="2"/>
        <v>viernes</v>
      </c>
    </row>
    <row r="149" spans="1:2" ht="15">
      <c r="A149" s="601">
        <v>45682</v>
      </c>
      <c r="B149" t="str">
        <f t="shared" si="2"/>
        <v>sábado</v>
      </c>
    </row>
    <row r="150" spans="1:2" ht="15">
      <c r="A150" s="601">
        <v>45683</v>
      </c>
      <c r="B150" t="str">
        <f t="shared" si="2"/>
        <v>domingo</v>
      </c>
    </row>
    <row r="151" spans="1:2" ht="15">
      <c r="A151" s="601">
        <v>45684</v>
      </c>
      <c r="B151" t="str">
        <f t="shared" si="2"/>
        <v>lunes</v>
      </c>
    </row>
    <row r="152" spans="1:2" ht="15">
      <c r="A152" s="601">
        <v>45685</v>
      </c>
      <c r="B152" t="str">
        <f t="shared" si="2"/>
        <v>martes</v>
      </c>
    </row>
    <row r="153" spans="1:2" ht="15">
      <c r="A153" s="601">
        <v>45686</v>
      </c>
      <c r="B153" t="str">
        <f t="shared" si="2"/>
        <v>miércoles</v>
      </c>
    </row>
    <row r="154" spans="1:2" ht="15">
      <c r="A154" s="601">
        <v>45687</v>
      </c>
      <c r="B154" t="str">
        <f t="shared" si="2"/>
        <v>jueves</v>
      </c>
    </row>
    <row r="155" spans="1:2" ht="15">
      <c r="A155" s="601">
        <v>45688</v>
      </c>
      <c r="B155" t="str">
        <f t="shared" si="2"/>
        <v>viernes</v>
      </c>
    </row>
    <row r="156" spans="1:2" ht="15">
      <c r="A156" s="601">
        <v>45689</v>
      </c>
      <c r="B156" t="str">
        <f t="shared" si="2"/>
        <v>sábado</v>
      </c>
    </row>
    <row r="157" spans="1:2" ht="15">
      <c r="A157" s="601">
        <v>45690</v>
      </c>
      <c r="B157" t="str">
        <f t="shared" si="2"/>
        <v>domingo</v>
      </c>
    </row>
    <row r="158" spans="1:2" ht="15">
      <c r="A158" s="601">
        <v>45691</v>
      </c>
      <c r="B158" t="str">
        <f t="shared" si="2"/>
        <v>lunes</v>
      </c>
    </row>
    <row r="159" spans="1:2" ht="15">
      <c r="A159" s="601">
        <v>45692</v>
      </c>
      <c r="B159" t="str">
        <f t="shared" si="2"/>
        <v>martes</v>
      </c>
    </row>
    <row r="160" spans="1:2" ht="15">
      <c r="A160" s="601">
        <v>45693</v>
      </c>
      <c r="B160" t="str">
        <f t="shared" si="2"/>
        <v>miércoles</v>
      </c>
    </row>
    <row r="161" spans="1:2" ht="15">
      <c r="A161" s="601">
        <v>45694</v>
      </c>
      <c r="B161" t="str">
        <f t="shared" si="2"/>
        <v>jueves</v>
      </c>
    </row>
    <row r="162" spans="1:2" ht="15">
      <c r="A162" s="601">
        <v>45695</v>
      </c>
      <c r="B162" t="str">
        <f t="shared" si="2"/>
        <v>viernes</v>
      </c>
    </row>
    <row r="163" spans="1:2" ht="15">
      <c r="A163" s="601">
        <v>45696</v>
      </c>
      <c r="B163" t="str">
        <f t="shared" si="2"/>
        <v>sábado</v>
      </c>
    </row>
    <row r="164" spans="1:2" ht="15">
      <c r="A164" s="601">
        <v>45697</v>
      </c>
      <c r="B164" t="str">
        <f t="shared" si="2"/>
        <v>domingo</v>
      </c>
    </row>
    <row r="165" spans="1:2" ht="15">
      <c r="A165" s="601">
        <v>45698</v>
      </c>
      <c r="B165" t="str">
        <f t="shared" si="2"/>
        <v>lunes</v>
      </c>
    </row>
    <row r="166" spans="1:2" ht="15">
      <c r="A166" s="601">
        <v>45699</v>
      </c>
      <c r="B166" t="str">
        <f t="shared" si="2"/>
        <v>martes</v>
      </c>
    </row>
    <row r="167" spans="1:2" ht="15">
      <c r="A167" s="601">
        <v>45700</v>
      </c>
      <c r="B167" t="str">
        <f t="shared" si="2"/>
        <v>miércoles</v>
      </c>
    </row>
    <row r="168" spans="1:2" ht="15">
      <c r="A168" s="601">
        <v>45701</v>
      </c>
      <c r="B168" t="str">
        <f t="shared" si="2"/>
        <v>jueves</v>
      </c>
    </row>
    <row r="169" spans="1:2" ht="15">
      <c r="A169" s="601">
        <v>45702</v>
      </c>
      <c r="B169" t="str">
        <f t="shared" si="2"/>
        <v>viernes</v>
      </c>
    </row>
    <row r="170" spans="1:2" ht="15">
      <c r="A170" s="601">
        <v>45703</v>
      </c>
      <c r="B170" t="str">
        <f t="shared" si="2"/>
        <v>sábado</v>
      </c>
    </row>
    <row r="171" spans="1:2" ht="15">
      <c r="A171" s="601">
        <v>45704</v>
      </c>
      <c r="B171" t="str">
        <f t="shared" si="2"/>
        <v>domingo</v>
      </c>
    </row>
    <row r="172" spans="1:2" ht="15">
      <c r="A172" s="601">
        <v>45705</v>
      </c>
      <c r="B172" t="str">
        <f t="shared" si="2"/>
        <v>lunes</v>
      </c>
    </row>
    <row r="173" spans="1:2" ht="15">
      <c r="A173" s="601">
        <v>45706</v>
      </c>
      <c r="B173" t="str">
        <f t="shared" si="2"/>
        <v>martes</v>
      </c>
    </row>
    <row r="174" spans="1:2" ht="15">
      <c r="A174" s="601">
        <v>45707</v>
      </c>
      <c r="B174" t="str">
        <f t="shared" si="2"/>
        <v>miércoles</v>
      </c>
    </row>
    <row r="175" spans="1:2" ht="15">
      <c r="A175" s="601">
        <v>45708</v>
      </c>
      <c r="B175" t="str">
        <f t="shared" si="2"/>
        <v>jueves</v>
      </c>
    </row>
    <row r="176" spans="1:2" ht="15">
      <c r="A176" s="601">
        <v>45709</v>
      </c>
      <c r="B176" t="str">
        <f t="shared" si="2"/>
        <v>viernes</v>
      </c>
    </row>
    <row r="177" spans="1:2" ht="15">
      <c r="A177" s="601">
        <v>45710</v>
      </c>
      <c r="B177" t="str">
        <f t="shared" si="2"/>
        <v>sábado</v>
      </c>
    </row>
    <row r="178" spans="1:2" ht="15">
      <c r="A178" s="601">
        <v>45711</v>
      </c>
      <c r="B178" t="str">
        <f t="shared" si="2"/>
        <v>domingo</v>
      </c>
    </row>
    <row r="179" spans="1:2" ht="15">
      <c r="A179" s="601">
        <v>45712</v>
      </c>
      <c r="B179" t="str">
        <f t="shared" si="2"/>
        <v>lunes</v>
      </c>
    </row>
    <row r="180" spans="1:2" ht="15">
      <c r="A180" s="601">
        <v>45713</v>
      </c>
      <c r="B180" t="str">
        <f t="shared" si="2"/>
        <v>martes</v>
      </c>
    </row>
    <row r="181" spans="1:2" ht="15">
      <c r="A181" s="601">
        <v>45714</v>
      </c>
      <c r="B181" t="str">
        <f t="shared" si="2"/>
        <v>miércoles</v>
      </c>
    </row>
    <row r="182" spans="1:2" ht="15">
      <c r="A182" s="601">
        <v>45715</v>
      </c>
      <c r="B182" t="str">
        <f t="shared" si="2"/>
        <v>jueves</v>
      </c>
    </row>
    <row r="183" spans="1:2" ht="15">
      <c r="A183" s="601">
        <v>45716</v>
      </c>
      <c r="B183" t="str">
        <f t="shared" si="2"/>
        <v>viernes</v>
      </c>
    </row>
    <row r="184" spans="1:2" ht="15">
      <c r="A184" s="601">
        <v>45717</v>
      </c>
      <c r="B184" t="str">
        <f t="shared" si="2"/>
        <v>sábado</v>
      </c>
    </row>
    <row r="185" spans="1:2" ht="15">
      <c r="A185" s="601">
        <v>45718</v>
      </c>
      <c r="B185" t="str">
        <f t="shared" si="2"/>
        <v>domingo</v>
      </c>
    </row>
    <row r="186" spans="1:2" ht="15">
      <c r="A186" s="601">
        <v>45719</v>
      </c>
      <c r="B186" t="str">
        <f t="shared" si="2"/>
        <v>lunes</v>
      </c>
    </row>
    <row r="187" spans="1:2" ht="15">
      <c r="A187" s="601">
        <v>45720</v>
      </c>
      <c r="B187" t="str">
        <f t="shared" si="2"/>
        <v>martes</v>
      </c>
    </row>
    <row r="188" spans="1:2" ht="15">
      <c r="A188" s="601">
        <v>45721</v>
      </c>
      <c r="B188" t="str">
        <f t="shared" si="2"/>
        <v>miércoles</v>
      </c>
    </row>
    <row r="189" spans="1:2" ht="15">
      <c r="A189" s="601">
        <v>45722</v>
      </c>
      <c r="B189" t="str">
        <f t="shared" si="2"/>
        <v>jueves</v>
      </c>
    </row>
    <row r="190" spans="1:2" ht="15">
      <c r="A190" s="601">
        <v>45723</v>
      </c>
      <c r="B190" t="str">
        <f t="shared" si="2"/>
        <v>viernes</v>
      </c>
    </row>
    <row r="191" spans="1:2" ht="15">
      <c r="A191" s="601">
        <v>45724</v>
      </c>
      <c r="B191" t="str">
        <f t="shared" si="2"/>
        <v>sábado</v>
      </c>
    </row>
    <row r="192" spans="1:2" ht="15">
      <c r="A192" s="601">
        <v>45725</v>
      </c>
      <c r="B192" t="str">
        <f t="shared" si="2"/>
        <v>domingo</v>
      </c>
    </row>
    <row r="193" spans="1:2" ht="15">
      <c r="A193" s="601">
        <v>45726</v>
      </c>
      <c r="B193" t="str">
        <f t="shared" si="2"/>
        <v>lunes</v>
      </c>
    </row>
    <row r="194" spans="1:2" ht="15">
      <c r="A194" s="601">
        <v>45727</v>
      </c>
      <c r="B194" t="str">
        <f t="shared" si="2"/>
        <v>martes</v>
      </c>
    </row>
    <row r="195" spans="1:2" ht="15">
      <c r="A195" s="601">
        <v>45728</v>
      </c>
      <c r="B195" t="str">
        <f t="shared" ref="B195:B258" si="3">+TEXT(A195,"ddddddddd")</f>
        <v>miércoles</v>
      </c>
    </row>
    <row r="196" spans="1:2" ht="15">
      <c r="A196" s="601">
        <v>45729</v>
      </c>
      <c r="B196" t="str">
        <f t="shared" si="3"/>
        <v>jueves</v>
      </c>
    </row>
    <row r="197" spans="1:2" ht="15">
      <c r="A197" s="601">
        <v>45730</v>
      </c>
      <c r="B197" t="str">
        <f t="shared" si="3"/>
        <v>viernes</v>
      </c>
    </row>
    <row r="198" spans="1:2" ht="15">
      <c r="A198" s="601">
        <v>45731</v>
      </c>
      <c r="B198" t="str">
        <f t="shared" si="3"/>
        <v>sábado</v>
      </c>
    </row>
    <row r="199" spans="1:2" ht="15">
      <c r="A199" s="601">
        <v>45732</v>
      </c>
      <c r="B199" t="str">
        <f t="shared" si="3"/>
        <v>domingo</v>
      </c>
    </row>
    <row r="200" spans="1:2" ht="15">
      <c r="A200" s="601">
        <v>45733</v>
      </c>
      <c r="B200" t="str">
        <f t="shared" si="3"/>
        <v>lunes</v>
      </c>
    </row>
    <row r="201" spans="1:2" ht="15">
      <c r="A201" s="601">
        <v>45734</v>
      </c>
      <c r="B201" t="str">
        <f t="shared" si="3"/>
        <v>martes</v>
      </c>
    </row>
    <row r="202" spans="1:2" ht="15">
      <c r="A202" s="601">
        <v>45735</v>
      </c>
      <c r="B202" t="str">
        <f t="shared" si="3"/>
        <v>miércoles</v>
      </c>
    </row>
    <row r="203" spans="1:2" ht="15">
      <c r="A203" s="601">
        <v>45736</v>
      </c>
      <c r="B203" t="str">
        <f t="shared" si="3"/>
        <v>jueves</v>
      </c>
    </row>
    <row r="204" spans="1:2" ht="15">
      <c r="A204" s="601">
        <v>45737</v>
      </c>
      <c r="B204" t="str">
        <f t="shared" si="3"/>
        <v>viernes</v>
      </c>
    </row>
    <row r="205" spans="1:2" ht="15">
      <c r="A205" s="601">
        <v>45738</v>
      </c>
      <c r="B205" t="str">
        <f t="shared" si="3"/>
        <v>sábado</v>
      </c>
    </row>
    <row r="206" spans="1:2" ht="15">
      <c r="A206" s="601">
        <v>45739</v>
      </c>
      <c r="B206" t="str">
        <f t="shared" si="3"/>
        <v>domingo</v>
      </c>
    </row>
    <row r="207" spans="1:2" ht="15">
      <c r="A207" s="601">
        <v>45740</v>
      </c>
      <c r="B207" t="str">
        <f t="shared" si="3"/>
        <v>lunes</v>
      </c>
    </row>
    <row r="208" spans="1:2" ht="15">
      <c r="A208" s="601">
        <v>45741</v>
      </c>
      <c r="B208" t="str">
        <f t="shared" si="3"/>
        <v>martes</v>
      </c>
    </row>
    <row r="209" spans="1:2" ht="15">
      <c r="A209" s="601">
        <v>45742</v>
      </c>
      <c r="B209" t="str">
        <f t="shared" si="3"/>
        <v>miércoles</v>
      </c>
    </row>
    <row r="210" spans="1:2" ht="15">
      <c r="A210" s="601">
        <v>45743</v>
      </c>
      <c r="B210" t="str">
        <f t="shared" si="3"/>
        <v>jueves</v>
      </c>
    </row>
    <row r="211" spans="1:2" ht="15">
      <c r="A211" s="601">
        <v>45744</v>
      </c>
      <c r="B211" t="str">
        <f t="shared" si="3"/>
        <v>viernes</v>
      </c>
    </row>
    <row r="212" spans="1:2" ht="15">
      <c r="A212" s="601">
        <v>45745</v>
      </c>
      <c r="B212" t="str">
        <f t="shared" si="3"/>
        <v>sábado</v>
      </c>
    </row>
    <row r="213" spans="1:2" ht="15">
      <c r="A213" s="601">
        <v>45746</v>
      </c>
      <c r="B213" t="str">
        <f t="shared" si="3"/>
        <v>domingo</v>
      </c>
    </row>
    <row r="214" spans="1:2" ht="15">
      <c r="A214" s="601">
        <v>45747</v>
      </c>
      <c r="B214" t="str">
        <f t="shared" si="3"/>
        <v>lunes</v>
      </c>
    </row>
    <row r="215" spans="1:2" ht="15">
      <c r="A215" s="601">
        <v>45748</v>
      </c>
      <c r="B215" t="str">
        <f t="shared" si="3"/>
        <v>martes</v>
      </c>
    </row>
    <row r="216" spans="1:2" ht="15">
      <c r="A216" s="601">
        <v>45749</v>
      </c>
      <c r="B216" t="str">
        <f t="shared" si="3"/>
        <v>miércoles</v>
      </c>
    </row>
    <row r="217" spans="1:2" ht="15">
      <c r="A217" s="601">
        <v>45750</v>
      </c>
      <c r="B217" t="str">
        <f t="shared" si="3"/>
        <v>jueves</v>
      </c>
    </row>
    <row r="218" spans="1:2" ht="15">
      <c r="A218" s="601">
        <v>45751</v>
      </c>
      <c r="B218" t="str">
        <f t="shared" si="3"/>
        <v>viernes</v>
      </c>
    </row>
    <row r="219" spans="1:2" ht="15">
      <c r="A219" s="601">
        <v>45752</v>
      </c>
      <c r="B219" t="str">
        <f t="shared" si="3"/>
        <v>sábado</v>
      </c>
    </row>
    <row r="220" spans="1:2" ht="15">
      <c r="A220" s="601">
        <v>45753</v>
      </c>
      <c r="B220" t="str">
        <f t="shared" si="3"/>
        <v>domingo</v>
      </c>
    </row>
    <row r="221" spans="1:2" ht="15">
      <c r="A221" s="601">
        <v>45754</v>
      </c>
      <c r="B221" t="str">
        <f t="shared" si="3"/>
        <v>lunes</v>
      </c>
    </row>
    <row r="222" spans="1:2" ht="15">
      <c r="A222" s="601">
        <v>45755</v>
      </c>
      <c r="B222" t="str">
        <f t="shared" si="3"/>
        <v>martes</v>
      </c>
    </row>
    <row r="223" spans="1:2" ht="15">
      <c r="A223" s="601">
        <v>45756</v>
      </c>
      <c r="B223" t="str">
        <f t="shared" si="3"/>
        <v>miércoles</v>
      </c>
    </row>
    <row r="224" spans="1:2" ht="15">
      <c r="A224" s="601">
        <v>45757</v>
      </c>
      <c r="B224" t="str">
        <f t="shared" si="3"/>
        <v>jueves</v>
      </c>
    </row>
    <row r="225" spans="1:2" ht="15">
      <c r="A225" s="601">
        <v>45758</v>
      </c>
      <c r="B225" t="str">
        <f t="shared" si="3"/>
        <v>viernes</v>
      </c>
    </row>
    <row r="226" spans="1:2" ht="15">
      <c r="A226" s="601">
        <v>45759</v>
      </c>
      <c r="B226" t="str">
        <f t="shared" si="3"/>
        <v>sábado</v>
      </c>
    </row>
    <row r="227" spans="1:2" ht="15">
      <c r="A227" s="601">
        <v>45760</v>
      </c>
      <c r="B227" t="str">
        <f t="shared" si="3"/>
        <v>domingo</v>
      </c>
    </row>
    <row r="228" spans="1:2" ht="15">
      <c r="A228" s="601">
        <v>45761</v>
      </c>
      <c r="B228" t="str">
        <f t="shared" si="3"/>
        <v>lunes</v>
      </c>
    </row>
    <row r="229" spans="1:2" ht="15">
      <c r="A229" s="601">
        <v>45762</v>
      </c>
      <c r="B229" t="str">
        <f t="shared" si="3"/>
        <v>martes</v>
      </c>
    </row>
    <row r="230" spans="1:2" ht="15">
      <c r="A230" s="601">
        <v>45763</v>
      </c>
      <c r="B230" t="str">
        <f t="shared" si="3"/>
        <v>miércoles</v>
      </c>
    </row>
    <row r="231" spans="1:2" ht="15">
      <c r="A231" s="601">
        <v>45764</v>
      </c>
      <c r="B231" t="str">
        <f t="shared" si="3"/>
        <v>jueves</v>
      </c>
    </row>
    <row r="232" spans="1:2" ht="15">
      <c r="A232" s="601">
        <v>45765</v>
      </c>
      <c r="B232" t="str">
        <f t="shared" si="3"/>
        <v>viernes</v>
      </c>
    </row>
    <row r="233" spans="1:2" ht="15">
      <c r="A233" s="601">
        <v>45766</v>
      </c>
      <c r="B233" t="str">
        <f t="shared" si="3"/>
        <v>sábado</v>
      </c>
    </row>
    <row r="234" spans="1:2" ht="15">
      <c r="A234" s="601">
        <v>45767</v>
      </c>
      <c r="B234" t="str">
        <f t="shared" si="3"/>
        <v>domingo</v>
      </c>
    </row>
    <row r="235" spans="1:2" ht="15">
      <c r="A235" s="601">
        <v>45768</v>
      </c>
      <c r="B235" t="str">
        <f t="shared" si="3"/>
        <v>lunes</v>
      </c>
    </row>
    <row r="236" spans="1:2" ht="15">
      <c r="A236" s="601">
        <v>45769</v>
      </c>
      <c r="B236" t="str">
        <f t="shared" si="3"/>
        <v>martes</v>
      </c>
    </row>
    <row r="237" spans="1:2" ht="15">
      <c r="A237" s="601">
        <v>45770</v>
      </c>
      <c r="B237" t="str">
        <f t="shared" si="3"/>
        <v>miércoles</v>
      </c>
    </row>
    <row r="238" spans="1:2" ht="15">
      <c r="A238" s="601">
        <v>45771</v>
      </c>
      <c r="B238" t="str">
        <f t="shared" si="3"/>
        <v>jueves</v>
      </c>
    </row>
    <row r="239" spans="1:2" ht="15">
      <c r="A239" s="601">
        <v>45772</v>
      </c>
      <c r="B239" t="str">
        <f t="shared" si="3"/>
        <v>viernes</v>
      </c>
    </row>
    <row r="240" spans="1:2" ht="15">
      <c r="A240" s="601">
        <v>45773</v>
      </c>
      <c r="B240" t="str">
        <f t="shared" si="3"/>
        <v>sábado</v>
      </c>
    </row>
    <row r="241" spans="1:2" ht="15">
      <c r="A241" s="601">
        <v>45774</v>
      </c>
      <c r="B241" t="str">
        <f t="shared" si="3"/>
        <v>domingo</v>
      </c>
    </row>
    <row r="242" spans="1:2" ht="15">
      <c r="A242" s="601">
        <v>45775</v>
      </c>
      <c r="B242" t="str">
        <f t="shared" si="3"/>
        <v>lunes</v>
      </c>
    </row>
    <row r="243" spans="1:2" ht="15">
      <c r="A243" s="601">
        <v>45776</v>
      </c>
      <c r="B243" t="str">
        <f t="shared" si="3"/>
        <v>martes</v>
      </c>
    </row>
    <row r="244" spans="1:2" ht="15">
      <c r="A244" s="601">
        <v>45777</v>
      </c>
      <c r="B244" t="str">
        <f t="shared" si="3"/>
        <v>miércoles</v>
      </c>
    </row>
    <row r="245" spans="1:2" ht="15">
      <c r="A245" s="601">
        <v>45778</v>
      </c>
      <c r="B245" t="str">
        <f t="shared" si="3"/>
        <v>jueves</v>
      </c>
    </row>
    <row r="246" spans="1:2" ht="15">
      <c r="A246" s="601">
        <v>45779</v>
      </c>
      <c r="B246" t="str">
        <f t="shared" si="3"/>
        <v>viernes</v>
      </c>
    </row>
    <row r="247" spans="1:2" ht="15">
      <c r="A247" s="601">
        <v>45780</v>
      </c>
      <c r="B247" t="str">
        <f t="shared" si="3"/>
        <v>sábado</v>
      </c>
    </row>
    <row r="248" spans="1:2" ht="15">
      <c r="A248" s="601">
        <v>45781</v>
      </c>
      <c r="B248" t="str">
        <f t="shared" si="3"/>
        <v>domingo</v>
      </c>
    </row>
    <row r="249" spans="1:2" ht="15">
      <c r="A249" s="601">
        <v>45782</v>
      </c>
      <c r="B249" t="str">
        <f t="shared" si="3"/>
        <v>lunes</v>
      </c>
    </row>
    <row r="250" spans="1:2" ht="15">
      <c r="A250" s="601">
        <v>45783</v>
      </c>
      <c r="B250" t="str">
        <f t="shared" si="3"/>
        <v>martes</v>
      </c>
    </row>
    <row r="251" spans="1:2" ht="15">
      <c r="A251" s="601">
        <v>45784</v>
      </c>
      <c r="B251" t="str">
        <f t="shared" si="3"/>
        <v>miércoles</v>
      </c>
    </row>
    <row r="252" spans="1:2" ht="15">
      <c r="A252" s="601">
        <v>45785</v>
      </c>
      <c r="B252" t="str">
        <f t="shared" si="3"/>
        <v>jueves</v>
      </c>
    </row>
    <row r="253" spans="1:2" ht="15">
      <c r="A253" s="601">
        <v>45786</v>
      </c>
      <c r="B253" t="str">
        <f t="shared" si="3"/>
        <v>viernes</v>
      </c>
    </row>
    <row r="254" spans="1:2" ht="15">
      <c r="A254" s="601">
        <v>45787</v>
      </c>
      <c r="B254" t="str">
        <f t="shared" si="3"/>
        <v>sábado</v>
      </c>
    </row>
    <row r="255" spans="1:2" ht="15">
      <c r="A255" s="601">
        <v>45788</v>
      </c>
      <c r="B255" t="str">
        <f t="shared" si="3"/>
        <v>domingo</v>
      </c>
    </row>
    <row r="256" spans="1:2" ht="15">
      <c r="A256" s="601">
        <v>45789</v>
      </c>
      <c r="B256" t="str">
        <f t="shared" si="3"/>
        <v>lunes</v>
      </c>
    </row>
    <row r="257" spans="1:2" ht="15">
      <c r="A257" s="601">
        <v>45790</v>
      </c>
      <c r="B257" t="str">
        <f t="shared" si="3"/>
        <v>martes</v>
      </c>
    </row>
    <row r="258" spans="1:2" ht="15">
      <c r="A258" s="601">
        <v>45791</v>
      </c>
      <c r="B258" t="str">
        <f t="shared" si="3"/>
        <v>miércoles</v>
      </c>
    </row>
    <row r="259" spans="1:2" ht="15">
      <c r="A259" s="601">
        <v>45792</v>
      </c>
      <c r="B259" t="str">
        <f t="shared" ref="B259:B322" si="4">+TEXT(A259,"ddddddddd")</f>
        <v>jueves</v>
      </c>
    </row>
    <row r="260" spans="1:2" ht="15">
      <c r="A260" s="601">
        <v>45793</v>
      </c>
      <c r="B260" t="str">
        <f t="shared" si="4"/>
        <v>viernes</v>
      </c>
    </row>
    <row r="261" spans="1:2" ht="15">
      <c r="A261" s="601">
        <v>45794</v>
      </c>
      <c r="B261" t="str">
        <f t="shared" si="4"/>
        <v>sábado</v>
      </c>
    </row>
    <row r="262" spans="1:2" ht="15">
      <c r="A262" s="601">
        <v>45795</v>
      </c>
      <c r="B262" t="str">
        <f t="shared" si="4"/>
        <v>domingo</v>
      </c>
    </row>
    <row r="263" spans="1:2" ht="15">
      <c r="A263" s="601">
        <v>45796</v>
      </c>
      <c r="B263" t="str">
        <f t="shared" si="4"/>
        <v>lunes</v>
      </c>
    </row>
    <row r="264" spans="1:2" ht="15">
      <c r="A264" s="601">
        <v>45797</v>
      </c>
      <c r="B264" t="str">
        <f t="shared" si="4"/>
        <v>martes</v>
      </c>
    </row>
    <row r="265" spans="1:2" ht="15">
      <c r="A265" s="601">
        <v>45798</v>
      </c>
      <c r="B265" t="str">
        <f t="shared" si="4"/>
        <v>miércoles</v>
      </c>
    </row>
    <row r="266" spans="1:2" ht="15">
      <c r="A266" s="601">
        <v>45799</v>
      </c>
      <c r="B266" t="str">
        <f t="shared" si="4"/>
        <v>jueves</v>
      </c>
    </row>
    <row r="267" spans="1:2" ht="15">
      <c r="A267" s="601">
        <v>45800</v>
      </c>
      <c r="B267" t="str">
        <f t="shared" si="4"/>
        <v>viernes</v>
      </c>
    </row>
    <row r="268" spans="1:2" ht="15">
      <c r="A268" s="601">
        <v>45801</v>
      </c>
      <c r="B268" t="str">
        <f t="shared" si="4"/>
        <v>sábado</v>
      </c>
    </row>
    <row r="269" spans="1:2" ht="15">
      <c r="A269" s="601">
        <v>45802</v>
      </c>
      <c r="B269" t="str">
        <f t="shared" si="4"/>
        <v>domingo</v>
      </c>
    </row>
    <row r="270" spans="1:2" ht="15">
      <c r="A270" s="601">
        <v>45803</v>
      </c>
      <c r="B270" t="str">
        <f t="shared" si="4"/>
        <v>lunes</v>
      </c>
    </row>
    <row r="271" spans="1:2" ht="15">
      <c r="A271" s="601">
        <v>45804</v>
      </c>
      <c r="B271" t="str">
        <f t="shared" si="4"/>
        <v>martes</v>
      </c>
    </row>
    <row r="272" spans="1:2" ht="15">
      <c r="A272" s="601">
        <v>45805</v>
      </c>
      <c r="B272" t="str">
        <f t="shared" si="4"/>
        <v>miércoles</v>
      </c>
    </row>
    <row r="273" spans="1:2" ht="15">
      <c r="A273" s="601">
        <v>45806</v>
      </c>
      <c r="B273" t="str">
        <f t="shared" si="4"/>
        <v>jueves</v>
      </c>
    </row>
    <row r="274" spans="1:2" ht="15">
      <c r="A274" s="601">
        <v>45807</v>
      </c>
      <c r="B274" t="str">
        <f t="shared" si="4"/>
        <v>viernes</v>
      </c>
    </row>
    <row r="275" spans="1:2" ht="15">
      <c r="A275" s="601">
        <v>45808</v>
      </c>
      <c r="B275" t="str">
        <f t="shared" si="4"/>
        <v>sábado</v>
      </c>
    </row>
    <row r="276" spans="1:2" ht="15">
      <c r="A276" s="601">
        <v>45809</v>
      </c>
      <c r="B276" t="str">
        <f t="shared" si="4"/>
        <v>domingo</v>
      </c>
    </row>
    <row r="277" spans="1:2" ht="15">
      <c r="A277" s="601">
        <v>45810</v>
      </c>
      <c r="B277" t="str">
        <f t="shared" si="4"/>
        <v>lunes</v>
      </c>
    </row>
    <row r="278" spans="1:2" ht="15">
      <c r="A278" s="601">
        <v>45811</v>
      </c>
      <c r="B278" t="str">
        <f t="shared" si="4"/>
        <v>martes</v>
      </c>
    </row>
    <row r="279" spans="1:2" ht="15">
      <c r="A279" s="601">
        <v>45812</v>
      </c>
      <c r="B279" t="str">
        <f t="shared" si="4"/>
        <v>miércoles</v>
      </c>
    </row>
    <row r="280" spans="1:2" ht="15">
      <c r="A280" s="601">
        <v>45813</v>
      </c>
      <c r="B280" t="str">
        <f t="shared" si="4"/>
        <v>jueves</v>
      </c>
    </row>
    <row r="281" spans="1:2" ht="15">
      <c r="A281" s="601">
        <v>45814</v>
      </c>
      <c r="B281" t="str">
        <f t="shared" si="4"/>
        <v>viernes</v>
      </c>
    </row>
    <row r="282" spans="1:2" ht="15">
      <c r="A282" s="601">
        <v>45815</v>
      </c>
      <c r="B282" t="str">
        <f t="shared" si="4"/>
        <v>sábado</v>
      </c>
    </row>
    <row r="283" spans="1:2" ht="15">
      <c r="A283" s="601">
        <v>45816</v>
      </c>
      <c r="B283" t="str">
        <f t="shared" si="4"/>
        <v>domingo</v>
      </c>
    </row>
    <row r="284" spans="1:2" ht="15">
      <c r="A284" s="601">
        <v>45817</v>
      </c>
      <c r="B284" t="str">
        <f t="shared" si="4"/>
        <v>lunes</v>
      </c>
    </row>
    <row r="285" spans="1:2" ht="15">
      <c r="A285" s="601">
        <v>45818</v>
      </c>
      <c r="B285" t="str">
        <f t="shared" si="4"/>
        <v>martes</v>
      </c>
    </row>
    <row r="286" spans="1:2" ht="15">
      <c r="A286" s="601">
        <v>45819</v>
      </c>
      <c r="B286" t="str">
        <f t="shared" si="4"/>
        <v>miércoles</v>
      </c>
    </row>
    <row r="287" spans="1:2" ht="15">
      <c r="A287" s="601">
        <v>45820</v>
      </c>
      <c r="B287" t="str">
        <f t="shared" si="4"/>
        <v>jueves</v>
      </c>
    </row>
    <row r="288" spans="1:2" ht="15">
      <c r="A288" s="601">
        <v>45821</v>
      </c>
      <c r="B288" t="str">
        <f t="shared" si="4"/>
        <v>viernes</v>
      </c>
    </row>
    <row r="289" spans="1:2" ht="15">
      <c r="A289" s="601">
        <v>45822</v>
      </c>
      <c r="B289" t="str">
        <f t="shared" si="4"/>
        <v>sábado</v>
      </c>
    </row>
    <row r="290" spans="1:2" ht="15">
      <c r="A290" s="601">
        <v>45823</v>
      </c>
      <c r="B290" t="str">
        <f t="shared" si="4"/>
        <v>domingo</v>
      </c>
    </row>
    <row r="291" spans="1:2" ht="15">
      <c r="A291" s="601">
        <v>45824</v>
      </c>
      <c r="B291" t="str">
        <f t="shared" si="4"/>
        <v>lunes</v>
      </c>
    </row>
    <row r="292" spans="1:2" ht="15">
      <c r="A292" s="601">
        <v>45825</v>
      </c>
      <c r="B292" t="str">
        <f t="shared" si="4"/>
        <v>martes</v>
      </c>
    </row>
    <row r="293" spans="1:2" ht="15">
      <c r="A293" s="601">
        <v>45826</v>
      </c>
      <c r="B293" t="str">
        <f t="shared" si="4"/>
        <v>miércoles</v>
      </c>
    </row>
    <row r="294" spans="1:2" ht="15">
      <c r="A294" s="601">
        <v>45827</v>
      </c>
      <c r="B294" t="str">
        <f t="shared" si="4"/>
        <v>jueves</v>
      </c>
    </row>
    <row r="295" spans="1:2" ht="15">
      <c r="A295" s="601">
        <v>45828</v>
      </c>
      <c r="B295" t="str">
        <f t="shared" si="4"/>
        <v>viernes</v>
      </c>
    </row>
    <row r="296" spans="1:2" ht="15">
      <c r="A296" s="601">
        <v>45829</v>
      </c>
      <c r="B296" t="str">
        <f t="shared" si="4"/>
        <v>sábado</v>
      </c>
    </row>
    <row r="297" spans="1:2" ht="15">
      <c r="A297" s="601">
        <v>45830</v>
      </c>
      <c r="B297" t="str">
        <f t="shared" si="4"/>
        <v>domingo</v>
      </c>
    </row>
    <row r="298" spans="1:2" ht="15">
      <c r="A298" s="601">
        <v>45831</v>
      </c>
      <c r="B298" t="str">
        <f t="shared" si="4"/>
        <v>lunes</v>
      </c>
    </row>
    <row r="299" spans="1:2" ht="15">
      <c r="A299" s="601">
        <v>45832</v>
      </c>
      <c r="B299" t="str">
        <f t="shared" si="4"/>
        <v>martes</v>
      </c>
    </row>
    <row r="300" spans="1:2" ht="15">
      <c r="A300" s="601">
        <v>45833</v>
      </c>
      <c r="B300" t="str">
        <f t="shared" si="4"/>
        <v>miércoles</v>
      </c>
    </row>
    <row r="301" spans="1:2" ht="15">
      <c r="A301" s="601">
        <v>45834</v>
      </c>
      <c r="B301" t="str">
        <f t="shared" si="4"/>
        <v>jueves</v>
      </c>
    </row>
    <row r="302" spans="1:2" ht="15">
      <c r="A302" s="601">
        <v>45835</v>
      </c>
      <c r="B302" t="str">
        <f t="shared" si="4"/>
        <v>viernes</v>
      </c>
    </row>
    <row r="303" spans="1:2" ht="15">
      <c r="A303" s="601">
        <v>45836</v>
      </c>
      <c r="B303" t="str">
        <f t="shared" si="4"/>
        <v>sábado</v>
      </c>
    </row>
    <row r="304" spans="1:2" ht="15">
      <c r="A304" s="601">
        <v>45837</v>
      </c>
      <c r="B304" t="str">
        <f t="shared" si="4"/>
        <v>domingo</v>
      </c>
    </row>
    <row r="305" spans="1:2" ht="15">
      <c r="A305" s="601">
        <v>45838</v>
      </c>
      <c r="B305" t="str">
        <f t="shared" si="4"/>
        <v>lunes</v>
      </c>
    </row>
    <row r="306" spans="1:2" ht="15">
      <c r="A306" s="601">
        <v>45839</v>
      </c>
      <c r="B306" t="str">
        <f t="shared" si="4"/>
        <v>martes</v>
      </c>
    </row>
    <row r="307" spans="1:2" ht="15">
      <c r="A307" s="601">
        <v>45840</v>
      </c>
      <c r="B307" t="str">
        <f t="shared" si="4"/>
        <v>miércoles</v>
      </c>
    </row>
    <row r="308" spans="1:2" ht="15">
      <c r="A308" s="601">
        <v>45841</v>
      </c>
      <c r="B308" t="str">
        <f t="shared" si="4"/>
        <v>jueves</v>
      </c>
    </row>
    <row r="309" spans="1:2" ht="15">
      <c r="A309" s="601">
        <v>45842</v>
      </c>
      <c r="B309" t="str">
        <f t="shared" si="4"/>
        <v>viernes</v>
      </c>
    </row>
    <row r="310" spans="1:2" ht="15">
      <c r="A310" s="601">
        <v>45843</v>
      </c>
      <c r="B310" t="str">
        <f t="shared" si="4"/>
        <v>sábado</v>
      </c>
    </row>
    <row r="311" spans="1:2" ht="15">
      <c r="A311" s="601">
        <v>45844</v>
      </c>
      <c r="B311" t="str">
        <f t="shared" si="4"/>
        <v>domingo</v>
      </c>
    </row>
    <row r="312" spans="1:2" ht="15">
      <c r="A312" s="601">
        <v>45845</v>
      </c>
      <c r="B312" t="str">
        <f t="shared" si="4"/>
        <v>lunes</v>
      </c>
    </row>
    <row r="313" spans="1:2" ht="15">
      <c r="A313" s="601">
        <v>45846</v>
      </c>
      <c r="B313" t="str">
        <f t="shared" si="4"/>
        <v>martes</v>
      </c>
    </row>
    <row r="314" spans="1:2" ht="15">
      <c r="A314" s="601">
        <v>45847</v>
      </c>
      <c r="B314" t="str">
        <f t="shared" si="4"/>
        <v>miércoles</v>
      </c>
    </row>
    <row r="315" spans="1:2" ht="15">
      <c r="A315" s="601">
        <v>45848</v>
      </c>
      <c r="B315" t="str">
        <f t="shared" si="4"/>
        <v>jueves</v>
      </c>
    </row>
    <row r="316" spans="1:2" ht="15">
      <c r="A316" s="601">
        <v>45849</v>
      </c>
      <c r="B316" t="str">
        <f t="shared" si="4"/>
        <v>viernes</v>
      </c>
    </row>
    <row r="317" spans="1:2" ht="15">
      <c r="A317" s="601">
        <v>45850</v>
      </c>
      <c r="B317" t="str">
        <f t="shared" si="4"/>
        <v>sábado</v>
      </c>
    </row>
    <row r="318" spans="1:2" ht="15">
      <c r="A318" s="601">
        <v>45851</v>
      </c>
      <c r="B318" t="str">
        <f t="shared" si="4"/>
        <v>domingo</v>
      </c>
    </row>
    <row r="319" spans="1:2" ht="15">
      <c r="A319" s="601">
        <v>45852</v>
      </c>
      <c r="B319" t="str">
        <f t="shared" si="4"/>
        <v>lunes</v>
      </c>
    </row>
    <row r="320" spans="1:2" ht="15">
      <c r="A320" s="601">
        <v>45853</v>
      </c>
      <c r="B320" t="str">
        <f t="shared" si="4"/>
        <v>martes</v>
      </c>
    </row>
    <row r="321" spans="1:2" ht="15">
      <c r="A321" s="601">
        <v>45854</v>
      </c>
      <c r="B321" t="str">
        <f t="shared" si="4"/>
        <v>miércoles</v>
      </c>
    </row>
    <row r="322" spans="1:2" ht="15">
      <c r="A322" s="601">
        <v>45855</v>
      </c>
      <c r="B322" t="str">
        <f t="shared" si="4"/>
        <v>jueves</v>
      </c>
    </row>
    <row r="323" spans="1:2" ht="15">
      <c r="A323" s="601">
        <v>45856</v>
      </c>
      <c r="B323" t="str">
        <f t="shared" ref="B323:B386" si="5">+TEXT(A323,"ddddddddd")</f>
        <v>viernes</v>
      </c>
    </row>
    <row r="324" spans="1:2" ht="15">
      <c r="A324" s="601">
        <v>45857</v>
      </c>
      <c r="B324" t="str">
        <f t="shared" si="5"/>
        <v>sábado</v>
      </c>
    </row>
    <row r="325" spans="1:2" ht="15">
      <c r="A325" s="601">
        <v>45858</v>
      </c>
      <c r="B325" t="str">
        <f t="shared" si="5"/>
        <v>domingo</v>
      </c>
    </row>
    <row r="326" spans="1:2" ht="15">
      <c r="A326" s="601">
        <v>45859</v>
      </c>
      <c r="B326" t="str">
        <f t="shared" si="5"/>
        <v>lunes</v>
      </c>
    </row>
    <row r="327" spans="1:2" ht="15">
      <c r="A327" s="601">
        <v>45860</v>
      </c>
      <c r="B327" t="str">
        <f t="shared" si="5"/>
        <v>martes</v>
      </c>
    </row>
    <row r="328" spans="1:2" ht="15">
      <c r="A328" s="601">
        <v>45861</v>
      </c>
      <c r="B328" t="str">
        <f t="shared" si="5"/>
        <v>miércoles</v>
      </c>
    </row>
    <row r="329" spans="1:2" ht="15">
      <c r="A329" s="601">
        <v>45862</v>
      </c>
      <c r="B329" t="str">
        <f t="shared" si="5"/>
        <v>jueves</v>
      </c>
    </row>
    <row r="330" spans="1:2" ht="15">
      <c r="A330" s="601">
        <v>45863</v>
      </c>
      <c r="B330" t="str">
        <f t="shared" si="5"/>
        <v>viernes</v>
      </c>
    </row>
    <row r="331" spans="1:2" ht="15">
      <c r="A331" s="601">
        <v>45864</v>
      </c>
      <c r="B331" t="str">
        <f t="shared" si="5"/>
        <v>sábado</v>
      </c>
    </row>
    <row r="332" spans="1:2" ht="15">
      <c r="A332" s="601">
        <v>45865</v>
      </c>
      <c r="B332" t="str">
        <f t="shared" si="5"/>
        <v>domingo</v>
      </c>
    </row>
    <row r="333" spans="1:2" ht="15">
      <c r="A333" s="601">
        <v>45866</v>
      </c>
      <c r="B333" t="str">
        <f t="shared" si="5"/>
        <v>lunes</v>
      </c>
    </row>
    <row r="334" spans="1:2" ht="15">
      <c r="A334" s="601">
        <v>45867</v>
      </c>
      <c r="B334" t="str">
        <f t="shared" si="5"/>
        <v>martes</v>
      </c>
    </row>
    <row r="335" spans="1:2" ht="15">
      <c r="A335" s="601">
        <v>45868</v>
      </c>
      <c r="B335" t="str">
        <f t="shared" si="5"/>
        <v>miércoles</v>
      </c>
    </row>
    <row r="336" spans="1:2" ht="15">
      <c r="A336" s="601">
        <v>45869</v>
      </c>
      <c r="B336" t="str">
        <f t="shared" si="5"/>
        <v>jueves</v>
      </c>
    </row>
    <row r="337" spans="1:2" ht="15">
      <c r="A337" s="601">
        <v>45870</v>
      </c>
      <c r="B337" t="str">
        <f t="shared" si="5"/>
        <v>viernes</v>
      </c>
    </row>
    <row r="338" spans="1:2" ht="15">
      <c r="A338" s="601">
        <v>45871</v>
      </c>
      <c r="B338" t="str">
        <f t="shared" si="5"/>
        <v>sábado</v>
      </c>
    </row>
    <row r="339" spans="1:2" ht="15">
      <c r="A339" s="601">
        <v>45872</v>
      </c>
      <c r="B339" t="str">
        <f t="shared" si="5"/>
        <v>domingo</v>
      </c>
    </row>
    <row r="340" spans="1:2" ht="15">
      <c r="A340" s="601">
        <v>45873</v>
      </c>
      <c r="B340" t="str">
        <f t="shared" si="5"/>
        <v>lunes</v>
      </c>
    </row>
    <row r="341" spans="1:2" ht="15">
      <c r="A341" s="601">
        <v>45874</v>
      </c>
      <c r="B341" t="str">
        <f t="shared" si="5"/>
        <v>martes</v>
      </c>
    </row>
    <row r="342" spans="1:2" ht="15">
      <c r="A342" s="601">
        <v>45875</v>
      </c>
      <c r="B342" t="str">
        <f t="shared" si="5"/>
        <v>miércoles</v>
      </c>
    </row>
    <row r="343" spans="1:2" ht="15">
      <c r="A343" s="601">
        <v>45876</v>
      </c>
      <c r="B343" t="str">
        <f t="shared" si="5"/>
        <v>jueves</v>
      </c>
    </row>
    <row r="344" spans="1:2" ht="15">
      <c r="A344" s="601">
        <v>45877</v>
      </c>
      <c r="B344" t="str">
        <f t="shared" si="5"/>
        <v>viernes</v>
      </c>
    </row>
    <row r="345" spans="1:2" ht="15">
      <c r="A345" s="601">
        <v>45878</v>
      </c>
      <c r="B345" t="str">
        <f t="shared" si="5"/>
        <v>sábado</v>
      </c>
    </row>
    <row r="346" spans="1:2" ht="15">
      <c r="A346" s="601">
        <v>45879</v>
      </c>
      <c r="B346" t="str">
        <f t="shared" si="5"/>
        <v>domingo</v>
      </c>
    </row>
    <row r="347" spans="1:2" ht="15">
      <c r="A347" s="601">
        <v>45880</v>
      </c>
      <c r="B347" t="str">
        <f t="shared" si="5"/>
        <v>lunes</v>
      </c>
    </row>
    <row r="348" spans="1:2" ht="15">
      <c r="A348" s="601">
        <v>45881</v>
      </c>
      <c r="B348" t="str">
        <f t="shared" si="5"/>
        <v>martes</v>
      </c>
    </row>
    <row r="349" spans="1:2" ht="15">
      <c r="A349" s="601">
        <v>45882</v>
      </c>
      <c r="B349" t="str">
        <f t="shared" si="5"/>
        <v>miércoles</v>
      </c>
    </row>
    <row r="350" spans="1:2" ht="15">
      <c r="A350" s="601">
        <v>45883</v>
      </c>
      <c r="B350" t="str">
        <f t="shared" si="5"/>
        <v>jueves</v>
      </c>
    </row>
    <row r="351" spans="1:2" ht="15">
      <c r="A351" s="601">
        <v>45884</v>
      </c>
      <c r="B351" t="str">
        <f t="shared" si="5"/>
        <v>viernes</v>
      </c>
    </row>
    <row r="352" spans="1:2" ht="15">
      <c r="A352" s="601">
        <v>45885</v>
      </c>
      <c r="B352" t="str">
        <f t="shared" si="5"/>
        <v>sábado</v>
      </c>
    </row>
    <row r="353" spans="1:2" ht="15">
      <c r="A353" s="601">
        <v>45886</v>
      </c>
      <c r="B353" t="str">
        <f t="shared" si="5"/>
        <v>domingo</v>
      </c>
    </row>
    <row r="354" spans="1:2" ht="15">
      <c r="A354" s="601">
        <v>45887</v>
      </c>
      <c r="B354" t="str">
        <f t="shared" si="5"/>
        <v>lunes</v>
      </c>
    </row>
    <row r="355" spans="1:2" ht="15">
      <c r="A355" s="601">
        <v>45888</v>
      </c>
      <c r="B355" t="str">
        <f t="shared" si="5"/>
        <v>martes</v>
      </c>
    </row>
    <row r="356" spans="1:2" ht="15">
      <c r="A356" s="601">
        <v>45889</v>
      </c>
      <c r="B356" t="str">
        <f t="shared" si="5"/>
        <v>miércoles</v>
      </c>
    </row>
    <row r="357" spans="1:2" ht="15">
      <c r="A357" s="601">
        <v>45890</v>
      </c>
      <c r="B357" t="str">
        <f t="shared" si="5"/>
        <v>jueves</v>
      </c>
    </row>
    <row r="358" spans="1:2" ht="15">
      <c r="A358" s="601">
        <v>45891</v>
      </c>
      <c r="B358" t="str">
        <f t="shared" si="5"/>
        <v>viernes</v>
      </c>
    </row>
    <row r="359" spans="1:2" ht="15">
      <c r="A359" s="601">
        <v>45892</v>
      </c>
      <c r="B359" t="str">
        <f t="shared" si="5"/>
        <v>sábado</v>
      </c>
    </row>
    <row r="360" spans="1:2" ht="15">
      <c r="A360" s="601">
        <v>45893</v>
      </c>
      <c r="B360" t="str">
        <f t="shared" si="5"/>
        <v>domingo</v>
      </c>
    </row>
    <row r="361" spans="1:2" ht="15">
      <c r="A361" s="601">
        <v>45894</v>
      </c>
      <c r="B361" t="str">
        <f t="shared" si="5"/>
        <v>lunes</v>
      </c>
    </row>
    <row r="362" spans="1:2" ht="15">
      <c r="A362" s="601">
        <v>45895</v>
      </c>
      <c r="B362" t="str">
        <f t="shared" si="5"/>
        <v>martes</v>
      </c>
    </row>
    <row r="363" spans="1:2" ht="15">
      <c r="A363" s="601">
        <v>45896</v>
      </c>
      <c r="B363" t="str">
        <f t="shared" si="5"/>
        <v>miércoles</v>
      </c>
    </row>
    <row r="364" spans="1:2" ht="15">
      <c r="A364" s="601">
        <v>45897</v>
      </c>
      <c r="B364" t="str">
        <f t="shared" si="5"/>
        <v>jueves</v>
      </c>
    </row>
    <row r="365" spans="1:2" ht="15">
      <c r="A365" s="601">
        <v>45898</v>
      </c>
      <c r="B365" t="str">
        <f t="shared" si="5"/>
        <v>viernes</v>
      </c>
    </row>
    <row r="366" spans="1:2" ht="15">
      <c r="A366" s="601">
        <v>45899</v>
      </c>
      <c r="B366" t="str">
        <f t="shared" si="5"/>
        <v>sábado</v>
      </c>
    </row>
    <row r="367" spans="1:2" ht="15">
      <c r="A367" s="601">
        <v>45900</v>
      </c>
      <c r="B367" t="str">
        <f t="shared" si="5"/>
        <v>domingo</v>
      </c>
    </row>
    <row r="368" spans="1:2" ht="15">
      <c r="A368" s="601">
        <v>45901</v>
      </c>
      <c r="B368" t="str">
        <f t="shared" si="5"/>
        <v>lunes</v>
      </c>
    </row>
    <row r="369" spans="1:2" ht="15">
      <c r="A369" s="601">
        <v>45902</v>
      </c>
      <c r="B369" t="str">
        <f t="shared" si="5"/>
        <v>martes</v>
      </c>
    </row>
    <row r="370" spans="1:2" ht="15">
      <c r="A370" s="601">
        <v>45903</v>
      </c>
      <c r="B370" t="str">
        <f t="shared" si="5"/>
        <v>miércoles</v>
      </c>
    </row>
    <row r="371" spans="1:2" ht="15">
      <c r="A371" s="601">
        <v>45904</v>
      </c>
      <c r="B371" t="str">
        <f t="shared" si="5"/>
        <v>jueves</v>
      </c>
    </row>
    <row r="372" spans="1:2" ht="15">
      <c r="A372" s="601">
        <v>45905</v>
      </c>
      <c r="B372" t="str">
        <f t="shared" si="5"/>
        <v>viernes</v>
      </c>
    </row>
    <row r="373" spans="1:2" ht="15">
      <c r="A373" s="601">
        <v>45906</v>
      </c>
      <c r="B373" t="str">
        <f t="shared" si="5"/>
        <v>sábado</v>
      </c>
    </row>
    <row r="374" spans="1:2" ht="15">
      <c r="A374" s="601">
        <v>45907</v>
      </c>
      <c r="B374" t="str">
        <f t="shared" si="5"/>
        <v>domingo</v>
      </c>
    </row>
    <row r="375" spans="1:2" ht="15">
      <c r="A375" s="601">
        <v>45908</v>
      </c>
      <c r="B375" t="str">
        <f t="shared" si="5"/>
        <v>lunes</v>
      </c>
    </row>
    <row r="376" spans="1:2" ht="15">
      <c r="A376" s="601">
        <v>45909</v>
      </c>
      <c r="B376" t="str">
        <f t="shared" si="5"/>
        <v>martes</v>
      </c>
    </row>
    <row r="377" spans="1:2" ht="15">
      <c r="A377" s="601">
        <v>45910</v>
      </c>
      <c r="B377" t="str">
        <f t="shared" si="5"/>
        <v>miércoles</v>
      </c>
    </row>
    <row r="378" spans="1:2" ht="15">
      <c r="A378" s="601">
        <v>45911</v>
      </c>
      <c r="B378" t="str">
        <f t="shared" si="5"/>
        <v>jueves</v>
      </c>
    </row>
    <row r="379" spans="1:2" ht="15">
      <c r="A379" s="601">
        <v>45912</v>
      </c>
      <c r="B379" t="str">
        <f t="shared" si="5"/>
        <v>viernes</v>
      </c>
    </row>
    <row r="380" spans="1:2" ht="15">
      <c r="A380" s="601">
        <v>45913</v>
      </c>
      <c r="B380" t="str">
        <f t="shared" si="5"/>
        <v>sábado</v>
      </c>
    </row>
    <row r="381" spans="1:2" ht="15">
      <c r="A381" s="601">
        <v>45914</v>
      </c>
      <c r="B381" t="str">
        <f t="shared" si="5"/>
        <v>domingo</v>
      </c>
    </row>
    <row r="382" spans="1:2" ht="15">
      <c r="A382" s="601">
        <v>45915</v>
      </c>
      <c r="B382" t="str">
        <f t="shared" si="5"/>
        <v>lunes</v>
      </c>
    </row>
    <row r="383" spans="1:2" ht="15">
      <c r="A383" s="601">
        <v>45916</v>
      </c>
      <c r="B383" t="str">
        <f t="shared" si="5"/>
        <v>martes</v>
      </c>
    </row>
    <row r="384" spans="1:2" ht="15">
      <c r="A384" s="601">
        <v>45917</v>
      </c>
      <c r="B384" t="str">
        <f t="shared" si="5"/>
        <v>miércoles</v>
      </c>
    </row>
    <row r="385" spans="1:2" ht="15">
      <c r="A385" s="601">
        <v>45918</v>
      </c>
      <c r="B385" t="str">
        <f t="shared" si="5"/>
        <v>jueves</v>
      </c>
    </row>
    <row r="386" spans="1:2" ht="15">
      <c r="A386" s="601">
        <v>45919</v>
      </c>
      <c r="B386" t="str">
        <f t="shared" si="5"/>
        <v>viernes</v>
      </c>
    </row>
    <row r="387" spans="1:2" ht="15">
      <c r="A387" s="601">
        <v>45920</v>
      </c>
      <c r="B387" t="str">
        <f t="shared" ref="B387:B450" si="6">+TEXT(A387,"ddddddddd")</f>
        <v>sábado</v>
      </c>
    </row>
    <row r="388" spans="1:2" ht="15">
      <c r="A388" s="601">
        <v>45921</v>
      </c>
      <c r="B388" t="str">
        <f t="shared" si="6"/>
        <v>domingo</v>
      </c>
    </row>
    <row r="389" spans="1:2" ht="15">
      <c r="A389" s="601">
        <v>45922</v>
      </c>
      <c r="B389" t="str">
        <f t="shared" si="6"/>
        <v>lunes</v>
      </c>
    </row>
    <row r="390" spans="1:2" ht="15">
      <c r="A390" s="601">
        <v>45923</v>
      </c>
      <c r="B390" t="str">
        <f t="shared" si="6"/>
        <v>martes</v>
      </c>
    </row>
    <row r="391" spans="1:2" ht="15">
      <c r="A391" s="601">
        <v>45924</v>
      </c>
      <c r="B391" t="str">
        <f t="shared" si="6"/>
        <v>miércoles</v>
      </c>
    </row>
    <row r="392" spans="1:2" ht="15">
      <c r="A392" s="601">
        <v>45925</v>
      </c>
      <c r="B392" t="str">
        <f t="shared" si="6"/>
        <v>jueves</v>
      </c>
    </row>
    <row r="393" spans="1:2" ht="15">
      <c r="A393" s="601">
        <v>45926</v>
      </c>
      <c r="B393" t="str">
        <f t="shared" si="6"/>
        <v>viernes</v>
      </c>
    </row>
    <row r="394" spans="1:2" ht="15">
      <c r="A394" s="601">
        <v>45927</v>
      </c>
      <c r="B394" t="str">
        <f t="shared" si="6"/>
        <v>sábado</v>
      </c>
    </row>
    <row r="395" spans="1:2" ht="15">
      <c r="A395" s="601">
        <v>45928</v>
      </c>
      <c r="B395" t="str">
        <f t="shared" si="6"/>
        <v>domingo</v>
      </c>
    </row>
    <row r="396" spans="1:2" ht="15">
      <c r="A396" s="601">
        <v>45929</v>
      </c>
      <c r="B396" t="str">
        <f t="shared" si="6"/>
        <v>lunes</v>
      </c>
    </row>
    <row r="397" spans="1:2" ht="15">
      <c r="A397" s="601">
        <v>45930</v>
      </c>
      <c r="B397" t="str">
        <f t="shared" si="6"/>
        <v>martes</v>
      </c>
    </row>
    <row r="398" spans="1:2" ht="15">
      <c r="A398" s="601">
        <v>45931</v>
      </c>
      <c r="B398" t="str">
        <f t="shared" si="6"/>
        <v>miércoles</v>
      </c>
    </row>
    <row r="399" spans="1:2" ht="15">
      <c r="A399" s="601">
        <v>45932</v>
      </c>
      <c r="B399" t="str">
        <f t="shared" si="6"/>
        <v>jueves</v>
      </c>
    </row>
    <row r="400" spans="1:2" ht="15">
      <c r="A400" s="601">
        <v>45933</v>
      </c>
      <c r="B400" t="str">
        <f t="shared" si="6"/>
        <v>viernes</v>
      </c>
    </row>
    <row r="401" spans="1:2" ht="15">
      <c r="A401" s="601">
        <v>45934</v>
      </c>
      <c r="B401" t="str">
        <f t="shared" si="6"/>
        <v>sábado</v>
      </c>
    </row>
    <row r="402" spans="1:2" ht="15">
      <c r="A402" s="601">
        <v>45935</v>
      </c>
      <c r="B402" t="str">
        <f t="shared" si="6"/>
        <v>domingo</v>
      </c>
    </row>
    <row r="403" spans="1:2" ht="15">
      <c r="A403" s="601">
        <v>45936</v>
      </c>
      <c r="B403" t="str">
        <f t="shared" si="6"/>
        <v>lunes</v>
      </c>
    </row>
    <row r="404" spans="1:2" ht="15">
      <c r="A404" s="601">
        <v>45937</v>
      </c>
      <c r="B404" t="str">
        <f t="shared" si="6"/>
        <v>martes</v>
      </c>
    </row>
    <row r="405" spans="1:2" ht="15">
      <c r="A405" s="601">
        <v>45938</v>
      </c>
      <c r="B405" t="str">
        <f t="shared" si="6"/>
        <v>miércoles</v>
      </c>
    </row>
    <row r="406" spans="1:2" ht="15">
      <c r="A406" s="601">
        <v>45939</v>
      </c>
      <c r="B406" t="str">
        <f t="shared" si="6"/>
        <v>jueves</v>
      </c>
    </row>
    <row r="407" spans="1:2" ht="15">
      <c r="A407" s="601">
        <v>45940</v>
      </c>
      <c r="B407" t="str">
        <f t="shared" si="6"/>
        <v>viernes</v>
      </c>
    </row>
    <row r="408" spans="1:2" ht="15">
      <c r="A408" s="601">
        <v>45941</v>
      </c>
      <c r="B408" t="str">
        <f t="shared" si="6"/>
        <v>sábado</v>
      </c>
    </row>
    <row r="409" spans="1:2" ht="15">
      <c r="A409" s="601">
        <v>45942</v>
      </c>
      <c r="B409" t="str">
        <f t="shared" si="6"/>
        <v>domingo</v>
      </c>
    </row>
    <row r="410" spans="1:2" ht="15">
      <c r="A410" s="601">
        <v>45943</v>
      </c>
      <c r="B410" t="str">
        <f t="shared" si="6"/>
        <v>lunes</v>
      </c>
    </row>
    <row r="411" spans="1:2" ht="15">
      <c r="A411" s="601">
        <v>45944</v>
      </c>
      <c r="B411" t="str">
        <f t="shared" si="6"/>
        <v>martes</v>
      </c>
    </row>
    <row r="412" spans="1:2" ht="15">
      <c r="A412" s="601">
        <v>45945</v>
      </c>
      <c r="B412" t="str">
        <f t="shared" si="6"/>
        <v>miércoles</v>
      </c>
    </row>
    <row r="413" spans="1:2" ht="15">
      <c r="A413" s="601">
        <v>45946</v>
      </c>
      <c r="B413" t="str">
        <f t="shared" si="6"/>
        <v>jueves</v>
      </c>
    </row>
    <row r="414" spans="1:2" ht="15">
      <c r="A414" s="601">
        <v>45947</v>
      </c>
      <c r="B414" t="str">
        <f t="shared" si="6"/>
        <v>viernes</v>
      </c>
    </row>
    <row r="415" spans="1:2" ht="15">
      <c r="A415" s="601">
        <v>45948</v>
      </c>
      <c r="B415" t="str">
        <f t="shared" si="6"/>
        <v>sábado</v>
      </c>
    </row>
    <row r="416" spans="1:2" ht="15">
      <c r="A416" s="601">
        <v>45949</v>
      </c>
      <c r="B416" t="str">
        <f t="shared" si="6"/>
        <v>domingo</v>
      </c>
    </row>
    <row r="417" spans="1:2" ht="15">
      <c r="A417" s="601">
        <v>45950</v>
      </c>
      <c r="B417" t="str">
        <f t="shared" si="6"/>
        <v>lunes</v>
      </c>
    </row>
    <row r="418" spans="1:2" ht="15">
      <c r="A418" s="601">
        <v>45951</v>
      </c>
      <c r="B418" t="str">
        <f t="shared" si="6"/>
        <v>martes</v>
      </c>
    </row>
    <row r="419" spans="1:2" ht="15">
      <c r="A419" s="601">
        <v>45952</v>
      </c>
      <c r="B419" t="str">
        <f t="shared" si="6"/>
        <v>miércoles</v>
      </c>
    </row>
    <row r="420" spans="1:2" ht="15">
      <c r="A420" s="601">
        <v>45953</v>
      </c>
      <c r="B420" t="str">
        <f t="shared" si="6"/>
        <v>jueves</v>
      </c>
    </row>
    <row r="421" spans="1:2" ht="15">
      <c r="A421" s="601">
        <v>45954</v>
      </c>
      <c r="B421" t="str">
        <f t="shared" si="6"/>
        <v>viernes</v>
      </c>
    </row>
    <row r="422" spans="1:2" ht="15">
      <c r="A422" s="601">
        <v>45955</v>
      </c>
      <c r="B422" t="str">
        <f t="shared" si="6"/>
        <v>sábado</v>
      </c>
    </row>
    <row r="423" spans="1:2" ht="15">
      <c r="A423" s="601">
        <v>45956</v>
      </c>
      <c r="B423" t="str">
        <f t="shared" si="6"/>
        <v>domingo</v>
      </c>
    </row>
    <row r="424" spans="1:2" ht="15">
      <c r="A424" s="601">
        <v>45957</v>
      </c>
      <c r="B424" t="str">
        <f t="shared" si="6"/>
        <v>lunes</v>
      </c>
    </row>
    <row r="425" spans="1:2" ht="15">
      <c r="A425" s="601">
        <v>45958</v>
      </c>
      <c r="B425" t="str">
        <f t="shared" si="6"/>
        <v>martes</v>
      </c>
    </row>
    <row r="426" spans="1:2" ht="15">
      <c r="A426" s="601">
        <v>45959</v>
      </c>
      <c r="B426" t="str">
        <f t="shared" si="6"/>
        <v>miércoles</v>
      </c>
    </row>
    <row r="427" spans="1:2" ht="15">
      <c r="A427" s="601">
        <v>45960</v>
      </c>
      <c r="B427" t="str">
        <f t="shared" si="6"/>
        <v>jueves</v>
      </c>
    </row>
    <row r="428" spans="1:2" ht="15">
      <c r="A428" s="601">
        <v>45961</v>
      </c>
      <c r="B428" t="str">
        <f t="shared" si="6"/>
        <v>viernes</v>
      </c>
    </row>
    <row r="429" spans="1:2" ht="15">
      <c r="A429" s="601">
        <v>45962</v>
      </c>
      <c r="B429" t="str">
        <f t="shared" si="6"/>
        <v>sábado</v>
      </c>
    </row>
    <row r="430" spans="1:2" ht="15">
      <c r="A430" s="601">
        <v>45963</v>
      </c>
      <c r="B430" t="str">
        <f t="shared" si="6"/>
        <v>domingo</v>
      </c>
    </row>
    <row r="431" spans="1:2" ht="15">
      <c r="A431" s="601">
        <v>45964</v>
      </c>
      <c r="B431" t="str">
        <f t="shared" si="6"/>
        <v>lunes</v>
      </c>
    </row>
    <row r="432" spans="1:2" ht="15">
      <c r="A432" s="601">
        <v>45965</v>
      </c>
      <c r="B432" t="str">
        <f t="shared" si="6"/>
        <v>martes</v>
      </c>
    </row>
    <row r="433" spans="1:2" ht="15">
      <c r="A433" s="601">
        <v>45966</v>
      </c>
      <c r="B433" t="str">
        <f t="shared" si="6"/>
        <v>miércoles</v>
      </c>
    </row>
    <row r="434" spans="1:2" ht="15">
      <c r="A434" s="601">
        <v>45967</v>
      </c>
      <c r="B434" t="str">
        <f t="shared" si="6"/>
        <v>jueves</v>
      </c>
    </row>
    <row r="435" spans="1:2" ht="15">
      <c r="A435" s="601">
        <v>45968</v>
      </c>
      <c r="B435" t="str">
        <f t="shared" si="6"/>
        <v>viernes</v>
      </c>
    </row>
    <row r="436" spans="1:2" ht="15">
      <c r="A436" s="601">
        <v>45969</v>
      </c>
      <c r="B436" t="str">
        <f t="shared" si="6"/>
        <v>sábado</v>
      </c>
    </row>
    <row r="437" spans="1:2" ht="15">
      <c r="A437" s="601">
        <v>45970</v>
      </c>
      <c r="B437" t="str">
        <f t="shared" si="6"/>
        <v>domingo</v>
      </c>
    </row>
    <row r="438" spans="1:2" ht="15">
      <c r="A438" s="601">
        <v>45971</v>
      </c>
      <c r="B438" t="str">
        <f t="shared" si="6"/>
        <v>lunes</v>
      </c>
    </row>
    <row r="439" spans="1:2" ht="15">
      <c r="A439" s="601">
        <v>45972</v>
      </c>
      <c r="B439" t="str">
        <f t="shared" si="6"/>
        <v>martes</v>
      </c>
    </row>
    <row r="440" spans="1:2" ht="15">
      <c r="A440" s="601">
        <v>45973</v>
      </c>
      <c r="B440" t="str">
        <f t="shared" si="6"/>
        <v>miércoles</v>
      </c>
    </row>
    <row r="441" spans="1:2" ht="15">
      <c r="A441" s="601">
        <v>45974</v>
      </c>
      <c r="B441" t="str">
        <f t="shared" si="6"/>
        <v>jueves</v>
      </c>
    </row>
    <row r="442" spans="1:2" ht="15">
      <c r="A442" s="601">
        <v>45975</v>
      </c>
      <c r="B442" t="str">
        <f t="shared" si="6"/>
        <v>viernes</v>
      </c>
    </row>
    <row r="443" spans="1:2" ht="15">
      <c r="A443" s="601">
        <v>45976</v>
      </c>
      <c r="B443" t="str">
        <f t="shared" si="6"/>
        <v>sábado</v>
      </c>
    </row>
    <row r="444" spans="1:2" ht="15">
      <c r="A444" s="601">
        <v>45977</v>
      </c>
      <c r="B444" t="str">
        <f t="shared" si="6"/>
        <v>domingo</v>
      </c>
    </row>
    <row r="445" spans="1:2" ht="15">
      <c r="A445" s="601">
        <v>45978</v>
      </c>
      <c r="B445" t="str">
        <f t="shared" si="6"/>
        <v>lunes</v>
      </c>
    </row>
    <row r="446" spans="1:2" ht="15">
      <c r="A446" s="601">
        <v>45979</v>
      </c>
      <c r="B446" t="str">
        <f t="shared" si="6"/>
        <v>martes</v>
      </c>
    </row>
    <row r="447" spans="1:2" ht="15">
      <c r="A447" s="601">
        <v>45980</v>
      </c>
      <c r="B447" t="str">
        <f t="shared" si="6"/>
        <v>miércoles</v>
      </c>
    </row>
    <row r="448" spans="1:2" ht="15">
      <c r="A448" s="601">
        <v>45981</v>
      </c>
      <c r="B448" t="str">
        <f t="shared" si="6"/>
        <v>jueves</v>
      </c>
    </row>
    <row r="449" spans="1:2" ht="15">
      <c r="A449" s="601">
        <v>45982</v>
      </c>
      <c r="B449" t="str">
        <f t="shared" si="6"/>
        <v>viernes</v>
      </c>
    </row>
    <row r="450" spans="1:2" ht="15">
      <c r="A450" s="601">
        <v>45983</v>
      </c>
      <c r="B450" t="str">
        <f t="shared" si="6"/>
        <v>sábado</v>
      </c>
    </row>
    <row r="451" spans="1:2" ht="15">
      <c r="A451" s="601">
        <v>45984</v>
      </c>
      <c r="B451" t="str">
        <f t="shared" ref="B451:B514" si="7">+TEXT(A451,"ddddddddd")</f>
        <v>domingo</v>
      </c>
    </row>
    <row r="452" spans="1:2" ht="15">
      <c r="A452" s="601">
        <v>45985</v>
      </c>
      <c r="B452" t="str">
        <f t="shared" si="7"/>
        <v>lunes</v>
      </c>
    </row>
    <row r="453" spans="1:2" ht="15">
      <c r="A453" s="601">
        <v>45986</v>
      </c>
      <c r="B453" t="str">
        <f t="shared" si="7"/>
        <v>martes</v>
      </c>
    </row>
    <row r="454" spans="1:2" ht="15">
      <c r="A454" s="601">
        <v>45987</v>
      </c>
      <c r="B454" t="str">
        <f t="shared" si="7"/>
        <v>miércoles</v>
      </c>
    </row>
    <row r="455" spans="1:2" ht="15">
      <c r="A455" s="601">
        <v>45988</v>
      </c>
      <c r="B455" t="str">
        <f t="shared" si="7"/>
        <v>jueves</v>
      </c>
    </row>
    <row r="456" spans="1:2" ht="15">
      <c r="A456" s="601">
        <v>45989</v>
      </c>
      <c r="B456" t="str">
        <f t="shared" si="7"/>
        <v>viernes</v>
      </c>
    </row>
    <row r="457" spans="1:2" ht="15">
      <c r="A457" s="601">
        <v>45990</v>
      </c>
      <c r="B457" t="str">
        <f t="shared" si="7"/>
        <v>sábado</v>
      </c>
    </row>
    <row r="458" spans="1:2" ht="15">
      <c r="A458" s="601">
        <v>45991</v>
      </c>
      <c r="B458" t="str">
        <f t="shared" si="7"/>
        <v>domingo</v>
      </c>
    </row>
    <row r="459" spans="1:2" ht="15">
      <c r="A459" s="601">
        <v>45992</v>
      </c>
      <c r="B459" t="str">
        <f t="shared" si="7"/>
        <v>lunes</v>
      </c>
    </row>
    <row r="460" spans="1:2" ht="15">
      <c r="A460" s="601">
        <v>45993</v>
      </c>
      <c r="B460" t="str">
        <f t="shared" si="7"/>
        <v>martes</v>
      </c>
    </row>
    <row r="461" spans="1:2" ht="15">
      <c r="A461" s="601">
        <v>45994</v>
      </c>
      <c r="B461" t="str">
        <f t="shared" si="7"/>
        <v>miércoles</v>
      </c>
    </row>
    <row r="462" spans="1:2" ht="15">
      <c r="A462" s="601">
        <v>45995</v>
      </c>
      <c r="B462" t="str">
        <f t="shared" si="7"/>
        <v>jueves</v>
      </c>
    </row>
    <row r="463" spans="1:2" ht="15">
      <c r="A463" s="601">
        <v>45996</v>
      </c>
      <c r="B463" t="str">
        <f t="shared" si="7"/>
        <v>viernes</v>
      </c>
    </row>
    <row r="464" spans="1:2" ht="15">
      <c r="A464" s="601">
        <v>45997</v>
      </c>
      <c r="B464" t="str">
        <f t="shared" si="7"/>
        <v>sábado</v>
      </c>
    </row>
    <row r="465" spans="1:2" ht="15">
      <c r="A465" s="601">
        <v>45998</v>
      </c>
      <c r="B465" t="str">
        <f t="shared" si="7"/>
        <v>domingo</v>
      </c>
    </row>
    <row r="466" spans="1:2" ht="15">
      <c r="A466" s="601">
        <v>45999</v>
      </c>
      <c r="B466" t="str">
        <f t="shared" si="7"/>
        <v>lunes</v>
      </c>
    </row>
    <row r="467" spans="1:2" ht="15">
      <c r="A467" s="601">
        <v>46000</v>
      </c>
      <c r="B467" t="str">
        <f t="shared" si="7"/>
        <v>martes</v>
      </c>
    </row>
    <row r="468" spans="1:2" ht="15">
      <c r="A468" s="601">
        <v>46001</v>
      </c>
      <c r="B468" t="str">
        <f t="shared" si="7"/>
        <v>miércoles</v>
      </c>
    </row>
    <row r="469" spans="1:2" ht="15">
      <c r="A469" s="601">
        <v>46002</v>
      </c>
      <c r="B469" t="str">
        <f t="shared" si="7"/>
        <v>jueves</v>
      </c>
    </row>
    <row r="470" spans="1:2" ht="15">
      <c r="A470" s="601">
        <v>46003</v>
      </c>
      <c r="B470" t="str">
        <f t="shared" si="7"/>
        <v>viernes</v>
      </c>
    </row>
    <row r="471" spans="1:2" ht="15">
      <c r="A471" s="601">
        <v>46004</v>
      </c>
      <c r="B471" t="str">
        <f t="shared" si="7"/>
        <v>sábado</v>
      </c>
    </row>
    <row r="472" spans="1:2" ht="15">
      <c r="A472" s="601">
        <v>46005</v>
      </c>
      <c r="B472" t="str">
        <f t="shared" si="7"/>
        <v>domingo</v>
      </c>
    </row>
    <row r="473" spans="1:2" ht="15">
      <c r="A473" s="601">
        <v>46006</v>
      </c>
      <c r="B473" t="str">
        <f t="shared" si="7"/>
        <v>lunes</v>
      </c>
    </row>
    <row r="474" spans="1:2" ht="15">
      <c r="A474" s="601">
        <v>46007</v>
      </c>
      <c r="B474" t="str">
        <f t="shared" si="7"/>
        <v>martes</v>
      </c>
    </row>
    <row r="475" spans="1:2" ht="15">
      <c r="A475" s="601">
        <v>46008</v>
      </c>
      <c r="B475" t="str">
        <f t="shared" si="7"/>
        <v>miércoles</v>
      </c>
    </row>
    <row r="476" spans="1:2" ht="15">
      <c r="A476" s="601">
        <v>46009</v>
      </c>
      <c r="B476" t="str">
        <f t="shared" si="7"/>
        <v>jueves</v>
      </c>
    </row>
    <row r="477" spans="1:2" ht="15">
      <c r="A477" s="601">
        <v>46010</v>
      </c>
      <c r="B477" t="str">
        <f t="shared" si="7"/>
        <v>viernes</v>
      </c>
    </row>
    <row r="478" spans="1:2" ht="15">
      <c r="A478" s="601">
        <v>46011</v>
      </c>
      <c r="B478" t="str">
        <f t="shared" si="7"/>
        <v>sábado</v>
      </c>
    </row>
    <row r="479" spans="1:2" ht="15">
      <c r="A479" s="601">
        <v>46012</v>
      </c>
      <c r="B479" t="str">
        <f t="shared" si="7"/>
        <v>domingo</v>
      </c>
    </row>
    <row r="480" spans="1:2" ht="15">
      <c r="A480" s="601">
        <v>46013</v>
      </c>
      <c r="B480" t="str">
        <f t="shared" si="7"/>
        <v>lunes</v>
      </c>
    </row>
    <row r="481" spans="1:2" ht="15">
      <c r="A481" s="601">
        <v>46014</v>
      </c>
      <c r="B481" t="str">
        <f t="shared" si="7"/>
        <v>martes</v>
      </c>
    </row>
    <row r="482" spans="1:2" ht="15">
      <c r="A482" s="601">
        <v>46015</v>
      </c>
      <c r="B482" t="str">
        <f t="shared" si="7"/>
        <v>miércoles</v>
      </c>
    </row>
    <row r="483" spans="1:2" ht="15">
      <c r="A483" s="601">
        <v>46016</v>
      </c>
      <c r="B483" t="str">
        <f t="shared" si="7"/>
        <v>jueves</v>
      </c>
    </row>
    <row r="484" spans="1:2" ht="15">
      <c r="A484" s="601">
        <v>46017</v>
      </c>
      <c r="B484" t="str">
        <f t="shared" si="7"/>
        <v>viernes</v>
      </c>
    </row>
    <row r="485" spans="1:2" ht="15">
      <c r="A485" s="601">
        <v>46018</v>
      </c>
      <c r="B485" t="str">
        <f t="shared" si="7"/>
        <v>sábado</v>
      </c>
    </row>
    <row r="486" spans="1:2" ht="15">
      <c r="A486" s="601">
        <v>46019</v>
      </c>
      <c r="B486" t="str">
        <f t="shared" si="7"/>
        <v>domingo</v>
      </c>
    </row>
    <row r="487" spans="1:2" ht="15">
      <c r="A487" s="601">
        <v>46020</v>
      </c>
      <c r="B487" t="str">
        <f t="shared" si="7"/>
        <v>lunes</v>
      </c>
    </row>
    <row r="488" spans="1:2" ht="15">
      <c r="A488" s="601">
        <v>46021</v>
      </c>
      <c r="B488" t="str">
        <f t="shared" si="7"/>
        <v>martes</v>
      </c>
    </row>
    <row r="489" spans="1:2" ht="15">
      <c r="A489" s="601">
        <v>46022</v>
      </c>
      <c r="B489" t="str">
        <f t="shared" si="7"/>
        <v>miércoles</v>
      </c>
    </row>
    <row r="490" spans="1:2" ht="15">
      <c r="A490" s="601">
        <v>46023</v>
      </c>
      <c r="B490" t="str">
        <f t="shared" si="7"/>
        <v>jueves</v>
      </c>
    </row>
    <row r="491" spans="1:2" ht="15">
      <c r="A491" s="601">
        <v>46024</v>
      </c>
      <c r="B491" t="str">
        <f t="shared" si="7"/>
        <v>viernes</v>
      </c>
    </row>
    <row r="492" spans="1:2" ht="15">
      <c r="A492" s="601">
        <v>46025</v>
      </c>
      <c r="B492" t="str">
        <f t="shared" si="7"/>
        <v>sábado</v>
      </c>
    </row>
    <row r="493" spans="1:2" ht="15">
      <c r="A493" s="601">
        <v>46026</v>
      </c>
      <c r="B493" t="str">
        <f t="shared" si="7"/>
        <v>domingo</v>
      </c>
    </row>
    <row r="494" spans="1:2" ht="15">
      <c r="A494" s="601">
        <v>46027</v>
      </c>
      <c r="B494" t="str">
        <f t="shared" si="7"/>
        <v>lunes</v>
      </c>
    </row>
    <row r="495" spans="1:2" ht="15">
      <c r="A495" s="601">
        <v>46028</v>
      </c>
      <c r="B495" t="str">
        <f t="shared" si="7"/>
        <v>martes</v>
      </c>
    </row>
    <row r="496" spans="1:2" ht="15">
      <c r="A496" s="601">
        <v>46029</v>
      </c>
      <c r="B496" t="str">
        <f t="shared" si="7"/>
        <v>miércoles</v>
      </c>
    </row>
    <row r="497" spans="1:2" ht="15">
      <c r="A497" s="601">
        <v>46030</v>
      </c>
      <c r="B497" t="str">
        <f t="shared" si="7"/>
        <v>jueves</v>
      </c>
    </row>
    <row r="498" spans="1:2" ht="15">
      <c r="A498" s="601">
        <v>46031</v>
      </c>
      <c r="B498" t="str">
        <f t="shared" si="7"/>
        <v>viernes</v>
      </c>
    </row>
    <row r="499" spans="1:2" ht="15">
      <c r="A499" s="601">
        <v>46032</v>
      </c>
      <c r="B499" t="str">
        <f t="shared" si="7"/>
        <v>sábado</v>
      </c>
    </row>
    <row r="500" spans="1:2" ht="15">
      <c r="A500" s="601">
        <v>46033</v>
      </c>
      <c r="B500" t="str">
        <f t="shared" si="7"/>
        <v>domingo</v>
      </c>
    </row>
    <row r="501" spans="1:2" ht="15">
      <c r="A501" s="601">
        <v>46034</v>
      </c>
      <c r="B501" t="str">
        <f t="shared" si="7"/>
        <v>lunes</v>
      </c>
    </row>
    <row r="502" spans="1:2" ht="15">
      <c r="A502" s="601">
        <v>46035</v>
      </c>
      <c r="B502" t="str">
        <f t="shared" si="7"/>
        <v>martes</v>
      </c>
    </row>
    <row r="503" spans="1:2" ht="15">
      <c r="A503" s="601">
        <v>46036</v>
      </c>
      <c r="B503" t="str">
        <f t="shared" si="7"/>
        <v>miércoles</v>
      </c>
    </row>
    <row r="504" spans="1:2" ht="15">
      <c r="A504" s="601">
        <v>46037</v>
      </c>
      <c r="B504" t="str">
        <f t="shared" si="7"/>
        <v>jueves</v>
      </c>
    </row>
    <row r="505" spans="1:2" ht="15">
      <c r="A505" s="601">
        <v>46038</v>
      </c>
      <c r="B505" t="str">
        <f t="shared" si="7"/>
        <v>viernes</v>
      </c>
    </row>
    <row r="506" spans="1:2" ht="15">
      <c r="A506" s="601">
        <v>46039</v>
      </c>
      <c r="B506" t="str">
        <f t="shared" si="7"/>
        <v>sábado</v>
      </c>
    </row>
    <row r="507" spans="1:2" ht="15">
      <c r="A507" s="601">
        <v>46040</v>
      </c>
      <c r="B507" t="str">
        <f t="shared" si="7"/>
        <v>domingo</v>
      </c>
    </row>
    <row r="508" spans="1:2" ht="15">
      <c r="A508" s="601">
        <v>46041</v>
      </c>
      <c r="B508" t="str">
        <f t="shared" si="7"/>
        <v>lunes</v>
      </c>
    </row>
    <row r="509" spans="1:2" ht="15">
      <c r="A509" s="601">
        <v>46042</v>
      </c>
      <c r="B509" t="str">
        <f t="shared" si="7"/>
        <v>martes</v>
      </c>
    </row>
    <row r="510" spans="1:2" ht="15">
      <c r="A510" s="601">
        <v>46043</v>
      </c>
      <c r="B510" t="str">
        <f t="shared" si="7"/>
        <v>miércoles</v>
      </c>
    </row>
    <row r="511" spans="1:2" ht="15">
      <c r="A511" s="601">
        <v>46044</v>
      </c>
      <c r="B511" t="str">
        <f t="shared" si="7"/>
        <v>jueves</v>
      </c>
    </row>
    <row r="512" spans="1:2" ht="15">
      <c r="A512" s="601">
        <v>46045</v>
      </c>
      <c r="B512" t="str">
        <f t="shared" si="7"/>
        <v>viernes</v>
      </c>
    </row>
    <row r="513" spans="1:2" ht="15">
      <c r="A513" s="601">
        <v>46046</v>
      </c>
      <c r="B513" t="str">
        <f t="shared" si="7"/>
        <v>sábado</v>
      </c>
    </row>
    <row r="514" spans="1:2" ht="15">
      <c r="A514" s="601">
        <v>46047</v>
      </c>
      <c r="B514" t="str">
        <f t="shared" si="7"/>
        <v>domingo</v>
      </c>
    </row>
    <row r="515" spans="1:2" ht="15">
      <c r="A515" s="601">
        <v>46048</v>
      </c>
      <c r="B515" t="str">
        <f t="shared" ref="B515:B578" si="8">+TEXT(A515,"ddddddddd")</f>
        <v>lunes</v>
      </c>
    </row>
    <row r="516" spans="1:2" ht="15">
      <c r="A516" s="601">
        <v>46049</v>
      </c>
      <c r="B516" t="str">
        <f t="shared" si="8"/>
        <v>martes</v>
      </c>
    </row>
    <row r="517" spans="1:2" ht="15">
      <c r="A517" s="601">
        <v>46050</v>
      </c>
      <c r="B517" t="str">
        <f t="shared" si="8"/>
        <v>miércoles</v>
      </c>
    </row>
    <row r="518" spans="1:2" ht="15">
      <c r="A518" s="601">
        <v>46051</v>
      </c>
      <c r="B518" t="str">
        <f t="shared" si="8"/>
        <v>jueves</v>
      </c>
    </row>
    <row r="519" spans="1:2" ht="15">
      <c r="A519" s="601">
        <v>46052</v>
      </c>
      <c r="B519" t="str">
        <f t="shared" si="8"/>
        <v>viernes</v>
      </c>
    </row>
    <row r="520" spans="1:2" ht="15">
      <c r="A520" s="601">
        <v>46053</v>
      </c>
      <c r="B520" t="str">
        <f t="shared" si="8"/>
        <v>sábado</v>
      </c>
    </row>
    <row r="521" spans="1:2" ht="15">
      <c r="A521" s="601">
        <v>46054</v>
      </c>
      <c r="B521" t="str">
        <f t="shared" si="8"/>
        <v>domingo</v>
      </c>
    </row>
    <row r="522" spans="1:2" ht="15">
      <c r="A522" s="601">
        <v>46055</v>
      </c>
      <c r="B522" t="str">
        <f t="shared" si="8"/>
        <v>lunes</v>
      </c>
    </row>
    <row r="523" spans="1:2" ht="15">
      <c r="A523" s="601">
        <v>46056</v>
      </c>
      <c r="B523" t="str">
        <f t="shared" si="8"/>
        <v>martes</v>
      </c>
    </row>
    <row r="524" spans="1:2" ht="15">
      <c r="A524" s="601">
        <v>46057</v>
      </c>
      <c r="B524" t="str">
        <f t="shared" si="8"/>
        <v>miércoles</v>
      </c>
    </row>
    <row r="525" spans="1:2" ht="15">
      <c r="A525" s="601">
        <v>46058</v>
      </c>
      <c r="B525" t="str">
        <f t="shared" si="8"/>
        <v>jueves</v>
      </c>
    </row>
    <row r="526" spans="1:2" ht="15">
      <c r="A526" s="601">
        <v>46059</v>
      </c>
      <c r="B526" t="str">
        <f t="shared" si="8"/>
        <v>viernes</v>
      </c>
    </row>
    <row r="527" spans="1:2" ht="15">
      <c r="A527" s="601">
        <v>46060</v>
      </c>
      <c r="B527" t="str">
        <f t="shared" si="8"/>
        <v>sábado</v>
      </c>
    </row>
    <row r="528" spans="1:2" ht="15">
      <c r="A528" s="601">
        <v>46061</v>
      </c>
      <c r="B528" t="str">
        <f t="shared" si="8"/>
        <v>domingo</v>
      </c>
    </row>
    <row r="529" spans="1:2" ht="15">
      <c r="A529" s="601">
        <v>46062</v>
      </c>
      <c r="B529" t="str">
        <f t="shared" si="8"/>
        <v>lunes</v>
      </c>
    </row>
    <row r="530" spans="1:2" ht="15">
      <c r="A530" s="601">
        <v>46063</v>
      </c>
      <c r="B530" t="str">
        <f t="shared" si="8"/>
        <v>martes</v>
      </c>
    </row>
    <row r="531" spans="1:2" ht="15">
      <c r="A531" s="601">
        <v>46064</v>
      </c>
      <c r="B531" t="str">
        <f t="shared" si="8"/>
        <v>miércoles</v>
      </c>
    </row>
    <row r="532" spans="1:2" ht="15">
      <c r="A532" s="601">
        <v>46065</v>
      </c>
      <c r="B532" t="str">
        <f t="shared" si="8"/>
        <v>jueves</v>
      </c>
    </row>
    <row r="533" spans="1:2" ht="15">
      <c r="A533" s="601">
        <v>46066</v>
      </c>
      <c r="B533" t="str">
        <f t="shared" si="8"/>
        <v>viernes</v>
      </c>
    </row>
    <row r="534" spans="1:2" ht="15">
      <c r="A534" s="601">
        <v>46067</v>
      </c>
      <c r="B534" t="str">
        <f t="shared" si="8"/>
        <v>sábado</v>
      </c>
    </row>
    <row r="535" spans="1:2" ht="15">
      <c r="A535" s="601">
        <v>46068</v>
      </c>
      <c r="B535" t="str">
        <f t="shared" si="8"/>
        <v>domingo</v>
      </c>
    </row>
    <row r="536" spans="1:2" ht="15">
      <c r="A536" s="601">
        <v>46069</v>
      </c>
      <c r="B536" t="str">
        <f t="shared" si="8"/>
        <v>lunes</v>
      </c>
    </row>
    <row r="537" spans="1:2" ht="15">
      <c r="A537" s="601">
        <v>46070</v>
      </c>
      <c r="B537" t="str">
        <f t="shared" si="8"/>
        <v>martes</v>
      </c>
    </row>
    <row r="538" spans="1:2" ht="15">
      <c r="A538" s="601">
        <v>46071</v>
      </c>
      <c r="B538" t="str">
        <f t="shared" si="8"/>
        <v>miércoles</v>
      </c>
    </row>
    <row r="539" spans="1:2" ht="15">
      <c r="A539" s="601">
        <v>46072</v>
      </c>
      <c r="B539" t="str">
        <f t="shared" si="8"/>
        <v>jueves</v>
      </c>
    </row>
    <row r="540" spans="1:2" ht="15">
      <c r="A540" s="601">
        <v>46073</v>
      </c>
      <c r="B540" t="str">
        <f t="shared" si="8"/>
        <v>viernes</v>
      </c>
    </row>
    <row r="541" spans="1:2" ht="15">
      <c r="A541" s="601">
        <v>46074</v>
      </c>
      <c r="B541" t="str">
        <f t="shared" si="8"/>
        <v>sábado</v>
      </c>
    </row>
    <row r="542" spans="1:2" ht="15">
      <c r="A542" s="601">
        <v>46075</v>
      </c>
      <c r="B542" t="str">
        <f t="shared" si="8"/>
        <v>domingo</v>
      </c>
    </row>
    <row r="543" spans="1:2" ht="15">
      <c r="A543" s="601">
        <v>46076</v>
      </c>
      <c r="B543" t="str">
        <f t="shared" si="8"/>
        <v>lunes</v>
      </c>
    </row>
    <row r="544" spans="1:2" ht="15">
      <c r="A544" s="601">
        <v>46077</v>
      </c>
      <c r="B544" t="str">
        <f t="shared" si="8"/>
        <v>martes</v>
      </c>
    </row>
    <row r="545" spans="1:2" ht="15">
      <c r="A545" s="601">
        <v>46078</v>
      </c>
      <c r="B545" t="str">
        <f t="shared" si="8"/>
        <v>miércoles</v>
      </c>
    </row>
    <row r="546" spans="1:2" ht="15">
      <c r="A546" s="601">
        <v>46079</v>
      </c>
      <c r="B546" t="str">
        <f t="shared" si="8"/>
        <v>jueves</v>
      </c>
    </row>
    <row r="547" spans="1:2" ht="15">
      <c r="A547" s="601">
        <v>46080</v>
      </c>
      <c r="B547" t="str">
        <f t="shared" si="8"/>
        <v>viernes</v>
      </c>
    </row>
    <row r="548" spans="1:2" ht="15">
      <c r="A548" s="601">
        <v>46081</v>
      </c>
      <c r="B548" t="str">
        <f t="shared" si="8"/>
        <v>sábado</v>
      </c>
    </row>
    <row r="549" spans="1:2" ht="15">
      <c r="A549" s="601">
        <v>46082</v>
      </c>
      <c r="B549" t="str">
        <f t="shared" si="8"/>
        <v>domingo</v>
      </c>
    </row>
    <row r="550" spans="1:2" ht="15">
      <c r="A550" s="601">
        <v>46083</v>
      </c>
      <c r="B550" t="str">
        <f t="shared" si="8"/>
        <v>lunes</v>
      </c>
    </row>
    <row r="551" spans="1:2" ht="15">
      <c r="A551" s="601">
        <v>46084</v>
      </c>
      <c r="B551" t="str">
        <f t="shared" si="8"/>
        <v>martes</v>
      </c>
    </row>
    <row r="552" spans="1:2" ht="15">
      <c r="A552" s="601">
        <v>46085</v>
      </c>
      <c r="B552" t="str">
        <f t="shared" si="8"/>
        <v>miércoles</v>
      </c>
    </row>
    <row r="553" spans="1:2" ht="15">
      <c r="A553" s="601">
        <v>46086</v>
      </c>
      <c r="B553" t="str">
        <f t="shared" si="8"/>
        <v>jueves</v>
      </c>
    </row>
    <row r="554" spans="1:2" ht="15">
      <c r="A554" s="601">
        <v>46087</v>
      </c>
      <c r="B554" t="str">
        <f t="shared" si="8"/>
        <v>viernes</v>
      </c>
    </row>
    <row r="555" spans="1:2" ht="15">
      <c r="A555" s="601">
        <v>46088</v>
      </c>
      <c r="B555" t="str">
        <f t="shared" si="8"/>
        <v>sábado</v>
      </c>
    </row>
    <row r="556" spans="1:2" ht="15">
      <c r="A556" s="601">
        <v>46089</v>
      </c>
      <c r="B556" t="str">
        <f t="shared" si="8"/>
        <v>domingo</v>
      </c>
    </row>
    <row r="557" spans="1:2" ht="15">
      <c r="A557" s="601">
        <v>46090</v>
      </c>
      <c r="B557" t="str">
        <f t="shared" si="8"/>
        <v>lunes</v>
      </c>
    </row>
    <row r="558" spans="1:2" ht="15">
      <c r="A558" s="601">
        <v>46091</v>
      </c>
      <c r="B558" t="str">
        <f t="shared" si="8"/>
        <v>martes</v>
      </c>
    </row>
    <row r="559" spans="1:2" ht="15">
      <c r="A559" s="601">
        <v>46092</v>
      </c>
      <c r="B559" t="str">
        <f t="shared" si="8"/>
        <v>miércoles</v>
      </c>
    </row>
    <row r="560" spans="1:2" ht="15">
      <c r="A560" s="601">
        <v>46093</v>
      </c>
      <c r="B560" t="str">
        <f t="shared" si="8"/>
        <v>jueves</v>
      </c>
    </row>
    <row r="561" spans="1:2" ht="15">
      <c r="A561" s="601">
        <v>46094</v>
      </c>
      <c r="B561" t="str">
        <f t="shared" si="8"/>
        <v>viernes</v>
      </c>
    </row>
    <row r="562" spans="1:2" ht="15">
      <c r="A562" s="601">
        <v>46095</v>
      </c>
      <c r="B562" t="str">
        <f t="shared" si="8"/>
        <v>sábado</v>
      </c>
    </row>
    <row r="563" spans="1:2" ht="15">
      <c r="A563" s="601">
        <v>46096</v>
      </c>
      <c r="B563" t="str">
        <f t="shared" si="8"/>
        <v>domingo</v>
      </c>
    </row>
    <row r="564" spans="1:2" ht="15">
      <c r="A564" s="601">
        <v>46097</v>
      </c>
      <c r="B564" t="str">
        <f t="shared" si="8"/>
        <v>lunes</v>
      </c>
    </row>
    <row r="565" spans="1:2" ht="15">
      <c r="A565" s="601">
        <v>46098</v>
      </c>
      <c r="B565" t="str">
        <f t="shared" si="8"/>
        <v>martes</v>
      </c>
    </row>
    <row r="566" spans="1:2" ht="15">
      <c r="A566" s="601">
        <v>46099</v>
      </c>
      <c r="B566" t="str">
        <f t="shared" si="8"/>
        <v>miércoles</v>
      </c>
    </row>
    <row r="567" spans="1:2" ht="15">
      <c r="A567" s="601">
        <v>46100</v>
      </c>
      <c r="B567" t="str">
        <f t="shared" si="8"/>
        <v>jueves</v>
      </c>
    </row>
    <row r="568" spans="1:2" ht="15">
      <c r="A568" s="601">
        <v>46101</v>
      </c>
      <c r="B568" t="str">
        <f t="shared" si="8"/>
        <v>viernes</v>
      </c>
    </row>
    <row r="569" spans="1:2" ht="15">
      <c r="A569" s="601">
        <v>46102</v>
      </c>
      <c r="B569" t="str">
        <f t="shared" si="8"/>
        <v>sábado</v>
      </c>
    </row>
    <row r="570" spans="1:2" ht="15">
      <c r="A570" s="601">
        <v>46103</v>
      </c>
      <c r="B570" t="str">
        <f t="shared" si="8"/>
        <v>domingo</v>
      </c>
    </row>
    <row r="571" spans="1:2" ht="15">
      <c r="A571" s="601">
        <v>46104</v>
      </c>
      <c r="B571" t="str">
        <f t="shared" si="8"/>
        <v>lunes</v>
      </c>
    </row>
    <row r="572" spans="1:2" ht="15">
      <c r="A572" s="601">
        <v>46105</v>
      </c>
      <c r="B572" t="str">
        <f t="shared" si="8"/>
        <v>martes</v>
      </c>
    </row>
    <row r="573" spans="1:2" ht="15">
      <c r="A573" s="601">
        <v>46106</v>
      </c>
      <c r="B573" t="str">
        <f t="shared" si="8"/>
        <v>miércoles</v>
      </c>
    </row>
    <row r="574" spans="1:2" ht="15">
      <c r="A574" s="601">
        <v>46107</v>
      </c>
      <c r="B574" t="str">
        <f t="shared" si="8"/>
        <v>jueves</v>
      </c>
    </row>
    <row r="575" spans="1:2" ht="15">
      <c r="A575" s="601">
        <v>46108</v>
      </c>
      <c r="B575" t="str">
        <f t="shared" si="8"/>
        <v>viernes</v>
      </c>
    </row>
    <row r="576" spans="1:2" ht="15">
      <c r="A576" s="601">
        <v>46109</v>
      </c>
      <c r="B576" t="str">
        <f t="shared" si="8"/>
        <v>sábado</v>
      </c>
    </row>
    <row r="577" spans="1:2" ht="15">
      <c r="A577" s="601">
        <v>46110</v>
      </c>
      <c r="B577" t="str">
        <f t="shared" si="8"/>
        <v>domingo</v>
      </c>
    </row>
    <row r="578" spans="1:2" ht="15">
      <c r="A578" s="601">
        <v>46111</v>
      </c>
      <c r="B578" t="str">
        <f t="shared" si="8"/>
        <v>lunes</v>
      </c>
    </row>
    <row r="579" spans="1:2" ht="15">
      <c r="A579" s="601">
        <v>46112</v>
      </c>
      <c r="B579" t="str">
        <f t="shared" ref="B579:B642" si="9">+TEXT(A579,"ddddddddd")</f>
        <v>martes</v>
      </c>
    </row>
    <row r="580" spans="1:2" ht="15">
      <c r="A580" s="601">
        <v>46113</v>
      </c>
      <c r="B580" t="str">
        <f t="shared" si="9"/>
        <v>miércoles</v>
      </c>
    </row>
    <row r="581" spans="1:2" ht="15">
      <c r="A581" s="601">
        <v>46114</v>
      </c>
      <c r="B581" t="str">
        <f t="shared" si="9"/>
        <v>jueves</v>
      </c>
    </row>
    <row r="582" spans="1:2" ht="15">
      <c r="A582" s="601">
        <v>46115</v>
      </c>
      <c r="B582" t="str">
        <f t="shared" si="9"/>
        <v>viernes</v>
      </c>
    </row>
    <row r="583" spans="1:2" ht="15">
      <c r="A583" s="601">
        <v>46116</v>
      </c>
      <c r="B583" t="str">
        <f t="shared" si="9"/>
        <v>sábado</v>
      </c>
    </row>
    <row r="584" spans="1:2" ht="15">
      <c r="A584" s="601">
        <v>46117</v>
      </c>
      <c r="B584" t="str">
        <f t="shared" si="9"/>
        <v>domingo</v>
      </c>
    </row>
    <row r="585" spans="1:2" ht="15">
      <c r="A585" s="601">
        <v>46118</v>
      </c>
      <c r="B585" t="str">
        <f t="shared" si="9"/>
        <v>lunes</v>
      </c>
    </row>
    <row r="586" spans="1:2" ht="15">
      <c r="A586" s="601">
        <v>46119</v>
      </c>
      <c r="B586" t="str">
        <f t="shared" si="9"/>
        <v>martes</v>
      </c>
    </row>
    <row r="587" spans="1:2" ht="15">
      <c r="A587" s="601">
        <v>46120</v>
      </c>
      <c r="B587" t="str">
        <f t="shared" si="9"/>
        <v>miércoles</v>
      </c>
    </row>
    <row r="588" spans="1:2" ht="15">
      <c r="A588" s="601">
        <v>46121</v>
      </c>
      <c r="B588" t="str">
        <f t="shared" si="9"/>
        <v>jueves</v>
      </c>
    </row>
    <row r="589" spans="1:2" ht="15">
      <c r="A589" s="601">
        <v>46122</v>
      </c>
      <c r="B589" t="str">
        <f t="shared" si="9"/>
        <v>viernes</v>
      </c>
    </row>
    <row r="590" spans="1:2" ht="15">
      <c r="A590" s="601">
        <v>46123</v>
      </c>
      <c r="B590" t="str">
        <f t="shared" si="9"/>
        <v>sábado</v>
      </c>
    </row>
    <row r="591" spans="1:2" ht="15">
      <c r="A591" s="601">
        <v>46124</v>
      </c>
      <c r="B591" t="str">
        <f t="shared" si="9"/>
        <v>domingo</v>
      </c>
    </row>
    <row r="592" spans="1:2" ht="15">
      <c r="A592" s="601">
        <v>46125</v>
      </c>
      <c r="B592" t="str">
        <f t="shared" si="9"/>
        <v>lunes</v>
      </c>
    </row>
    <row r="593" spans="1:2" ht="15">
      <c r="A593" s="601">
        <v>46126</v>
      </c>
      <c r="B593" t="str">
        <f t="shared" si="9"/>
        <v>martes</v>
      </c>
    </row>
    <row r="594" spans="1:2" ht="15">
      <c r="A594" s="601">
        <v>46127</v>
      </c>
      <c r="B594" t="str">
        <f t="shared" si="9"/>
        <v>miércoles</v>
      </c>
    </row>
    <row r="595" spans="1:2" ht="15">
      <c r="A595" s="601">
        <v>46128</v>
      </c>
      <c r="B595" t="str">
        <f t="shared" si="9"/>
        <v>jueves</v>
      </c>
    </row>
    <row r="596" spans="1:2" ht="15">
      <c r="A596" s="601">
        <v>46129</v>
      </c>
      <c r="B596" t="str">
        <f t="shared" si="9"/>
        <v>viernes</v>
      </c>
    </row>
    <row r="597" spans="1:2" ht="15">
      <c r="A597" s="601">
        <v>46130</v>
      </c>
      <c r="B597" t="str">
        <f t="shared" si="9"/>
        <v>sábado</v>
      </c>
    </row>
    <row r="598" spans="1:2" ht="15">
      <c r="A598" s="601">
        <v>46131</v>
      </c>
      <c r="B598" t="str">
        <f t="shared" si="9"/>
        <v>domingo</v>
      </c>
    </row>
    <row r="599" spans="1:2" ht="15">
      <c r="A599" s="601">
        <v>46132</v>
      </c>
      <c r="B599" t="str">
        <f t="shared" si="9"/>
        <v>lunes</v>
      </c>
    </row>
    <row r="600" spans="1:2" ht="15">
      <c r="A600" s="601">
        <v>46133</v>
      </c>
      <c r="B600" t="str">
        <f t="shared" si="9"/>
        <v>martes</v>
      </c>
    </row>
    <row r="601" spans="1:2" ht="15">
      <c r="A601" s="601">
        <v>46134</v>
      </c>
      <c r="B601" t="str">
        <f t="shared" si="9"/>
        <v>miércoles</v>
      </c>
    </row>
    <row r="602" spans="1:2" ht="15">
      <c r="A602" s="601">
        <v>46135</v>
      </c>
      <c r="B602" t="str">
        <f t="shared" si="9"/>
        <v>jueves</v>
      </c>
    </row>
    <row r="603" spans="1:2" ht="15">
      <c r="A603" s="601">
        <v>46136</v>
      </c>
      <c r="B603" t="str">
        <f t="shared" si="9"/>
        <v>viernes</v>
      </c>
    </row>
    <row r="604" spans="1:2" ht="15">
      <c r="A604" s="601">
        <v>46137</v>
      </c>
      <c r="B604" t="str">
        <f t="shared" si="9"/>
        <v>sábado</v>
      </c>
    </row>
    <row r="605" spans="1:2" ht="15">
      <c r="A605" s="601">
        <v>46138</v>
      </c>
      <c r="B605" t="str">
        <f t="shared" si="9"/>
        <v>domingo</v>
      </c>
    </row>
    <row r="606" spans="1:2" ht="15">
      <c r="A606" s="601">
        <v>46139</v>
      </c>
      <c r="B606" t="str">
        <f t="shared" si="9"/>
        <v>lunes</v>
      </c>
    </row>
    <row r="607" spans="1:2" ht="15">
      <c r="A607" s="601">
        <v>46140</v>
      </c>
      <c r="B607" t="str">
        <f t="shared" si="9"/>
        <v>martes</v>
      </c>
    </row>
    <row r="608" spans="1:2" ht="15">
      <c r="A608" s="601">
        <v>46141</v>
      </c>
      <c r="B608" t="str">
        <f t="shared" si="9"/>
        <v>miércoles</v>
      </c>
    </row>
    <row r="609" spans="1:2" ht="15">
      <c r="A609" s="601">
        <v>46142</v>
      </c>
      <c r="B609" t="str">
        <f t="shared" si="9"/>
        <v>jueves</v>
      </c>
    </row>
    <row r="610" spans="1:2" ht="15">
      <c r="A610" s="601">
        <v>46143</v>
      </c>
      <c r="B610" t="str">
        <f t="shared" si="9"/>
        <v>viernes</v>
      </c>
    </row>
    <row r="611" spans="1:2" ht="15">
      <c r="A611" s="601">
        <v>46144</v>
      </c>
      <c r="B611" t="str">
        <f t="shared" si="9"/>
        <v>sábado</v>
      </c>
    </row>
    <row r="612" spans="1:2" ht="15">
      <c r="A612" s="601">
        <v>46145</v>
      </c>
      <c r="B612" t="str">
        <f t="shared" si="9"/>
        <v>domingo</v>
      </c>
    </row>
    <row r="613" spans="1:2" ht="15">
      <c r="A613" s="601">
        <v>46146</v>
      </c>
      <c r="B613" t="str">
        <f t="shared" si="9"/>
        <v>lunes</v>
      </c>
    </row>
    <row r="614" spans="1:2" ht="15">
      <c r="A614" s="601">
        <v>46147</v>
      </c>
      <c r="B614" t="str">
        <f t="shared" si="9"/>
        <v>martes</v>
      </c>
    </row>
    <row r="615" spans="1:2" ht="15">
      <c r="A615" s="601">
        <v>46148</v>
      </c>
      <c r="B615" t="str">
        <f t="shared" si="9"/>
        <v>miércoles</v>
      </c>
    </row>
    <row r="616" spans="1:2" ht="15">
      <c r="A616" s="601">
        <v>46149</v>
      </c>
      <c r="B616" t="str">
        <f t="shared" si="9"/>
        <v>jueves</v>
      </c>
    </row>
    <row r="617" spans="1:2" ht="15">
      <c r="A617" s="601">
        <v>46150</v>
      </c>
      <c r="B617" t="str">
        <f t="shared" si="9"/>
        <v>viernes</v>
      </c>
    </row>
    <row r="618" spans="1:2" ht="15">
      <c r="A618" s="601">
        <v>46151</v>
      </c>
      <c r="B618" t="str">
        <f t="shared" si="9"/>
        <v>sábado</v>
      </c>
    </row>
    <row r="619" spans="1:2" ht="15">
      <c r="A619" s="601">
        <v>46152</v>
      </c>
      <c r="B619" t="str">
        <f t="shared" si="9"/>
        <v>domingo</v>
      </c>
    </row>
    <row r="620" spans="1:2" ht="15">
      <c r="A620" s="601">
        <v>46153</v>
      </c>
      <c r="B620" t="str">
        <f t="shared" si="9"/>
        <v>lunes</v>
      </c>
    </row>
    <row r="621" spans="1:2" ht="15">
      <c r="A621" s="601">
        <v>46154</v>
      </c>
      <c r="B621" t="str">
        <f t="shared" si="9"/>
        <v>martes</v>
      </c>
    </row>
    <row r="622" spans="1:2" ht="15">
      <c r="A622" s="601">
        <v>46155</v>
      </c>
      <c r="B622" t="str">
        <f t="shared" si="9"/>
        <v>miércoles</v>
      </c>
    </row>
    <row r="623" spans="1:2" ht="15">
      <c r="A623" s="601">
        <v>46156</v>
      </c>
      <c r="B623" t="str">
        <f t="shared" si="9"/>
        <v>jueves</v>
      </c>
    </row>
    <row r="624" spans="1:2" ht="15">
      <c r="A624" s="601">
        <v>46157</v>
      </c>
      <c r="B624" t="str">
        <f t="shared" si="9"/>
        <v>viernes</v>
      </c>
    </row>
    <row r="625" spans="1:2" ht="15">
      <c r="A625" s="601">
        <v>46158</v>
      </c>
      <c r="B625" t="str">
        <f t="shared" si="9"/>
        <v>sábado</v>
      </c>
    </row>
    <row r="626" spans="1:2" ht="15">
      <c r="A626" s="601">
        <v>46159</v>
      </c>
      <c r="B626" t="str">
        <f t="shared" si="9"/>
        <v>domingo</v>
      </c>
    </row>
    <row r="627" spans="1:2" ht="15">
      <c r="A627" s="601">
        <v>46160</v>
      </c>
      <c r="B627" t="str">
        <f t="shared" si="9"/>
        <v>lunes</v>
      </c>
    </row>
    <row r="628" spans="1:2" ht="15">
      <c r="A628" s="601">
        <v>46161</v>
      </c>
      <c r="B628" t="str">
        <f t="shared" si="9"/>
        <v>martes</v>
      </c>
    </row>
    <row r="629" spans="1:2" ht="15">
      <c r="A629" s="601">
        <v>46162</v>
      </c>
      <c r="B629" t="str">
        <f t="shared" si="9"/>
        <v>miércoles</v>
      </c>
    </row>
    <row r="630" spans="1:2" ht="15">
      <c r="A630" s="601">
        <v>46163</v>
      </c>
      <c r="B630" t="str">
        <f t="shared" si="9"/>
        <v>jueves</v>
      </c>
    </row>
    <row r="631" spans="1:2" ht="15">
      <c r="A631" s="601">
        <v>46164</v>
      </c>
      <c r="B631" t="str">
        <f t="shared" si="9"/>
        <v>viernes</v>
      </c>
    </row>
    <row r="632" spans="1:2" ht="15">
      <c r="A632" s="601">
        <v>46165</v>
      </c>
      <c r="B632" t="str">
        <f t="shared" si="9"/>
        <v>sábado</v>
      </c>
    </row>
    <row r="633" spans="1:2" ht="15">
      <c r="A633" s="601">
        <v>46166</v>
      </c>
      <c r="B633" t="str">
        <f t="shared" si="9"/>
        <v>domingo</v>
      </c>
    </row>
    <row r="634" spans="1:2" ht="15">
      <c r="A634" s="601">
        <v>46167</v>
      </c>
      <c r="B634" t="str">
        <f t="shared" si="9"/>
        <v>lunes</v>
      </c>
    </row>
    <row r="635" spans="1:2" ht="15">
      <c r="A635" s="601">
        <v>46168</v>
      </c>
      <c r="B635" t="str">
        <f t="shared" si="9"/>
        <v>martes</v>
      </c>
    </row>
    <row r="636" spans="1:2" ht="15">
      <c r="A636" s="601">
        <v>46169</v>
      </c>
      <c r="B636" t="str">
        <f t="shared" si="9"/>
        <v>miércoles</v>
      </c>
    </row>
    <row r="637" spans="1:2" ht="15">
      <c r="A637" s="601">
        <v>46170</v>
      </c>
      <c r="B637" t="str">
        <f t="shared" si="9"/>
        <v>jueves</v>
      </c>
    </row>
    <row r="638" spans="1:2" ht="15">
      <c r="A638" s="601">
        <v>46171</v>
      </c>
      <c r="B638" t="str">
        <f t="shared" si="9"/>
        <v>viernes</v>
      </c>
    </row>
    <row r="639" spans="1:2" ht="15">
      <c r="A639" s="601">
        <v>46172</v>
      </c>
      <c r="B639" t="str">
        <f t="shared" si="9"/>
        <v>sábado</v>
      </c>
    </row>
    <row r="640" spans="1:2" ht="15">
      <c r="A640" s="601">
        <v>46173</v>
      </c>
      <c r="B640" t="str">
        <f t="shared" si="9"/>
        <v>domingo</v>
      </c>
    </row>
    <row r="641" spans="1:2" ht="15">
      <c r="A641" s="601">
        <v>46174</v>
      </c>
      <c r="B641" t="str">
        <f t="shared" si="9"/>
        <v>lunes</v>
      </c>
    </row>
    <row r="642" spans="1:2" ht="15">
      <c r="A642" s="601">
        <v>46175</v>
      </c>
      <c r="B642" t="str">
        <f t="shared" si="9"/>
        <v>martes</v>
      </c>
    </row>
    <row r="643" spans="1:2" ht="15">
      <c r="A643" s="601">
        <v>46176</v>
      </c>
      <c r="B643" t="str">
        <f t="shared" ref="B643:B706" si="10">+TEXT(A643,"ddddddddd")</f>
        <v>miércoles</v>
      </c>
    </row>
    <row r="644" spans="1:2" ht="15">
      <c r="A644" s="601">
        <v>46177</v>
      </c>
      <c r="B644" t="str">
        <f t="shared" si="10"/>
        <v>jueves</v>
      </c>
    </row>
    <row r="645" spans="1:2" ht="15">
      <c r="A645" s="601">
        <v>46178</v>
      </c>
      <c r="B645" t="str">
        <f t="shared" si="10"/>
        <v>viernes</v>
      </c>
    </row>
    <row r="646" spans="1:2" ht="15">
      <c r="A646" s="601">
        <v>46179</v>
      </c>
      <c r="B646" t="str">
        <f t="shared" si="10"/>
        <v>sábado</v>
      </c>
    </row>
    <row r="647" spans="1:2" ht="15">
      <c r="A647" s="601">
        <v>46180</v>
      </c>
      <c r="B647" t="str">
        <f t="shared" si="10"/>
        <v>domingo</v>
      </c>
    </row>
    <row r="648" spans="1:2" ht="15">
      <c r="A648" s="601">
        <v>46181</v>
      </c>
      <c r="B648" t="str">
        <f t="shared" si="10"/>
        <v>lunes</v>
      </c>
    </row>
    <row r="649" spans="1:2" ht="15">
      <c r="A649" s="601">
        <v>46182</v>
      </c>
      <c r="B649" t="str">
        <f t="shared" si="10"/>
        <v>martes</v>
      </c>
    </row>
    <row r="650" spans="1:2" ht="15">
      <c r="A650" s="601">
        <v>46183</v>
      </c>
      <c r="B650" t="str">
        <f t="shared" si="10"/>
        <v>miércoles</v>
      </c>
    </row>
    <row r="651" spans="1:2" ht="15">
      <c r="A651" s="601">
        <v>46184</v>
      </c>
      <c r="B651" t="str">
        <f t="shared" si="10"/>
        <v>jueves</v>
      </c>
    </row>
    <row r="652" spans="1:2" ht="15">
      <c r="A652" s="601">
        <v>46185</v>
      </c>
      <c r="B652" t="str">
        <f t="shared" si="10"/>
        <v>viernes</v>
      </c>
    </row>
    <row r="653" spans="1:2" ht="15">
      <c r="A653" s="601">
        <v>46186</v>
      </c>
      <c r="B653" t="str">
        <f t="shared" si="10"/>
        <v>sábado</v>
      </c>
    </row>
    <row r="654" spans="1:2" ht="15">
      <c r="A654" s="601">
        <v>46187</v>
      </c>
      <c r="B654" t="str">
        <f t="shared" si="10"/>
        <v>domingo</v>
      </c>
    </row>
    <row r="655" spans="1:2" ht="15">
      <c r="A655" s="601">
        <v>46188</v>
      </c>
      <c r="B655" t="str">
        <f t="shared" si="10"/>
        <v>lunes</v>
      </c>
    </row>
    <row r="656" spans="1:2" ht="15">
      <c r="A656" s="601">
        <v>46189</v>
      </c>
      <c r="B656" t="str">
        <f t="shared" si="10"/>
        <v>martes</v>
      </c>
    </row>
    <row r="657" spans="1:2" ht="15">
      <c r="A657" s="601">
        <v>46190</v>
      </c>
      <c r="B657" t="str">
        <f t="shared" si="10"/>
        <v>miércoles</v>
      </c>
    </row>
    <row r="658" spans="1:2" ht="15">
      <c r="A658" s="601">
        <v>46191</v>
      </c>
      <c r="B658" t="str">
        <f t="shared" si="10"/>
        <v>jueves</v>
      </c>
    </row>
    <row r="659" spans="1:2" ht="15">
      <c r="A659" s="601">
        <v>46192</v>
      </c>
      <c r="B659" t="str">
        <f t="shared" si="10"/>
        <v>viernes</v>
      </c>
    </row>
    <row r="660" spans="1:2" ht="15">
      <c r="A660" s="601">
        <v>46193</v>
      </c>
      <c r="B660" t="str">
        <f t="shared" si="10"/>
        <v>sábado</v>
      </c>
    </row>
    <row r="661" spans="1:2" ht="15">
      <c r="A661" s="601">
        <v>46194</v>
      </c>
      <c r="B661" t="str">
        <f t="shared" si="10"/>
        <v>domingo</v>
      </c>
    </row>
    <row r="662" spans="1:2" ht="15">
      <c r="A662" s="601">
        <v>46195</v>
      </c>
      <c r="B662" t="str">
        <f t="shared" si="10"/>
        <v>lunes</v>
      </c>
    </row>
    <row r="663" spans="1:2" ht="15">
      <c r="A663" s="601">
        <v>46196</v>
      </c>
      <c r="B663" t="str">
        <f t="shared" si="10"/>
        <v>martes</v>
      </c>
    </row>
    <row r="664" spans="1:2" ht="15">
      <c r="A664" s="601">
        <v>46197</v>
      </c>
      <c r="B664" t="str">
        <f t="shared" si="10"/>
        <v>miércoles</v>
      </c>
    </row>
    <row r="665" spans="1:2" ht="15">
      <c r="A665" s="601">
        <v>46198</v>
      </c>
      <c r="B665" t="str">
        <f t="shared" si="10"/>
        <v>jueves</v>
      </c>
    </row>
    <row r="666" spans="1:2" ht="15">
      <c r="A666" s="601">
        <v>46199</v>
      </c>
      <c r="B666" t="str">
        <f t="shared" si="10"/>
        <v>viernes</v>
      </c>
    </row>
    <row r="667" spans="1:2" ht="15">
      <c r="A667" s="601">
        <v>46200</v>
      </c>
      <c r="B667" t="str">
        <f t="shared" si="10"/>
        <v>sábado</v>
      </c>
    </row>
    <row r="668" spans="1:2" ht="15">
      <c r="A668" s="601">
        <v>46201</v>
      </c>
      <c r="B668" t="str">
        <f t="shared" si="10"/>
        <v>domingo</v>
      </c>
    </row>
    <row r="669" spans="1:2" ht="15">
      <c r="A669" s="601">
        <v>46202</v>
      </c>
      <c r="B669" t="str">
        <f t="shared" si="10"/>
        <v>lunes</v>
      </c>
    </row>
    <row r="670" spans="1:2" ht="15">
      <c r="A670" s="601">
        <v>46203</v>
      </c>
      <c r="B670" t="str">
        <f t="shared" si="10"/>
        <v>martes</v>
      </c>
    </row>
    <row r="671" spans="1:2" ht="15">
      <c r="A671" s="601">
        <v>46204</v>
      </c>
      <c r="B671" t="str">
        <f t="shared" si="10"/>
        <v>miércoles</v>
      </c>
    </row>
    <row r="672" spans="1:2" ht="15">
      <c r="A672" s="601">
        <v>46205</v>
      </c>
      <c r="B672" t="str">
        <f t="shared" si="10"/>
        <v>jueves</v>
      </c>
    </row>
    <row r="673" spans="1:2" ht="15">
      <c r="A673" s="601">
        <v>46206</v>
      </c>
      <c r="B673" t="str">
        <f t="shared" si="10"/>
        <v>viernes</v>
      </c>
    </row>
    <row r="674" spans="1:2" ht="15">
      <c r="A674" s="601">
        <v>46207</v>
      </c>
      <c r="B674" t="str">
        <f t="shared" si="10"/>
        <v>sábado</v>
      </c>
    </row>
    <row r="675" spans="1:2" ht="15">
      <c r="A675" s="601">
        <v>46208</v>
      </c>
      <c r="B675" t="str">
        <f t="shared" si="10"/>
        <v>domingo</v>
      </c>
    </row>
    <row r="676" spans="1:2" ht="15">
      <c r="A676" s="601">
        <v>46209</v>
      </c>
      <c r="B676" t="str">
        <f t="shared" si="10"/>
        <v>lunes</v>
      </c>
    </row>
    <row r="677" spans="1:2" ht="15">
      <c r="A677" s="601">
        <v>46210</v>
      </c>
      <c r="B677" t="str">
        <f t="shared" si="10"/>
        <v>martes</v>
      </c>
    </row>
    <row r="678" spans="1:2" ht="15">
      <c r="A678" s="601">
        <v>46211</v>
      </c>
      <c r="B678" t="str">
        <f t="shared" si="10"/>
        <v>miércoles</v>
      </c>
    </row>
    <row r="679" spans="1:2" ht="15">
      <c r="A679" s="601">
        <v>46212</v>
      </c>
      <c r="B679" t="str">
        <f t="shared" si="10"/>
        <v>jueves</v>
      </c>
    </row>
    <row r="680" spans="1:2" ht="15">
      <c r="A680" s="601">
        <v>46213</v>
      </c>
      <c r="B680" t="str">
        <f t="shared" si="10"/>
        <v>viernes</v>
      </c>
    </row>
    <row r="681" spans="1:2" ht="15">
      <c r="A681" s="601">
        <v>46214</v>
      </c>
      <c r="B681" t="str">
        <f t="shared" si="10"/>
        <v>sábado</v>
      </c>
    </row>
    <row r="682" spans="1:2" ht="15">
      <c r="A682" s="601">
        <v>46215</v>
      </c>
      <c r="B682" t="str">
        <f t="shared" si="10"/>
        <v>domingo</v>
      </c>
    </row>
    <row r="683" spans="1:2" ht="15">
      <c r="A683" s="601">
        <v>46216</v>
      </c>
      <c r="B683" t="str">
        <f t="shared" si="10"/>
        <v>lunes</v>
      </c>
    </row>
    <row r="684" spans="1:2" ht="15">
      <c r="A684" s="601">
        <v>46217</v>
      </c>
      <c r="B684" t="str">
        <f t="shared" si="10"/>
        <v>martes</v>
      </c>
    </row>
    <row r="685" spans="1:2" ht="15">
      <c r="A685" s="601">
        <v>46218</v>
      </c>
      <c r="B685" t="str">
        <f t="shared" si="10"/>
        <v>miércoles</v>
      </c>
    </row>
    <row r="686" spans="1:2" ht="15">
      <c r="A686" s="601">
        <v>46219</v>
      </c>
      <c r="B686" t="str">
        <f t="shared" si="10"/>
        <v>jueves</v>
      </c>
    </row>
    <row r="687" spans="1:2" ht="15">
      <c r="A687" s="601">
        <v>46220</v>
      </c>
      <c r="B687" t="str">
        <f t="shared" si="10"/>
        <v>viernes</v>
      </c>
    </row>
    <row r="688" spans="1:2" ht="15">
      <c r="A688" s="601">
        <v>46221</v>
      </c>
      <c r="B688" t="str">
        <f t="shared" si="10"/>
        <v>sábado</v>
      </c>
    </row>
    <row r="689" spans="1:2" ht="15">
      <c r="A689" s="601">
        <v>46222</v>
      </c>
      <c r="B689" t="str">
        <f t="shared" si="10"/>
        <v>domingo</v>
      </c>
    </row>
    <row r="690" spans="1:2" ht="15">
      <c r="A690" s="601">
        <v>46223</v>
      </c>
      <c r="B690" t="str">
        <f t="shared" si="10"/>
        <v>lunes</v>
      </c>
    </row>
    <row r="691" spans="1:2" ht="15">
      <c r="A691" s="601">
        <v>46224</v>
      </c>
      <c r="B691" t="str">
        <f t="shared" si="10"/>
        <v>martes</v>
      </c>
    </row>
    <row r="692" spans="1:2" ht="15">
      <c r="A692" s="601">
        <v>46225</v>
      </c>
      <c r="B692" t="str">
        <f t="shared" si="10"/>
        <v>miércoles</v>
      </c>
    </row>
    <row r="693" spans="1:2" ht="15">
      <c r="A693" s="601">
        <v>46226</v>
      </c>
      <c r="B693" t="str">
        <f t="shared" si="10"/>
        <v>jueves</v>
      </c>
    </row>
    <row r="694" spans="1:2" ht="15">
      <c r="A694" s="601">
        <v>46227</v>
      </c>
      <c r="B694" t="str">
        <f t="shared" si="10"/>
        <v>viernes</v>
      </c>
    </row>
    <row r="695" spans="1:2" ht="15">
      <c r="A695" s="601">
        <v>46228</v>
      </c>
      <c r="B695" t="str">
        <f t="shared" si="10"/>
        <v>sábado</v>
      </c>
    </row>
    <row r="696" spans="1:2" ht="15">
      <c r="A696" s="601">
        <v>46229</v>
      </c>
      <c r="B696" t="str">
        <f t="shared" si="10"/>
        <v>domingo</v>
      </c>
    </row>
    <row r="697" spans="1:2" ht="15">
      <c r="A697" s="601">
        <v>46230</v>
      </c>
      <c r="B697" t="str">
        <f t="shared" si="10"/>
        <v>lunes</v>
      </c>
    </row>
    <row r="698" spans="1:2" ht="15">
      <c r="A698" s="601">
        <v>46231</v>
      </c>
      <c r="B698" t="str">
        <f t="shared" si="10"/>
        <v>martes</v>
      </c>
    </row>
    <row r="699" spans="1:2" ht="15">
      <c r="A699" s="601">
        <v>46232</v>
      </c>
      <c r="B699" t="str">
        <f t="shared" si="10"/>
        <v>miércoles</v>
      </c>
    </row>
    <row r="700" spans="1:2" ht="15">
      <c r="A700" s="601">
        <v>46233</v>
      </c>
      <c r="B700" t="str">
        <f t="shared" si="10"/>
        <v>jueves</v>
      </c>
    </row>
    <row r="701" spans="1:2" ht="15">
      <c r="A701" s="601">
        <v>46234</v>
      </c>
      <c r="B701" t="str">
        <f t="shared" si="10"/>
        <v>viernes</v>
      </c>
    </row>
    <row r="702" spans="1:2" ht="15">
      <c r="A702" s="601">
        <v>46235</v>
      </c>
      <c r="B702" t="str">
        <f t="shared" si="10"/>
        <v>sábado</v>
      </c>
    </row>
    <row r="703" spans="1:2" ht="15">
      <c r="A703" s="601">
        <v>46236</v>
      </c>
      <c r="B703" t="str">
        <f t="shared" si="10"/>
        <v>domingo</v>
      </c>
    </row>
    <row r="704" spans="1:2" ht="15">
      <c r="A704" s="601">
        <v>46237</v>
      </c>
      <c r="B704" t="str">
        <f t="shared" si="10"/>
        <v>lunes</v>
      </c>
    </row>
    <row r="705" spans="1:2" ht="15">
      <c r="A705" s="601">
        <v>46238</v>
      </c>
      <c r="B705" t="str">
        <f t="shared" si="10"/>
        <v>martes</v>
      </c>
    </row>
    <row r="706" spans="1:2" ht="15">
      <c r="A706" s="601">
        <v>46239</v>
      </c>
      <c r="B706" t="str">
        <f t="shared" si="10"/>
        <v>miércoles</v>
      </c>
    </row>
    <row r="707" spans="1:2" ht="15">
      <c r="A707" s="601">
        <v>46240</v>
      </c>
      <c r="B707" t="str">
        <f t="shared" ref="B707:B770" si="11">+TEXT(A707,"ddddddddd")</f>
        <v>jueves</v>
      </c>
    </row>
    <row r="708" spans="1:2" ht="15">
      <c r="A708" s="601">
        <v>46241</v>
      </c>
      <c r="B708" t="str">
        <f t="shared" si="11"/>
        <v>viernes</v>
      </c>
    </row>
    <row r="709" spans="1:2" ht="15">
      <c r="A709" s="601">
        <v>46242</v>
      </c>
      <c r="B709" t="str">
        <f t="shared" si="11"/>
        <v>sábado</v>
      </c>
    </row>
    <row r="710" spans="1:2" ht="15">
      <c r="A710" s="601">
        <v>46243</v>
      </c>
      <c r="B710" t="str">
        <f t="shared" si="11"/>
        <v>domingo</v>
      </c>
    </row>
    <row r="711" spans="1:2" ht="15">
      <c r="A711" s="601">
        <v>46244</v>
      </c>
      <c r="B711" t="str">
        <f t="shared" si="11"/>
        <v>lunes</v>
      </c>
    </row>
    <row r="712" spans="1:2" ht="15">
      <c r="A712" s="601">
        <v>46245</v>
      </c>
      <c r="B712" t="str">
        <f t="shared" si="11"/>
        <v>martes</v>
      </c>
    </row>
    <row r="713" spans="1:2" ht="15">
      <c r="A713" s="601">
        <v>46246</v>
      </c>
      <c r="B713" t="str">
        <f t="shared" si="11"/>
        <v>miércoles</v>
      </c>
    </row>
    <row r="714" spans="1:2" ht="15">
      <c r="A714" s="601">
        <v>46247</v>
      </c>
      <c r="B714" t="str">
        <f t="shared" si="11"/>
        <v>jueves</v>
      </c>
    </row>
    <row r="715" spans="1:2" ht="15">
      <c r="A715" s="601">
        <v>46248</v>
      </c>
      <c r="B715" t="str">
        <f t="shared" si="11"/>
        <v>viernes</v>
      </c>
    </row>
    <row r="716" spans="1:2" ht="15">
      <c r="A716" s="601">
        <v>46249</v>
      </c>
      <c r="B716" t="str">
        <f t="shared" si="11"/>
        <v>sábado</v>
      </c>
    </row>
    <row r="717" spans="1:2" ht="15">
      <c r="A717" s="601">
        <v>46250</v>
      </c>
      <c r="B717" t="str">
        <f t="shared" si="11"/>
        <v>domingo</v>
      </c>
    </row>
    <row r="718" spans="1:2" ht="15">
      <c r="A718" s="601">
        <v>46251</v>
      </c>
      <c r="B718" t="str">
        <f t="shared" si="11"/>
        <v>lunes</v>
      </c>
    </row>
    <row r="719" spans="1:2" ht="15">
      <c r="A719" s="601">
        <v>46252</v>
      </c>
      <c r="B719" t="str">
        <f t="shared" si="11"/>
        <v>martes</v>
      </c>
    </row>
    <row r="720" spans="1:2" ht="15">
      <c r="A720" s="601">
        <v>46253</v>
      </c>
      <c r="B720" t="str">
        <f t="shared" si="11"/>
        <v>miércoles</v>
      </c>
    </row>
    <row r="721" spans="1:2" ht="15">
      <c r="A721" s="601">
        <v>46254</v>
      </c>
      <c r="B721" t="str">
        <f t="shared" si="11"/>
        <v>jueves</v>
      </c>
    </row>
    <row r="722" spans="1:2" ht="15">
      <c r="A722" s="601">
        <v>46255</v>
      </c>
      <c r="B722" t="str">
        <f t="shared" si="11"/>
        <v>viernes</v>
      </c>
    </row>
    <row r="723" spans="1:2" ht="15">
      <c r="A723" s="601">
        <v>46256</v>
      </c>
      <c r="B723" t="str">
        <f t="shared" si="11"/>
        <v>sábado</v>
      </c>
    </row>
    <row r="724" spans="1:2" ht="15">
      <c r="A724" s="601">
        <v>46257</v>
      </c>
      <c r="B724" t="str">
        <f t="shared" si="11"/>
        <v>domingo</v>
      </c>
    </row>
    <row r="725" spans="1:2" ht="15">
      <c r="A725" s="601">
        <v>46258</v>
      </c>
      <c r="B725" t="str">
        <f t="shared" si="11"/>
        <v>lunes</v>
      </c>
    </row>
    <row r="726" spans="1:2" ht="15">
      <c r="A726" s="601">
        <v>46259</v>
      </c>
      <c r="B726" t="str">
        <f t="shared" si="11"/>
        <v>martes</v>
      </c>
    </row>
    <row r="727" spans="1:2" ht="15">
      <c r="A727" s="601">
        <v>46260</v>
      </c>
      <c r="B727" t="str">
        <f t="shared" si="11"/>
        <v>miércoles</v>
      </c>
    </row>
    <row r="728" spans="1:2" ht="15">
      <c r="A728" s="601">
        <v>46261</v>
      </c>
      <c r="B728" t="str">
        <f t="shared" si="11"/>
        <v>jueves</v>
      </c>
    </row>
    <row r="729" spans="1:2" ht="15">
      <c r="A729" s="601">
        <v>46262</v>
      </c>
      <c r="B729" t="str">
        <f t="shared" si="11"/>
        <v>viernes</v>
      </c>
    </row>
    <row r="730" spans="1:2" ht="15">
      <c r="A730" s="601">
        <v>46263</v>
      </c>
      <c r="B730" t="str">
        <f t="shared" si="11"/>
        <v>sábado</v>
      </c>
    </row>
    <row r="731" spans="1:2" ht="15">
      <c r="A731" s="601">
        <v>46264</v>
      </c>
      <c r="B731" t="str">
        <f t="shared" si="11"/>
        <v>domingo</v>
      </c>
    </row>
    <row r="732" spans="1:2" ht="15">
      <c r="A732" s="601">
        <v>46265</v>
      </c>
      <c r="B732" t="str">
        <f t="shared" si="11"/>
        <v>lunes</v>
      </c>
    </row>
    <row r="733" spans="1:2" ht="15">
      <c r="A733" s="601">
        <v>46266</v>
      </c>
      <c r="B733" t="str">
        <f t="shared" si="11"/>
        <v>martes</v>
      </c>
    </row>
    <row r="734" spans="1:2" ht="15">
      <c r="A734" s="601">
        <v>46267</v>
      </c>
      <c r="B734" t="str">
        <f t="shared" si="11"/>
        <v>miércoles</v>
      </c>
    </row>
    <row r="735" spans="1:2" ht="15">
      <c r="A735" s="601">
        <v>46268</v>
      </c>
      <c r="B735" t="str">
        <f t="shared" si="11"/>
        <v>jueves</v>
      </c>
    </row>
    <row r="736" spans="1:2" ht="15">
      <c r="A736" s="601">
        <v>46269</v>
      </c>
      <c r="B736" t="str">
        <f t="shared" si="11"/>
        <v>viernes</v>
      </c>
    </row>
    <row r="737" spans="1:2" ht="15">
      <c r="A737" s="601">
        <v>46270</v>
      </c>
      <c r="B737" t="str">
        <f t="shared" si="11"/>
        <v>sábado</v>
      </c>
    </row>
    <row r="738" spans="1:2" ht="15">
      <c r="A738" s="601">
        <v>46271</v>
      </c>
      <c r="B738" t="str">
        <f t="shared" si="11"/>
        <v>domingo</v>
      </c>
    </row>
    <row r="739" spans="1:2" ht="15">
      <c r="A739" s="601">
        <v>46272</v>
      </c>
      <c r="B739" t="str">
        <f t="shared" si="11"/>
        <v>lunes</v>
      </c>
    </row>
    <row r="740" spans="1:2" ht="15">
      <c r="A740" s="601">
        <v>46273</v>
      </c>
      <c r="B740" t="str">
        <f t="shared" si="11"/>
        <v>martes</v>
      </c>
    </row>
    <row r="741" spans="1:2" ht="15">
      <c r="A741" s="601">
        <v>46274</v>
      </c>
      <c r="B741" t="str">
        <f t="shared" si="11"/>
        <v>miércoles</v>
      </c>
    </row>
    <row r="742" spans="1:2" ht="15">
      <c r="A742" s="601">
        <v>46275</v>
      </c>
      <c r="B742" t="str">
        <f t="shared" si="11"/>
        <v>jueves</v>
      </c>
    </row>
    <row r="743" spans="1:2" ht="15">
      <c r="A743" s="601">
        <v>46276</v>
      </c>
      <c r="B743" t="str">
        <f t="shared" si="11"/>
        <v>viernes</v>
      </c>
    </row>
    <row r="744" spans="1:2" ht="15">
      <c r="A744" s="601">
        <v>46277</v>
      </c>
      <c r="B744" t="str">
        <f t="shared" si="11"/>
        <v>sábado</v>
      </c>
    </row>
    <row r="745" spans="1:2" ht="15">
      <c r="A745" s="601">
        <v>46278</v>
      </c>
      <c r="B745" t="str">
        <f t="shared" si="11"/>
        <v>domingo</v>
      </c>
    </row>
    <row r="746" spans="1:2" ht="15">
      <c r="A746" s="601">
        <v>46279</v>
      </c>
      <c r="B746" t="str">
        <f t="shared" si="11"/>
        <v>lunes</v>
      </c>
    </row>
    <row r="747" spans="1:2" ht="15">
      <c r="A747" s="601">
        <v>46280</v>
      </c>
      <c r="B747" t="str">
        <f t="shared" si="11"/>
        <v>martes</v>
      </c>
    </row>
    <row r="748" spans="1:2" ht="15">
      <c r="A748" s="601">
        <v>46281</v>
      </c>
      <c r="B748" t="str">
        <f t="shared" si="11"/>
        <v>miércoles</v>
      </c>
    </row>
    <row r="749" spans="1:2" ht="15">
      <c r="A749" s="601">
        <v>46282</v>
      </c>
      <c r="B749" t="str">
        <f t="shared" si="11"/>
        <v>jueves</v>
      </c>
    </row>
    <row r="750" spans="1:2" ht="15">
      <c r="A750" s="601">
        <v>46283</v>
      </c>
      <c r="B750" t="str">
        <f t="shared" si="11"/>
        <v>viernes</v>
      </c>
    </row>
    <row r="751" spans="1:2" ht="15">
      <c r="A751" s="601">
        <v>46284</v>
      </c>
      <c r="B751" t="str">
        <f t="shared" si="11"/>
        <v>sábado</v>
      </c>
    </row>
    <row r="752" spans="1:2" ht="15">
      <c r="A752" s="601">
        <v>46285</v>
      </c>
      <c r="B752" t="str">
        <f t="shared" si="11"/>
        <v>domingo</v>
      </c>
    </row>
    <row r="753" spans="1:2" ht="15">
      <c r="A753" s="601">
        <v>46286</v>
      </c>
      <c r="B753" t="str">
        <f t="shared" si="11"/>
        <v>lunes</v>
      </c>
    </row>
    <row r="754" spans="1:2" ht="15">
      <c r="A754" s="601">
        <v>46287</v>
      </c>
      <c r="B754" t="str">
        <f t="shared" si="11"/>
        <v>martes</v>
      </c>
    </row>
    <row r="755" spans="1:2" ht="15">
      <c r="A755" s="601">
        <v>46288</v>
      </c>
      <c r="B755" t="str">
        <f t="shared" si="11"/>
        <v>miércoles</v>
      </c>
    </row>
    <row r="756" spans="1:2" ht="15">
      <c r="A756" s="601">
        <v>46289</v>
      </c>
      <c r="B756" t="str">
        <f t="shared" si="11"/>
        <v>jueves</v>
      </c>
    </row>
    <row r="757" spans="1:2" ht="15">
      <c r="A757" s="601">
        <v>46290</v>
      </c>
      <c r="B757" t="str">
        <f t="shared" si="11"/>
        <v>viernes</v>
      </c>
    </row>
    <row r="758" spans="1:2" ht="15">
      <c r="A758" s="601">
        <v>46291</v>
      </c>
      <c r="B758" t="str">
        <f t="shared" si="11"/>
        <v>sábado</v>
      </c>
    </row>
    <row r="759" spans="1:2" ht="15">
      <c r="A759" s="601">
        <v>46292</v>
      </c>
      <c r="B759" t="str">
        <f t="shared" si="11"/>
        <v>domingo</v>
      </c>
    </row>
    <row r="760" spans="1:2" ht="15">
      <c r="A760" s="601">
        <v>46293</v>
      </c>
      <c r="B760" t="str">
        <f t="shared" si="11"/>
        <v>lunes</v>
      </c>
    </row>
    <row r="761" spans="1:2" ht="15">
      <c r="A761" s="601">
        <v>46294</v>
      </c>
      <c r="B761" t="str">
        <f t="shared" si="11"/>
        <v>martes</v>
      </c>
    </row>
    <row r="762" spans="1:2" ht="15">
      <c r="A762" s="601">
        <v>46295</v>
      </c>
      <c r="B762" t="str">
        <f t="shared" si="11"/>
        <v>miércoles</v>
      </c>
    </row>
    <row r="763" spans="1:2" ht="15">
      <c r="A763" s="601">
        <v>46296</v>
      </c>
      <c r="B763" t="str">
        <f t="shared" si="11"/>
        <v>jueves</v>
      </c>
    </row>
    <row r="764" spans="1:2" ht="15">
      <c r="A764" s="601">
        <v>46297</v>
      </c>
      <c r="B764" t="str">
        <f t="shared" si="11"/>
        <v>viernes</v>
      </c>
    </row>
    <row r="765" spans="1:2" ht="15">
      <c r="A765" s="601">
        <v>46298</v>
      </c>
      <c r="B765" t="str">
        <f t="shared" si="11"/>
        <v>sábado</v>
      </c>
    </row>
    <row r="766" spans="1:2" ht="15">
      <c r="A766" s="601">
        <v>46299</v>
      </c>
      <c r="B766" t="str">
        <f t="shared" si="11"/>
        <v>domingo</v>
      </c>
    </row>
    <row r="767" spans="1:2" ht="15">
      <c r="A767" s="601">
        <v>46300</v>
      </c>
      <c r="B767" t="str">
        <f t="shared" si="11"/>
        <v>lunes</v>
      </c>
    </row>
    <row r="768" spans="1:2" ht="15">
      <c r="A768" s="601">
        <v>46301</v>
      </c>
      <c r="B768" t="str">
        <f t="shared" si="11"/>
        <v>martes</v>
      </c>
    </row>
    <row r="769" spans="1:2" ht="15">
      <c r="A769" s="601">
        <v>46302</v>
      </c>
      <c r="B769" t="str">
        <f t="shared" si="11"/>
        <v>miércoles</v>
      </c>
    </row>
    <row r="770" spans="1:2" ht="15">
      <c r="A770" s="601">
        <v>46303</v>
      </c>
      <c r="B770" t="str">
        <f t="shared" si="11"/>
        <v>jueves</v>
      </c>
    </row>
    <row r="771" spans="1:2" ht="15">
      <c r="A771" s="601">
        <v>46304</v>
      </c>
      <c r="B771" t="str">
        <f t="shared" ref="B771:B831" si="12">+TEXT(A771,"ddddddddd")</f>
        <v>viernes</v>
      </c>
    </row>
    <row r="772" spans="1:2" ht="15">
      <c r="A772" s="601">
        <v>46305</v>
      </c>
      <c r="B772" t="str">
        <f t="shared" si="12"/>
        <v>sábado</v>
      </c>
    </row>
    <row r="773" spans="1:2" ht="15">
      <c r="A773" s="601">
        <v>46306</v>
      </c>
      <c r="B773" t="str">
        <f t="shared" si="12"/>
        <v>domingo</v>
      </c>
    </row>
    <row r="774" spans="1:2" ht="15">
      <c r="A774" s="601">
        <v>46307</v>
      </c>
      <c r="B774" t="str">
        <f t="shared" si="12"/>
        <v>lunes</v>
      </c>
    </row>
    <row r="775" spans="1:2" ht="15">
      <c r="A775" s="601">
        <v>46308</v>
      </c>
      <c r="B775" t="str">
        <f t="shared" si="12"/>
        <v>martes</v>
      </c>
    </row>
    <row r="776" spans="1:2" ht="15">
      <c r="A776" s="601">
        <v>46309</v>
      </c>
      <c r="B776" t="str">
        <f t="shared" si="12"/>
        <v>miércoles</v>
      </c>
    </row>
    <row r="777" spans="1:2" ht="15">
      <c r="A777" s="601">
        <v>46310</v>
      </c>
      <c r="B777" t="str">
        <f t="shared" si="12"/>
        <v>jueves</v>
      </c>
    </row>
    <row r="778" spans="1:2" ht="15">
      <c r="A778" s="601">
        <v>46311</v>
      </c>
      <c r="B778" t="str">
        <f t="shared" si="12"/>
        <v>viernes</v>
      </c>
    </row>
    <row r="779" spans="1:2" ht="15">
      <c r="A779" s="601">
        <v>46312</v>
      </c>
      <c r="B779" t="str">
        <f t="shared" si="12"/>
        <v>sábado</v>
      </c>
    </row>
    <row r="780" spans="1:2" ht="15">
      <c r="A780" s="601">
        <v>46313</v>
      </c>
      <c r="B780" t="str">
        <f t="shared" si="12"/>
        <v>domingo</v>
      </c>
    </row>
    <row r="781" spans="1:2" ht="15">
      <c r="A781" s="601">
        <v>46314</v>
      </c>
      <c r="B781" t="str">
        <f t="shared" si="12"/>
        <v>lunes</v>
      </c>
    </row>
    <row r="782" spans="1:2" ht="15">
      <c r="A782" s="601">
        <v>46315</v>
      </c>
      <c r="B782" t="str">
        <f t="shared" si="12"/>
        <v>martes</v>
      </c>
    </row>
    <row r="783" spans="1:2" ht="15">
      <c r="A783" s="601">
        <v>46316</v>
      </c>
      <c r="B783" t="str">
        <f t="shared" si="12"/>
        <v>miércoles</v>
      </c>
    </row>
    <row r="784" spans="1:2" ht="15">
      <c r="A784" s="601">
        <v>46317</v>
      </c>
      <c r="B784" t="str">
        <f t="shared" si="12"/>
        <v>jueves</v>
      </c>
    </row>
    <row r="785" spans="1:2" ht="15">
      <c r="A785" s="601">
        <v>46318</v>
      </c>
      <c r="B785" t="str">
        <f t="shared" si="12"/>
        <v>viernes</v>
      </c>
    </row>
    <row r="786" spans="1:2" ht="15">
      <c r="A786" s="601">
        <v>46319</v>
      </c>
      <c r="B786" t="str">
        <f t="shared" si="12"/>
        <v>sábado</v>
      </c>
    </row>
    <row r="787" spans="1:2" ht="15">
      <c r="A787" s="601">
        <v>46320</v>
      </c>
      <c r="B787" t="str">
        <f t="shared" si="12"/>
        <v>domingo</v>
      </c>
    </row>
    <row r="788" spans="1:2" ht="15">
      <c r="A788" s="601">
        <v>46321</v>
      </c>
      <c r="B788" t="str">
        <f t="shared" si="12"/>
        <v>lunes</v>
      </c>
    </row>
    <row r="789" spans="1:2" ht="15">
      <c r="A789" s="601">
        <v>46322</v>
      </c>
      <c r="B789" t="str">
        <f t="shared" si="12"/>
        <v>martes</v>
      </c>
    </row>
    <row r="790" spans="1:2" ht="15">
      <c r="A790" s="601">
        <v>46323</v>
      </c>
      <c r="B790" t="str">
        <f t="shared" si="12"/>
        <v>miércoles</v>
      </c>
    </row>
    <row r="791" spans="1:2" ht="15">
      <c r="A791" s="601">
        <v>46324</v>
      </c>
      <c r="B791" t="str">
        <f t="shared" si="12"/>
        <v>jueves</v>
      </c>
    </row>
    <row r="792" spans="1:2" ht="15">
      <c r="A792" s="601">
        <v>46325</v>
      </c>
      <c r="B792" t="str">
        <f t="shared" si="12"/>
        <v>viernes</v>
      </c>
    </row>
    <row r="793" spans="1:2" ht="15">
      <c r="A793" s="601">
        <v>46326</v>
      </c>
      <c r="B793" t="str">
        <f t="shared" si="12"/>
        <v>sábado</v>
      </c>
    </row>
    <row r="794" spans="1:2" ht="15">
      <c r="A794" s="601">
        <v>46327</v>
      </c>
      <c r="B794" t="str">
        <f t="shared" si="12"/>
        <v>domingo</v>
      </c>
    </row>
    <row r="795" spans="1:2" ht="15">
      <c r="A795" s="601">
        <v>46328</v>
      </c>
      <c r="B795" t="str">
        <f t="shared" si="12"/>
        <v>lunes</v>
      </c>
    </row>
    <row r="796" spans="1:2" ht="15">
      <c r="A796" s="601">
        <v>46329</v>
      </c>
      <c r="B796" t="str">
        <f t="shared" si="12"/>
        <v>martes</v>
      </c>
    </row>
    <row r="797" spans="1:2" ht="15">
      <c r="A797" s="601">
        <v>46330</v>
      </c>
      <c r="B797" t="str">
        <f t="shared" si="12"/>
        <v>miércoles</v>
      </c>
    </row>
    <row r="798" spans="1:2" ht="15">
      <c r="A798" s="601">
        <v>46331</v>
      </c>
      <c r="B798" t="str">
        <f t="shared" si="12"/>
        <v>jueves</v>
      </c>
    </row>
    <row r="799" spans="1:2" ht="15">
      <c r="A799" s="601">
        <v>46332</v>
      </c>
      <c r="B799" t="str">
        <f t="shared" si="12"/>
        <v>viernes</v>
      </c>
    </row>
    <row r="800" spans="1:2" ht="15">
      <c r="A800" s="601">
        <v>46333</v>
      </c>
      <c r="B800" t="str">
        <f t="shared" si="12"/>
        <v>sábado</v>
      </c>
    </row>
    <row r="801" spans="1:2" ht="15">
      <c r="A801" s="601">
        <v>46334</v>
      </c>
      <c r="B801" t="str">
        <f t="shared" si="12"/>
        <v>domingo</v>
      </c>
    </row>
    <row r="802" spans="1:2" ht="15">
      <c r="A802" s="601">
        <v>46335</v>
      </c>
      <c r="B802" t="str">
        <f t="shared" si="12"/>
        <v>lunes</v>
      </c>
    </row>
    <row r="803" spans="1:2" ht="15">
      <c r="A803" s="601">
        <v>46336</v>
      </c>
      <c r="B803" t="str">
        <f t="shared" si="12"/>
        <v>martes</v>
      </c>
    </row>
    <row r="804" spans="1:2" ht="15">
      <c r="A804" s="601">
        <v>46337</v>
      </c>
      <c r="B804" t="str">
        <f t="shared" si="12"/>
        <v>miércoles</v>
      </c>
    </row>
    <row r="805" spans="1:2" ht="15">
      <c r="A805" s="601">
        <v>46338</v>
      </c>
      <c r="B805" t="str">
        <f t="shared" si="12"/>
        <v>jueves</v>
      </c>
    </row>
    <row r="806" spans="1:2" ht="15">
      <c r="A806" s="601">
        <v>46339</v>
      </c>
      <c r="B806" t="str">
        <f t="shared" si="12"/>
        <v>viernes</v>
      </c>
    </row>
    <row r="807" spans="1:2" ht="15">
      <c r="A807" s="601">
        <v>46340</v>
      </c>
      <c r="B807" t="str">
        <f t="shared" si="12"/>
        <v>sábado</v>
      </c>
    </row>
    <row r="808" spans="1:2" ht="15">
      <c r="A808" s="601">
        <v>46341</v>
      </c>
      <c r="B808" t="str">
        <f t="shared" si="12"/>
        <v>domingo</v>
      </c>
    </row>
    <row r="809" spans="1:2" ht="15">
      <c r="A809" s="601">
        <v>46342</v>
      </c>
      <c r="B809" t="str">
        <f t="shared" si="12"/>
        <v>lunes</v>
      </c>
    </row>
    <row r="810" spans="1:2" ht="15">
      <c r="A810" s="601">
        <v>46343</v>
      </c>
      <c r="B810" t="str">
        <f t="shared" si="12"/>
        <v>martes</v>
      </c>
    </row>
    <row r="811" spans="1:2" ht="15">
      <c r="A811" s="601">
        <v>46344</v>
      </c>
      <c r="B811" t="str">
        <f t="shared" si="12"/>
        <v>miércoles</v>
      </c>
    </row>
    <row r="812" spans="1:2" ht="15">
      <c r="A812" s="601">
        <v>46345</v>
      </c>
      <c r="B812" t="str">
        <f t="shared" si="12"/>
        <v>jueves</v>
      </c>
    </row>
    <row r="813" spans="1:2" ht="15">
      <c r="A813" s="601">
        <v>46346</v>
      </c>
      <c r="B813" t="str">
        <f t="shared" si="12"/>
        <v>viernes</v>
      </c>
    </row>
    <row r="814" spans="1:2" ht="15">
      <c r="A814" s="601">
        <v>46347</v>
      </c>
      <c r="B814" t="str">
        <f t="shared" si="12"/>
        <v>sábado</v>
      </c>
    </row>
    <row r="815" spans="1:2" ht="15">
      <c r="A815" s="601">
        <v>46348</v>
      </c>
      <c r="B815" t="str">
        <f t="shared" si="12"/>
        <v>domingo</v>
      </c>
    </row>
    <row r="816" spans="1:2" ht="15">
      <c r="A816" s="601">
        <v>46349</v>
      </c>
      <c r="B816" t="str">
        <f t="shared" si="12"/>
        <v>lunes</v>
      </c>
    </row>
    <row r="817" spans="1:2" ht="15">
      <c r="A817" s="601">
        <v>46350</v>
      </c>
      <c r="B817" t="str">
        <f t="shared" si="12"/>
        <v>martes</v>
      </c>
    </row>
    <row r="818" spans="1:2" ht="15">
      <c r="A818" s="601">
        <v>46351</v>
      </c>
      <c r="B818" t="str">
        <f t="shared" si="12"/>
        <v>miércoles</v>
      </c>
    </row>
    <row r="819" spans="1:2" ht="15">
      <c r="A819" s="601">
        <v>46352</v>
      </c>
      <c r="B819" t="str">
        <f t="shared" si="12"/>
        <v>jueves</v>
      </c>
    </row>
    <row r="820" spans="1:2" ht="15">
      <c r="A820" s="601">
        <v>46353</v>
      </c>
      <c r="B820" t="str">
        <f t="shared" si="12"/>
        <v>viernes</v>
      </c>
    </row>
    <row r="821" spans="1:2" ht="15">
      <c r="A821" s="601">
        <v>46354</v>
      </c>
      <c r="B821" t="str">
        <f t="shared" si="12"/>
        <v>sábado</v>
      </c>
    </row>
    <row r="822" spans="1:2" ht="15">
      <c r="A822" s="601">
        <v>46355</v>
      </c>
      <c r="B822" t="str">
        <f t="shared" si="12"/>
        <v>domingo</v>
      </c>
    </row>
    <row r="823" spans="1:2" ht="15">
      <c r="A823" s="601">
        <v>46356</v>
      </c>
      <c r="B823" t="str">
        <f t="shared" si="12"/>
        <v>lunes</v>
      </c>
    </row>
    <row r="824" spans="1:2" ht="15">
      <c r="A824" s="601">
        <v>46357</v>
      </c>
      <c r="B824" t="str">
        <f t="shared" si="12"/>
        <v>martes</v>
      </c>
    </row>
    <row r="825" spans="1:2" ht="15">
      <c r="A825" s="601">
        <v>46358</v>
      </c>
      <c r="B825" t="str">
        <f t="shared" si="12"/>
        <v>miércoles</v>
      </c>
    </row>
    <row r="826" spans="1:2" ht="15">
      <c r="A826" s="601">
        <v>46359</v>
      </c>
      <c r="B826" t="str">
        <f t="shared" si="12"/>
        <v>jueves</v>
      </c>
    </row>
    <row r="827" spans="1:2" ht="15">
      <c r="A827" s="601">
        <v>46360</v>
      </c>
      <c r="B827" t="str">
        <f t="shared" si="12"/>
        <v>viernes</v>
      </c>
    </row>
    <row r="828" spans="1:2" ht="15">
      <c r="A828" s="601">
        <v>46361</v>
      </c>
      <c r="B828" t="str">
        <f t="shared" si="12"/>
        <v>sábado</v>
      </c>
    </row>
    <row r="829" spans="1:2" ht="15">
      <c r="A829" s="601">
        <v>46362</v>
      </c>
      <c r="B829" t="str">
        <f t="shared" si="12"/>
        <v>domingo</v>
      </c>
    </row>
    <row r="830" spans="1:2" ht="15">
      <c r="A830" s="601">
        <v>46363</v>
      </c>
      <c r="B830" t="str">
        <f t="shared" si="12"/>
        <v>lunes</v>
      </c>
    </row>
    <row r="831" spans="1:2" ht="15">
      <c r="A831" s="601">
        <v>46364</v>
      </c>
      <c r="B831" t="str">
        <f t="shared" si="12"/>
        <v>martes</v>
      </c>
    </row>
    <row r="832" spans="1:2" ht="15">
      <c r="A832" s="601">
        <v>46365</v>
      </c>
      <c r="B832" t="str">
        <f t="shared" ref="B832:B847" si="13">+TEXT(A832,"ddddddddd")</f>
        <v>miércoles</v>
      </c>
    </row>
    <row r="833" spans="1:2" ht="15">
      <c r="A833" s="601">
        <v>46366</v>
      </c>
      <c r="B833" t="str">
        <f t="shared" si="13"/>
        <v>jueves</v>
      </c>
    </row>
    <row r="834" spans="1:2" ht="15">
      <c r="A834" s="601">
        <v>46367</v>
      </c>
      <c r="B834" t="str">
        <f t="shared" si="13"/>
        <v>viernes</v>
      </c>
    </row>
    <row r="835" spans="1:2" ht="15">
      <c r="A835" s="601">
        <v>46368</v>
      </c>
      <c r="B835" t="str">
        <f t="shared" si="13"/>
        <v>sábado</v>
      </c>
    </row>
    <row r="836" spans="1:2" ht="15">
      <c r="A836" s="601">
        <v>46369</v>
      </c>
      <c r="B836" t="str">
        <f t="shared" si="13"/>
        <v>domingo</v>
      </c>
    </row>
    <row r="837" spans="1:2" ht="15">
      <c r="A837" s="601">
        <v>46370</v>
      </c>
      <c r="B837" t="str">
        <f t="shared" si="13"/>
        <v>lunes</v>
      </c>
    </row>
    <row r="838" spans="1:2" ht="15">
      <c r="A838" s="601">
        <v>46371</v>
      </c>
      <c r="B838" t="str">
        <f t="shared" si="13"/>
        <v>martes</v>
      </c>
    </row>
    <row r="839" spans="1:2" ht="15">
      <c r="A839" s="601">
        <v>46372</v>
      </c>
      <c r="B839" t="str">
        <f t="shared" si="13"/>
        <v>miércoles</v>
      </c>
    </row>
    <row r="840" spans="1:2" ht="15">
      <c r="A840" s="601">
        <v>46373</v>
      </c>
      <c r="B840" t="str">
        <f t="shared" si="13"/>
        <v>jueves</v>
      </c>
    </row>
    <row r="841" spans="1:2" ht="15">
      <c r="A841" s="601">
        <v>46374</v>
      </c>
      <c r="B841" t="str">
        <f t="shared" si="13"/>
        <v>viernes</v>
      </c>
    </row>
    <row r="842" spans="1:2" ht="15">
      <c r="A842" s="601">
        <v>46375</v>
      </c>
      <c r="B842" t="str">
        <f t="shared" si="13"/>
        <v>sábado</v>
      </c>
    </row>
    <row r="843" spans="1:2" ht="15">
      <c r="A843" s="601">
        <v>46376</v>
      </c>
      <c r="B843" t="str">
        <f t="shared" si="13"/>
        <v>domingo</v>
      </c>
    </row>
    <row r="844" spans="1:2" ht="15">
      <c r="A844" s="601">
        <v>46377</v>
      </c>
      <c r="B844" t="str">
        <f t="shared" si="13"/>
        <v>lunes</v>
      </c>
    </row>
    <row r="845" spans="1:2" ht="15">
      <c r="A845" s="601">
        <v>46378</v>
      </c>
      <c r="B845" t="str">
        <f t="shared" si="13"/>
        <v>martes</v>
      </c>
    </row>
    <row r="846" spans="1:2" ht="15">
      <c r="A846" s="601">
        <v>46379</v>
      </c>
      <c r="B846" t="str">
        <f t="shared" si="13"/>
        <v>miércoles</v>
      </c>
    </row>
    <row r="847" spans="1:2" ht="15">
      <c r="A847" s="601">
        <v>46380</v>
      </c>
      <c r="B847" t="str">
        <f t="shared" si="13"/>
        <v>jueves</v>
      </c>
    </row>
    <row r="848" spans="1:2" ht="15">
      <c r="A848" s="601">
        <v>46381</v>
      </c>
      <c r="B848" t="str">
        <f t="shared" ref="B848:B853" si="14">+TEXT(A848,"ddddddddd")</f>
        <v>viernes</v>
      </c>
    </row>
    <row r="849" spans="1:2" ht="15">
      <c r="A849" s="601">
        <v>46382</v>
      </c>
      <c r="B849" t="str">
        <f t="shared" si="14"/>
        <v>sábado</v>
      </c>
    </row>
    <row r="850" spans="1:2" ht="15">
      <c r="A850" s="601">
        <v>46383</v>
      </c>
      <c r="B850" t="str">
        <f t="shared" si="14"/>
        <v>domingo</v>
      </c>
    </row>
    <row r="851" spans="1:2" ht="15">
      <c r="A851" s="601">
        <v>46384</v>
      </c>
      <c r="B851" t="str">
        <f t="shared" si="14"/>
        <v>lunes</v>
      </c>
    </row>
    <row r="852" spans="1:2" ht="15">
      <c r="A852" s="601">
        <v>46385</v>
      </c>
      <c r="B852" t="str">
        <f t="shared" si="14"/>
        <v>martes</v>
      </c>
    </row>
    <row r="853" spans="1:2" ht="15">
      <c r="A853" s="601">
        <v>46386</v>
      </c>
      <c r="B853" t="str">
        <f t="shared" si="14"/>
        <v>miércoles</v>
      </c>
    </row>
    <row r="854" spans="1:2" ht="15">
      <c r="A854" s="601">
        <v>46387</v>
      </c>
      <c r="B854" t="str">
        <f t="shared" ref="B854" si="15">+TEXT(A854,"ddddddddd")</f>
        <v>jueves</v>
      </c>
    </row>
    <row r="855" spans="1:2" ht="15">
      <c r="A855" s="601"/>
    </row>
  </sheetData>
  <autoFilter ref="A1:B854" xr:uid="{E872D6A6-B223-4FB6-A42D-9107C123D90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6539-7128-428B-A6A5-D4801F4CAB90}">
  <sheetPr codeName="Hoja8" filterMode="1"/>
  <dimension ref="A1:V98"/>
  <sheetViews>
    <sheetView topLeftCell="A57" zoomScale="85" zoomScaleNormal="85" workbookViewId="0">
      <selection activeCell="V2" sqref="A2:V98"/>
    </sheetView>
  </sheetViews>
  <sheetFormatPr baseColWidth="10" defaultRowHeight="12.75"/>
  <cols>
    <col min="15" max="15" width="14.7109375" bestFit="1" customWidth="1"/>
    <col min="16" max="16" width="12.140625" bestFit="1" customWidth="1"/>
    <col min="21" max="21" width="21.5703125" bestFit="1" customWidth="1"/>
    <col min="22" max="22" width="14.5703125" bestFit="1" customWidth="1"/>
  </cols>
  <sheetData>
    <row r="1" spans="1:22" ht="15">
      <c r="A1" s="438" t="s">
        <v>349</v>
      </c>
      <c r="B1" t="s">
        <v>350</v>
      </c>
      <c r="C1" s="439" t="s">
        <v>351</v>
      </c>
      <c r="D1" s="439" t="s">
        <v>352</v>
      </c>
      <c r="E1" s="439" t="s">
        <v>353</v>
      </c>
      <c r="F1" s="439" t="s">
        <v>354</v>
      </c>
      <c r="G1" s="439" t="s">
        <v>355</v>
      </c>
      <c r="H1" s="439" t="s">
        <v>356</v>
      </c>
      <c r="I1" s="439" t="s">
        <v>357</v>
      </c>
      <c r="J1" s="439" t="s">
        <v>358</v>
      </c>
      <c r="K1" s="439" t="s">
        <v>359</v>
      </c>
      <c r="L1" s="439" t="s">
        <v>360</v>
      </c>
      <c r="M1" s="439" t="s">
        <v>361</v>
      </c>
      <c r="N1" s="439" t="s">
        <v>362</v>
      </c>
      <c r="O1" s="439" t="s">
        <v>363</v>
      </c>
      <c r="P1" s="439" t="s">
        <v>364</v>
      </c>
      <c r="Q1" s="439" t="s">
        <v>365</v>
      </c>
      <c r="R1" s="439" t="s">
        <v>366</v>
      </c>
      <c r="S1" s="439" t="s">
        <v>367</v>
      </c>
      <c r="T1" s="439" t="s">
        <v>368</v>
      </c>
      <c r="U1" s="440" t="s">
        <v>369</v>
      </c>
      <c r="V1" s="440" t="s">
        <v>370</v>
      </c>
    </row>
    <row r="2" spans="1:22" ht="21">
      <c r="A2" s="441" t="s">
        <v>371</v>
      </c>
      <c r="B2" s="443">
        <v>930</v>
      </c>
      <c r="C2" s="443" t="s">
        <v>372</v>
      </c>
      <c r="D2" s="443"/>
      <c r="E2" s="443"/>
      <c r="F2" s="443">
        <v>3010</v>
      </c>
      <c r="G2" s="443"/>
      <c r="H2" s="443"/>
      <c r="I2" s="443"/>
      <c r="J2" s="443"/>
      <c r="K2" s="443"/>
      <c r="L2" s="443"/>
      <c r="M2" s="443"/>
      <c r="N2" s="443"/>
      <c r="O2" s="443">
        <v>30000009420</v>
      </c>
      <c r="P2" s="444">
        <f>+BIODIESEL!$D$8</f>
        <v>5240.46</v>
      </c>
      <c r="Q2" s="445" t="s">
        <v>373</v>
      </c>
      <c r="R2" s="445">
        <v>1</v>
      </c>
      <c r="S2" t="s">
        <v>374</v>
      </c>
      <c r="T2" s="445" t="s">
        <v>395</v>
      </c>
      <c r="U2" s="574" t="str">
        <f>+TEXT('COMBUSTIBLES '!$A$53,"dd.mm.yyyyy")</f>
        <v>01.01.2025</v>
      </c>
      <c r="V2" s="611" t="s">
        <v>442</v>
      </c>
    </row>
    <row r="3" spans="1:22" ht="15">
      <c r="A3" s="441" t="s">
        <v>375</v>
      </c>
      <c r="B3" s="443">
        <v>930</v>
      </c>
      <c r="C3" s="443" t="s">
        <v>372</v>
      </c>
      <c r="D3" s="443"/>
      <c r="E3" s="443"/>
      <c r="F3" s="443">
        <v>3010</v>
      </c>
      <c r="G3" s="443"/>
      <c r="H3" s="443"/>
      <c r="I3" s="443"/>
      <c r="J3" s="443"/>
      <c r="K3" s="443"/>
      <c r="L3" s="443"/>
      <c r="M3" s="445"/>
      <c r="N3" s="443"/>
      <c r="O3" s="443">
        <v>30000009420</v>
      </c>
      <c r="P3" s="444">
        <f>+BIODIESEL!$D$9</f>
        <v>431.45</v>
      </c>
      <c r="Q3" s="445" t="s">
        <v>373</v>
      </c>
      <c r="R3" s="445">
        <v>1</v>
      </c>
      <c r="S3" t="s">
        <v>374</v>
      </c>
      <c r="T3" s="445" t="s">
        <v>395</v>
      </c>
      <c r="U3" s="458" t="str">
        <f t="shared" ref="U3:V44" si="0">+U2</f>
        <v>01.01.2025</v>
      </c>
      <c r="V3" s="457" t="str">
        <f t="shared" si="0"/>
        <v>31.01.2025</v>
      </c>
    </row>
    <row r="4" spans="1:22" ht="15">
      <c r="A4" s="445" t="s">
        <v>371</v>
      </c>
      <c r="B4" s="443">
        <v>930</v>
      </c>
      <c r="C4" s="445" t="s">
        <v>372</v>
      </c>
      <c r="D4" s="445"/>
      <c r="E4" s="445"/>
      <c r="F4" s="445">
        <v>4531</v>
      </c>
      <c r="G4" s="445"/>
      <c r="H4" s="445"/>
      <c r="I4" s="445"/>
      <c r="J4" s="445"/>
      <c r="K4" s="445"/>
      <c r="L4" s="445"/>
      <c r="M4" s="445"/>
      <c r="N4" s="445"/>
      <c r="O4" s="445">
        <v>30000009250</v>
      </c>
      <c r="P4" s="444">
        <f>+BIODIESEL!$D$8</f>
        <v>5240.46</v>
      </c>
      <c r="Q4" s="445" t="s">
        <v>373</v>
      </c>
      <c r="R4" s="445">
        <v>1</v>
      </c>
      <c r="S4" t="s">
        <v>374</v>
      </c>
      <c r="T4" s="445" t="s">
        <v>395</v>
      </c>
      <c r="U4" s="458" t="str">
        <f t="shared" si="0"/>
        <v>01.01.2025</v>
      </c>
      <c r="V4" s="457" t="str">
        <f t="shared" si="0"/>
        <v>31.01.2025</v>
      </c>
    </row>
    <row r="5" spans="1:22" ht="15">
      <c r="A5" s="445" t="s">
        <v>375</v>
      </c>
      <c r="B5" s="443">
        <v>930</v>
      </c>
      <c r="C5" s="446" t="s">
        <v>372</v>
      </c>
      <c r="D5" s="446"/>
      <c r="E5" s="446"/>
      <c r="F5" s="446">
        <v>4531</v>
      </c>
      <c r="G5" s="446"/>
      <c r="H5" s="446"/>
      <c r="I5" s="446"/>
      <c r="J5" s="446"/>
      <c r="K5" s="446"/>
      <c r="L5" s="446"/>
      <c r="M5" s="446"/>
      <c r="N5" s="446"/>
      <c r="O5" s="445">
        <v>30000009250</v>
      </c>
      <c r="P5" s="444">
        <f>+BIODIESEL!$D$9</f>
        <v>431.45</v>
      </c>
      <c r="Q5" s="446" t="s">
        <v>373</v>
      </c>
      <c r="R5" s="446">
        <v>1</v>
      </c>
      <c r="S5" s="447" t="s">
        <v>374</v>
      </c>
      <c r="T5" s="445" t="s">
        <v>395</v>
      </c>
      <c r="U5" s="458" t="str">
        <f t="shared" si="0"/>
        <v>01.01.2025</v>
      </c>
      <c r="V5" s="457" t="str">
        <f t="shared" si="0"/>
        <v>31.01.2025</v>
      </c>
    </row>
    <row r="6" spans="1:22" ht="15">
      <c r="A6" s="445" t="s">
        <v>371</v>
      </c>
      <c r="B6" s="443">
        <v>929</v>
      </c>
      <c r="C6" s="445" t="s">
        <v>372</v>
      </c>
      <c r="D6" s="445"/>
      <c r="E6" s="445"/>
      <c r="F6" s="445">
        <v>4523</v>
      </c>
      <c r="G6" s="445"/>
      <c r="H6" s="445"/>
      <c r="I6" s="445"/>
      <c r="J6" s="445"/>
      <c r="K6" s="445"/>
      <c r="L6" s="445"/>
      <c r="M6" s="445" t="s">
        <v>376</v>
      </c>
      <c r="N6" s="445"/>
      <c r="O6" s="445">
        <v>30000009420</v>
      </c>
      <c r="P6" s="444">
        <f>+BIODIESEL!$D$8</f>
        <v>5240.46</v>
      </c>
      <c r="Q6" s="445" t="s">
        <v>373</v>
      </c>
      <c r="R6" s="445">
        <v>1</v>
      </c>
      <c r="S6" t="s">
        <v>374</v>
      </c>
      <c r="T6" s="445" t="s">
        <v>395</v>
      </c>
      <c r="U6" s="458" t="str">
        <f t="shared" si="0"/>
        <v>01.01.2025</v>
      </c>
      <c r="V6" s="457" t="str">
        <f t="shared" si="0"/>
        <v>31.01.2025</v>
      </c>
    </row>
    <row r="7" spans="1:22" ht="15">
      <c r="A7" s="445" t="s">
        <v>375</v>
      </c>
      <c r="B7" s="443">
        <v>929</v>
      </c>
      <c r="C7" s="446" t="s">
        <v>372</v>
      </c>
      <c r="D7" s="446"/>
      <c r="E7" s="446"/>
      <c r="F7" s="446">
        <v>4523</v>
      </c>
      <c r="G7" s="446"/>
      <c r="H7" s="446"/>
      <c r="I7" s="446"/>
      <c r="J7" s="446"/>
      <c r="K7" s="446"/>
      <c r="L7" s="446"/>
      <c r="M7" s="446" t="s">
        <v>376</v>
      </c>
      <c r="N7" s="446"/>
      <c r="O7" s="446">
        <v>30000009420</v>
      </c>
      <c r="P7" s="444">
        <f>+BIODIESEL!$D$9</f>
        <v>431.45</v>
      </c>
      <c r="Q7" s="446" t="s">
        <v>373</v>
      </c>
      <c r="R7" s="446">
        <v>1</v>
      </c>
      <c r="S7" s="447" t="s">
        <v>374</v>
      </c>
      <c r="T7" s="445" t="s">
        <v>395</v>
      </c>
      <c r="U7" s="458" t="str">
        <f t="shared" si="0"/>
        <v>01.01.2025</v>
      </c>
      <c r="V7" s="457" t="str">
        <f t="shared" si="0"/>
        <v>31.01.2025</v>
      </c>
    </row>
    <row r="8" spans="1:22" ht="15">
      <c r="A8" s="445" t="s">
        <v>371</v>
      </c>
      <c r="B8" s="443">
        <v>929</v>
      </c>
      <c r="C8" s="445" t="s">
        <v>372</v>
      </c>
      <c r="D8" s="445"/>
      <c r="E8" s="445"/>
      <c r="F8" s="445">
        <v>4523</v>
      </c>
      <c r="G8" s="445"/>
      <c r="H8" s="445"/>
      <c r="I8" s="445"/>
      <c r="J8" s="445"/>
      <c r="K8" s="445"/>
      <c r="L8" s="445"/>
      <c r="M8" s="445" t="s">
        <v>377</v>
      </c>
      <c r="N8" s="445"/>
      <c r="O8" s="445">
        <v>30000009420</v>
      </c>
      <c r="P8" s="444">
        <f>+BIODIESEL!$D$8</f>
        <v>5240.46</v>
      </c>
      <c r="Q8" s="445" t="s">
        <v>373</v>
      </c>
      <c r="R8" s="445">
        <v>1</v>
      </c>
      <c r="S8" t="s">
        <v>374</v>
      </c>
      <c r="T8" s="445" t="s">
        <v>395</v>
      </c>
      <c r="U8" s="458" t="str">
        <f t="shared" si="0"/>
        <v>01.01.2025</v>
      </c>
      <c r="V8" s="457" t="str">
        <f t="shared" si="0"/>
        <v>31.01.2025</v>
      </c>
    </row>
    <row r="9" spans="1:22" ht="15">
      <c r="A9" s="445" t="s">
        <v>375</v>
      </c>
      <c r="B9" s="443">
        <v>929</v>
      </c>
      <c r="C9" s="446" t="s">
        <v>372</v>
      </c>
      <c r="D9" s="446"/>
      <c r="E9" s="446"/>
      <c r="F9" s="446">
        <v>4523</v>
      </c>
      <c r="G9" s="446"/>
      <c r="H9" s="446"/>
      <c r="I9" s="446"/>
      <c r="J9" s="446"/>
      <c r="K9" s="446"/>
      <c r="L9" s="446"/>
      <c r="M9" s="446" t="s">
        <v>377</v>
      </c>
      <c r="N9" s="446"/>
      <c r="O9" s="446">
        <v>30000009420</v>
      </c>
      <c r="P9" s="444">
        <f>+BIODIESEL!$D$9</f>
        <v>431.45</v>
      </c>
      <c r="Q9" s="446" t="s">
        <v>373</v>
      </c>
      <c r="R9" s="446">
        <v>1</v>
      </c>
      <c r="S9" s="447" t="s">
        <v>374</v>
      </c>
      <c r="T9" s="445" t="s">
        <v>395</v>
      </c>
      <c r="U9" s="458" t="str">
        <f t="shared" si="0"/>
        <v>01.01.2025</v>
      </c>
      <c r="V9" s="457" t="str">
        <f t="shared" si="0"/>
        <v>31.01.2025</v>
      </c>
    </row>
    <row r="10" spans="1:22" ht="15">
      <c r="A10" s="441" t="s">
        <v>371</v>
      </c>
      <c r="B10" s="443">
        <v>929</v>
      </c>
      <c r="C10" s="445" t="s">
        <v>372</v>
      </c>
      <c r="D10" s="445"/>
      <c r="E10" s="445"/>
      <c r="F10" s="445">
        <v>4502</v>
      </c>
      <c r="G10" s="445"/>
      <c r="H10" s="445"/>
      <c r="I10" s="445"/>
      <c r="J10" s="445"/>
      <c r="K10" s="445"/>
      <c r="L10" s="445"/>
      <c r="M10" s="445" t="s">
        <v>376</v>
      </c>
      <c r="N10" s="445"/>
      <c r="O10" s="445">
        <v>30000009291</v>
      </c>
      <c r="P10" s="444">
        <f>+BIODIESEL!$D$8</f>
        <v>5240.46</v>
      </c>
      <c r="Q10" s="445" t="s">
        <v>373</v>
      </c>
      <c r="R10" s="445">
        <v>1</v>
      </c>
      <c r="S10" t="s">
        <v>374</v>
      </c>
      <c r="T10" s="445" t="s">
        <v>395</v>
      </c>
      <c r="U10" s="458" t="str">
        <f t="shared" si="0"/>
        <v>01.01.2025</v>
      </c>
      <c r="V10" s="457" t="str">
        <f t="shared" si="0"/>
        <v>31.01.2025</v>
      </c>
    </row>
    <row r="11" spans="1:22" ht="15">
      <c r="A11" s="445" t="s">
        <v>375</v>
      </c>
      <c r="B11" s="443">
        <v>929</v>
      </c>
      <c r="C11" s="445" t="s">
        <v>372</v>
      </c>
      <c r="D11" s="445"/>
      <c r="E11" s="445"/>
      <c r="F11" s="445">
        <v>4502</v>
      </c>
      <c r="G11" s="445"/>
      <c r="H11" s="445"/>
      <c r="I11" s="445"/>
      <c r="J11" s="445"/>
      <c r="K11" s="445"/>
      <c r="L11" s="445"/>
      <c r="M11" s="445" t="s">
        <v>376</v>
      </c>
      <c r="N11" s="445"/>
      <c r="O11" s="445">
        <v>30000009291</v>
      </c>
      <c r="P11" s="444">
        <f>+BIODIESEL!$D$9</f>
        <v>431.45</v>
      </c>
      <c r="Q11" s="445" t="s">
        <v>373</v>
      </c>
      <c r="R11" s="445">
        <v>1</v>
      </c>
      <c r="S11" t="s">
        <v>374</v>
      </c>
      <c r="T11" s="445" t="s">
        <v>395</v>
      </c>
      <c r="U11" s="458" t="str">
        <f t="shared" si="0"/>
        <v>01.01.2025</v>
      </c>
      <c r="V11" s="457" t="str">
        <f t="shared" si="0"/>
        <v>31.01.2025</v>
      </c>
    </row>
    <row r="12" spans="1:22" ht="15">
      <c r="A12" s="441" t="s">
        <v>371</v>
      </c>
      <c r="B12" s="443">
        <v>929</v>
      </c>
      <c r="C12" s="445" t="s">
        <v>372</v>
      </c>
      <c r="D12" s="445"/>
      <c r="E12" s="445"/>
      <c r="F12" s="445">
        <v>4502</v>
      </c>
      <c r="G12" s="445"/>
      <c r="H12" s="445"/>
      <c r="I12" s="445"/>
      <c r="J12" s="445"/>
      <c r="K12" s="445"/>
      <c r="L12" s="445"/>
      <c r="M12" s="445" t="s">
        <v>377</v>
      </c>
      <c r="N12" s="445"/>
      <c r="O12" s="445">
        <v>30000009291</v>
      </c>
      <c r="P12" s="444">
        <f>+BIODIESEL!$D$8</f>
        <v>5240.46</v>
      </c>
      <c r="Q12" s="445" t="s">
        <v>373</v>
      </c>
      <c r="R12" s="445">
        <v>1</v>
      </c>
      <c r="S12" t="s">
        <v>374</v>
      </c>
      <c r="T12" s="445" t="s">
        <v>395</v>
      </c>
      <c r="U12" s="458" t="str">
        <f t="shared" si="0"/>
        <v>01.01.2025</v>
      </c>
      <c r="V12" s="457" t="str">
        <f t="shared" si="0"/>
        <v>31.01.2025</v>
      </c>
    </row>
    <row r="13" spans="1:22" ht="15">
      <c r="A13" s="443" t="s">
        <v>375</v>
      </c>
      <c r="B13" s="443">
        <v>929</v>
      </c>
      <c r="C13" s="443" t="s">
        <v>372</v>
      </c>
      <c r="D13" s="443"/>
      <c r="E13" s="443"/>
      <c r="F13" s="443">
        <v>4502</v>
      </c>
      <c r="G13" s="443"/>
      <c r="H13" s="443"/>
      <c r="I13" s="443"/>
      <c r="J13" s="443"/>
      <c r="K13" s="443"/>
      <c r="L13" s="443"/>
      <c r="M13" s="443" t="s">
        <v>377</v>
      </c>
      <c r="N13" s="443"/>
      <c r="O13" s="443">
        <v>30000009291</v>
      </c>
      <c r="P13" s="444">
        <f>+BIODIESEL!$D$9</f>
        <v>431.45</v>
      </c>
      <c r="Q13" s="443" t="s">
        <v>373</v>
      </c>
      <c r="R13" s="443">
        <v>1</v>
      </c>
      <c r="S13" s="448" t="s">
        <v>374</v>
      </c>
      <c r="T13" s="445" t="s">
        <v>395</v>
      </c>
      <c r="U13" s="458" t="str">
        <f t="shared" si="0"/>
        <v>01.01.2025</v>
      </c>
      <c r="V13" s="457" t="str">
        <f t="shared" si="0"/>
        <v>31.01.2025</v>
      </c>
    </row>
    <row r="14" spans="1:22" ht="15">
      <c r="A14" s="445" t="s">
        <v>371</v>
      </c>
      <c r="B14" s="443">
        <v>929</v>
      </c>
      <c r="C14" s="445" t="s">
        <v>372</v>
      </c>
      <c r="D14" s="445"/>
      <c r="E14" s="445"/>
      <c r="F14" s="445">
        <v>3010</v>
      </c>
      <c r="G14" s="445"/>
      <c r="H14" s="445"/>
      <c r="I14" s="445"/>
      <c r="J14" s="445"/>
      <c r="K14" s="445"/>
      <c r="L14" s="445"/>
      <c r="M14" s="445" t="s">
        <v>376</v>
      </c>
      <c r="N14" s="445"/>
      <c r="O14" s="445">
        <v>30000009531</v>
      </c>
      <c r="P14" s="444">
        <f>+BIODIESEL!$D$8</f>
        <v>5240.46</v>
      </c>
      <c r="Q14" s="445" t="s">
        <v>373</v>
      </c>
      <c r="R14" s="445">
        <v>1</v>
      </c>
      <c r="S14" t="s">
        <v>374</v>
      </c>
      <c r="T14" s="445" t="s">
        <v>395</v>
      </c>
      <c r="U14" s="458" t="str">
        <f t="shared" si="0"/>
        <v>01.01.2025</v>
      </c>
      <c r="V14" s="457" t="str">
        <f t="shared" si="0"/>
        <v>31.01.2025</v>
      </c>
    </row>
    <row r="15" spans="1:22" ht="15">
      <c r="A15" s="445" t="s">
        <v>375</v>
      </c>
      <c r="B15" s="443">
        <v>929</v>
      </c>
      <c r="C15" s="445" t="s">
        <v>372</v>
      </c>
      <c r="D15" s="445"/>
      <c r="E15" s="445"/>
      <c r="F15" s="445">
        <v>3010</v>
      </c>
      <c r="G15" s="445"/>
      <c r="H15" s="445"/>
      <c r="I15" s="445"/>
      <c r="J15" s="445"/>
      <c r="K15" s="445"/>
      <c r="L15" s="445"/>
      <c r="M15" s="445" t="s">
        <v>376</v>
      </c>
      <c r="N15" s="445"/>
      <c r="O15" s="445">
        <v>30000009531</v>
      </c>
      <c r="P15" s="444">
        <f>+BIODIESEL!$D$9</f>
        <v>431.45</v>
      </c>
      <c r="Q15" s="445" t="s">
        <v>373</v>
      </c>
      <c r="R15" s="445">
        <v>1</v>
      </c>
      <c r="S15" t="s">
        <v>374</v>
      </c>
      <c r="T15" s="445" t="s">
        <v>395</v>
      </c>
      <c r="U15" s="458" t="str">
        <f t="shared" si="0"/>
        <v>01.01.2025</v>
      </c>
      <c r="V15" s="457" t="str">
        <f t="shared" si="0"/>
        <v>31.01.2025</v>
      </c>
    </row>
    <row r="16" spans="1:22" ht="15">
      <c r="A16" s="449" t="s">
        <v>371</v>
      </c>
      <c r="B16" s="443">
        <v>929</v>
      </c>
      <c r="C16" s="450" t="s">
        <v>372</v>
      </c>
      <c r="D16" s="450"/>
      <c r="E16" s="450"/>
      <c r="F16" s="450">
        <v>3010</v>
      </c>
      <c r="G16" s="450"/>
      <c r="H16" s="450"/>
      <c r="I16" s="450"/>
      <c r="J16" s="450"/>
      <c r="K16" s="450"/>
      <c r="L16" s="450"/>
      <c r="M16" s="450" t="s">
        <v>377</v>
      </c>
      <c r="N16" s="450"/>
      <c r="O16" s="450">
        <v>30000009531</v>
      </c>
      <c r="P16" s="444">
        <f>+BIODIESEL!$D$8</f>
        <v>5240.46</v>
      </c>
      <c r="Q16" s="450" t="s">
        <v>373</v>
      </c>
      <c r="R16" s="450">
        <v>1</v>
      </c>
      <c r="S16" s="451" t="s">
        <v>374</v>
      </c>
      <c r="T16" s="445" t="s">
        <v>395</v>
      </c>
      <c r="U16" s="458" t="str">
        <f t="shared" si="0"/>
        <v>01.01.2025</v>
      </c>
      <c r="V16" s="457" t="str">
        <f t="shared" si="0"/>
        <v>31.01.2025</v>
      </c>
    </row>
    <row r="17" spans="1:22" ht="15">
      <c r="A17" s="452" t="s">
        <v>375</v>
      </c>
      <c r="B17" s="443">
        <v>929</v>
      </c>
      <c r="C17" s="443" t="s">
        <v>372</v>
      </c>
      <c r="D17" s="443"/>
      <c r="E17" s="443"/>
      <c r="F17" s="443">
        <v>3010</v>
      </c>
      <c r="G17" s="443"/>
      <c r="H17" s="443"/>
      <c r="I17" s="443"/>
      <c r="J17" s="443"/>
      <c r="K17" s="443"/>
      <c r="L17" s="443"/>
      <c r="M17" s="443" t="s">
        <v>377</v>
      </c>
      <c r="N17" s="443"/>
      <c r="O17" s="443">
        <v>30000009531</v>
      </c>
      <c r="P17" s="444">
        <f>+BIODIESEL!$D$9</f>
        <v>431.45</v>
      </c>
      <c r="Q17" s="443" t="s">
        <v>373</v>
      </c>
      <c r="R17" s="443">
        <v>1</v>
      </c>
      <c r="S17" s="448" t="s">
        <v>374</v>
      </c>
      <c r="T17" s="445" t="s">
        <v>395</v>
      </c>
      <c r="U17" s="458" t="str">
        <f t="shared" si="0"/>
        <v>01.01.2025</v>
      </c>
      <c r="V17" s="457" t="str">
        <f t="shared" si="0"/>
        <v>31.01.2025</v>
      </c>
    </row>
    <row r="18" spans="1:22" ht="15">
      <c r="A18" s="449" t="s">
        <v>371</v>
      </c>
      <c r="B18" s="443">
        <v>929</v>
      </c>
      <c r="C18" s="450" t="s">
        <v>372</v>
      </c>
      <c r="D18" s="450"/>
      <c r="E18" s="450"/>
      <c r="F18" s="450">
        <v>4502</v>
      </c>
      <c r="G18" s="450"/>
      <c r="H18" s="450"/>
      <c r="I18" s="450"/>
      <c r="J18" s="450"/>
      <c r="K18" s="450"/>
      <c r="L18" s="450"/>
      <c r="M18" s="450" t="s">
        <v>376</v>
      </c>
      <c r="N18" s="450"/>
      <c r="O18" s="450">
        <v>30000009531</v>
      </c>
      <c r="P18" s="444">
        <f>+BIODIESEL!$D$8</f>
        <v>5240.46</v>
      </c>
      <c r="Q18" s="450" t="s">
        <v>373</v>
      </c>
      <c r="R18" s="450">
        <v>1</v>
      </c>
      <c r="S18" s="451" t="s">
        <v>374</v>
      </c>
      <c r="T18" s="445" t="s">
        <v>395</v>
      </c>
      <c r="U18" s="458" t="str">
        <f t="shared" si="0"/>
        <v>01.01.2025</v>
      </c>
      <c r="V18" s="457" t="str">
        <f t="shared" si="0"/>
        <v>31.01.2025</v>
      </c>
    </row>
    <row r="19" spans="1:22" ht="15">
      <c r="A19" s="452" t="s">
        <v>375</v>
      </c>
      <c r="B19" s="443">
        <v>929</v>
      </c>
      <c r="C19" s="443" t="s">
        <v>372</v>
      </c>
      <c r="D19" s="443"/>
      <c r="E19" s="443"/>
      <c r="F19" s="443">
        <v>4502</v>
      </c>
      <c r="G19" s="443"/>
      <c r="H19" s="443"/>
      <c r="I19" s="443"/>
      <c r="J19" s="443"/>
      <c r="K19" s="443"/>
      <c r="L19" s="443"/>
      <c r="M19" s="443" t="s">
        <v>376</v>
      </c>
      <c r="N19" s="443"/>
      <c r="O19" s="443">
        <v>30000009531</v>
      </c>
      <c r="P19" s="444">
        <f>+BIODIESEL!$D$9</f>
        <v>431.45</v>
      </c>
      <c r="Q19" s="443" t="s">
        <v>373</v>
      </c>
      <c r="R19" s="443">
        <v>1</v>
      </c>
      <c r="S19" s="448" t="s">
        <v>374</v>
      </c>
      <c r="T19" s="445" t="s">
        <v>395</v>
      </c>
      <c r="U19" s="458" t="str">
        <f t="shared" si="0"/>
        <v>01.01.2025</v>
      </c>
      <c r="V19" s="457" t="str">
        <f t="shared" si="0"/>
        <v>31.01.2025</v>
      </c>
    </row>
    <row r="20" spans="1:22" ht="15">
      <c r="A20" s="449" t="s">
        <v>371</v>
      </c>
      <c r="B20" s="443">
        <v>929</v>
      </c>
      <c r="C20" s="450" t="s">
        <v>372</v>
      </c>
      <c r="D20" s="450"/>
      <c r="E20" s="450"/>
      <c r="F20" s="450">
        <v>4502</v>
      </c>
      <c r="G20" s="450"/>
      <c r="H20" s="450"/>
      <c r="I20" s="450"/>
      <c r="J20" s="450"/>
      <c r="K20" s="450"/>
      <c r="L20" s="450"/>
      <c r="M20" s="450" t="s">
        <v>377</v>
      </c>
      <c r="N20" s="450"/>
      <c r="O20" s="450">
        <v>30000009531</v>
      </c>
      <c r="P20" s="444">
        <f>+BIODIESEL!$D$8</f>
        <v>5240.46</v>
      </c>
      <c r="Q20" s="450" t="s">
        <v>373</v>
      </c>
      <c r="R20" s="450">
        <v>1</v>
      </c>
      <c r="S20" s="451" t="s">
        <v>374</v>
      </c>
      <c r="T20" s="445" t="s">
        <v>395</v>
      </c>
      <c r="U20" s="458" t="str">
        <f t="shared" si="0"/>
        <v>01.01.2025</v>
      </c>
      <c r="V20" s="457" t="str">
        <f t="shared" si="0"/>
        <v>31.01.2025</v>
      </c>
    </row>
    <row r="21" spans="1:22" ht="15">
      <c r="A21" s="452" t="s">
        <v>375</v>
      </c>
      <c r="B21" s="443">
        <v>929</v>
      </c>
      <c r="C21" s="443" t="s">
        <v>372</v>
      </c>
      <c r="D21" s="443"/>
      <c r="E21" s="443"/>
      <c r="F21" s="443">
        <v>4502</v>
      </c>
      <c r="G21" s="443"/>
      <c r="H21" s="443"/>
      <c r="I21" s="443"/>
      <c r="J21" s="443"/>
      <c r="K21" s="443"/>
      <c r="L21" s="443"/>
      <c r="M21" s="443" t="s">
        <v>377</v>
      </c>
      <c r="N21" s="443"/>
      <c r="O21" s="443">
        <v>30000009531</v>
      </c>
      <c r="P21" s="444">
        <f>+BIODIESEL!$D$9</f>
        <v>431.45</v>
      </c>
      <c r="Q21" s="443" t="s">
        <v>373</v>
      </c>
      <c r="R21" s="443">
        <v>1</v>
      </c>
      <c r="S21" s="448" t="s">
        <v>374</v>
      </c>
      <c r="T21" s="445" t="s">
        <v>395</v>
      </c>
      <c r="U21" s="458" t="str">
        <f t="shared" si="0"/>
        <v>01.01.2025</v>
      </c>
      <c r="V21" s="457" t="str">
        <f t="shared" si="0"/>
        <v>31.01.2025</v>
      </c>
    </row>
    <row r="22" spans="1:22" ht="15">
      <c r="A22" s="453" t="s">
        <v>378</v>
      </c>
      <c r="B22" s="443">
        <v>930</v>
      </c>
      <c r="C22" s="453" t="s">
        <v>372</v>
      </c>
      <c r="D22" s="453"/>
      <c r="E22" s="453"/>
      <c r="F22" s="453">
        <v>4525</v>
      </c>
      <c r="G22" s="453"/>
      <c r="H22" s="453"/>
      <c r="I22" s="453"/>
      <c r="J22" s="453"/>
      <c r="K22" s="453"/>
      <c r="L22" s="453"/>
      <c r="M22" s="453"/>
      <c r="N22" s="453"/>
      <c r="O22" s="453">
        <v>30000009113</v>
      </c>
      <c r="P22" s="454">
        <f>+'COMBUSTIBLES '!$B$7</f>
        <v>10380.44</v>
      </c>
      <c r="Q22" s="453" t="s">
        <v>373</v>
      </c>
      <c r="R22" s="453">
        <v>1</v>
      </c>
      <c r="S22" s="455" t="s">
        <v>374</v>
      </c>
      <c r="T22" s="445" t="s">
        <v>395</v>
      </c>
      <c r="U22" s="458" t="str">
        <f t="shared" si="0"/>
        <v>01.01.2025</v>
      </c>
      <c r="V22" s="457" t="str">
        <f t="shared" si="0"/>
        <v>31.01.2025</v>
      </c>
    </row>
    <row r="23" spans="1:22" ht="15">
      <c r="A23" s="445" t="s">
        <v>371</v>
      </c>
      <c r="B23" s="443">
        <v>587</v>
      </c>
      <c r="C23" s="443" t="s">
        <v>372</v>
      </c>
      <c r="D23" s="445"/>
      <c r="E23" s="445"/>
      <c r="F23" s="445"/>
      <c r="G23" s="445"/>
      <c r="H23" s="445"/>
      <c r="I23" s="445"/>
      <c r="J23" s="445"/>
      <c r="K23" s="445"/>
      <c r="L23" s="445"/>
      <c r="M23" s="445"/>
      <c r="N23" s="445"/>
      <c r="O23" s="443">
        <v>30000002129</v>
      </c>
      <c r="P23" s="444">
        <f>+BIODIESEL!$D$8</f>
        <v>5240.46</v>
      </c>
      <c r="Q23" s="443" t="s">
        <v>373</v>
      </c>
      <c r="R23" s="443">
        <v>1</v>
      </c>
      <c r="S23" s="448" t="s">
        <v>374</v>
      </c>
      <c r="T23" s="445" t="s">
        <v>395</v>
      </c>
      <c r="U23" s="458" t="str">
        <f t="shared" si="0"/>
        <v>01.01.2025</v>
      </c>
      <c r="V23" s="457" t="str">
        <f t="shared" si="0"/>
        <v>31.01.2025</v>
      </c>
    </row>
    <row r="24" spans="1:22" ht="15">
      <c r="A24" s="445" t="s">
        <v>371</v>
      </c>
      <c r="B24" s="443">
        <v>587</v>
      </c>
      <c r="C24" s="443" t="s">
        <v>372</v>
      </c>
      <c r="D24" s="445"/>
      <c r="E24" s="445"/>
      <c r="F24" s="445"/>
      <c r="G24" s="445"/>
      <c r="H24" s="445"/>
      <c r="I24" s="445"/>
      <c r="J24" s="445"/>
      <c r="K24" s="445"/>
      <c r="L24" s="445"/>
      <c r="M24" s="445"/>
      <c r="N24" s="445"/>
      <c r="O24" s="443">
        <v>30000002317</v>
      </c>
      <c r="P24" s="444">
        <f>+BIODIESEL!$D$8</f>
        <v>5240.46</v>
      </c>
      <c r="Q24" s="443" t="s">
        <v>373</v>
      </c>
      <c r="R24" s="443">
        <v>1</v>
      </c>
      <c r="S24" s="448" t="s">
        <v>374</v>
      </c>
      <c r="T24" s="445" t="s">
        <v>395</v>
      </c>
      <c r="U24" s="458" t="str">
        <f t="shared" si="0"/>
        <v>01.01.2025</v>
      </c>
      <c r="V24" s="457" t="str">
        <f t="shared" si="0"/>
        <v>31.01.2025</v>
      </c>
    </row>
    <row r="25" spans="1:22" ht="15">
      <c r="A25" s="445" t="s">
        <v>371</v>
      </c>
      <c r="B25" s="443">
        <v>587</v>
      </c>
      <c r="C25" s="443" t="s">
        <v>372</v>
      </c>
      <c r="D25" s="445"/>
      <c r="E25" s="445"/>
      <c r="F25" s="445"/>
      <c r="G25" s="445"/>
      <c r="H25" s="445"/>
      <c r="I25" s="445"/>
      <c r="J25" s="445"/>
      <c r="K25" s="445"/>
      <c r="L25" s="445"/>
      <c r="M25" s="445"/>
      <c r="N25" s="445"/>
      <c r="O25" s="443">
        <v>30000009242</v>
      </c>
      <c r="P25" s="444">
        <f>+BIODIESEL!$D$8</f>
        <v>5240.46</v>
      </c>
      <c r="Q25" s="443" t="s">
        <v>373</v>
      </c>
      <c r="R25" s="443">
        <v>1</v>
      </c>
      <c r="S25" s="448" t="s">
        <v>374</v>
      </c>
      <c r="T25" s="445" t="s">
        <v>395</v>
      </c>
      <c r="U25" s="458" t="str">
        <f t="shared" si="0"/>
        <v>01.01.2025</v>
      </c>
      <c r="V25" s="457" t="str">
        <f t="shared" si="0"/>
        <v>31.01.2025</v>
      </c>
    </row>
    <row r="26" spans="1:22" ht="15">
      <c r="A26" s="445" t="s">
        <v>371</v>
      </c>
      <c r="B26" s="443">
        <v>587</v>
      </c>
      <c r="C26" s="443" t="s">
        <v>372</v>
      </c>
      <c r="D26" s="445"/>
      <c r="E26" s="445"/>
      <c r="F26" s="445"/>
      <c r="G26" s="445"/>
      <c r="H26" s="445"/>
      <c r="I26" s="445"/>
      <c r="J26" s="445"/>
      <c r="K26" s="445"/>
      <c r="L26" s="445"/>
      <c r="M26" s="445"/>
      <c r="N26" s="445"/>
      <c r="O26" s="443">
        <v>30000009250</v>
      </c>
      <c r="P26" s="444">
        <f>+BIODIESEL!$D$8</f>
        <v>5240.46</v>
      </c>
      <c r="Q26" s="443" t="s">
        <v>373</v>
      </c>
      <c r="R26" s="443">
        <v>1</v>
      </c>
      <c r="S26" s="448" t="s">
        <v>374</v>
      </c>
      <c r="T26" s="445" t="s">
        <v>395</v>
      </c>
      <c r="U26" s="458" t="str">
        <f t="shared" si="0"/>
        <v>01.01.2025</v>
      </c>
      <c r="V26" s="457" t="str">
        <f t="shared" si="0"/>
        <v>31.01.2025</v>
      </c>
    </row>
    <row r="27" spans="1:22" ht="15">
      <c r="A27" s="453" t="s">
        <v>371</v>
      </c>
      <c r="B27" s="443">
        <v>587</v>
      </c>
      <c r="C27" s="453" t="s">
        <v>372</v>
      </c>
      <c r="D27" s="453"/>
      <c r="E27" s="453"/>
      <c r="F27" s="453"/>
      <c r="G27" s="453"/>
      <c r="H27" s="453"/>
      <c r="I27" s="453"/>
      <c r="J27" s="453"/>
      <c r="K27" s="453"/>
      <c r="L27" s="453"/>
      <c r="M27" s="453"/>
      <c r="N27" s="453"/>
      <c r="O27" s="453">
        <v>30000009300</v>
      </c>
      <c r="P27" s="444">
        <f>+BIODIESEL!$D$8</f>
        <v>5240.46</v>
      </c>
      <c r="Q27" s="453" t="s">
        <v>373</v>
      </c>
      <c r="R27" s="453">
        <v>1</v>
      </c>
      <c r="S27" s="455" t="s">
        <v>374</v>
      </c>
      <c r="T27" s="445" t="s">
        <v>395</v>
      </c>
      <c r="U27" s="458" t="str">
        <f t="shared" si="0"/>
        <v>01.01.2025</v>
      </c>
      <c r="V27" s="457" t="str">
        <f t="shared" si="0"/>
        <v>31.01.2025</v>
      </c>
    </row>
    <row r="28" spans="1:22" ht="15">
      <c r="A28" s="445" t="s">
        <v>375</v>
      </c>
      <c r="B28" s="443">
        <v>587</v>
      </c>
      <c r="C28" s="443" t="s">
        <v>372</v>
      </c>
      <c r="D28" s="445"/>
      <c r="E28" s="445"/>
      <c r="F28" s="445"/>
      <c r="G28" s="445"/>
      <c r="H28" s="445"/>
      <c r="I28" s="445"/>
      <c r="J28" s="445"/>
      <c r="K28" s="445"/>
      <c r="L28" s="445"/>
      <c r="M28" s="445"/>
      <c r="N28" s="445"/>
      <c r="O28" s="443">
        <v>30000002129</v>
      </c>
      <c r="P28" s="444">
        <f>+BIODIESEL!$D$9</f>
        <v>431.45</v>
      </c>
      <c r="Q28" s="443" t="s">
        <v>373</v>
      </c>
      <c r="R28" s="443">
        <v>1</v>
      </c>
      <c r="S28" s="448" t="s">
        <v>374</v>
      </c>
      <c r="T28" s="445" t="s">
        <v>395</v>
      </c>
      <c r="U28" s="458" t="str">
        <f t="shared" si="0"/>
        <v>01.01.2025</v>
      </c>
      <c r="V28" s="457" t="str">
        <f t="shared" si="0"/>
        <v>31.01.2025</v>
      </c>
    </row>
    <row r="29" spans="1:22" ht="15">
      <c r="A29" s="445" t="s">
        <v>375</v>
      </c>
      <c r="B29" s="443">
        <v>587</v>
      </c>
      <c r="C29" s="443" t="s">
        <v>372</v>
      </c>
      <c r="D29" s="445"/>
      <c r="E29" s="445"/>
      <c r="F29" s="445"/>
      <c r="G29" s="445"/>
      <c r="H29" s="445"/>
      <c r="I29" s="445"/>
      <c r="J29" s="445"/>
      <c r="K29" s="445"/>
      <c r="L29" s="445"/>
      <c r="M29" s="445"/>
      <c r="N29" s="445"/>
      <c r="O29" s="443">
        <v>30000002317</v>
      </c>
      <c r="P29" s="444">
        <f>+BIODIESEL!$D$9</f>
        <v>431.45</v>
      </c>
      <c r="Q29" s="443" t="s">
        <v>373</v>
      </c>
      <c r="R29" s="443">
        <v>1</v>
      </c>
      <c r="S29" s="448" t="s">
        <v>374</v>
      </c>
      <c r="T29" s="445" t="s">
        <v>395</v>
      </c>
      <c r="U29" s="458" t="str">
        <f t="shared" si="0"/>
        <v>01.01.2025</v>
      </c>
      <c r="V29" s="457" t="str">
        <f t="shared" si="0"/>
        <v>31.01.2025</v>
      </c>
    </row>
    <row r="30" spans="1:22" ht="15">
      <c r="A30" s="445" t="s">
        <v>375</v>
      </c>
      <c r="B30" s="443">
        <v>587</v>
      </c>
      <c r="C30" s="443" t="s">
        <v>372</v>
      </c>
      <c r="D30" s="445"/>
      <c r="E30" s="445"/>
      <c r="F30" s="445"/>
      <c r="G30" s="445"/>
      <c r="H30" s="445"/>
      <c r="I30" s="445"/>
      <c r="J30" s="445"/>
      <c r="K30" s="445"/>
      <c r="L30" s="445"/>
      <c r="M30" s="445"/>
      <c r="N30" s="445"/>
      <c r="O30" s="443">
        <v>30000009242</v>
      </c>
      <c r="P30" s="444">
        <f>+BIODIESEL!$D$9</f>
        <v>431.45</v>
      </c>
      <c r="Q30" s="443" t="s">
        <v>373</v>
      </c>
      <c r="R30" s="443">
        <v>1</v>
      </c>
      <c r="S30" s="448" t="s">
        <v>374</v>
      </c>
      <c r="T30" s="445" t="s">
        <v>395</v>
      </c>
      <c r="U30" s="458" t="str">
        <f t="shared" si="0"/>
        <v>01.01.2025</v>
      </c>
      <c r="V30" s="457" t="str">
        <f t="shared" si="0"/>
        <v>31.01.2025</v>
      </c>
    </row>
    <row r="31" spans="1:22" ht="15">
      <c r="A31" s="445" t="s">
        <v>375</v>
      </c>
      <c r="B31" s="443">
        <v>587</v>
      </c>
      <c r="C31" s="443" t="s">
        <v>372</v>
      </c>
      <c r="D31" s="445"/>
      <c r="E31" s="445"/>
      <c r="F31" s="445"/>
      <c r="G31" s="445"/>
      <c r="H31" s="445"/>
      <c r="I31" s="445"/>
      <c r="J31" s="445"/>
      <c r="K31" s="445"/>
      <c r="L31" s="445"/>
      <c r="M31" s="445"/>
      <c r="N31" s="445"/>
      <c r="O31" s="443">
        <v>30000009250</v>
      </c>
      <c r="P31" s="444">
        <f>+BIODIESEL!$D$9</f>
        <v>431.45</v>
      </c>
      <c r="Q31" s="443" t="s">
        <v>373</v>
      </c>
      <c r="R31" s="443">
        <v>1</v>
      </c>
      <c r="S31" s="448" t="s">
        <v>374</v>
      </c>
      <c r="T31" s="445" t="s">
        <v>395</v>
      </c>
      <c r="U31" s="458" t="str">
        <f t="shared" si="0"/>
        <v>01.01.2025</v>
      </c>
      <c r="V31" s="457" t="str">
        <f t="shared" si="0"/>
        <v>31.01.2025</v>
      </c>
    </row>
    <row r="32" spans="1:22" ht="15">
      <c r="A32" s="453" t="s">
        <v>375</v>
      </c>
      <c r="B32" s="443">
        <v>587</v>
      </c>
      <c r="C32" s="453" t="s">
        <v>372</v>
      </c>
      <c r="D32" s="453"/>
      <c r="E32" s="453"/>
      <c r="F32" s="453"/>
      <c r="G32" s="453"/>
      <c r="H32" s="453"/>
      <c r="I32" s="453"/>
      <c r="J32" s="453"/>
      <c r="K32" s="453"/>
      <c r="L32" s="453"/>
      <c r="M32" s="453"/>
      <c r="N32" s="453"/>
      <c r="O32" s="453">
        <v>30000009300</v>
      </c>
      <c r="P32" s="444">
        <f>+BIODIESEL!$D$9</f>
        <v>431.45</v>
      </c>
      <c r="Q32" s="453" t="s">
        <v>373</v>
      </c>
      <c r="R32" s="453">
        <v>1</v>
      </c>
      <c r="S32" s="455" t="s">
        <v>374</v>
      </c>
      <c r="T32" s="445" t="s">
        <v>395</v>
      </c>
      <c r="U32" s="458" t="str">
        <f t="shared" si="0"/>
        <v>01.01.2025</v>
      </c>
      <c r="V32" s="457" t="str">
        <f t="shared" si="0"/>
        <v>31.01.2025</v>
      </c>
    </row>
    <row r="33" spans="1:22" ht="15">
      <c r="A33" s="445" t="s">
        <v>378</v>
      </c>
      <c r="B33" s="443">
        <v>587</v>
      </c>
      <c r="C33" s="443" t="s">
        <v>372</v>
      </c>
      <c r="D33" s="445"/>
      <c r="E33" s="445"/>
      <c r="F33" s="445"/>
      <c r="G33" s="445"/>
      <c r="H33" s="445"/>
      <c r="I33" s="445"/>
      <c r="J33" s="445"/>
      <c r="K33" s="445"/>
      <c r="L33" s="445"/>
      <c r="M33" s="445"/>
      <c r="N33" s="445"/>
      <c r="O33" s="453">
        <v>30000000004</v>
      </c>
      <c r="P33" s="444">
        <f>+BIODIESEL!$C$7</f>
        <v>5347.41</v>
      </c>
      <c r="Q33" s="443" t="s">
        <v>373</v>
      </c>
      <c r="R33" s="443">
        <v>1</v>
      </c>
      <c r="S33" s="448" t="s">
        <v>374</v>
      </c>
      <c r="T33" s="445" t="s">
        <v>395</v>
      </c>
      <c r="U33" s="458" t="str">
        <f t="shared" si="0"/>
        <v>01.01.2025</v>
      </c>
      <c r="V33" s="457" t="str">
        <f t="shared" si="0"/>
        <v>31.01.2025</v>
      </c>
    </row>
    <row r="34" spans="1:22" ht="15">
      <c r="A34" s="445" t="s">
        <v>378</v>
      </c>
      <c r="B34" s="443">
        <v>567</v>
      </c>
      <c r="C34" s="443" t="s">
        <v>372</v>
      </c>
      <c r="D34" s="445"/>
      <c r="E34" s="445"/>
      <c r="F34" s="445"/>
      <c r="G34" s="445"/>
      <c r="H34" s="445"/>
      <c r="I34" s="445"/>
      <c r="J34" s="445"/>
      <c r="K34" s="445"/>
      <c r="L34" s="445"/>
      <c r="M34" s="445" t="s">
        <v>377</v>
      </c>
      <c r="N34" s="445"/>
      <c r="O34" s="453">
        <v>30000000004</v>
      </c>
      <c r="P34" s="444">
        <f>+BIODIESEL!$C$7</f>
        <v>5347.41</v>
      </c>
      <c r="Q34" s="443" t="s">
        <v>373</v>
      </c>
      <c r="R34" s="443">
        <v>1</v>
      </c>
      <c r="S34" s="448" t="s">
        <v>374</v>
      </c>
      <c r="T34" s="445" t="s">
        <v>395</v>
      </c>
      <c r="U34" s="458" t="str">
        <f t="shared" si="0"/>
        <v>01.01.2025</v>
      </c>
      <c r="V34" s="457" t="str">
        <f t="shared" si="0"/>
        <v>31.01.2025</v>
      </c>
    </row>
    <row r="35" spans="1:22" ht="15">
      <c r="A35" s="445" t="s">
        <v>378</v>
      </c>
      <c r="B35" s="443">
        <v>587</v>
      </c>
      <c r="C35" s="443" t="s">
        <v>372</v>
      </c>
      <c r="D35" s="445"/>
      <c r="E35" s="445"/>
      <c r="F35" s="445"/>
      <c r="G35" s="445"/>
      <c r="H35" s="445"/>
      <c r="I35" s="445"/>
      <c r="J35" s="445"/>
      <c r="K35" s="445"/>
      <c r="L35" s="445"/>
      <c r="M35" s="445"/>
      <c r="N35" s="445"/>
      <c r="O35" s="453">
        <v>30000000002</v>
      </c>
      <c r="P35" s="444">
        <f>+BIODIESEL!$C$7</f>
        <v>5347.41</v>
      </c>
      <c r="Q35" s="443" t="s">
        <v>373</v>
      </c>
      <c r="R35" s="443">
        <v>1</v>
      </c>
      <c r="S35" s="448" t="s">
        <v>374</v>
      </c>
      <c r="T35" s="445" t="s">
        <v>395</v>
      </c>
      <c r="U35" s="458" t="str">
        <f>+U33</f>
        <v>01.01.2025</v>
      </c>
      <c r="V35" s="457" t="str">
        <f>+V33</f>
        <v>31.01.2025</v>
      </c>
    </row>
    <row r="36" spans="1:22" ht="15">
      <c r="A36" s="445" t="s">
        <v>378</v>
      </c>
      <c r="B36" s="443">
        <v>587</v>
      </c>
      <c r="C36" s="443" t="s">
        <v>372</v>
      </c>
      <c r="D36" s="445"/>
      <c r="E36" s="445"/>
      <c r="F36" s="445"/>
      <c r="G36" s="445"/>
      <c r="H36" s="445"/>
      <c r="I36" s="445"/>
      <c r="J36" s="445"/>
      <c r="K36" s="445"/>
      <c r="L36" s="445"/>
      <c r="M36" s="445"/>
      <c r="N36" s="445"/>
      <c r="O36" s="453">
        <v>30000002116</v>
      </c>
      <c r="P36" s="444">
        <f>+BIODIESEL!$C$7</f>
        <v>5347.41</v>
      </c>
      <c r="Q36" s="443" t="s">
        <v>373</v>
      </c>
      <c r="R36" s="443">
        <v>1</v>
      </c>
      <c r="S36" s="448" t="s">
        <v>374</v>
      </c>
      <c r="T36" s="445" t="s">
        <v>395</v>
      </c>
      <c r="U36" s="458" t="str">
        <f t="shared" si="0"/>
        <v>01.01.2025</v>
      </c>
      <c r="V36" s="457" t="str">
        <f t="shared" si="0"/>
        <v>31.01.2025</v>
      </c>
    </row>
    <row r="37" spans="1:22" ht="15">
      <c r="A37" s="445" t="s">
        <v>378</v>
      </c>
      <c r="B37" s="443">
        <v>587</v>
      </c>
      <c r="C37" s="443" t="s">
        <v>372</v>
      </c>
      <c r="D37" s="445"/>
      <c r="E37" s="445"/>
      <c r="F37" s="445"/>
      <c r="G37" s="445"/>
      <c r="H37" s="445"/>
      <c r="I37" s="445"/>
      <c r="J37" s="445"/>
      <c r="K37" s="445"/>
      <c r="L37" s="445"/>
      <c r="M37" s="445"/>
      <c r="N37" s="445"/>
      <c r="O37" s="453">
        <v>30000000070</v>
      </c>
      <c r="P37" s="454">
        <f>+'COMBUSTIBLES '!$B$7</f>
        <v>10380.44</v>
      </c>
      <c r="Q37" s="443" t="s">
        <v>373</v>
      </c>
      <c r="R37" s="443">
        <v>1</v>
      </c>
      <c r="S37" s="448" t="s">
        <v>374</v>
      </c>
      <c r="T37" s="445" t="s">
        <v>395</v>
      </c>
      <c r="U37" s="458" t="str">
        <f t="shared" si="0"/>
        <v>01.01.2025</v>
      </c>
      <c r="V37" s="457" t="str">
        <f t="shared" si="0"/>
        <v>31.01.2025</v>
      </c>
    </row>
    <row r="38" spans="1:22" ht="15">
      <c r="A38" s="445" t="s">
        <v>378</v>
      </c>
      <c r="B38" s="443">
        <v>567</v>
      </c>
      <c r="C38" s="453" t="s">
        <v>372</v>
      </c>
      <c r="D38" s="453"/>
      <c r="E38" s="453"/>
      <c r="F38" s="453"/>
      <c r="G38" s="453"/>
      <c r="H38" s="453"/>
      <c r="I38" s="453"/>
      <c r="J38" s="453"/>
      <c r="K38" s="453"/>
      <c r="L38" s="453"/>
      <c r="M38" s="453" t="s">
        <v>376</v>
      </c>
      <c r="N38" s="453"/>
      <c r="O38" s="453">
        <v>30000000070</v>
      </c>
      <c r="P38" s="454">
        <f>+'COMBUSTIBLES '!$B$7</f>
        <v>10380.44</v>
      </c>
      <c r="Q38" s="445" t="s">
        <v>373</v>
      </c>
      <c r="R38" s="445">
        <v>1</v>
      </c>
      <c r="S38" s="445" t="s">
        <v>374</v>
      </c>
      <c r="T38" s="445" t="s">
        <v>395</v>
      </c>
      <c r="U38" s="458" t="str">
        <f t="shared" si="0"/>
        <v>01.01.2025</v>
      </c>
      <c r="V38" s="457" t="str">
        <f t="shared" si="0"/>
        <v>31.01.2025</v>
      </c>
    </row>
    <row r="39" spans="1:22" ht="15">
      <c r="A39" s="445" t="s">
        <v>378</v>
      </c>
      <c r="B39" s="443">
        <v>587</v>
      </c>
      <c r="C39" s="443" t="s">
        <v>372</v>
      </c>
      <c r="D39" s="445"/>
      <c r="E39" s="445"/>
      <c r="F39" s="445"/>
      <c r="G39" s="445"/>
      <c r="H39" s="445"/>
      <c r="I39" s="445"/>
      <c r="J39" s="445"/>
      <c r="K39" s="445"/>
      <c r="L39" s="445"/>
      <c r="M39" s="445"/>
      <c r="N39" s="445"/>
      <c r="O39" s="453">
        <v>30000009113</v>
      </c>
      <c r="P39" s="454">
        <f>+'COMBUSTIBLES '!$B$7</f>
        <v>10380.44</v>
      </c>
      <c r="Q39" s="443" t="s">
        <v>373</v>
      </c>
      <c r="R39" s="443">
        <v>1</v>
      </c>
      <c r="S39" s="448" t="s">
        <v>374</v>
      </c>
      <c r="T39" s="445" t="s">
        <v>395</v>
      </c>
      <c r="U39" s="458" t="str">
        <f>+U37</f>
        <v>01.01.2025</v>
      </c>
      <c r="V39" s="457" t="str">
        <f>+V37</f>
        <v>31.01.2025</v>
      </c>
    </row>
    <row r="40" spans="1:22" ht="15">
      <c r="A40" s="453" t="s">
        <v>378</v>
      </c>
      <c r="B40" s="443">
        <v>587</v>
      </c>
      <c r="C40" s="443" t="s">
        <v>372</v>
      </c>
      <c r="D40" s="453"/>
      <c r="E40" s="453"/>
      <c r="F40" s="453"/>
      <c r="G40" s="453"/>
      <c r="H40" s="453"/>
      <c r="I40" s="453"/>
      <c r="J40" s="453"/>
      <c r="K40" s="453"/>
      <c r="L40" s="453"/>
      <c r="M40" s="453"/>
      <c r="N40" s="453"/>
      <c r="O40" s="453">
        <v>30000000003</v>
      </c>
      <c r="P40" s="444">
        <f>+BIODIESEL!$C$7</f>
        <v>5347.41</v>
      </c>
      <c r="Q40" s="443" t="s">
        <v>373</v>
      </c>
      <c r="R40" s="443">
        <v>1</v>
      </c>
      <c r="S40" s="448" t="s">
        <v>374</v>
      </c>
      <c r="T40" s="445" t="s">
        <v>395</v>
      </c>
      <c r="U40" s="458" t="str">
        <f t="shared" si="0"/>
        <v>01.01.2025</v>
      </c>
      <c r="V40" s="457" t="str">
        <f t="shared" si="0"/>
        <v>31.01.2025</v>
      </c>
    </row>
    <row r="41" spans="1:22" ht="15">
      <c r="A41" s="445" t="s">
        <v>371</v>
      </c>
      <c r="B41" s="443">
        <v>567</v>
      </c>
      <c r="C41" s="443" t="s">
        <v>372</v>
      </c>
      <c r="D41" s="445"/>
      <c r="E41" s="445"/>
      <c r="F41" s="445"/>
      <c r="G41" s="445"/>
      <c r="H41" s="445"/>
      <c r="I41" s="445"/>
      <c r="J41" s="445"/>
      <c r="K41" s="445"/>
      <c r="L41" s="445"/>
      <c r="M41" s="445" t="s">
        <v>379</v>
      </c>
      <c r="N41" s="445"/>
      <c r="O41" s="443">
        <v>30000002129</v>
      </c>
      <c r="P41" s="444">
        <f>+BIODIESEL!$D$8</f>
        <v>5240.46</v>
      </c>
      <c r="Q41" s="443" t="s">
        <v>373</v>
      </c>
      <c r="R41" s="443">
        <v>1</v>
      </c>
      <c r="S41" s="448" t="s">
        <v>374</v>
      </c>
      <c r="T41" s="445" t="s">
        <v>395</v>
      </c>
      <c r="U41" s="458" t="str">
        <f t="shared" si="0"/>
        <v>01.01.2025</v>
      </c>
      <c r="V41" s="457" t="str">
        <f t="shared" si="0"/>
        <v>31.01.2025</v>
      </c>
    </row>
    <row r="42" spans="1:22" ht="15">
      <c r="A42" s="445" t="s">
        <v>375</v>
      </c>
      <c r="B42" s="443">
        <v>567</v>
      </c>
      <c r="C42" s="443" t="s">
        <v>372</v>
      </c>
      <c r="D42" s="445"/>
      <c r="E42" s="445"/>
      <c r="F42" s="445"/>
      <c r="G42" s="445"/>
      <c r="H42" s="445"/>
      <c r="I42" s="445"/>
      <c r="J42" s="445"/>
      <c r="K42" s="445"/>
      <c r="L42" s="445"/>
      <c r="M42" s="445" t="s">
        <v>379</v>
      </c>
      <c r="N42" s="445"/>
      <c r="O42" s="443">
        <v>30000002129</v>
      </c>
      <c r="P42" s="444">
        <f>+BIODIESEL!$D$9</f>
        <v>431.45</v>
      </c>
      <c r="Q42" s="443" t="s">
        <v>373</v>
      </c>
      <c r="R42" s="443">
        <v>1</v>
      </c>
      <c r="S42" s="448" t="s">
        <v>374</v>
      </c>
      <c r="T42" s="445" t="s">
        <v>395</v>
      </c>
      <c r="U42" s="458" t="str">
        <f t="shared" si="0"/>
        <v>01.01.2025</v>
      </c>
      <c r="V42" s="457" t="str">
        <f t="shared" si="0"/>
        <v>31.01.2025</v>
      </c>
    </row>
    <row r="43" spans="1:22" ht="15">
      <c r="A43" s="445" t="s">
        <v>371</v>
      </c>
      <c r="B43" s="443">
        <v>567</v>
      </c>
      <c r="C43" s="443" t="s">
        <v>372</v>
      </c>
      <c r="D43" s="445"/>
      <c r="E43" s="445"/>
      <c r="F43" s="445"/>
      <c r="G43" s="445"/>
      <c r="H43" s="445"/>
      <c r="I43" s="445"/>
      <c r="J43" s="445"/>
      <c r="K43" s="445"/>
      <c r="L43" s="445"/>
      <c r="M43" s="445" t="s">
        <v>396</v>
      </c>
      <c r="N43" s="445"/>
      <c r="O43" s="443">
        <v>30000009250</v>
      </c>
      <c r="P43" s="444">
        <f>+BIODIESEL!$D$8</f>
        <v>5240.46</v>
      </c>
      <c r="Q43" s="443" t="s">
        <v>373</v>
      </c>
      <c r="R43" s="443">
        <v>1</v>
      </c>
      <c r="S43" s="448" t="s">
        <v>374</v>
      </c>
      <c r="T43" s="445" t="s">
        <v>395</v>
      </c>
      <c r="U43" s="458" t="str">
        <f t="shared" si="0"/>
        <v>01.01.2025</v>
      </c>
      <c r="V43" s="457" t="str">
        <f t="shared" si="0"/>
        <v>31.01.2025</v>
      </c>
    </row>
    <row r="44" spans="1:22" ht="15">
      <c r="A44" s="445" t="s">
        <v>375</v>
      </c>
      <c r="B44" s="443">
        <v>567</v>
      </c>
      <c r="C44" s="443" t="s">
        <v>372</v>
      </c>
      <c r="D44" s="445"/>
      <c r="E44" s="445"/>
      <c r="F44" s="445"/>
      <c r="G44" s="445"/>
      <c r="H44" s="445"/>
      <c r="I44" s="445"/>
      <c r="J44" s="445"/>
      <c r="K44" s="445"/>
      <c r="L44" s="445"/>
      <c r="M44" s="445" t="s">
        <v>396</v>
      </c>
      <c r="N44" s="445"/>
      <c r="O44" s="443">
        <v>30000009250</v>
      </c>
      <c r="P44" s="444">
        <f>+BIODIESEL!$D$9</f>
        <v>431.45</v>
      </c>
      <c r="Q44" s="443" t="s">
        <v>373</v>
      </c>
      <c r="R44" s="443">
        <v>1</v>
      </c>
      <c r="S44" s="448" t="s">
        <v>374</v>
      </c>
      <c r="T44" s="445" t="s">
        <v>395</v>
      </c>
      <c r="U44" s="458" t="str">
        <f t="shared" si="0"/>
        <v>01.01.2025</v>
      </c>
      <c r="V44" s="457" t="str">
        <f t="shared" si="0"/>
        <v>31.01.2025</v>
      </c>
    </row>
    <row r="45" spans="1:22" ht="45" hidden="1">
      <c r="A45" s="465" t="s">
        <v>349</v>
      </c>
      <c r="B45" s="465" t="s">
        <v>350</v>
      </c>
      <c r="C45" s="465" t="s">
        <v>351</v>
      </c>
      <c r="D45" s="465" t="s">
        <v>352</v>
      </c>
      <c r="E45" s="465" t="s">
        <v>353</v>
      </c>
      <c r="F45" s="465" t="s">
        <v>354</v>
      </c>
      <c r="G45" s="465" t="s">
        <v>355</v>
      </c>
      <c r="H45" s="465" t="s">
        <v>356</v>
      </c>
      <c r="I45" s="465" t="s">
        <v>357</v>
      </c>
      <c r="J45" s="465" t="s">
        <v>358</v>
      </c>
      <c r="K45" s="465" t="s">
        <v>359</v>
      </c>
      <c r="L45" s="465" t="s">
        <v>360</v>
      </c>
      <c r="M45" s="465" t="s">
        <v>361</v>
      </c>
      <c r="N45" s="465" t="s">
        <v>362</v>
      </c>
      <c r="O45" s="465" t="s">
        <v>363</v>
      </c>
      <c r="P45" s="465" t="s">
        <v>364</v>
      </c>
      <c r="Q45" s="465" t="s">
        <v>365</v>
      </c>
      <c r="R45" s="465" t="s">
        <v>366</v>
      </c>
      <c r="S45" s="465" t="s">
        <v>367</v>
      </c>
      <c r="T45" s="465" t="s">
        <v>368</v>
      </c>
      <c r="U45" s="465" t="s">
        <v>369</v>
      </c>
      <c r="V45" s="465" t="s">
        <v>370</v>
      </c>
    </row>
    <row r="46" spans="1:22" ht="15">
      <c r="A46" s="445" t="s">
        <v>378</v>
      </c>
      <c r="B46" s="445">
        <v>931</v>
      </c>
      <c r="C46" s="445" t="s">
        <v>372</v>
      </c>
      <c r="D46" s="445"/>
      <c r="E46" s="445"/>
      <c r="F46" s="445"/>
      <c r="G46" s="445"/>
      <c r="H46" s="445"/>
      <c r="I46" s="619">
        <v>90001437</v>
      </c>
      <c r="J46" s="445"/>
      <c r="K46" s="445"/>
      <c r="L46" s="445"/>
      <c r="M46" s="445" t="s">
        <v>377</v>
      </c>
      <c r="N46" s="445"/>
      <c r="O46" s="620">
        <v>30000009504</v>
      </c>
      <c r="P46" s="635">
        <f>+'COMBUSTIBLES '!$C$7</f>
        <v>11532</v>
      </c>
      <c r="Q46" s="445" t="s">
        <v>385</v>
      </c>
      <c r="R46" s="445">
        <v>1</v>
      </c>
      <c r="S46" s="445" t="s">
        <v>374</v>
      </c>
      <c r="T46" s="445" t="s">
        <v>395</v>
      </c>
      <c r="U46" s="458" t="s">
        <v>418</v>
      </c>
      <c r="V46" s="646" t="s">
        <v>442</v>
      </c>
    </row>
    <row r="47" spans="1:22" ht="15">
      <c r="A47" s="445" t="s">
        <v>378</v>
      </c>
      <c r="B47" s="445">
        <v>931</v>
      </c>
      <c r="C47" s="445" t="s">
        <v>372</v>
      </c>
      <c r="D47" s="445"/>
      <c r="E47" s="445"/>
      <c r="F47" s="445"/>
      <c r="G47" s="445"/>
      <c r="H47" s="445"/>
      <c r="I47" s="619">
        <v>90002757</v>
      </c>
      <c r="J47" s="445"/>
      <c r="K47" s="445"/>
      <c r="L47" s="445"/>
      <c r="M47" s="445" t="s">
        <v>377</v>
      </c>
      <c r="N47" s="445"/>
      <c r="O47" s="620">
        <v>30000009504</v>
      </c>
      <c r="P47" s="635">
        <f>+'COMBUSTIBLES '!$C$7</f>
        <v>11532</v>
      </c>
      <c r="Q47" s="445" t="s">
        <v>385</v>
      </c>
      <c r="R47" s="445">
        <v>1</v>
      </c>
      <c r="S47" s="445" t="s">
        <v>374</v>
      </c>
      <c r="T47" s="445" t="s">
        <v>395</v>
      </c>
      <c r="U47" s="458" t="str">
        <f t="shared" ref="U47:V52" si="1">+U46</f>
        <v>01.09.2024</v>
      </c>
      <c r="V47" s="617" t="str">
        <f t="shared" si="1"/>
        <v>31.01.2025</v>
      </c>
    </row>
    <row r="48" spans="1:22" ht="15">
      <c r="A48" s="445" t="s">
        <v>378</v>
      </c>
      <c r="B48" s="445">
        <v>931</v>
      </c>
      <c r="C48" s="445" t="s">
        <v>372</v>
      </c>
      <c r="D48" s="445"/>
      <c r="E48" s="445"/>
      <c r="F48" s="445"/>
      <c r="G48" s="445"/>
      <c r="H48" s="445"/>
      <c r="I48" s="619">
        <v>90001641</v>
      </c>
      <c r="J48" s="445"/>
      <c r="K48" s="445"/>
      <c r="L48" s="445"/>
      <c r="M48" s="445" t="s">
        <v>377</v>
      </c>
      <c r="N48" s="445"/>
      <c r="O48" s="620">
        <v>30000009504</v>
      </c>
      <c r="P48" s="635">
        <f>+'COMBUSTIBLES '!$C$7</f>
        <v>11532</v>
      </c>
      <c r="Q48" s="445" t="s">
        <v>385</v>
      </c>
      <c r="R48" s="445">
        <v>1</v>
      </c>
      <c r="S48" s="445" t="s">
        <v>374</v>
      </c>
      <c r="T48" s="445" t="s">
        <v>395</v>
      </c>
      <c r="U48" s="458" t="str">
        <f t="shared" si="1"/>
        <v>01.09.2024</v>
      </c>
      <c r="V48" s="617" t="str">
        <f t="shared" si="1"/>
        <v>31.01.2025</v>
      </c>
    </row>
    <row r="49" spans="1:22" ht="15">
      <c r="A49" s="445" t="s">
        <v>378</v>
      </c>
      <c r="B49" s="445">
        <v>931</v>
      </c>
      <c r="C49" s="445" t="s">
        <v>372</v>
      </c>
      <c r="D49" s="445"/>
      <c r="E49" s="445"/>
      <c r="F49" s="445"/>
      <c r="G49" s="445"/>
      <c r="H49" s="445"/>
      <c r="I49" s="619">
        <v>90001602</v>
      </c>
      <c r="J49" s="445"/>
      <c r="K49" s="445"/>
      <c r="L49" s="445"/>
      <c r="M49" s="445" t="s">
        <v>376</v>
      </c>
      <c r="N49" s="445"/>
      <c r="O49" s="620">
        <v>30000009504</v>
      </c>
      <c r="P49" s="635">
        <f>+'COMBUSTIBLES '!$C$7</f>
        <v>11532</v>
      </c>
      <c r="Q49" s="445" t="s">
        <v>385</v>
      </c>
      <c r="R49" s="445">
        <v>1</v>
      </c>
      <c r="S49" s="445" t="s">
        <v>374</v>
      </c>
      <c r="T49" s="445" t="s">
        <v>395</v>
      </c>
      <c r="U49" s="458" t="str">
        <f t="shared" si="1"/>
        <v>01.09.2024</v>
      </c>
      <c r="V49" s="617" t="str">
        <f t="shared" si="1"/>
        <v>31.01.2025</v>
      </c>
    </row>
    <row r="50" spans="1:22" ht="15">
      <c r="A50" s="445" t="s">
        <v>378</v>
      </c>
      <c r="B50" s="445">
        <v>931</v>
      </c>
      <c r="C50" s="445" t="s">
        <v>372</v>
      </c>
      <c r="D50" s="445"/>
      <c r="E50" s="445"/>
      <c r="F50" s="445"/>
      <c r="G50" s="445"/>
      <c r="H50" s="445"/>
      <c r="I50" s="619">
        <v>90001432</v>
      </c>
      <c r="J50" s="445"/>
      <c r="K50" s="445"/>
      <c r="L50" s="445"/>
      <c r="M50" s="445" t="s">
        <v>377</v>
      </c>
      <c r="N50" s="445"/>
      <c r="O50" s="620">
        <v>30000009504</v>
      </c>
      <c r="P50" s="635">
        <f>+'COMBUSTIBLES '!$C$7</f>
        <v>11532</v>
      </c>
      <c r="Q50" s="445" t="s">
        <v>385</v>
      </c>
      <c r="R50" s="445">
        <v>1</v>
      </c>
      <c r="S50" s="445" t="s">
        <v>374</v>
      </c>
      <c r="T50" s="445" t="s">
        <v>395</v>
      </c>
      <c r="U50" s="458" t="str">
        <f t="shared" si="1"/>
        <v>01.09.2024</v>
      </c>
      <c r="V50" s="617" t="str">
        <f t="shared" si="1"/>
        <v>31.01.2025</v>
      </c>
    </row>
    <row r="51" spans="1:22" ht="15">
      <c r="A51" s="445" t="s">
        <v>378</v>
      </c>
      <c r="B51" s="445">
        <v>931</v>
      </c>
      <c r="C51" s="445" t="s">
        <v>372</v>
      </c>
      <c r="D51" s="445"/>
      <c r="E51" s="445"/>
      <c r="F51" s="445"/>
      <c r="G51" s="445"/>
      <c r="H51" s="445"/>
      <c r="I51" s="619">
        <v>90002368</v>
      </c>
      <c r="J51" s="445"/>
      <c r="K51" s="445"/>
      <c r="L51" s="445"/>
      <c r="M51" s="445" t="s">
        <v>377</v>
      </c>
      <c r="N51" s="445"/>
      <c r="O51" s="620">
        <v>30000009504</v>
      </c>
      <c r="P51" s="635">
        <f>+'COMBUSTIBLES '!$C$7</f>
        <v>11532</v>
      </c>
      <c r="Q51" s="445" t="s">
        <v>385</v>
      </c>
      <c r="R51" s="445">
        <v>1</v>
      </c>
      <c r="S51" s="445" t="s">
        <v>374</v>
      </c>
      <c r="T51" s="445" t="s">
        <v>395</v>
      </c>
      <c r="U51" s="458" t="str">
        <f t="shared" si="1"/>
        <v>01.09.2024</v>
      </c>
      <c r="V51" s="617" t="str">
        <f t="shared" si="1"/>
        <v>31.01.2025</v>
      </c>
    </row>
    <row r="52" spans="1:22" ht="15">
      <c r="A52" s="445" t="s">
        <v>378</v>
      </c>
      <c r="B52" s="445">
        <v>931</v>
      </c>
      <c r="C52" s="445" t="s">
        <v>372</v>
      </c>
      <c r="D52" s="445"/>
      <c r="E52" s="445"/>
      <c r="F52" s="445"/>
      <c r="G52" s="445"/>
      <c r="H52" s="445"/>
      <c r="I52">
        <v>90001229</v>
      </c>
      <c r="J52" s="445"/>
      <c r="K52" s="445"/>
      <c r="L52" s="445"/>
      <c r="M52" s="445" t="s">
        <v>377</v>
      </c>
      <c r="N52" s="445"/>
      <c r="O52" s="620">
        <v>30000009504</v>
      </c>
      <c r="P52" s="635">
        <f>+'COMBUSTIBLES '!$C$7</f>
        <v>11532</v>
      </c>
      <c r="Q52" s="445" t="s">
        <v>385</v>
      </c>
      <c r="R52" s="445">
        <v>1</v>
      </c>
      <c r="S52" s="445" t="s">
        <v>374</v>
      </c>
      <c r="T52" s="445" t="s">
        <v>395</v>
      </c>
      <c r="U52" s="458" t="str">
        <f t="shared" si="1"/>
        <v>01.09.2024</v>
      </c>
      <c r="V52" s="617" t="str">
        <f t="shared" si="1"/>
        <v>31.01.2025</v>
      </c>
    </row>
    <row r="53" spans="1:22" ht="15">
      <c r="A53" s="445" t="s">
        <v>378</v>
      </c>
      <c r="B53" s="445">
        <v>931</v>
      </c>
      <c r="C53" s="445" t="s">
        <v>372</v>
      </c>
      <c r="D53" s="445"/>
      <c r="E53" s="445"/>
      <c r="F53" s="445"/>
      <c r="G53" s="445"/>
      <c r="H53" s="445"/>
      <c r="I53" s="619">
        <v>90001437</v>
      </c>
      <c r="J53" s="445"/>
      <c r="K53" s="445"/>
      <c r="L53" s="445"/>
      <c r="M53" s="445" t="s">
        <v>376</v>
      </c>
      <c r="N53" s="445"/>
      <c r="O53" s="620">
        <v>30000009504</v>
      </c>
      <c r="P53" s="635">
        <f>+'COMBUSTIBLES '!$C$7</f>
        <v>11532</v>
      </c>
      <c r="Q53" s="445" t="s">
        <v>385</v>
      </c>
      <c r="R53" s="445">
        <v>1</v>
      </c>
      <c r="S53" s="445" t="s">
        <v>374</v>
      </c>
      <c r="T53" s="445" t="s">
        <v>395</v>
      </c>
      <c r="U53" s="458" t="str">
        <f t="shared" ref="U53:V53" si="2">+U52</f>
        <v>01.09.2024</v>
      </c>
      <c r="V53" s="617" t="str">
        <f t="shared" si="2"/>
        <v>31.01.2025</v>
      </c>
    </row>
    <row r="54" spans="1:22" ht="15">
      <c r="A54" s="445" t="s">
        <v>378</v>
      </c>
      <c r="B54" s="445">
        <v>931</v>
      </c>
      <c r="C54" s="445" t="s">
        <v>372</v>
      </c>
      <c r="D54" s="445"/>
      <c r="E54" s="445"/>
      <c r="F54" s="445"/>
      <c r="G54" s="445"/>
      <c r="H54" s="445"/>
      <c r="I54" s="619">
        <v>90002757</v>
      </c>
      <c r="J54" s="445"/>
      <c r="K54" s="445"/>
      <c r="L54" s="445"/>
      <c r="M54" s="445" t="s">
        <v>376</v>
      </c>
      <c r="N54" s="445"/>
      <c r="O54" s="620">
        <v>30000009504</v>
      </c>
      <c r="P54" s="635">
        <f>+'COMBUSTIBLES '!$C$7</f>
        <v>11532</v>
      </c>
      <c r="Q54" s="445" t="s">
        <v>385</v>
      </c>
      <c r="R54" s="445">
        <v>1</v>
      </c>
      <c r="S54" s="445" t="s">
        <v>374</v>
      </c>
      <c r="T54" s="445" t="s">
        <v>395</v>
      </c>
      <c r="U54" s="458" t="str">
        <f t="shared" ref="U54:V54" si="3">+U53</f>
        <v>01.09.2024</v>
      </c>
      <c r="V54" s="617" t="str">
        <f t="shared" si="3"/>
        <v>31.01.2025</v>
      </c>
    </row>
    <row r="55" spans="1:22" ht="15">
      <c r="A55" s="445" t="s">
        <v>378</v>
      </c>
      <c r="B55" s="445">
        <v>931</v>
      </c>
      <c r="C55" s="445" t="s">
        <v>372</v>
      </c>
      <c r="D55" s="445"/>
      <c r="E55" s="445"/>
      <c r="F55" s="445"/>
      <c r="G55" s="445"/>
      <c r="H55" s="445"/>
      <c r="I55" s="619">
        <v>90001641</v>
      </c>
      <c r="J55" s="445"/>
      <c r="K55" s="445"/>
      <c r="L55" s="445"/>
      <c r="M55" s="445" t="s">
        <v>376</v>
      </c>
      <c r="N55" s="445"/>
      <c r="O55" s="620">
        <v>30000009504</v>
      </c>
      <c r="P55" s="635">
        <f>+'COMBUSTIBLES '!$C$7</f>
        <v>11532</v>
      </c>
      <c r="Q55" s="445" t="s">
        <v>385</v>
      </c>
      <c r="R55" s="445">
        <v>1</v>
      </c>
      <c r="S55" s="445" t="s">
        <v>374</v>
      </c>
      <c r="T55" s="445" t="s">
        <v>395</v>
      </c>
      <c r="U55" s="458" t="str">
        <f t="shared" ref="U55:V55" si="4">+U54</f>
        <v>01.09.2024</v>
      </c>
      <c r="V55" s="617" t="str">
        <f t="shared" si="4"/>
        <v>31.01.2025</v>
      </c>
    </row>
    <row r="56" spans="1:22" ht="15">
      <c r="A56" s="445" t="s">
        <v>378</v>
      </c>
      <c r="B56" s="445">
        <v>931</v>
      </c>
      <c r="C56" s="445" t="s">
        <v>372</v>
      </c>
      <c r="D56" s="445"/>
      <c r="E56" s="445"/>
      <c r="F56" s="445"/>
      <c r="G56" s="445"/>
      <c r="H56" s="445"/>
      <c r="I56" s="619">
        <v>90001602</v>
      </c>
      <c r="J56" s="445"/>
      <c r="K56" s="445"/>
      <c r="L56" s="445"/>
      <c r="M56" s="445" t="s">
        <v>376</v>
      </c>
      <c r="N56" s="445"/>
      <c r="O56" s="620">
        <v>30000009504</v>
      </c>
      <c r="P56" s="635">
        <f>+'COMBUSTIBLES '!$C$7</f>
        <v>11532</v>
      </c>
      <c r="Q56" s="445" t="s">
        <v>385</v>
      </c>
      <c r="R56" s="445">
        <v>1</v>
      </c>
      <c r="S56" s="445" t="s">
        <v>374</v>
      </c>
      <c r="T56" s="445" t="s">
        <v>395</v>
      </c>
      <c r="U56" s="458" t="str">
        <f t="shared" ref="U56:V56" si="5">+U55</f>
        <v>01.09.2024</v>
      </c>
      <c r="V56" s="617" t="str">
        <f t="shared" si="5"/>
        <v>31.01.2025</v>
      </c>
    </row>
    <row r="57" spans="1:22" ht="15">
      <c r="A57" s="445" t="s">
        <v>378</v>
      </c>
      <c r="B57" s="445">
        <v>931</v>
      </c>
      <c r="C57" s="445" t="s">
        <v>372</v>
      </c>
      <c r="D57" s="445"/>
      <c r="E57" s="445"/>
      <c r="F57" s="445"/>
      <c r="G57" s="445"/>
      <c r="H57" s="445"/>
      <c r="I57" s="619">
        <v>90001432</v>
      </c>
      <c r="J57" s="445"/>
      <c r="K57" s="445"/>
      <c r="L57" s="445"/>
      <c r="M57" s="445" t="s">
        <v>376</v>
      </c>
      <c r="N57" s="445"/>
      <c r="O57" s="620">
        <v>30000009504</v>
      </c>
      <c r="P57" s="635">
        <f>+'COMBUSTIBLES '!$C$7</f>
        <v>11532</v>
      </c>
      <c r="Q57" s="445" t="s">
        <v>385</v>
      </c>
      <c r="R57" s="445">
        <v>1</v>
      </c>
      <c r="S57" s="445" t="s">
        <v>374</v>
      </c>
      <c r="T57" s="445" t="s">
        <v>395</v>
      </c>
      <c r="U57" s="458" t="str">
        <f t="shared" ref="U57:V57" si="6">+U56</f>
        <v>01.09.2024</v>
      </c>
      <c r="V57" s="617" t="str">
        <f t="shared" si="6"/>
        <v>31.01.2025</v>
      </c>
    </row>
    <row r="58" spans="1:22" ht="15">
      <c r="A58" s="445" t="s">
        <v>378</v>
      </c>
      <c r="B58" s="445">
        <v>931</v>
      </c>
      <c r="C58" s="445" t="s">
        <v>372</v>
      </c>
      <c r="D58" s="445"/>
      <c r="E58" s="445"/>
      <c r="F58" s="445"/>
      <c r="G58" s="445"/>
      <c r="H58" s="445"/>
      <c r="I58" s="619">
        <v>90002368</v>
      </c>
      <c r="J58" s="445"/>
      <c r="K58" s="445"/>
      <c r="L58" s="445"/>
      <c r="M58" s="445" t="s">
        <v>376</v>
      </c>
      <c r="N58" s="445"/>
      <c r="O58" s="620">
        <v>30000009504</v>
      </c>
      <c r="P58" s="635">
        <f>+'COMBUSTIBLES '!$C$7</f>
        <v>11532</v>
      </c>
      <c r="Q58" s="445" t="s">
        <v>385</v>
      </c>
      <c r="R58" s="445">
        <v>1</v>
      </c>
      <c r="S58" s="445" t="s">
        <v>374</v>
      </c>
      <c r="T58" s="445" t="s">
        <v>395</v>
      </c>
      <c r="U58" s="458" t="str">
        <f t="shared" ref="U58:V58" si="7">+U57</f>
        <v>01.09.2024</v>
      </c>
      <c r="V58" s="617" t="str">
        <f t="shared" si="7"/>
        <v>31.01.2025</v>
      </c>
    </row>
    <row r="59" spans="1:22" ht="15">
      <c r="A59" s="445" t="s">
        <v>378</v>
      </c>
      <c r="B59" s="445">
        <v>931</v>
      </c>
      <c r="C59" s="445" t="s">
        <v>372</v>
      </c>
      <c r="D59" s="445"/>
      <c r="E59" s="445"/>
      <c r="F59" s="445"/>
      <c r="G59" s="445"/>
      <c r="H59" s="445"/>
      <c r="I59">
        <v>90001229</v>
      </c>
      <c r="J59" s="445"/>
      <c r="K59" s="445"/>
      <c r="L59" s="445"/>
      <c r="M59" s="445" t="s">
        <v>376</v>
      </c>
      <c r="N59" s="445"/>
      <c r="O59" s="620">
        <v>30000009504</v>
      </c>
      <c r="P59" s="635">
        <f>+'COMBUSTIBLES '!$C$7</f>
        <v>11532</v>
      </c>
      <c r="Q59" s="445" t="s">
        <v>385</v>
      </c>
      <c r="R59" s="445">
        <v>1</v>
      </c>
      <c r="S59" s="445" t="s">
        <v>374</v>
      </c>
      <c r="T59" s="445" t="s">
        <v>395</v>
      </c>
      <c r="U59" s="458" t="str">
        <f t="shared" ref="U59:V59" si="8">+U58</f>
        <v>01.09.2024</v>
      </c>
      <c r="V59" s="617" t="str">
        <f t="shared" si="8"/>
        <v>31.01.2025</v>
      </c>
    </row>
    <row r="60" spans="1:22" ht="15">
      <c r="A60" s="445" t="s">
        <v>378</v>
      </c>
      <c r="B60" s="445">
        <v>567</v>
      </c>
      <c r="C60" s="445" t="s">
        <v>372</v>
      </c>
      <c r="D60" s="445"/>
      <c r="E60" s="445"/>
      <c r="F60" s="445"/>
      <c r="G60" s="445"/>
      <c r="H60" s="445"/>
      <c r="I60" s="445"/>
      <c r="J60" s="445"/>
      <c r="K60" s="445"/>
      <c r="L60" s="445"/>
      <c r="M60" s="445" t="s">
        <v>376</v>
      </c>
      <c r="N60" s="445"/>
      <c r="O60" s="445">
        <v>30000009504</v>
      </c>
      <c r="P60" s="635">
        <f>+'COMBUSTIBLES '!$D$7</f>
        <v>11741</v>
      </c>
      <c r="Q60" s="445" t="s">
        <v>373</v>
      </c>
      <c r="R60" s="445">
        <v>1</v>
      </c>
      <c r="S60" s="445" t="s">
        <v>374</v>
      </c>
      <c r="T60" s="445" t="s">
        <v>395</v>
      </c>
      <c r="U60" s="458" t="str">
        <f t="shared" ref="U60:V60" si="9">+U59</f>
        <v>01.09.2024</v>
      </c>
      <c r="V60" s="617" t="str">
        <f t="shared" si="9"/>
        <v>31.01.2025</v>
      </c>
    </row>
    <row r="61" spans="1:22" ht="15">
      <c r="A61" s="445" t="s">
        <v>378</v>
      </c>
      <c r="B61" s="445">
        <v>567</v>
      </c>
      <c r="C61" s="445" t="s">
        <v>372</v>
      </c>
      <c r="D61" s="445"/>
      <c r="E61" s="445"/>
      <c r="F61" s="445"/>
      <c r="G61" s="445"/>
      <c r="H61" s="445"/>
      <c r="I61" s="445"/>
      <c r="J61" s="445"/>
      <c r="K61" s="445"/>
      <c r="L61" s="445"/>
      <c r="M61" s="445" t="s">
        <v>377</v>
      </c>
      <c r="N61" s="445"/>
      <c r="O61" s="445">
        <v>30000009504</v>
      </c>
      <c r="P61" s="635">
        <f>+'COMBUSTIBLES '!$D$7</f>
        <v>11741</v>
      </c>
      <c r="Q61" s="445" t="s">
        <v>373</v>
      </c>
      <c r="R61" s="445">
        <v>1</v>
      </c>
      <c r="S61" s="445" t="s">
        <v>374</v>
      </c>
      <c r="T61" s="445" t="s">
        <v>395</v>
      </c>
      <c r="U61" s="458" t="str">
        <f t="shared" ref="U61:V61" si="10">+U60</f>
        <v>01.09.2024</v>
      </c>
      <c r="V61" s="617" t="str">
        <f t="shared" si="10"/>
        <v>31.01.2025</v>
      </c>
    </row>
    <row r="62" spans="1:22" ht="15">
      <c r="A62" s="445" t="s">
        <v>378</v>
      </c>
      <c r="B62" s="445">
        <v>567</v>
      </c>
      <c r="C62" s="445" t="s">
        <v>372</v>
      </c>
      <c r="D62" s="445"/>
      <c r="E62" s="445"/>
      <c r="F62" s="445"/>
      <c r="G62" s="445"/>
      <c r="H62" s="445"/>
      <c r="I62" s="445"/>
      <c r="J62" s="445"/>
      <c r="K62" s="445"/>
      <c r="L62" s="445"/>
      <c r="M62" s="445" t="s">
        <v>383</v>
      </c>
      <c r="N62" s="445"/>
      <c r="O62" s="620">
        <v>30000009504</v>
      </c>
      <c r="P62" s="635">
        <f>+'COMBUSTIBLES '!$D$7</f>
        <v>11741</v>
      </c>
      <c r="Q62" s="445" t="s">
        <v>373</v>
      </c>
      <c r="R62" s="445">
        <v>1</v>
      </c>
      <c r="S62" s="445" t="s">
        <v>374</v>
      </c>
      <c r="T62" s="445" t="s">
        <v>395</v>
      </c>
      <c r="U62" s="458" t="str">
        <f t="shared" ref="U62:V62" si="11">+U61</f>
        <v>01.09.2024</v>
      </c>
      <c r="V62" s="617" t="str">
        <f t="shared" si="11"/>
        <v>31.01.2025</v>
      </c>
    </row>
    <row r="63" spans="1:22" ht="15">
      <c r="A63" s="445" t="s">
        <v>378</v>
      </c>
      <c r="B63" s="445">
        <v>567</v>
      </c>
      <c r="C63" s="445" t="s">
        <v>372</v>
      </c>
      <c r="D63" s="445"/>
      <c r="E63" s="445"/>
      <c r="F63" s="445"/>
      <c r="G63" s="445"/>
      <c r="H63" s="445"/>
      <c r="I63" s="445"/>
      <c r="J63" s="445"/>
      <c r="K63" s="445"/>
      <c r="L63" s="445"/>
      <c r="M63" s="445" t="s">
        <v>386</v>
      </c>
      <c r="N63" s="445"/>
      <c r="O63" s="620">
        <v>30000009504</v>
      </c>
      <c r="P63" s="635">
        <f>+P59</f>
        <v>11532</v>
      </c>
      <c r="Q63" s="445" t="s">
        <v>373</v>
      </c>
      <c r="R63" s="445">
        <v>1</v>
      </c>
      <c r="S63" s="445" t="s">
        <v>374</v>
      </c>
      <c r="T63" s="445" t="s">
        <v>395</v>
      </c>
      <c r="U63" s="458" t="str">
        <f t="shared" ref="U63:V63" si="12">+U62</f>
        <v>01.09.2024</v>
      </c>
      <c r="V63" s="617" t="str">
        <f t="shared" si="12"/>
        <v>31.01.2025</v>
      </c>
    </row>
    <row r="64" spans="1:22" ht="15">
      <c r="A64" s="445" t="s">
        <v>378</v>
      </c>
      <c r="B64" s="445">
        <v>931</v>
      </c>
      <c r="C64" s="445" t="s">
        <v>372</v>
      </c>
      <c r="D64" s="445"/>
      <c r="E64" s="445"/>
      <c r="F64" s="445"/>
      <c r="G64" s="445"/>
      <c r="H64" s="445"/>
      <c r="I64" s="445">
        <v>90001602</v>
      </c>
      <c r="J64" s="445"/>
      <c r="K64" s="445"/>
      <c r="L64" s="445"/>
      <c r="M64" s="445" t="s">
        <v>396</v>
      </c>
      <c r="N64" s="445"/>
      <c r="O64" s="620">
        <v>30000009504</v>
      </c>
      <c r="P64" s="635">
        <f>+'COMBUSTIBLES '!$C$7</f>
        <v>11532</v>
      </c>
      <c r="Q64" s="445" t="s">
        <v>385</v>
      </c>
      <c r="R64" s="445">
        <v>1</v>
      </c>
      <c r="S64" s="445" t="s">
        <v>374</v>
      </c>
      <c r="T64" s="445" t="s">
        <v>395</v>
      </c>
      <c r="U64" s="458" t="str">
        <f t="shared" ref="U64:V64" si="13">+U63</f>
        <v>01.09.2024</v>
      </c>
      <c r="V64" s="617" t="str">
        <f t="shared" si="13"/>
        <v>31.01.2025</v>
      </c>
    </row>
    <row r="65" spans="1:22" ht="15">
      <c r="A65" s="445" t="s">
        <v>378</v>
      </c>
      <c r="B65" s="445">
        <v>567</v>
      </c>
      <c r="C65" s="445" t="s">
        <v>372</v>
      </c>
      <c r="D65" s="445"/>
      <c r="E65" s="445"/>
      <c r="F65" s="445"/>
      <c r="G65" s="445"/>
      <c r="H65" s="445"/>
      <c r="I65" s="445"/>
      <c r="J65" s="445"/>
      <c r="K65" s="445"/>
      <c r="L65" s="445"/>
      <c r="M65" s="445" t="s">
        <v>386</v>
      </c>
      <c r="N65" s="445"/>
      <c r="O65" s="620">
        <v>30000009418</v>
      </c>
      <c r="P65" s="635">
        <f>+'COMBUSTIBLES '!$F$7</f>
        <v>18426</v>
      </c>
      <c r="Q65" s="445" t="s">
        <v>373</v>
      </c>
      <c r="R65" s="445">
        <v>1</v>
      </c>
      <c r="S65" s="445" t="s">
        <v>387</v>
      </c>
      <c r="T65" s="445" t="s">
        <v>395</v>
      </c>
      <c r="U65" s="458" t="str">
        <f t="shared" ref="U65:V65" si="14">+U64</f>
        <v>01.09.2024</v>
      </c>
      <c r="V65" s="617" t="str">
        <f t="shared" si="14"/>
        <v>31.01.2025</v>
      </c>
    </row>
    <row r="66" spans="1:22" ht="15">
      <c r="A66" s="445" t="s">
        <v>378</v>
      </c>
      <c r="B66" s="445">
        <v>567</v>
      </c>
      <c r="C66" s="445" t="s">
        <v>372</v>
      </c>
      <c r="D66" s="445"/>
      <c r="E66" s="445"/>
      <c r="F66" s="445"/>
      <c r="G66" s="445"/>
      <c r="H66" s="445"/>
      <c r="I66" s="445"/>
      <c r="J66" s="445"/>
      <c r="K66" s="445"/>
      <c r="L66" s="445"/>
      <c r="M66" s="445" t="s">
        <v>383</v>
      </c>
      <c r="N66" s="445"/>
      <c r="O66" s="620">
        <v>30000009418</v>
      </c>
      <c r="P66" s="635">
        <f>+'COMBUSTIBLES '!$F$7</f>
        <v>18426</v>
      </c>
      <c r="Q66" s="445" t="s">
        <v>373</v>
      </c>
      <c r="R66" s="445">
        <v>1</v>
      </c>
      <c r="S66" s="445" t="s">
        <v>387</v>
      </c>
      <c r="T66" s="445" t="s">
        <v>395</v>
      </c>
      <c r="U66" s="458" t="str">
        <f t="shared" ref="U66:V66" si="15">+U65</f>
        <v>01.09.2024</v>
      </c>
      <c r="V66" s="617" t="str">
        <f t="shared" si="15"/>
        <v>31.01.2025</v>
      </c>
    </row>
    <row r="67" spans="1:22" ht="15">
      <c r="A67" s="445" t="s">
        <v>378</v>
      </c>
      <c r="B67" s="445">
        <v>567</v>
      </c>
      <c r="C67" s="445" t="s">
        <v>372</v>
      </c>
      <c r="D67" s="445"/>
      <c r="E67" s="445"/>
      <c r="F67" s="445"/>
      <c r="G67" s="445"/>
      <c r="H67" s="445"/>
      <c r="I67" s="445"/>
      <c r="J67" s="445"/>
      <c r="K67" s="445"/>
      <c r="L67" s="445"/>
      <c r="M67" s="445" t="s">
        <v>376</v>
      </c>
      <c r="N67" s="445"/>
      <c r="O67" s="620">
        <v>30000009418</v>
      </c>
      <c r="P67" s="635">
        <f>+'COMBUSTIBLES '!$F$7</f>
        <v>18426</v>
      </c>
      <c r="Q67" s="445" t="s">
        <v>373</v>
      </c>
      <c r="R67" s="445">
        <v>1</v>
      </c>
      <c r="S67" s="445" t="s">
        <v>387</v>
      </c>
      <c r="T67" s="445" t="s">
        <v>395</v>
      </c>
      <c r="U67" s="458" t="str">
        <f t="shared" ref="U67:V67" si="16">+U66</f>
        <v>01.09.2024</v>
      </c>
      <c r="V67" s="617" t="str">
        <f t="shared" si="16"/>
        <v>31.01.2025</v>
      </c>
    </row>
    <row r="68" spans="1:22" ht="15">
      <c r="A68" s="445" t="s">
        <v>378</v>
      </c>
      <c r="B68" s="445">
        <v>567</v>
      </c>
      <c r="C68" s="445" t="s">
        <v>372</v>
      </c>
      <c r="D68" s="445"/>
      <c r="E68" s="445"/>
      <c r="F68" s="445"/>
      <c r="G68" s="445"/>
      <c r="H68" s="445"/>
      <c r="I68" s="445"/>
      <c r="J68" s="445"/>
      <c r="K68" s="445"/>
      <c r="L68" s="445"/>
      <c r="M68" s="445" t="s">
        <v>377</v>
      </c>
      <c r="N68" s="445"/>
      <c r="O68" s="620">
        <v>30000009418</v>
      </c>
      <c r="P68" s="635">
        <f>+'COMBUSTIBLES '!$F$7</f>
        <v>18426</v>
      </c>
      <c r="Q68" s="445" t="s">
        <v>373</v>
      </c>
      <c r="R68" s="445">
        <v>1</v>
      </c>
      <c r="S68" s="445" t="s">
        <v>387</v>
      </c>
      <c r="T68" s="445" t="s">
        <v>395</v>
      </c>
      <c r="U68" s="458" t="str">
        <f t="shared" ref="U68:V68" si="17">+U67</f>
        <v>01.09.2024</v>
      </c>
      <c r="V68" s="617" t="str">
        <f t="shared" si="17"/>
        <v>31.01.2025</v>
      </c>
    </row>
    <row r="69" spans="1:22" ht="45" hidden="1">
      <c r="A69" s="465" t="s">
        <v>349</v>
      </c>
      <c r="B69" s="465" t="s">
        <v>350</v>
      </c>
      <c r="C69" s="465" t="s">
        <v>351</v>
      </c>
      <c r="D69" s="465" t="s">
        <v>352</v>
      </c>
      <c r="E69" s="465" t="s">
        <v>353</v>
      </c>
      <c r="F69" s="465" t="s">
        <v>354</v>
      </c>
      <c r="G69" s="465" t="s">
        <v>355</v>
      </c>
      <c r="H69" s="465" t="s">
        <v>356</v>
      </c>
      <c r="I69" s="465" t="s">
        <v>357</v>
      </c>
      <c r="J69" s="465" t="s">
        <v>358</v>
      </c>
      <c r="K69" s="465" t="s">
        <v>359</v>
      </c>
      <c r="L69" s="465" t="s">
        <v>360</v>
      </c>
      <c r="M69" s="465" t="s">
        <v>361</v>
      </c>
      <c r="N69" s="465" t="s">
        <v>362</v>
      </c>
      <c r="O69" s="465" t="s">
        <v>363</v>
      </c>
      <c r="P69" s="465" t="s">
        <v>364</v>
      </c>
      <c r="Q69" s="465" t="s">
        <v>365</v>
      </c>
      <c r="R69" s="465" t="s">
        <v>366</v>
      </c>
      <c r="S69" s="465" t="s">
        <v>367</v>
      </c>
      <c r="T69" s="465" t="s">
        <v>368</v>
      </c>
      <c r="U69" s="465" t="s">
        <v>369</v>
      </c>
      <c r="V69" s="465" t="s">
        <v>370</v>
      </c>
    </row>
    <row r="70" spans="1:22" ht="15">
      <c r="A70" s="445" t="s">
        <v>388</v>
      </c>
      <c r="B70" s="445">
        <v>551</v>
      </c>
      <c r="C70" s="445" t="s">
        <v>372</v>
      </c>
      <c r="D70" s="445"/>
      <c r="E70" s="445"/>
      <c r="F70" s="445"/>
      <c r="G70" s="445" t="s">
        <v>389</v>
      </c>
      <c r="H70" s="445"/>
      <c r="I70" s="445"/>
      <c r="J70" s="445"/>
      <c r="K70" s="445"/>
      <c r="L70" s="445"/>
      <c r="M70" s="445" t="s">
        <v>390</v>
      </c>
      <c r="N70" s="445"/>
      <c r="O70" s="445">
        <v>30000002317</v>
      </c>
      <c r="P70" s="444">
        <f>+ROUND('DIESEL MARINO'!$E$53-'DIESEL MARINO'!$F$53,2)*-1</f>
        <v>-1205.31</v>
      </c>
      <c r="Q70" s="445" t="s">
        <v>373</v>
      </c>
      <c r="R70" s="445">
        <v>1</v>
      </c>
      <c r="S70" s="445" t="s">
        <v>374</v>
      </c>
      <c r="T70" s="445" t="s">
        <v>395</v>
      </c>
      <c r="U70" s="458" t="str">
        <f>+U2</f>
        <v>01.01.2025</v>
      </c>
      <c r="V70" s="617" t="str">
        <f>+V66</f>
        <v>31.01.2025</v>
      </c>
    </row>
    <row r="71" spans="1:22" ht="15">
      <c r="A71" s="445" t="s">
        <v>388</v>
      </c>
      <c r="B71" s="445">
        <v>551</v>
      </c>
      <c r="C71" s="618" t="s">
        <v>372</v>
      </c>
      <c r="D71" s="618"/>
      <c r="E71" s="618"/>
      <c r="F71" s="618"/>
      <c r="G71" s="618" t="s">
        <v>389</v>
      </c>
      <c r="H71" s="618"/>
      <c r="I71" s="618"/>
      <c r="J71" s="618"/>
      <c r="K71" s="618"/>
      <c r="L71" s="618"/>
      <c r="M71" s="445" t="s">
        <v>390</v>
      </c>
      <c r="N71" s="618"/>
      <c r="O71" s="618">
        <v>30000009300</v>
      </c>
      <c r="P71" s="444">
        <f>+ROUND('DIESEL MARINO'!$E$53-'DIESEL MARINO'!$F$53,2)*-1</f>
        <v>-1205.31</v>
      </c>
      <c r="Q71" s="618" t="s">
        <v>373</v>
      </c>
      <c r="R71" s="618">
        <v>1</v>
      </c>
      <c r="S71" s="618" t="s">
        <v>374</v>
      </c>
      <c r="T71" s="445" t="s">
        <v>395</v>
      </c>
      <c r="U71" s="458" t="str">
        <f>+U70</f>
        <v>01.01.2025</v>
      </c>
      <c r="V71" s="617" t="str">
        <f>+V70</f>
        <v>31.01.2025</v>
      </c>
    </row>
    <row r="72" spans="1:22" ht="15">
      <c r="A72" s="445" t="s">
        <v>388</v>
      </c>
      <c r="B72" s="445">
        <v>567</v>
      </c>
      <c r="C72" s="445" t="s">
        <v>372</v>
      </c>
      <c r="D72" s="453"/>
      <c r="E72" s="453"/>
      <c r="F72" s="453"/>
      <c r="G72" s="453"/>
      <c r="H72" s="453"/>
      <c r="I72" s="453"/>
      <c r="J72" s="453"/>
      <c r="K72" s="453"/>
      <c r="L72" s="453"/>
      <c r="M72" s="453" t="s">
        <v>390</v>
      </c>
      <c r="N72" s="453"/>
      <c r="O72" s="453">
        <v>30000000004</v>
      </c>
      <c r="P72" s="444">
        <f>ROUND(-('DIESEL MARINO'!$D$6-'DIESEL MARINO'!$F$6),2)</f>
        <v>-1069.48</v>
      </c>
      <c r="Q72" s="453" t="s">
        <v>373</v>
      </c>
      <c r="R72" s="453">
        <v>1</v>
      </c>
      <c r="S72" s="453" t="s">
        <v>374</v>
      </c>
      <c r="T72" s="445" t="s">
        <v>395</v>
      </c>
      <c r="U72" s="458" t="str">
        <f>+U78</f>
        <v>01.01.2025</v>
      </c>
      <c r="V72" s="617" t="str">
        <f>+V78</f>
        <v>31.01.2025</v>
      </c>
    </row>
    <row r="73" spans="1:22" ht="15">
      <c r="A73" s="445" t="s">
        <v>388</v>
      </c>
      <c r="B73" s="445">
        <v>567</v>
      </c>
      <c r="C73" s="445" t="s">
        <v>372</v>
      </c>
      <c r="D73" s="445"/>
      <c r="E73" s="445"/>
      <c r="F73" s="445"/>
      <c r="G73" s="445"/>
      <c r="H73" s="445"/>
      <c r="I73" s="445"/>
      <c r="J73" s="445"/>
      <c r="K73" s="445"/>
      <c r="L73" s="445"/>
      <c r="M73" s="445" t="s">
        <v>390</v>
      </c>
      <c r="N73" s="445"/>
      <c r="O73" s="445">
        <v>30000002129</v>
      </c>
      <c r="P73" s="444">
        <f>ROUND(-('DIESEL MARINO'!$D$6-'DIESEL MARINO'!$F$6)*98%,2)</f>
        <v>-1048.0899999999999</v>
      </c>
      <c r="Q73" s="445" t="s">
        <v>373</v>
      </c>
      <c r="R73" s="445">
        <v>1</v>
      </c>
      <c r="S73" s="445" t="s">
        <v>374</v>
      </c>
      <c r="T73" s="445" t="s">
        <v>395</v>
      </c>
      <c r="U73" s="458" t="str">
        <f>+U76</f>
        <v>01.01.2025</v>
      </c>
      <c r="V73" s="617" t="str">
        <f>+V76</f>
        <v>31.01.2025</v>
      </c>
    </row>
    <row r="74" spans="1:22" ht="15">
      <c r="A74" s="445" t="s">
        <v>388</v>
      </c>
      <c r="B74" s="445">
        <v>567</v>
      </c>
      <c r="C74" s="445" t="s">
        <v>372</v>
      </c>
      <c r="D74" s="445"/>
      <c r="E74" s="445"/>
      <c r="F74" s="445"/>
      <c r="G74" s="445"/>
      <c r="H74" s="445"/>
      <c r="I74" s="445"/>
      <c r="J74" s="445"/>
      <c r="K74" s="445"/>
      <c r="L74" s="445"/>
      <c r="M74" s="445" t="s">
        <v>390</v>
      </c>
      <c r="N74" s="445"/>
      <c r="O74" s="445">
        <v>30000002317</v>
      </c>
      <c r="P74" s="444">
        <f>ROUND(-('DIESEL MARINO'!$D$6-'DIESEL MARINO'!$F$6)*98%,2)</f>
        <v>-1048.0899999999999</v>
      </c>
      <c r="Q74" s="445" t="s">
        <v>373</v>
      </c>
      <c r="R74" s="445">
        <v>1</v>
      </c>
      <c r="S74" s="445" t="s">
        <v>374</v>
      </c>
      <c r="T74" s="445" t="s">
        <v>395</v>
      </c>
      <c r="U74" s="458" t="str">
        <f>+U73</f>
        <v>01.01.2025</v>
      </c>
      <c r="V74" s="617" t="str">
        <f>+V73</f>
        <v>31.01.2025</v>
      </c>
    </row>
    <row r="75" spans="1:22" ht="15">
      <c r="A75" s="445" t="s">
        <v>388</v>
      </c>
      <c r="B75" s="445">
        <v>567</v>
      </c>
      <c r="C75" s="445" t="s">
        <v>372</v>
      </c>
      <c r="D75" s="445"/>
      <c r="E75" s="445"/>
      <c r="F75" s="445"/>
      <c r="G75" s="445"/>
      <c r="H75" s="445"/>
      <c r="I75" s="445"/>
      <c r="J75" s="445"/>
      <c r="K75" s="445"/>
      <c r="L75" s="445"/>
      <c r="M75" s="445" t="s">
        <v>390</v>
      </c>
      <c r="N75" s="445"/>
      <c r="O75" s="445">
        <v>30000009300</v>
      </c>
      <c r="P75" s="444">
        <f>ROUND(-('DIESEL MARINO'!$D$6-'DIESEL MARINO'!$F$6)*98%,2)</f>
        <v>-1048.0899999999999</v>
      </c>
      <c r="Q75" s="445" t="s">
        <v>373</v>
      </c>
      <c r="R75" s="445">
        <v>1</v>
      </c>
      <c r="S75" s="445" t="s">
        <v>374</v>
      </c>
      <c r="T75" s="445" t="s">
        <v>395</v>
      </c>
      <c r="U75" s="458" t="str">
        <f>+U74</f>
        <v>01.01.2025</v>
      </c>
      <c r="V75" s="617" t="str">
        <f>+V74</f>
        <v>31.01.2025</v>
      </c>
    </row>
    <row r="76" spans="1:22" ht="15">
      <c r="A76" s="445" t="s">
        <v>388</v>
      </c>
      <c r="B76" s="445">
        <v>567</v>
      </c>
      <c r="C76" s="445" t="s">
        <v>372</v>
      </c>
      <c r="D76" s="445"/>
      <c r="E76" s="445"/>
      <c r="F76" s="445"/>
      <c r="G76" s="445"/>
      <c r="H76" s="445"/>
      <c r="I76" s="445"/>
      <c r="J76" s="445"/>
      <c r="K76" s="445"/>
      <c r="L76" s="445"/>
      <c r="M76" s="445" t="s">
        <v>391</v>
      </c>
      <c r="N76" s="445"/>
      <c r="O76" s="445">
        <v>30000000004</v>
      </c>
      <c r="P76" s="444">
        <f>ROUND(-('DIESEL MARINO'!$D$6-'DIESEL MARINO'!$F$6),2)</f>
        <v>-1069.48</v>
      </c>
      <c r="Q76" s="445" t="s">
        <v>373</v>
      </c>
      <c r="R76" s="445">
        <v>1</v>
      </c>
      <c r="S76" s="445" t="s">
        <v>374</v>
      </c>
      <c r="T76" s="445" t="s">
        <v>395</v>
      </c>
      <c r="U76" s="458" t="str">
        <f>+U71</f>
        <v>01.01.2025</v>
      </c>
      <c r="V76" s="617" t="str">
        <f>+V71</f>
        <v>31.01.2025</v>
      </c>
    </row>
    <row r="77" spans="1:22" ht="15">
      <c r="A77" s="445" t="s">
        <v>388</v>
      </c>
      <c r="B77" s="445">
        <v>567</v>
      </c>
      <c r="C77" s="445" t="s">
        <v>372</v>
      </c>
      <c r="D77" s="445"/>
      <c r="E77" s="445"/>
      <c r="F77" s="445"/>
      <c r="G77" s="445"/>
      <c r="H77" s="445"/>
      <c r="I77" s="445"/>
      <c r="J77" s="445"/>
      <c r="K77" s="445"/>
      <c r="L77" s="445"/>
      <c r="M77" s="445" t="s">
        <v>391</v>
      </c>
      <c r="N77" s="445"/>
      <c r="O77" s="445">
        <v>30000002317</v>
      </c>
      <c r="P77" s="444">
        <f>ROUND(-('DIESEL MARINO'!$D$6-'DIESEL MARINO'!$F$6)*98%,2)</f>
        <v>-1048.0899999999999</v>
      </c>
      <c r="Q77" s="445" t="s">
        <v>373</v>
      </c>
      <c r="R77" s="445">
        <v>1</v>
      </c>
      <c r="S77" s="445" t="s">
        <v>374</v>
      </c>
      <c r="T77" s="445" t="s">
        <v>395</v>
      </c>
      <c r="U77" s="458" t="str">
        <f>+U75</f>
        <v>01.01.2025</v>
      </c>
      <c r="V77" s="617" t="str">
        <f>+V75</f>
        <v>31.01.2025</v>
      </c>
    </row>
    <row r="78" spans="1:22" ht="15">
      <c r="A78" s="445" t="s">
        <v>388</v>
      </c>
      <c r="B78" s="445">
        <v>567</v>
      </c>
      <c r="C78" s="445" t="s">
        <v>372</v>
      </c>
      <c r="D78" s="445"/>
      <c r="E78" s="445"/>
      <c r="F78" s="445"/>
      <c r="G78" s="445"/>
      <c r="H78" s="445"/>
      <c r="I78" s="445"/>
      <c r="J78" s="445"/>
      <c r="K78" s="445"/>
      <c r="L78" s="445"/>
      <c r="M78" s="445" t="s">
        <v>391</v>
      </c>
      <c r="N78" s="445"/>
      <c r="O78" s="445">
        <v>30000009300</v>
      </c>
      <c r="P78" s="444">
        <f>ROUND(-('DIESEL MARINO'!$D$6-'DIESEL MARINO'!$F$6)*98%,2)</f>
        <v>-1048.0899999999999</v>
      </c>
      <c r="Q78" s="445" t="s">
        <v>373</v>
      </c>
      <c r="R78" s="445">
        <v>1</v>
      </c>
      <c r="S78" s="445" t="s">
        <v>374</v>
      </c>
      <c r="T78" s="445" t="s">
        <v>395</v>
      </c>
      <c r="U78" s="458" t="str">
        <f>+U77</f>
        <v>01.01.2025</v>
      </c>
      <c r="V78" s="617" t="str">
        <f>+V77</f>
        <v>31.01.2025</v>
      </c>
    </row>
    <row r="79" spans="1:22" ht="15">
      <c r="A79" s="445" t="s">
        <v>371</v>
      </c>
      <c r="B79" s="445">
        <v>567</v>
      </c>
      <c r="C79" s="445" t="s">
        <v>372</v>
      </c>
      <c r="D79" s="445"/>
      <c r="E79" s="445"/>
      <c r="F79" s="445"/>
      <c r="G79" s="445"/>
      <c r="H79" s="445"/>
      <c r="I79" s="445"/>
      <c r="J79" s="445"/>
      <c r="K79" s="445"/>
      <c r="L79" s="445"/>
      <c r="M79" s="445" t="s">
        <v>376</v>
      </c>
      <c r="N79" s="445"/>
      <c r="O79" s="445">
        <v>30000002129</v>
      </c>
      <c r="P79" s="444">
        <f>+ROUND('DIESEL MARINO'!$D$30*98%,2)</f>
        <v>5240.46</v>
      </c>
      <c r="Q79" s="445" t="s">
        <v>373</v>
      </c>
      <c r="R79" s="445">
        <v>1</v>
      </c>
      <c r="S79" s="445" t="s">
        <v>374</v>
      </c>
      <c r="T79" s="445" t="s">
        <v>395</v>
      </c>
      <c r="U79" s="458" t="str">
        <f>+U71</f>
        <v>01.01.2025</v>
      </c>
      <c r="V79" s="617" t="str">
        <f>+V71</f>
        <v>31.01.2025</v>
      </c>
    </row>
    <row r="80" spans="1:22" ht="15">
      <c r="A80" s="445" t="s">
        <v>371</v>
      </c>
      <c r="B80" s="445">
        <v>567</v>
      </c>
      <c r="C80" s="445" t="s">
        <v>372</v>
      </c>
      <c r="D80" s="445"/>
      <c r="E80" s="445"/>
      <c r="F80" s="445"/>
      <c r="G80" s="445"/>
      <c r="H80" s="445"/>
      <c r="I80" s="445"/>
      <c r="J80" s="445"/>
      <c r="K80" s="445"/>
      <c r="L80" s="445"/>
      <c r="M80" s="445" t="s">
        <v>392</v>
      </c>
      <c r="N80" s="445"/>
      <c r="O80" s="445">
        <v>30000002129</v>
      </c>
      <c r="P80" s="444">
        <f>+ROUND('DIESEL MARINO'!$D$30*98%,2)</f>
        <v>5240.46</v>
      </c>
      <c r="Q80" s="445" t="s">
        <v>373</v>
      </c>
      <c r="R80" s="445">
        <v>1</v>
      </c>
      <c r="S80" s="445" t="s">
        <v>374</v>
      </c>
      <c r="T80" s="445" t="s">
        <v>395</v>
      </c>
      <c r="U80" s="458" t="str">
        <f>+U72</f>
        <v>01.01.2025</v>
      </c>
      <c r="V80" s="617" t="str">
        <f>+V72</f>
        <v>31.01.2025</v>
      </c>
    </row>
    <row r="81" spans="1:22" ht="15">
      <c r="A81" s="445" t="s">
        <v>375</v>
      </c>
      <c r="B81" s="445">
        <v>567</v>
      </c>
      <c r="C81" s="443" t="s">
        <v>372</v>
      </c>
      <c r="D81" s="445"/>
      <c r="E81" s="445"/>
      <c r="F81" s="445"/>
      <c r="G81" s="445"/>
      <c r="H81" s="445"/>
      <c r="I81" s="445"/>
      <c r="J81" s="445"/>
      <c r="K81" s="445"/>
      <c r="L81" s="445"/>
      <c r="M81" s="445" t="s">
        <v>376</v>
      </c>
      <c r="N81" s="445"/>
      <c r="O81" s="443">
        <v>30000002129</v>
      </c>
      <c r="P81" s="444">
        <f>+BIODIESEL!$D$9</f>
        <v>431.45</v>
      </c>
      <c r="Q81" s="443" t="s">
        <v>373</v>
      </c>
      <c r="R81" s="443">
        <v>1</v>
      </c>
      <c r="S81" s="448" t="s">
        <v>374</v>
      </c>
      <c r="T81" s="445" t="s">
        <v>395</v>
      </c>
      <c r="U81" s="458" t="str">
        <f t="shared" ref="U81:V82" si="18">+U80</f>
        <v>01.01.2025</v>
      </c>
      <c r="V81" s="617" t="str">
        <f t="shared" si="18"/>
        <v>31.01.2025</v>
      </c>
    </row>
    <row r="82" spans="1:22" ht="15.75" thickBot="1">
      <c r="A82" s="445" t="s">
        <v>375</v>
      </c>
      <c r="B82" s="445">
        <v>567</v>
      </c>
      <c r="C82" s="443" t="s">
        <v>372</v>
      </c>
      <c r="D82" s="445"/>
      <c r="E82" s="445"/>
      <c r="F82" s="445"/>
      <c r="G82" s="445"/>
      <c r="H82" s="445"/>
      <c r="I82" s="445"/>
      <c r="J82" s="445"/>
      <c r="K82" s="445"/>
      <c r="L82" s="445"/>
      <c r="M82" s="445" t="s">
        <v>392</v>
      </c>
      <c r="N82" s="445"/>
      <c r="O82" s="443">
        <v>30000002129</v>
      </c>
      <c r="P82" s="444">
        <f>+BIODIESEL!$D$9</f>
        <v>431.45</v>
      </c>
      <c r="Q82" s="443" t="s">
        <v>373</v>
      </c>
      <c r="R82" s="443">
        <v>1</v>
      </c>
      <c r="S82" s="448" t="s">
        <v>374</v>
      </c>
      <c r="T82" s="445" t="s">
        <v>395</v>
      </c>
      <c r="U82" s="458" t="str">
        <f t="shared" si="18"/>
        <v>01.01.2025</v>
      </c>
      <c r="V82" s="617" t="str">
        <f t="shared" si="18"/>
        <v>31.01.2025</v>
      </c>
    </row>
    <row r="83" spans="1:22" ht="45.75" hidden="1" thickBot="1">
      <c r="A83" s="466" t="s">
        <v>349</v>
      </c>
      <c r="B83" s="467" t="s">
        <v>350</v>
      </c>
      <c r="C83" s="466" t="s">
        <v>351</v>
      </c>
      <c r="D83" s="466" t="s">
        <v>352</v>
      </c>
      <c r="E83" s="466" t="s">
        <v>353</v>
      </c>
      <c r="F83" s="466" t="s">
        <v>354</v>
      </c>
      <c r="G83" s="466" t="s">
        <v>355</v>
      </c>
      <c r="H83" s="466" t="s">
        <v>356</v>
      </c>
      <c r="I83" s="466" t="s">
        <v>357</v>
      </c>
      <c r="J83" s="466" t="s">
        <v>358</v>
      </c>
      <c r="K83" s="466" t="s">
        <v>359</v>
      </c>
      <c r="L83" s="466" t="s">
        <v>360</v>
      </c>
      <c r="M83" s="466" t="s">
        <v>361</v>
      </c>
      <c r="N83" s="466" t="s">
        <v>362</v>
      </c>
      <c r="O83" s="466" t="s">
        <v>363</v>
      </c>
      <c r="P83" s="466" t="s">
        <v>364</v>
      </c>
      <c r="Q83" s="466" t="s">
        <v>365</v>
      </c>
      <c r="R83" s="466" t="s">
        <v>366</v>
      </c>
      <c r="S83" s="466" t="s">
        <v>367</v>
      </c>
      <c r="T83" s="466" t="s">
        <v>368</v>
      </c>
      <c r="U83" s="468" t="s">
        <v>369</v>
      </c>
      <c r="V83" s="468" t="s">
        <v>370</v>
      </c>
    </row>
    <row r="84" spans="1:22" ht="15">
      <c r="A84" s="445" t="s">
        <v>375</v>
      </c>
      <c r="B84" s="471">
        <v>929</v>
      </c>
      <c r="C84" s="471" t="s">
        <v>372</v>
      </c>
      <c r="D84" s="471"/>
      <c r="E84" s="471"/>
      <c r="F84" s="471">
        <v>2000</v>
      </c>
      <c r="G84" s="471"/>
      <c r="H84" s="471"/>
      <c r="I84" s="471"/>
      <c r="J84" s="471"/>
      <c r="K84" s="471"/>
      <c r="L84" s="471"/>
      <c r="M84" s="471" t="s">
        <v>376</v>
      </c>
      <c r="N84" s="471"/>
      <c r="O84" s="471">
        <v>30000002129</v>
      </c>
      <c r="P84" s="612">
        <f>BIODIESEL!$D$9</f>
        <v>431.45</v>
      </c>
      <c r="Q84" s="471" t="s">
        <v>373</v>
      </c>
      <c r="R84" s="471">
        <v>1</v>
      </c>
      <c r="S84" s="471" t="s">
        <v>374</v>
      </c>
      <c r="T84" s="471" t="s">
        <v>395</v>
      </c>
      <c r="U84" s="473" t="str">
        <f>+$U$2</f>
        <v>01.01.2025</v>
      </c>
      <c r="V84" s="613" t="str">
        <f>+$V$2</f>
        <v>31.01.2025</v>
      </c>
    </row>
    <row r="85" spans="1:22" ht="15">
      <c r="A85" s="445" t="s">
        <v>375</v>
      </c>
      <c r="B85" s="445">
        <v>929</v>
      </c>
      <c r="C85" s="445" t="s">
        <v>372</v>
      </c>
      <c r="D85" s="445"/>
      <c r="E85" s="445"/>
      <c r="F85" s="445">
        <v>3010</v>
      </c>
      <c r="G85" s="445"/>
      <c r="H85" s="445"/>
      <c r="I85" s="445"/>
      <c r="J85" s="445"/>
      <c r="K85" s="445"/>
      <c r="L85" s="445"/>
      <c r="M85" s="445" t="s">
        <v>376</v>
      </c>
      <c r="N85" s="445"/>
      <c r="O85" s="445">
        <v>30000002129</v>
      </c>
      <c r="P85" s="444">
        <f>BIODIESEL!$D$9</f>
        <v>431.45</v>
      </c>
      <c r="Q85" s="445" t="s">
        <v>373</v>
      </c>
      <c r="R85" s="445">
        <v>1</v>
      </c>
      <c r="S85" s="445" t="s">
        <v>374</v>
      </c>
      <c r="T85" s="445" t="s">
        <v>395</v>
      </c>
      <c r="U85" s="458" t="str">
        <f t="shared" ref="U85:U98" si="19">+$U$2</f>
        <v>01.01.2025</v>
      </c>
      <c r="V85" s="614" t="str">
        <f t="shared" ref="V85:V98" si="20">+$V$2</f>
        <v>31.01.2025</v>
      </c>
    </row>
    <row r="86" spans="1:22" ht="15">
      <c r="A86" s="445" t="s">
        <v>375</v>
      </c>
      <c r="B86" s="445">
        <v>929</v>
      </c>
      <c r="C86" s="445" t="s">
        <v>372</v>
      </c>
      <c r="D86" s="445"/>
      <c r="E86" s="445"/>
      <c r="F86" s="445">
        <v>4502</v>
      </c>
      <c r="G86" s="445"/>
      <c r="H86" s="445"/>
      <c r="I86" s="445"/>
      <c r="J86" s="445"/>
      <c r="K86" s="445"/>
      <c r="L86" s="445"/>
      <c r="M86" s="445" t="s">
        <v>376</v>
      </c>
      <c r="N86" s="445"/>
      <c r="O86" s="445">
        <v>30000002129</v>
      </c>
      <c r="P86" s="444">
        <f>BIODIESEL!$D$9</f>
        <v>431.45</v>
      </c>
      <c r="Q86" s="445" t="s">
        <v>373</v>
      </c>
      <c r="R86" s="445">
        <v>1</v>
      </c>
      <c r="S86" s="445" t="s">
        <v>374</v>
      </c>
      <c r="T86" s="445" t="s">
        <v>395</v>
      </c>
      <c r="U86" s="458" t="str">
        <f t="shared" si="19"/>
        <v>01.01.2025</v>
      </c>
      <c r="V86" s="614" t="str">
        <f t="shared" si="20"/>
        <v>31.01.2025</v>
      </c>
    </row>
    <row r="87" spans="1:22" ht="15">
      <c r="A87" s="445" t="s">
        <v>375</v>
      </c>
      <c r="B87" s="445">
        <v>929</v>
      </c>
      <c r="C87" s="445" t="s">
        <v>372</v>
      </c>
      <c r="D87" s="445"/>
      <c r="E87" s="445"/>
      <c r="F87" s="445">
        <v>2000</v>
      </c>
      <c r="G87" s="445"/>
      <c r="H87" s="445"/>
      <c r="I87" s="445"/>
      <c r="J87" s="445"/>
      <c r="K87" s="445"/>
      <c r="L87" s="445"/>
      <c r="M87" s="445" t="s">
        <v>376</v>
      </c>
      <c r="N87" s="445"/>
      <c r="O87" s="445">
        <v>30000009291</v>
      </c>
      <c r="P87" s="444">
        <f>BIODIESEL!$D$9</f>
        <v>431.45</v>
      </c>
      <c r="Q87" s="445" t="s">
        <v>373</v>
      </c>
      <c r="R87" s="445">
        <v>1</v>
      </c>
      <c r="S87" s="445" t="s">
        <v>374</v>
      </c>
      <c r="T87" s="445" t="s">
        <v>395</v>
      </c>
      <c r="U87" s="458" t="str">
        <f t="shared" si="19"/>
        <v>01.01.2025</v>
      </c>
      <c r="V87" s="614" t="str">
        <f t="shared" si="20"/>
        <v>31.01.2025</v>
      </c>
    </row>
    <row r="88" spans="1:22" ht="15">
      <c r="A88" s="445" t="s">
        <v>375</v>
      </c>
      <c r="B88" s="445">
        <v>929</v>
      </c>
      <c r="C88" s="445" t="s">
        <v>372</v>
      </c>
      <c r="D88" s="445"/>
      <c r="E88" s="445"/>
      <c r="F88" s="445">
        <v>3010</v>
      </c>
      <c r="G88" s="445"/>
      <c r="H88" s="445"/>
      <c r="I88" s="445"/>
      <c r="J88" s="445"/>
      <c r="K88" s="445"/>
      <c r="L88" s="445"/>
      <c r="M88" s="445" t="s">
        <v>376</v>
      </c>
      <c r="N88" s="445"/>
      <c r="O88" s="445">
        <v>30000009291</v>
      </c>
      <c r="P88" s="444">
        <f>BIODIESEL!$D$9</f>
        <v>431.45</v>
      </c>
      <c r="Q88" s="445" t="s">
        <v>373</v>
      </c>
      <c r="R88" s="445">
        <v>1</v>
      </c>
      <c r="S88" s="445" t="s">
        <v>374</v>
      </c>
      <c r="T88" s="445" t="s">
        <v>395</v>
      </c>
      <c r="U88" s="458" t="str">
        <f t="shared" si="19"/>
        <v>01.01.2025</v>
      </c>
      <c r="V88" s="614" t="str">
        <f t="shared" si="20"/>
        <v>31.01.2025</v>
      </c>
    </row>
    <row r="89" spans="1:22" ht="15">
      <c r="A89" s="445" t="s">
        <v>375</v>
      </c>
      <c r="B89" s="445">
        <v>929</v>
      </c>
      <c r="C89" s="445" t="s">
        <v>372</v>
      </c>
      <c r="D89" s="445"/>
      <c r="E89" s="445"/>
      <c r="F89" s="445">
        <v>4502</v>
      </c>
      <c r="G89" s="445"/>
      <c r="H89" s="445"/>
      <c r="I89" s="445"/>
      <c r="J89" s="445"/>
      <c r="K89" s="445"/>
      <c r="L89" s="445"/>
      <c r="M89" s="445" t="s">
        <v>376</v>
      </c>
      <c r="N89" s="445"/>
      <c r="O89" s="445">
        <v>30000009291</v>
      </c>
      <c r="P89" s="444">
        <f>BIODIESEL!$D$9</f>
        <v>431.45</v>
      </c>
      <c r="Q89" s="445" t="s">
        <v>373</v>
      </c>
      <c r="R89" s="445">
        <v>1</v>
      </c>
      <c r="S89" s="445" t="s">
        <v>374</v>
      </c>
      <c r="T89" s="445" t="s">
        <v>395</v>
      </c>
      <c r="U89" s="458" t="str">
        <f t="shared" si="19"/>
        <v>01.01.2025</v>
      </c>
      <c r="V89" s="614" t="str">
        <f t="shared" si="20"/>
        <v>31.01.2025</v>
      </c>
    </row>
    <row r="90" spans="1:22" ht="15">
      <c r="A90" s="445" t="s">
        <v>371</v>
      </c>
      <c r="B90" s="445">
        <v>929</v>
      </c>
      <c r="C90" s="445" t="s">
        <v>372</v>
      </c>
      <c r="D90" s="445"/>
      <c r="E90" s="445"/>
      <c r="F90" s="445">
        <v>2000</v>
      </c>
      <c r="G90" s="445"/>
      <c r="H90" s="445"/>
      <c r="I90" s="445"/>
      <c r="J90" s="445"/>
      <c r="K90" s="445"/>
      <c r="L90" s="445"/>
      <c r="M90" s="445" t="s">
        <v>376</v>
      </c>
      <c r="N90" s="445"/>
      <c r="O90" s="445">
        <v>30000002129</v>
      </c>
      <c r="P90" s="444">
        <f>BIODIESEL!$D$8</f>
        <v>5240.46</v>
      </c>
      <c r="Q90" s="445" t="s">
        <v>373</v>
      </c>
      <c r="R90" s="445">
        <v>1</v>
      </c>
      <c r="S90" s="445" t="s">
        <v>374</v>
      </c>
      <c r="T90" s="445" t="s">
        <v>395</v>
      </c>
      <c r="U90" s="458" t="str">
        <f t="shared" si="19"/>
        <v>01.01.2025</v>
      </c>
      <c r="V90" s="614" t="str">
        <f t="shared" si="20"/>
        <v>31.01.2025</v>
      </c>
    </row>
    <row r="91" spans="1:22" ht="15">
      <c r="A91" s="445" t="s">
        <v>371</v>
      </c>
      <c r="B91" s="445">
        <v>929</v>
      </c>
      <c r="C91" s="445" t="s">
        <v>372</v>
      </c>
      <c r="D91" s="445"/>
      <c r="E91" s="445"/>
      <c r="F91" s="445">
        <v>3010</v>
      </c>
      <c r="G91" s="445"/>
      <c r="H91" s="445"/>
      <c r="I91" s="445"/>
      <c r="J91" s="445"/>
      <c r="K91" s="445"/>
      <c r="L91" s="445"/>
      <c r="M91" s="445" t="s">
        <v>376</v>
      </c>
      <c r="N91" s="445"/>
      <c r="O91" s="445">
        <v>30000002129</v>
      </c>
      <c r="P91" s="444">
        <f>BIODIESEL!$D$8</f>
        <v>5240.46</v>
      </c>
      <c r="Q91" s="445" t="s">
        <v>373</v>
      </c>
      <c r="R91" s="445">
        <v>1</v>
      </c>
      <c r="S91" s="445" t="s">
        <v>374</v>
      </c>
      <c r="T91" s="445" t="s">
        <v>395</v>
      </c>
      <c r="U91" s="458" t="str">
        <f t="shared" si="19"/>
        <v>01.01.2025</v>
      </c>
      <c r="V91" s="614" t="str">
        <f t="shared" si="20"/>
        <v>31.01.2025</v>
      </c>
    </row>
    <row r="92" spans="1:22" ht="15">
      <c r="A92" s="445" t="s">
        <v>371</v>
      </c>
      <c r="B92" s="445">
        <v>929</v>
      </c>
      <c r="C92" s="445" t="s">
        <v>372</v>
      </c>
      <c r="D92" s="445"/>
      <c r="E92" s="445"/>
      <c r="F92" s="445">
        <v>4502</v>
      </c>
      <c r="G92" s="445"/>
      <c r="H92" s="445"/>
      <c r="I92" s="445"/>
      <c r="J92" s="445"/>
      <c r="K92" s="445"/>
      <c r="L92" s="445"/>
      <c r="M92" s="445" t="s">
        <v>376</v>
      </c>
      <c r="N92" s="445"/>
      <c r="O92" s="445">
        <v>30000002129</v>
      </c>
      <c r="P92" s="444">
        <f>BIODIESEL!$D$8</f>
        <v>5240.46</v>
      </c>
      <c r="Q92" s="445" t="s">
        <v>373</v>
      </c>
      <c r="R92" s="445">
        <v>1</v>
      </c>
      <c r="S92" s="445" t="s">
        <v>374</v>
      </c>
      <c r="T92" s="445" t="s">
        <v>395</v>
      </c>
      <c r="U92" s="458" t="str">
        <f t="shared" si="19"/>
        <v>01.01.2025</v>
      </c>
      <c r="V92" s="614" t="str">
        <f t="shared" si="20"/>
        <v>31.01.2025</v>
      </c>
    </row>
    <row r="93" spans="1:22" ht="15">
      <c r="A93" s="445" t="s">
        <v>371</v>
      </c>
      <c r="B93" s="445">
        <v>929</v>
      </c>
      <c r="C93" s="445" t="s">
        <v>372</v>
      </c>
      <c r="D93" s="445"/>
      <c r="E93" s="445"/>
      <c r="F93" s="445">
        <v>2000</v>
      </c>
      <c r="G93" s="445"/>
      <c r="H93" s="445"/>
      <c r="I93" s="445"/>
      <c r="J93" s="445"/>
      <c r="K93" s="445"/>
      <c r="L93" s="445"/>
      <c r="M93" s="445" t="s">
        <v>376</v>
      </c>
      <c r="N93" s="445"/>
      <c r="O93" s="445">
        <v>30000009291</v>
      </c>
      <c r="P93" s="444">
        <f>BIODIESEL!$D$8</f>
        <v>5240.46</v>
      </c>
      <c r="Q93" s="445" t="s">
        <v>373</v>
      </c>
      <c r="R93" s="445">
        <v>1</v>
      </c>
      <c r="S93" s="445" t="s">
        <v>374</v>
      </c>
      <c r="T93" s="445" t="s">
        <v>395</v>
      </c>
      <c r="U93" s="458" t="str">
        <f t="shared" si="19"/>
        <v>01.01.2025</v>
      </c>
      <c r="V93" s="614" t="str">
        <f t="shared" si="20"/>
        <v>31.01.2025</v>
      </c>
    </row>
    <row r="94" spans="1:22" ht="15">
      <c r="A94" s="445" t="s">
        <v>371</v>
      </c>
      <c r="B94" s="445">
        <v>929</v>
      </c>
      <c r="C94" s="445" t="s">
        <v>372</v>
      </c>
      <c r="D94" s="445"/>
      <c r="E94" s="445"/>
      <c r="F94" s="445">
        <v>3010</v>
      </c>
      <c r="G94" s="445"/>
      <c r="H94" s="445"/>
      <c r="I94" s="445"/>
      <c r="J94" s="445"/>
      <c r="K94" s="445"/>
      <c r="L94" s="445"/>
      <c r="M94" s="445" t="s">
        <v>376</v>
      </c>
      <c r="N94" s="445"/>
      <c r="O94" s="445">
        <v>30000009291</v>
      </c>
      <c r="P94" s="444">
        <f>BIODIESEL!$D$8</f>
        <v>5240.46</v>
      </c>
      <c r="Q94" s="445" t="s">
        <v>373</v>
      </c>
      <c r="R94" s="445">
        <v>1</v>
      </c>
      <c r="S94" s="445" t="s">
        <v>374</v>
      </c>
      <c r="T94" s="445" t="s">
        <v>395</v>
      </c>
      <c r="U94" s="458" t="str">
        <f t="shared" si="19"/>
        <v>01.01.2025</v>
      </c>
      <c r="V94" s="614" t="str">
        <f t="shared" si="20"/>
        <v>31.01.2025</v>
      </c>
    </row>
    <row r="95" spans="1:22" ht="15">
      <c r="A95" s="445" t="s">
        <v>371</v>
      </c>
      <c r="B95" s="445">
        <v>929</v>
      </c>
      <c r="C95" s="445" t="s">
        <v>372</v>
      </c>
      <c r="D95" s="445"/>
      <c r="E95" s="445"/>
      <c r="F95" s="445">
        <v>4502</v>
      </c>
      <c r="G95" s="445"/>
      <c r="H95" s="445"/>
      <c r="I95" s="445"/>
      <c r="J95" s="445"/>
      <c r="K95" s="445"/>
      <c r="L95" s="445"/>
      <c r="M95" s="445" t="s">
        <v>376</v>
      </c>
      <c r="N95" s="445"/>
      <c r="O95" s="445">
        <v>30000009291</v>
      </c>
      <c r="P95" s="444">
        <f>BIODIESEL!$D$8</f>
        <v>5240.46</v>
      </c>
      <c r="Q95" s="445" t="s">
        <v>373</v>
      </c>
      <c r="R95" s="445">
        <v>1</v>
      </c>
      <c r="S95" s="445" t="s">
        <v>374</v>
      </c>
      <c r="T95" s="445" t="s">
        <v>395</v>
      </c>
      <c r="U95" s="458" t="str">
        <f t="shared" si="19"/>
        <v>01.01.2025</v>
      </c>
      <c r="V95" s="614" t="str">
        <f t="shared" si="20"/>
        <v>31.01.2025</v>
      </c>
    </row>
    <row r="96" spans="1:22" ht="15">
      <c r="A96" s="445" t="s">
        <v>378</v>
      </c>
      <c r="B96" s="445">
        <v>929</v>
      </c>
      <c r="C96" s="445" t="s">
        <v>372</v>
      </c>
      <c r="D96" s="445"/>
      <c r="E96" s="445"/>
      <c r="F96" s="445">
        <v>2000</v>
      </c>
      <c r="G96" s="445"/>
      <c r="H96" s="445"/>
      <c r="I96" s="445"/>
      <c r="J96" s="445"/>
      <c r="K96" s="445"/>
      <c r="L96" s="445"/>
      <c r="M96" s="445" t="s">
        <v>376</v>
      </c>
      <c r="N96" s="445"/>
      <c r="O96" s="445">
        <v>30000000003</v>
      </c>
      <c r="P96" s="444">
        <f>+'COMBUSTIBLES '!$E$7</f>
        <v>5347.41</v>
      </c>
      <c r="Q96" s="445" t="s">
        <v>373</v>
      </c>
      <c r="R96" s="445">
        <v>1</v>
      </c>
      <c r="S96" s="445" t="s">
        <v>374</v>
      </c>
      <c r="T96" s="445" t="s">
        <v>395</v>
      </c>
      <c r="U96" s="458" t="str">
        <f t="shared" si="19"/>
        <v>01.01.2025</v>
      </c>
      <c r="V96" s="614" t="str">
        <f t="shared" si="20"/>
        <v>31.01.2025</v>
      </c>
    </row>
    <row r="97" spans="1:22" ht="15">
      <c r="A97" s="445" t="s">
        <v>378</v>
      </c>
      <c r="B97" s="445">
        <v>929</v>
      </c>
      <c r="C97" s="445" t="s">
        <v>372</v>
      </c>
      <c r="D97" s="445"/>
      <c r="E97" s="445"/>
      <c r="F97" s="445">
        <v>3010</v>
      </c>
      <c r="G97" s="445"/>
      <c r="H97" s="445"/>
      <c r="I97" s="445"/>
      <c r="J97" s="445"/>
      <c r="K97" s="445"/>
      <c r="L97" s="445"/>
      <c r="M97" s="445" t="s">
        <v>376</v>
      </c>
      <c r="N97" s="445"/>
      <c r="O97" s="445">
        <v>30000000003</v>
      </c>
      <c r="P97" s="444">
        <f>+'COMBUSTIBLES '!$E$7</f>
        <v>5347.41</v>
      </c>
      <c r="Q97" s="445" t="s">
        <v>373</v>
      </c>
      <c r="R97" s="445">
        <v>1</v>
      </c>
      <c r="S97" s="445" t="s">
        <v>374</v>
      </c>
      <c r="T97" s="445" t="s">
        <v>395</v>
      </c>
      <c r="U97" s="458" t="str">
        <f t="shared" si="19"/>
        <v>01.01.2025</v>
      </c>
      <c r="V97" s="614" t="str">
        <f t="shared" si="20"/>
        <v>31.01.2025</v>
      </c>
    </row>
    <row r="98" spans="1:22" ht="15.75" thickBot="1">
      <c r="A98" s="445" t="s">
        <v>378</v>
      </c>
      <c r="B98" s="477">
        <v>929</v>
      </c>
      <c r="C98" s="477" t="s">
        <v>372</v>
      </c>
      <c r="D98" s="477"/>
      <c r="E98" s="477"/>
      <c r="F98" s="477">
        <v>4502</v>
      </c>
      <c r="G98" s="477"/>
      <c r="H98" s="477"/>
      <c r="I98" s="477"/>
      <c r="J98" s="477"/>
      <c r="K98" s="477"/>
      <c r="L98" s="477"/>
      <c r="M98" s="477" t="s">
        <v>376</v>
      </c>
      <c r="N98" s="477"/>
      <c r="O98" s="477">
        <v>30000000003</v>
      </c>
      <c r="P98" s="615">
        <f>+'COMBUSTIBLES '!$E$7</f>
        <v>5347.41</v>
      </c>
      <c r="Q98" s="477" t="s">
        <v>373</v>
      </c>
      <c r="R98" s="477">
        <v>1</v>
      </c>
      <c r="S98" s="477" t="s">
        <v>374</v>
      </c>
      <c r="T98" s="477" t="s">
        <v>395</v>
      </c>
      <c r="U98" s="478" t="str">
        <f t="shared" si="19"/>
        <v>01.01.2025</v>
      </c>
      <c r="V98" s="616" t="str">
        <f t="shared" si="20"/>
        <v>31.01.2025</v>
      </c>
    </row>
  </sheetData>
  <autoFilter ref="A1:V98" xr:uid="{8DDAAD17-9036-473A-B4E0-99A8DECB76DD}">
    <filterColumn colId="14">
      <filters>
        <filter val="30000000002"/>
        <filter val="30000000003"/>
        <filter val="30000000004"/>
        <filter val="30000000070"/>
        <filter val="30000002116"/>
        <filter val="30000002129"/>
        <filter val="30000002317"/>
        <filter val="30000009113"/>
        <filter val="30000009242"/>
        <filter val="30000009250"/>
        <filter val="30000009291"/>
        <filter val="30000009300"/>
        <filter val="30000009418"/>
        <filter val="30000009420"/>
        <filter val="30000009504"/>
        <filter val="30000009531"/>
      </filters>
    </filterColumn>
  </autoFilter>
  <conditionalFormatting sqref="A1:A37 A69:V98 B2:B37 T3:T33 C22:S33 C34:T37 C46:H59 J46:N59 P46:S59 T46:V63 A46:B68 U52:V68 C60:S61 P62:S63">
    <cfRule type="containsText" dxfId="39" priority="52" operator="containsText" text="Seleccione...">
      <formula>NOT(ISERROR(SEARCH("Seleccione...",A1)))</formula>
    </cfRule>
  </conditionalFormatting>
  <conditionalFormatting sqref="A2:A37 A39:A44">
    <cfRule type="colorScale" priority="21">
      <colorScale>
        <cfvo type="min"/>
        <cfvo type="percentile" val="50"/>
        <cfvo type="max"/>
        <color rgb="FFF8696B"/>
        <color rgb="FFFCFCFF"/>
        <color rgb="FF5A8AC6"/>
      </colorScale>
    </cfRule>
  </conditionalFormatting>
  <conditionalFormatting sqref="A2:A44">
    <cfRule type="cellIs" dxfId="38" priority="1" operator="equal">
      <formula>"ZPRE"</formula>
    </cfRule>
    <cfRule type="cellIs" dxfId="37" priority="2" operator="equal">
      <formula>"ZPRA"</formula>
    </cfRule>
    <cfRule type="cellIs" dxfId="36" priority="3" operator="equal">
      <formula>"ZPRB"</formula>
    </cfRule>
  </conditionalFormatting>
  <conditionalFormatting sqref="A38">
    <cfRule type="colorScale" priority="4">
      <colorScale>
        <cfvo type="min"/>
        <cfvo type="percentile" val="50"/>
        <cfvo type="max"/>
        <color rgb="FFF8696B"/>
        <color rgb="FFFCFCFF"/>
        <color rgb="FF5A8AC6"/>
      </colorScale>
    </cfRule>
  </conditionalFormatting>
  <conditionalFormatting sqref="A46:A68">
    <cfRule type="cellIs" dxfId="35" priority="117" operator="equal">
      <formula>"ZPRE"</formula>
    </cfRule>
    <cfRule type="cellIs" dxfId="34" priority="118" operator="equal">
      <formula>"ZPRA"</formula>
    </cfRule>
    <cfRule type="cellIs" dxfId="33" priority="119" operator="equal">
      <formula>"ZPRB"</formula>
    </cfRule>
    <cfRule type="colorScale" priority="120">
      <colorScale>
        <cfvo type="min"/>
        <cfvo type="percentile" val="50"/>
        <cfvo type="max"/>
        <color rgb="FFF8696B"/>
        <color rgb="FFFCFCFF"/>
        <color rgb="FF5A8AC6"/>
      </colorScale>
    </cfRule>
  </conditionalFormatting>
  <conditionalFormatting sqref="A70:A81">
    <cfRule type="cellIs" dxfId="32" priority="10" operator="equal">
      <formula>"ZPRE"</formula>
    </cfRule>
    <cfRule type="cellIs" dxfId="31" priority="11" operator="equal">
      <formula>"ZPRA"</formula>
    </cfRule>
    <cfRule type="cellIs" dxfId="30" priority="12" operator="equal">
      <formula>"ZPRB"</formula>
    </cfRule>
    <cfRule type="colorScale" priority="13">
      <colorScale>
        <cfvo type="min"/>
        <cfvo type="percentile" val="50"/>
        <cfvo type="max"/>
        <color rgb="FFF8696B"/>
        <color rgb="FFFCFCFF"/>
        <color rgb="FF5A8AC6"/>
      </colorScale>
    </cfRule>
  </conditionalFormatting>
  <conditionalFormatting sqref="A84:A98">
    <cfRule type="cellIs" dxfId="29" priority="6" operator="equal">
      <formula>"ZPRE"</formula>
    </cfRule>
    <cfRule type="cellIs" dxfId="28" priority="7" operator="equal">
      <formula>"ZPRA"</formula>
    </cfRule>
    <cfRule type="cellIs" dxfId="27" priority="8" operator="equal">
      <formula>"ZPRB"</formula>
    </cfRule>
    <cfRule type="colorScale" priority="9">
      <colorScale>
        <cfvo type="min"/>
        <cfvo type="percentile" val="50"/>
        <cfvo type="max"/>
        <color rgb="FFF8696B"/>
        <color rgb="FFFCFCFF"/>
        <color rgb="FF5A8AC6"/>
      </colorScale>
    </cfRule>
  </conditionalFormatting>
  <conditionalFormatting sqref="A38:V38">
    <cfRule type="containsText" dxfId="26" priority="5" operator="containsText" text="Seleccione...">
      <formula>NOT(ISERROR(SEARCH("Seleccione...",A38)))</formula>
    </cfRule>
  </conditionalFormatting>
  <conditionalFormatting sqref="A39:V45">
    <cfRule type="containsText" dxfId="25" priority="29" operator="containsText" text="Seleccione...">
      <formula>NOT(ISERROR(SEARCH("Seleccione...",A39)))</formula>
    </cfRule>
  </conditionalFormatting>
  <conditionalFormatting sqref="B1:V1">
    <cfRule type="containsText" dxfId="24" priority="54" operator="containsText" text="Seleccione...">
      <formula>NOT(ISERROR(SEARCH("Seleccione...",B1)))</formula>
    </cfRule>
  </conditionalFormatting>
  <conditionalFormatting sqref="C2:C21">
    <cfRule type="containsText" dxfId="23" priority="49" operator="containsText" text="Seleccione...">
      <formula>NOT(ISERROR(SEARCH("Seleccione...",C2)))</formula>
    </cfRule>
  </conditionalFormatting>
  <conditionalFormatting sqref="C62:N68">
    <cfRule type="containsText" dxfId="22" priority="23" operator="containsText" text="Seleccione...">
      <formula>NOT(ISERROR(SEARCH("Seleccione...",C62)))</formula>
    </cfRule>
  </conditionalFormatting>
  <conditionalFormatting sqref="D2:L9">
    <cfRule type="containsText" dxfId="21" priority="48" operator="containsText" text="Seleccione...">
      <formula>NOT(ISERROR(SEARCH("Seleccione...",D2)))</formula>
    </cfRule>
  </conditionalFormatting>
  <conditionalFormatting sqref="D10:N21">
    <cfRule type="containsText" dxfId="20" priority="51" operator="containsText" text="Seleccione...">
      <formula>NOT(ISERROR(SEARCH("Seleccione...",D10)))</formula>
    </cfRule>
  </conditionalFormatting>
  <conditionalFormatting sqref="M4:N9">
    <cfRule type="containsText" dxfId="19" priority="53" operator="containsText" text="Seleccione...">
      <formula>NOT(ISERROR(SEARCH("Seleccione...",M4)))</formula>
    </cfRule>
  </conditionalFormatting>
  <conditionalFormatting sqref="M2:O3">
    <cfRule type="containsText" dxfId="18" priority="47" operator="containsText" text="Seleccione...">
      <formula>NOT(ISERROR(SEARCH("Seleccione...",M2)))</formula>
    </cfRule>
  </conditionalFormatting>
  <conditionalFormatting sqref="O4:O21">
    <cfRule type="containsText" dxfId="17" priority="50" operator="containsText" text="Seleccione...">
      <formula>NOT(ISERROR(SEARCH("Seleccione...",O4)))</formula>
    </cfRule>
  </conditionalFormatting>
  <conditionalFormatting sqref="P3:S21">
    <cfRule type="containsText" dxfId="16" priority="46" operator="containsText" text="Seleccione...">
      <formula>NOT(ISERROR(SEARCH("Seleccione...",P3)))</formula>
    </cfRule>
  </conditionalFormatting>
  <conditionalFormatting sqref="P2:V2">
    <cfRule type="containsText" dxfId="15" priority="24" operator="containsText" text="Seleccione...">
      <formula>NOT(ISERROR(SEARCH("Seleccione...",P2)))</formula>
    </cfRule>
  </conditionalFormatting>
  <conditionalFormatting sqref="P64:V68">
    <cfRule type="containsText" dxfId="14" priority="39" operator="containsText" text="Seleccione...">
      <formula>NOT(ISERROR(SEARCH("Seleccione...",P64)))</formula>
    </cfRule>
  </conditionalFormatting>
  <conditionalFormatting sqref="U3:V37">
    <cfRule type="containsText" dxfId="13" priority="45" operator="containsText" text="Seleccione...">
      <formula>NOT(ISERROR(SEARCH("Seleccione...",U3)))</formula>
    </cfRule>
  </conditionalFormatting>
  <pageMargins left="0.7" right="0.7" top="0.75" bottom="0.75" header="0.3" footer="0.3"/>
  <pageSetup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7758-E179-467A-8681-083BBF5C33B7}">
  <sheetPr codeName="Hoja19"/>
  <dimension ref="A1:V45"/>
  <sheetViews>
    <sheetView topLeftCell="A15" zoomScale="85" zoomScaleNormal="85" workbookViewId="0">
      <selection activeCell="V2" sqref="A2:V98"/>
    </sheetView>
  </sheetViews>
  <sheetFormatPr baseColWidth="10" defaultRowHeight="12.75"/>
  <cols>
    <col min="15" max="15" width="12.28515625" bestFit="1" customWidth="1"/>
    <col min="21" max="21" width="21.5703125" bestFit="1" customWidth="1"/>
    <col min="22" max="22" width="14.5703125" bestFit="1" customWidth="1"/>
  </cols>
  <sheetData>
    <row r="1" spans="1:22" ht="15">
      <c r="A1" s="438" t="s">
        <v>349</v>
      </c>
      <c r="B1" t="s">
        <v>350</v>
      </c>
      <c r="C1" s="439" t="s">
        <v>351</v>
      </c>
      <c r="D1" s="439" t="s">
        <v>352</v>
      </c>
      <c r="E1" s="439" t="s">
        <v>353</v>
      </c>
      <c r="F1" s="439" t="s">
        <v>354</v>
      </c>
      <c r="G1" s="439" t="s">
        <v>355</v>
      </c>
      <c r="H1" s="439" t="s">
        <v>356</v>
      </c>
      <c r="I1" s="439" t="s">
        <v>357</v>
      </c>
      <c r="J1" s="439" t="s">
        <v>358</v>
      </c>
      <c r="K1" s="439" t="s">
        <v>359</v>
      </c>
      <c r="L1" s="439" t="s">
        <v>360</v>
      </c>
      <c r="M1" s="439" t="s">
        <v>361</v>
      </c>
      <c r="N1" s="439" t="s">
        <v>362</v>
      </c>
      <c r="O1" s="439" t="s">
        <v>363</v>
      </c>
      <c r="P1" s="439" t="s">
        <v>364</v>
      </c>
      <c r="Q1" s="439" t="s">
        <v>365</v>
      </c>
      <c r="R1" s="439" t="s">
        <v>366</v>
      </c>
      <c r="S1" s="439" t="s">
        <v>367</v>
      </c>
      <c r="T1" s="439" t="s">
        <v>368</v>
      </c>
      <c r="U1" s="440" t="s">
        <v>369</v>
      </c>
      <c r="V1" s="440" t="s">
        <v>370</v>
      </c>
    </row>
    <row r="2" spans="1:22" ht="21">
      <c r="A2" s="445" t="s">
        <v>378</v>
      </c>
      <c r="B2" s="628">
        <v>587</v>
      </c>
      <c r="C2" s="623" t="s">
        <v>380</v>
      </c>
      <c r="D2" s="623"/>
      <c r="E2" s="623"/>
      <c r="F2" s="623"/>
      <c r="G2" s="623"/>
      <c r="H2" s="623"/>
      <c r="I2" s="623"/>
      <c r="J2" s="623"/>
      <c r="K2" s="623"/>
      <c r="L2" s="623"/>
      <c r="M2" s="623"/>
      <c r="N2" s="623"/>
      <c r="O2" s="623">
        <v>30000000002</v>
      </c>
      <c r="P2" s="624">
        <f>+BIODIESEL!$C$7</f>
        <v>5347.41</v>
      </c>
      <c r="Q2" s="445" t="s">
        <v>373</v>
      </c>
      <c r="R2" s="625">
        <v>1</v>
      </c>
      <c r="S2" s="623" t="s">
        <v>374</v>
      </c>
      <c r="T2" s="626" t="s">
        <v>395</v>
      </c>
      <c r="U2" s="634" t="str">
        <f>+TEXT('COMBUSTIBLES '!$A$53,"dd.mm.yyyyy")</f>
        <v>01.01.2025</v>
      </c>
      <c r="V2" s="610" t="s">
        <v>442</v>
      </c>
    </row>
    <row r="3" spans="1:22" ht="15">
      <c r="A3" s="445" t="s">
        <v>378</v>
      </c>
      <c r="B3" s="628">
        <v>587</v>
      </c>
      <c r="C3" s="623" t="s">
        <v>380</v>
      </c>
      <c r="D3" s="445"/>
      <c r="E3" s="445"/>
      <c r="F3" s="445"/>
      <c r="G3" s="445"/>
      <c r="H3" s="445"/>
      <c r="I3" s="445"/>
      <c r="J3" s="445"/>
      <c r="K3" s="445"/>
      <c r="L3" s="445"/>
      <c r="M3" s="445"/>
      <c r="N3" s="445"/>
      <c r="O3" s="623">
        <v>30000000003</v>
      </c>
      <c r="P3" s="624">
        <f>+BIODIESEL!$C$7</f>
        <v>5347.41</v>
      </c>
      <c r="Q3" s="445" t="s">
        <v>373</v>
      </c>
      <c r="R3" s="625">
        <v>1</v>
      </c>
      <c r="S3" s="623" t="s">
        <v>374</v>
      </c>
      <c r="T3" s="626" t="s">
        <v>395</v>
      </c>
      <c r="U3" s="627" t="str">
        <f t="shared" ref="U3:V17" si="0">+U2</f>
        <v>01.01.2025</v>
      </c>
      <c r="V3" s="627" t="str">
        <f>+V2</f>
        <v>31.01.2025</v>
      </c>
    </row>
    <row r="4" spans="1:22" ht="15">
      <c r="A4" s="445" t="s">
        <v>381</v>
      </c>
      <c r="B4" s="628">
        <v>587</v>
      </c>
      <c r="C4" s="628" t="s">
        <v>380</v>
      </c>
      <c r="D4" s="453"/>
      <c r="E4" s="453"/>
      <c r="F4" s="453"/>
      <c r="G4" s="453"/>
      <c r="H4" s="453"/>
      <c r="I4" s="453"/>
      <c r="J4" s="453"/>
      <c r="K4" s="453"/>
      <c r="L4" s="453"/>
      <c r="M4" s="453"/>
      <c r="N4" s="453"/>
      <c r="O4" s="628">
        <v>30000000003</v>
      </c>
      <c r="P4" s="624">
        <f>+'COMBUSTIBLES '!$B$8</f>
        <v>9.43</v>
      </c>
      <c r="Q4" s="445" t="s">
        <v>373</v>
      </c>
      <c r="R4" s="625">
        <v>1</v>
      </c>
      <c r="S4" s="623" t="s">
        <v>374</v>
      </c>
      <c r="T4" s="626" t="s">
        <v>395</v>
      </c>
      <c r="U4" s="627" t="str">
        <f t="shared" si="0"/>
        <v>01.01.2025</v>
      </c>
      <c r="V4" s="627" t="str">
        <f t="shared" si="0"/>
        <v>31.01.2025</v>
      </c>
    </row>
    <row r="5" spans="1:22" ht="15">
      <c r="A5" s="445" t="s">
        <v>378</v>
      </c>
      <c r="B5" s="628">
        <v>587</v>
      </c>
      <c r="C5" s="623" t="s">
        <v>380</v>
      </c>
      <c r="D5" s="445"/>
      <c r="E5" s="445"/>
      <c r="F5" s="445"/>
      <c r="G5" s="445"/>
      <c r="H5" s="445"/>
      <c r="I5" s="445"/>
      <c r="J5" s="445"/>
      <c r="K5" s="445"/>
      <c r="L5" s="445"/>
      <c r="M5" s="445"/>
      <c r="N5" s="445"/>
      <c r="O5" s="623">
        <v>30000000004</v>
      </c>
      <c r="P5" s="624">
        <f>+BIODIESEL!$C$7</f>
        <v>5347.41</v>
      </c>
      <c r="Q5" s="445" t="s">
        <v>373</v>
      </c>
      <c r="R5" s="625">
        <v>1</v>
      </c>
      <c r="S5" s="623" t="s">
        <v>374</v>
      </c>
      <c r="T5" s="626" t="s">
        <v>395</v>
      </c>
      <c r="U5" s="627" t="str">
        <f t="shared" si="0"/>
        <v>01.01.2025</v>
      </c>
      <c r="V5" s="627" t="str">
        <f t="shared" si="0"/>
        <v>31.01.2025</v>
      </c>
    </row>
    <row r="6" spans="1:22" ht="15">
      <c r="A6" s="445" t="s">
        <v>378</v>
      </c>
      <c r="B6" s="628">
        <v>567</v>
      </c>
      <c r="C6" s="623" t="s">
        <v>380</v>
      </c>
      <c r="D6" s="623"/>
      <c r="E6" s="623"/>
      <c r="F6" s="623"/>
      <c r="G6" s="623"/>
      <c r="H6" s="623"/>
      <c r="I6" s="623"/>
      <c r="J6" s="623"/>
      <c r="K6" s="623"/>
      <c r="L6" s="623"/>
      <c r="M6" s="623" t="s">
        <v>382</v>
      </c>
      <c r="N6" s="623"/>
      <c r="O6" s="623">
        <v>30000000004</v>
      </c>
      <c r="P6" s="624">
        <f>+BIODIESEL!$C$7</f>
        <v>5347.41</v>
      </c>
      <c r="Q6" s="445" t="s">
        <v>373</v>
      </c>
      <c r="R6" s="625">
        <v>1</v>
      </c>
      <c r="S6" s="623" t="s">
        <v>374</v>
      </c>
      <c r="T6" s="626" t="s">
        <v>395</v>
      </c>
      <c r="U6" s="627" t="str">
        <f t="shared" si="0"/>
        <v>01.01.2025</v>
      </c>
      <c r="V6" s="627" t="str">
        <f t="shared" si="0"/>
        <v>31.01.2025</v>
      </c>
    </row>
    <row r="7" spans="1:22" ht="15">
      <c r="A7" s="445" t="s">
        <v>378</v>
      </c>
      <c r="B7" s="628">
        <v>567</v>
      </c>
      <c r="C7" s="623" t="s">
        <v>380</v>
      </c>
      <c r="D7" s="623"/>
      <c r="E7" s="623"/>
      <c r="F7" s="623"/>
      <c r="G7" s="623"/>
      <c r="H7" s="623"/>
      <c r="I7" s="623"/>
      <c r="J7" s="623"/>
      <c r="K7" s="623"/>
      <c r="L7" s="623"/>
      <c r="M7" s="445" t="s">
        <v>383</v>
      </c>
      <c r="N7" s="623"/>
      <c r="O7" s="623">
        <v>30000000004</v>
      </c>
      <c r="P7" s="624">
        <f>+BIODIESEL!$C$7</f>
        <v>5347.41</v>
      </c>
      <c r="Q7" s="445" t="s">
        <v>373</v>
      </c>
      <c r="R7" s="625">
        <v>1</v>
      </c>
      <c r="S7" s="623" t="s">
        <v>374</v>
      </c>
      <c r="T7" s="626" t="s">
        <v>395</v>
      </c>
      <c r="U7" s="627" t="str">
        <f t="shared" si="0"/>
        <v>01.01.2025</v>
      </c>
      <c r="V7" s="627" t="str">
        <f t="shared" si="0"/>
        <v>31.01.2025</v>
      </c>
    </row>
    <row r="8" spans="1:22" ht="15">
      <c r="A8" s="445" t="s">
        <v>378</v>
      </c>
      <c r="B8" s="628">
        <v>567</v>
      </c>
      <c r="C8" s="623" t="s">
        <v>380</v>
      </c>
      <c r="D8" s="445"/>
      <c r="E8" s="445"/>
      <c r="F8" s="445"/>
      <c r="G8" s="445"/>
      <c r="H8" s="445"/>
      <c r="I8" s="445"/>
      <c r="J8" s="445"/>
      <c r="K8" s="445"/>
      <c r="L8" s="445"/>
      <c r="M8" s="445" t="s">
        <v>384</v>
      </c>
      <c r="N8" s="445"/>
      <c r="O8" s="623">
        <v>30000000004</v>
      </c>
      <c r="P8" s="624">
        <f>+BIODIESEL!$C$7</f>
        <v>5347.41</v>
      </c>
      <c r="Q8" s="445" t="s">
        <v>373</v>
      </c>
      <c r="R8" s="625">
        <v>1</v>
      </c>
      <c r="S8" s="623" t="s">
        <v>374</v>
      </c>
      <c r="T8" s="626" t="s">
        <v>395</v>
      </c>
      <c r="U8" s="627" t="str">
        <f t="shared" si="0"/>
        <v>01.01.2025</v>
      </c>
      <c r="V8" s="627" t="str">
        <f t="shared" si="0"/>
        <v>31.01.2025</v>
      </c>
    </row>
    <row r="9" spans="1:22" ht="15">
      <c r="A9" s="445" t="s">
        <v>378</v>
      </c>
      <c r="B9" s="628">
        <v>567</v>
      </c>
      <c r="C9" s="623" t="s">
        <v>380</v>
      </c>
      <c r="D9" s="445"/>
      <c r="E9" s="445"/>
      <c r="F9" s="445"/>
      <c r="G9" s="445"/>
      <c r="H9" s="445"/>
      <c r="I9" s="445"/>
      <c r="J9" s="445"/>
      <c r="K9" s="445"/>
      <c r="L9" s="445"/>
      <c r="M9" s="445" t="s">
        <v>377</v>
      </c>
      <c r="N9" s="445"/>
      <c r="O9" s="623">
        <v>30000000004</v>
      </c>
      <c r="P9" s="624">
        <f>+BIODIESEL!$C$7</f>
        <v>5347.41</v>
      </c>
      <c r="Q9" s="445" t="s">
        <v>373</v>
      </c>
      <c r="R9" s="625">
        <v>1</v>
      </c>
      <c r="S9" s="623" t="s">
        <v>374</v>
      </c>
      <c r="T9" s="626" t="s">
        <v>395</v>
      </c>
      <c r="U9" s="627" t="str">
        <f t="shared" si="0"/>
        <v>01.01.2025</v>
      </c>
      <c r="V9" s="627" t="str">
        <f t="shared" si="0"/>
        <v>31.01.2025</v>
      </c>
    </row>
    <row r="10" spans="1:22" ht="15">
      <c r="A10" s="445" t="s">
        <v>378</v>
      </c>
      <c r="B10" s="628">
        <v>587</v>
      </c>
      <c r="C10" s="623" t="s">
        <v>380</v>
      </c>
      <c r="D10" s="445"/>
      <c r="E10" s="445"/>
      <c r="F10" s="445"/>
      <c r="G10" s="445"/>
      <c r="H10" s="445"/>
      <c r="I10" s="445"/>
      <c r="J10" s="445"/>
      <c r="K10" s="445"/>
      <c r="L10" s="445"/>
      <c r="M10" s="445"/>
      <c r="N10" s="445"/>
      <c r="O10" s="623">
        <v>30000000070</v>
      </c>
      <c r="P10" s="624">
        <f>+'COMBUSTIBLES '!$B$7</f>
        <v>10380.44</v>
      </c>
      <c r="Q10" s="445" t="s">
        <v>373</v>
      </c>
      <c r="R10" s="625">
        <v>1</v>
      </c>
      <c r="S10" s="623" t="s">
        <v>374</v>
      </c>
      <c r="T10" s="626" t="s">
        <v>395</v>
      </c>
      <c r="U10" s="627" t="str">
        <f t="shared" si="0"/>
        <v>01.01.2025</v>
      </c>
      <c r="V10" s="627" t="str">
        <f t="shared" si="0"/>
        <v>31.01.2025</v>
      </c>
    </row>
    <row r="11" spans="1:22" ht="15">
      <c r="A11" s="445" t="s">
        <v>378</v>
      </c>
      <c r="B11" s="628">
        <v>567</v>
      </c>
      <c r="C11" s="623" t="s">
        <v>380</v>
      </c>
      <c r="D11" s="445"/>
      <c r="E11" s="445"/>
      <c r="F11" s="445"/>
      <c r="G11" s="445"/>
      <c r="H11" s="445"/>
      <c r="I11" s="445"/>
      <c r="J11" s="445"/>
      <c r="K11" s="445"/>
      <c r="L11" s="445"/>
      <c r="M11" s="443" t="s">
        <v>383</v>
      </c>
      <c r="N11" s="445"/>
      <c r="O11" s="623">
        <v>30000000070</v>
      </c>
      <c r="P11" s="624">
        <f>+'COMBUSTIBLES '!$B$7</f>
        <v>10380.44</v>
      </c>
      <c r="Q11" s="445" t="s">
        <v>373</v>
      </c>
      <c r="R11" s="625">
        <v>1</v>
      </c>
      <c r="S11" s="623" t="s">
        <v>374</v>
      </c>
      <c r="T11" s="626" t="s">
        <v>395</v>
      </c>
      <c r="U11" s="627" t="str">
        <f t="shared" si="0"/>
        <v>01.01.2025</v>
      </c>
      <c r="V11" s="627" t="str">
        <f t="shared" si="0"/>
        <v>31.01.2025</v>
      </c>
    </row>
    <row r="12" spans="1:22" ht="15">
      <c r="A12" s="445" t="s">
        <v>375</v>
      </c>
      <c r="B12" s="628">
        <v>587</v>
      </c>
      <c r="C12" s="445" t="s">
        <v>380</v>
      </c>
      <c r="D12" s="445"/>
      <c r="E12" s="445"/>
      <c r="F12" s="445"/>
      <c r="G12" s="445"/>
      <c r="H12" s="445"/>
      <c r="I12" s="445"/>
      <c r="J12" s="445"/>
      <c r="K12" s="445"/>
      <c r="L12" s="445"/>
      <c r="M12" s="445"/>
      <c r="N12" s="445"/>
      <c r="O12" s="623">
        <v>30000002129</v>
      </c>
      <c r="P12" s="624">
        <f>+BIODIESEL!$D$9</f>
        <v>431.45</v>
      </c>
      <c r="Q12" s="445" t="s">
        <v>373</v>
      </c>
      <c r="R12" s="625">
        <v>1</v>
      </c>
      <c r="S12" s="623" t="s">
        <v>374</v>
      </c>
      <c r="T12" s="626" t="s">
        <v>395</v>
      </c>
      <c r="U12" s="627" t="str">
        <f t="shared" si="0"/>
        <v>01.01.2025</v>
      </c>
      <c r="V12" s="627" t="str">
        <f t="shared" si="0"/>
        <v>31.01.2025</v>
      </c>
    </row>
    <row r="13" spans="1:22" ht="15">
      <c r="A13" s="445" t="s">
        <v>371</v>
      </c>
      <c r="B13" s="628">
        <v>567</v>
      </c>
      <c r="C13" s="623" t="s">
        <v>380</v>
      </c>
      <c r="D13" s="445"/>
      <c r="E13" s="445"/>
      <c r="F13" s="445"/>
      <c r="G13" s="445"/>
      <c r="H13" s="445"/>
      <c r="I13" s="445"/>
      <c r="J13" s="445"/>
      <c r="K13" s="445"/>
      <c r="L13" s="445"/>
      <c r="M13" s="445" t="s">
        <v>383</v>
      </c>
      <c r="N13" s="445"/>
      <c r="O13" s="623">
        <v>30000002129</v>
      </c>
      <c r="P13" s="624">
        <f>+BIODIESEL!$D$8</f>
        <v>5240.46</v>
      </c>
      <c r="Q13" s="445" t="s">
        <v>373</v>
      </c>
      <c r="R13" s="625">
        <v>1</v>
      </c>
      <c r="S13" s="623" t="s">
        <v>374</v>
      </c>
      <c r="T13" s="626" t="s">
        <v>395</v>
      </c>
      <c r="U13" s="627" t="str">
        <f t="shared" si="0"/>
        <v>01.01.2025</v>
      </c>
      <c r="V13" s="627" t="str">
        <f t="shared" si="0"/>
        <v>31.01.2025</v>
      </c>
    </row>
    <row r="14" spans="1:22" ht="15">
      <c r="A14" s="445" t="s">
        <v>375</v>
      </c>
      <c r="B14" s="628">
        <v>567</v>
      </c>
      <c r="C14" s="623" t="s">
        <v>380</v>
      </c>
      <c r="D14" s="445"/>
      <c r="E14" s="445"/>
      <c r="F14" s="445"/>
      <c r="G14" s="445"/>
      <c r="H14" s="445"/>
      <c r="I14" s="445"/>
      <c r="J14" s="445"/>
      <c r="K14" s="445"/>
      <c r="L14" s="445"/>
      <c r="M14" s="445" t="s">
        <v>383</v>
      </c>
      <c r="N14" s="445"/>
      <c r="O14" s="623">
        <v>30000002129</v>
      </c>
      <c r="P14" s="624">
        <f>+BIODIESEL!$D$9</f>
        <v>431.45</v>
      </c>
      <c r="Q14" s="445" t="s">
        <v>373</v>
      </c>
      <c r="R14" s="625">
        <v>1</v>
      </c>
      <c r="S14" s="623" t="s">
        <v>374</v>
      </c>
      <c r="T14" s="626" t="s">
        <v>395</v>
      </c>
      <c r="U14" s="627" t="str">
        <f t="shared" si="0"/>
        <v>01.01.2025</v>
      </c>
      <c r="V14" s="627" t="str">
        <f t="shared" si="0"/>
        <v>31.01.2025</v>
      </c>
    </row>
    <row r="15" spans="1:22" ht="15">
      <c r="A15" s="445" t="s">
        <v>371</v>
      </c>
      <c r="B15" s="628">
        <v>587</v>
      </c>
      <c r="C15" s="623" t="s">
        <v>380</v>
      </c>
      <c r="D15" s="445"/>
      <c r="E15" s="445"/>
      <c r="F15" s="445"/>
      <c r="G15" s="445"/>
      <c r="H15" s="445"/>
      <c r="I15" s="445"/>
      <c r="J15" s="445"/>
      <c r="K15" s="445"/>
      <c r="L15" s="445"/>
      <c r="M15" s="445"/>
      <c r="N15" s="445"/>
      <c r="O15" s="623">
        <v>30000002129</v>
      </c>
      <c r="P15" s="624">
        <f>+BIODIESEL!$D$8</f>
        <v>5240.46</v>
      </c>
      <c r="Q15" s="445" t="s">
        <v>373</v>
      </c>
      <c r="R15" s="625">
        <v>1</v>
      </c>
      <c r="S15" s="623" t="s">
        <v>374</v>
      </c>
      <c r="T15" s="626" t="s">
        <v>395</v>
      </c>
      <c r="U15" s="627" t="str">
        <f t="shared" si="0"/>
        <v>01.01.2025</v>
      </c>
      <c r="V15" s="627" t="str">
        <f t="shared" si="0"/>
        <v>31.01.2025</v>
      </c>
    </row>
    <row r="16" spans="1:22" ht="15">
      <c r="A16" s="445" t="s">
        <v>375</v>
      </c>
      <c r="B16" s="628">
        <v>567</v>
      </c>
      <c r="C16" s="445" t="s">
        <v>380</v>
      </c>
      <c r="D16" s="445"/>
      <c r="E16" s="445"/>
      <c r="F16" s="445"/>
      <c r="G16" s="445"/>
      <c r="H16" s="445"/>
      <c r="I16" s="445"/>
      <c r="J16" s="445"/>
      <c r="K16" s="445"/>
      <c r="L16" s="445"/>
      <c r="M16" s="445" t="s">
        <v>379</v>
      </c>
      <c r="N16" s="445"/>
      <c r="O16" s="623">
        <v>30000002129</v>
      </c>
      <c r="P16" s="624">
        <f>+BIODIESEL!$D$9</f>
        <v>431.45</v>
      </c>
      <c r="Q16" s="445" t="s">
        <v>373</v>
      </c>
      <c r="R16" s="625">
        <v>1</v>
      </c>
      <c r="S16" s="623" t="s">
        <v>374</v>
      </c>
      <c r="T16" s="626" t="s">
        <v>395</v>
      </c>
      <c r="U16" s="627" t="str">
        <f t="shared" si="0"/>
        <v>01.01.2025</v>
      </c>
      <c r="V16" s="627" t="str">
        <f t="shared" si="0"/>
        <v>31.01.2025</v>
      </c>
    </row>
    <row r="17" spans="1:22" ht="15">
      <c r="A17" s="445" t="s">
        <v>371</v>
      </c>
      <c r="B17" s="628">
        <v>567</v>
      </c>
      <c r="C17" s="623" t="s">
        <v>380</v>
      </c>
      <c r="D17" s="445"/>
      <c r="E17" s="445"/>
      <c r="F17" s="445"/>
      <c r="G17" s="445"/>
      <c r="H17" s="445"/>
      <c r="I17" s="445"/>
      <c r="J17" s="445"/>
      <c r="K17" s="445"/>
      <c r="L17" s="445"/>
      <c r="M17" s="445" t="s">
        <v>379</v>
      </c>
      <c r="N17" s="445"/>
      <c r="O17" s="623">
        <v>30000002129</v>
      </c>
      <c r="P17" s="624">
        <f>+BIODIESEL!$D$8</f>
        <v>5240.46</v>
      </c>
      <c r="Q17" s="445" t="s">
        <v>373</v>
      </c>
      <c r="R17" s="625">
        <v>1</v>
      </c>
      <c r="S17" s="623" t="s">
        <v>374</v>
      </c>
      <c r="T17" s="626" t="s">
        <v>395</v>
      </c>
      <c r="U17" s="627" t="str">
        <f t="shared" si="0"/>
        <v>01.01.2025</v>
      </c>
      <c r="V17" s="627" t="str">
        <f t="shared" si="0"/>
        <v>31.01.2025</v>
      </c>
    </row>
    <row r="18" spans="1:22" ht="21">
      <c r="A18" s="445" t="s">
        <v>378</v>
      </c>
      <c r="B18" s="628">
        <v>931</v>
      </c>
      <c r="C18" s="623" t="s">
        <v>380</v>
      </c>
      <c r="D18" s="623"/>
      <c r="E18" s="623"/>
      <c r="F18" s="623"/>
      <c r="G18" s="623"/>
      <c r="H18" s="623"/>
      <c r="I18" s="619">
        <v>90005606</v>
      </c>
      <c r="J18" s="623"/>
      <c r="K18" s="623"/>
      <c r="L18" s="623"/>
      <c r="M18" s="623" t="s">
        <v>376</v>
      </c>
      <c r="N18" s="623"/>
      <c r="O18" s="620">
        <v>30000009504</v>
      </c>
      <c r="P18" s="629">
        <f>+'COMBUSTIBLES '!$C$7</f>
        <v>11532</v>
      </c>
      <c r="Q18" s="623" t="s">
        <v>373</v>
      </c>
      <c r="R18" s="623">
        <v>1</v>
      </c>
      <c r="S18" s="623" t="s">
        <v>374</v>
      </c>
      <c r="T18" s="626" t="s">
        <v>395</v>
      </c>
      <c r="U18" s="627" t="s">
        <v>394</v>
      </c>
      <c r="V18" s="610" t="s">
        <v>442</v>
      </c>
    </row>
    <row r="19" spans="1:22" ht="15">
      <c r="A19" s="445" t="s">
        <v>378</v>
      </c>
      <c r="B19" s="628">
        <v>931</v>
      </c>
      <c r="C19" s="623" t="s">
        <v>380</v>
      </c>
      <c r="D19" s="623"/>
      <c r="E19" s="623"/>
      <c r="F19" s="623"/>
      <c r="G19" s="623"/>
      <c r="H19" s="623"/>
      <c r="I19" s="619">
        <v>90005603</v>
      </c>
      <c r="J19" s="623"/>
      <c r="K19" s="623"/>
      <c r="L19" s="623"/>
      <c r="M19" s="623" t="s">
        <v>376</v>
      </c>
      <c r="N19" s="623"/>
      <c r="O19" s="620">
        <v>30000009504</v>
      </c>
      <c r="P19" s="629">
        <f>+'COMBUSTIBLES '!$C$7</f>
        <v>11532</v>
      </c>
      <c r="Q19" s="623" t="s">
        <v>373</v>
      </c>
      <c r="R19" s="623">
        <v>1</v>
      </c>
      <c r="S19" s="623" t="s">
        <v>374</v>
      </c>
      <c r="T19" s="626" t="s">
        <v>395</v>
      </c>
      <c r="U19" s="627" t="s">
        <v>394</v>
      </c>
      <c r="V19" s="627" t="str">
        <f t="shared" ref="V19:V36" si="1">+V18</f>
        <v>31.01.2025</v>
      </c>
    </row>
    <row r="20" spans="1:22" ht="15">
      <c r="A20" s="445" t="s">
        <v>378</v>
      </c>
      <c r="B20" s="628">
        <v>931</v>
      </c>
      <c r="C20" s="623" t="s">
        <v>380</v>
      </c>
      <c r="D20" s="445"/>
      <c r="E20" s="445"/>
      <c r="F20" s="445"/>
      <c r="G20" s="445"/>
      <c r="H20" s="445"/>
      <c r="I20" s="619">
        <v>90005600</v>
      </c>
      <c r="J20" s="445"/>
      <c r="K20" s="445"/>
      <c r="L20" s="445"/>
      <c r="M20" s="623" t="s">
        <v>376</v>
      </c>
      <c r="N20" s="445"/>
      <c r="O20" s="620">
        <v>30000009504</v>
      </c>
      <c r="P20" s="629">
        <f>+'COMBUSTIBLES '!$C$7</f>
        <v>11532</v>
      </c>
      <c r="Q20" s="623" t="s">
        <v>373</v>
      </c>
      <c r="R20" s="623">
        <v>1</v>
      </c>
      <c r="S20" s="623" t="s">
        <v>374</v>
      </c>
      <c r="T20" s="626" t="s">
        <v>395</v>
      </c>
      <c r="U20" s="627" t="s">
        <v>394</v>
      </c>
      <c r="V20" s="627" t="str">
        <f t="shared" si="1"/>
        <v>31.01.2025</v>
      </c>
    </row>
    <row r="21" spans="1:22" ht="15">
      <c r="A21" s="445" t="s">
        <v>378</v>
      </c>
      <c r="B21" s="628">
        <v>931</v>
      </c>
      <c r="C21" s="623" t="s">
        <v>380</v>
      </c>
      <c r="D21" s="445"/>
      <c r="E21" s="445"/>
      <c r="F21" s="445"/>
      <c r="G21" s="445"/>
      <c r="H21" s="445"/>
      <c r="I21" s="619">
        <v>90005628</v>
      </c>
      <c r="J21" s="445"/>
      <c r="K21" s="445"/>
      <c r="L21" s="445"/>
      <c r="M21" s="623" t="s">
        <v>376</v>
      </c>
      <c r="N21" s="445"/>
      <c r="O21" s="620">
        <v>30000009504</v>
      </c>
      <c r="P21" s="629">
        <f>+'COMBUSTIBLES '!$C$7</f>
        <v>11532</v>
      </c>
      <c r="Q21" s="623" t="s">
        <v>373</v>
      </c>
      <c r="R21" s="623">
        <v>1</v>
      </c>
      <c r="S21" s="623" t="s">
        <v>374</v>
      </c>
      <c r="T21" s="626" t="s">
        <v>395</v>
      </c>
      <c r="U21" s="627" t="s">
        <v>394</v>
      </c>
      <c r="V21" s="627" t="str">
        <f t="shared" si="1"/>
        <v>31.01.2025</v>
      </c>
    </row>
    <row r="22" spans="1:22" ht="15">
      <c r="A22" s="445" t="s">
        <v>378</v>
      </c>
      <c r="B22" s="628">
        <v>931</v>
      </c>
      <c r="C22" s="623" t="s">
        <v>380</v>
      </c>
      <c r="D22" s="445"/>
      <c r="E22" s="445"/>
      <c r="F22" s="445"/>
      <c r="G22" s="445"/>
      <c r="H22" s="445"/>
      <c r="I22" s="619">
        <v>90005617</v>
      </c>
      <c r="J22" s="445"/>
      <c r="K22" s="445"/>
      <c r="L22" s="445"/>
      <c r="M22" s="623" t="s">
        <v>376</v>
      </c>
      <c r="N22" s="445"/>
      <c r="O22" s="620">
        <v>30000009504</v>
      </c>
      <c r="P22" s="629">
        <f>+'COMBUSTIBLES '!$C$7</f>
        <v>11532</v>
      </c>
      <c r="Q22" s="623" t="s">
        <v>373</v>
      </c>
      <c r="R22" s="623">
        <v>1</v>
      </c>
      <c r="S22" s="623" t="s">
        <v>374</v>
      </c>
      <c r="T22" s="626" t="s">
        <v>395</v>
      </c>
      <c r="U22" s="627" t="s">
        <v>394</v>
      </c>
      <c r="V22" s="627" t="str">
        <f t="shared" si="1"/>
        <v>31.01.2025</v>
      </c>
    </row>
    <row r="23" spans="1:22" ht="15">
      <c r="A23" s="445" t="s">
        <v>378</v>
      </c>
      <c r="B23" s="628">
        <v>931</v>
      </c>
      <c r="C23" s="628" t="s">
        <v>380</v>
      </c>
      <c r="D23" s="628"/>
      <c r="E23" s="628"/>
      <c r="F23" s="628"/>
      <c r="G23" s="628"/>
      <c r="H23" s="628"/>
      <c r="I23" s="619">
        <v>90005598</v>
      </c>
      <c r="J23" s="628"/>
      <c r="K23" s="628"/>
      <c r="L23" s="628"/>
      <c r="M23" s="623" t="s">
        <v>376</v>
      </c>
      <c r="N23" s="628"/>
      <c r="O23" s="620">
        <v>30000009504</v>
      </c>
      <c r="P23" s="629">
        <f>+'COMBUSTIBLES '!$C$7</f>
        <v>11532</v>
      </c>
      <c r="Q23" s="623" t="s">
        <v>373</v>
      </c>
      <c r="R23" s="623">
        <v>1</v>
      </c>
      <c r="S23" s="623" t="s">
        <v>374</v>
      </c>
      <c r="T23" s="626" t="s">
        <v>395</v>
      </c>
      <c r="U23" s="627" t="s">
        <v>394</v>
      </c>
      <c r="V23" s="627" t="str">
        <f t="shared" si="1"/>
        <v>31.01.2025</v>
      </c>
    </row>
    <row r="24" spans="1:22" ht="15">
      <c r="A24" s="445" t="s">
        <v>378</v>
      </c>
      <c r="B24" s="628">
        <v>931</v>
      </c>
      <c r="C24" s="623" t="s">
        <v>380</v>
      </c>
      <c r="D24" s="623"/>
      <c r="E24" s="623"/>
      <c r="F24" s="623"/>
      <c r="G24" s="623"/>
      <c r="H24" s="623"/>
      <c r="I24" s="619">
        <v>90005606</v>
      </c>
      <c r="J24" s="623"/>
      <c r="K24" s="623"/>
      <c r="L24" s="623"/>
      <c r="M24" s="623" t="s">
        <v>377</v>
      </c>
      <c r="N24" s="623"/>
      <c r="O24" s="620">
        <v>30000009504</v>
      </c>
      <c r="P24" s="629">
        <f>+'COMBUSTIBLES '!$C$7</f>
        <v>11532</v>
      </c>
      <c r="Q24" s="623" t="s">
        <v>373</v>
      </c>
      <c r="R24" s="623">
        <v>1</v>
      </c>
      <c r="S24" s="623" t="s">
        <v>374</v>
      </c>
      <c r="T24" s="626" t="s">
        <v>395</v>
      </c>
      <c r="U24" s="627" t="s">
        <v>394</v>
      </c>
      <c r="V24" s="627" t="str">
        <f t="shared" si="1"/>
        <v>31.01.2025</v>
      </c>
    </row>
    <row r="25" spans="1:22" ht="15">
      <c r="A25" s="445" t="s">
        <v>378</v>
      </c>
      <c r="B25" s="628">
        <v>931</v>
      </c>
      <c r="C25" s="623" t="s">
        <v>380</v>
      </c>
      <c r="D25" s="623"/>
      <c r="E25" s="623"/>
      <c r="F25" s="623"/>
      <c r="G25" s="623"/>
      <c r="H25" s="623"/>
      <c r="I25" s="619">
        <v>90005603</v>
      </c>
      <c r="J25" s="623"/>
      <c r="K25" s="623"/>
      <c r="L25" s="623"/>
      <c r="M25" s="623" t="s">
        <v>377</v>
      </c>
      <c r="N25" s="623"/>
      <c r="O25" s="620">
        <v>30000009504</v>
      </c>
      <c r="P25" s="629">
        <f>+'COMBUSTIBLES '!$C$7</f>
        <v>11532</v>
      </c>
      <c r="Q25" s="623" t="s">
        <v>373</v>
      </c>
      <c r="R25" s="623">
        <v>1</v>
      </c>
      <c r="S25" s="623" t="s">
        <v>374</v>
      </c>
      <c r="T25" s="626" t="s">
        <v>395</v>
      </c>
      <c r="U25" s="627" t="s">
        <v>394</v>
      </c>
      <c r="V25" s="627" t="str">
        <f t="shared" si="1"/>
        <v>31.01.2025</v>
      </c>
    </row>
    <row r="26" spans="1:22" ht="15">
      <c r="A26" s="445" t="s">
        <v>378</v>
      </c>
      <c r="B26" s="628">
        <v>931</v>
      </c>
      <c r="C26" s="623" t="s">
        <v>380</v>
      </c>
      <c r="D26" s="623"/>
      <c r="E26" s="623"/>
      <c r="F26" s="623"/>
      <c r="G26" s="623"/>
      <c r="H26" s="623"/>
      <c r="I26" s="619">
        <v>90005603</v>
      </c>
      <c r="J26" s="623"/>
      <c r="K26" s="623"/>
      <c r="L26" s="623"/>
      <c r="M26" s="623" t="s">
        <v>386</v>
      </c>
      <c r="N26" s="623"/>
      <c r="O26" s="620">
        <v>30000009504</v>
      </c>
      <c r="P26" s="629">
        <f>+'COMBUSTIBLES '!$C$7</f>
        <v>11532</v>
      </c>
      <c r="Q26" s="623" t="s">
        <v>373</v>
      </c>
      <c r="R26" s="623">
        <v>1</v>
      </c>
      <c r="S26" s="623" t="s">
        <v>374</v>
      </c>
      <c r="T26" s="626" t="s">
        <v>395</v>
      </c>
      <c r="U26" s="627" t="s">
        <v>394</v>
      </c>
      <c r="V26" s="627" t="str">
        <f t="shared" si="1"/>
        <v>31.01.2025</v>
      </c>
    </row>
    <row r="27" spans="1:22" ht="15">
      <c r="A27" s="445" t="s">
        <v>378</v>
      </c>
      <c r="B27" s="628">
        <v>931</v>
      </c>
      <c r="C27" s="623" t="s">
        <v>380</v>
      </c>
      <c r="D27" s="445"/>
      <c r="E27" s="445"/>
      <c r="F27" s="445"/>
      <c r="G27" s="445"/>
      <c r="H27" s="445"/>
      <c r="I27" s="619">
        <v>90005600</v>
      </c>
      <c r="J27" s="445"/>
      <c r="K27" s="445"/>
      <c r="L27" s="445"/>
      <c r="M27" s="623" t="s">
        <v>377</v>
      </c>
      <c r="N27" s="445"/>
      <c r="O27" s="620">
        <v>30000009504</v>
      </c>
      <c r="P27" s="629">
        <f>+'COMBUSTIBLES '!$C$7</f>
        <v>11532</v>
      </c>
      <c r="Q27" s="623" t="s">
        <v>373</v>
      </c>
      <c r="R27" s="623">
        <v>1</v>
      </c>
      <c r="S27" s="623" t="s">
        <v>374</v>
      </c>
      <c r="T27" s="626" t="s">
        <v>395</v>
      </c>
      <c r="U27" s="627" t="s">
        <v>394</v>
      </c>
      <c r="V27" s="627" t="str">
        <f t="shared" si="1"/>
        <v>31.01.2025</v>
      </c>
    </row>
    <row r="28" spans="1:22" ht="15">
      <c r="A28" s="445" t="s">
        <v>378</v>
      </c>
      <c r="B28" s="628">
        <v>931</v>
      </c>
      <c r="C28" s="623" t="s">
        <v>380</v>
      </c>
      <c r="D28" s="445"/>
      <c r="E28" s="445"/>
      <c r="F28" s="445"/>
      <c r="G28" s="445"/>
      <c r="H28" s="445"/>
      <c r="I28" s="619">
        <v>90005628</v>
      </c>
      <c r="J28" s="445"/>
      <c r="K28" s="445"/>
      <c r="L28" s="445"/>
      <c r="M28" s="623" t="s">
        <v>377</v>
      </c>
      <c r="N28" s="445"/>
      <c r="O28" s="620">
        <v>30000009504</v>
      </c>
      <c r="P28" s="629">
        <f>+'COMBUSTIBLES '!$C$7</f>
        <v>11532</v>
      </c>
      <c r="Q28" s="623" t="s">
        <v>373</v>
      </c>
      <c r="R28" s="623">
        <v>1</v>
      </c>
      <c r="S28" s="623" t="s">
        <v>374</v>
      </c>
      <c r="T28" s="626" t="s">
        <v>395</v>
      </c>
      <c r="U28" s="627" t="s">
        <v>394</v>
      </c>
      <c r="V28" s="627" t="str">
        <f t="shared" si="1"/>
        <v>31.01.2025</v>
      </c>
    </row>
    <row r="29" spans="1:22" ht="15">
      <c r="A29" s="445" t="s">
        <v>378</v>
      </c>
      <c r="B29" s="628">
        <v>931</v>
      </c>
      <c r="C29" s="623" t="s">
        <v>380</v>
      </c>
      <c r="D29" s="445"/>
      <c r="E29" s="445"/>
      <c r="F29" s="445"/>
      <c r="G29" s="445"/>
      <c r="H29" s="445"/>
      <c r="I29" s="619">
        <v>90005617</v>
      </c>
      <c r="J29" s="445"/>
      <c r="K29" s="445"/>
      <c r="L29" s="445"/>
      <c r="M29" s="623" t="s">
        <v>377</v>
      </c>
      <c r="N29" s="445"/>
      <c r="O29" s="620">
        <v>30000009504</v>
      </c>
      <c r="P29" s="629">
        <f>+'COMBUSTIBLES '!$C$7</f>
        <v>11532</v>
      </c>
      <c r="Q29" s="623" t="s">
        <v>373</v>
      </c>
      <c r="R29" s="623">
        <v>1</v>
      </c>
      <c r="S29" s="623" t="s">
        <v>374</v>
      </c>
      <c r="T29" s="626" t="s">
        <v>395</v>
      </c>
      <c r="U29" s="627" t="s">
        <v>394</v>
      </c>
      <c r="V29" s="627" t="str">
        <f t="shared" si="1"/>
        <v>31.01.2025</v>
      </c>
    </row>
    <row r="30" spans="1:22" ht="15">
      <c r="A30" s="445" t="s">
        <v>378</v>
      </c>
      <c r="B30" s="628">
        <v>931</v>
      </c>
      <c r="C30" s="628" t="s">
        <v>380</v>
      </c>
      <c r="D30" s="628"/>
      <c r="E30" s="628"/>
      <c r="F30" s="628"/>
      <c r="G30" s="628"/>
      <c r="H30" s="628"/>
      <c r="I30" s="619">
        <v>90005598</v>
      </c>
      <c r="J30" s="628"/>
      <c r="K30" s="628"/>
      <c r="L30" s="628"/>
      <c r="M30" s="628" t="s">
        <v>377</v>
      </c>
      <c r="N30" s="628"/>
      <c r="O30" s="622">
        <v>30000009504</v>
      </c>
      <c r="P30" s="629">
        <f>+'COMBUSTIBLES '!$C$7</f>
        <v>11532</v>
      </c>
      <c r="Q30" s="623" t="s">
        <v>373</v>
      </c>
      <c r="R30" s="623">
        <v>1</v>
      </c>
      <c r="S30" s="623" t="s">
        <v>374</v>
      </c>
      <c r="T30" s="626" t="s">
        <v>395</v>
      </c>
      <c r="U30" s="627" t="s">
        <v>394</v>
      </c>
      <c r="V30" s="627" t="str">
        <f t="shared" si="1"/>
        <v>31.01.2025</v>
      </c>
    </row>
    <row r="31" spans="1:22" ht="15">
      <c r="A31" s="445" t="s">
        <v>378</v>
      </c>
      <c r="B31" s="628">
        <v>567</v>
      </c>
      <c r="C31" s="623" t="s">
        <v>380</v>
      </c>
      <c r="D31" s="623"/>
      <c r="E31" s="623"/>
      <c r="F31" s="623"/>
      <c r="G31" s="623"/>
      <c r="H31" s="623"/>
      <c r="I31" s="623"/>
      <c r="J31" s="623"/>
      <c r="K31" s="623"/>
      <c r="L31" s="623"/>
      <c r="M31" s="623" t="s">
        <v>376</v>
      </c>
      <c r="N31" s="623"/>
      <c r="O31" s="620">
        <v>30000009504</v>
      </c>
      <c r="P31" s="630">
        <f>+'COMBUSTIBLES '!$D$7</f>
        <v>11741</v>
      </c>
      <c r="Q31" s="626" t="s">
        <v>373</v>
      </c>
      <c r="R31" s="626">
        <v>1</v>
      </c>
      <c r="S31" s="623" t="s">
        <v>374</v>
      </c>
      <c r="T31" s="626" t="s">
        <v>395</v>
      </c>
      <c r="U31" s="627" t="s">
        <v>394</v>
      </c>
      <c r="V31" s="627" t="str">
        <f t="shared" si="1"/>
        <v>31.01.2025</v>
      </c>
    </row>
    <row r="32" spans="1:22" ht="15">
      <c r="A32" s="445" t="s">
        <v>378</v>
      </c>
      <c r="B32" s="628">
        <v>567</v>
      </c>
      <c r="C32" s="623" t="s">
        <v>380</v>
      </c>
      <c r="D32" s="623"/>
      <c r="E32" s="623"/>
      <c r="F32" s="623"/>
      <c r="G32" s="623"/>
      <c r="H32" s="623"/>
      <c r="I32" s="623"/>
      <c r="J32" s="623"/>
      <c r="K32" s="623"/>
      <c r="L32" s="623"/>
      <c r="M32" s="623" t="s">
        <v>377</v>
      </c>
      <c r="N32" s="623"/>
      <c r="O32" s="620">
        <v>30000009504</v>
      </c>
      <c r="P32" s="630">
        <f>+'COMBUSTIBLES '!$D$7</f>
        <v>11741</v>
      </c>
      <c r="Q32" s="626" t="s">
        <v>373</v>
      </c>
      <c r="R32" s="626">
        <v>1</v>
      </c>
      <c r="S32" s="623" t="s">
        <v>374</v>
      </c>
      <c r="T32" s="626" t="s">
        <v>395</v>
      </c>
      <c r="U32" s="627" t="s">
        <v>394</v>
      </c>
      <c r="V32" s="627" t="str">
        <f t="shared" si="1"/>
        <v>31.01.2025</v>
      </c>
    </row>
    <row r="33" spans="1:22" ht="15">
      <c r="A33" s="445" t="s">
        <v>378</v>
      </c>
      <c r="B33" s="628">
        <v>931</v>
      </c>
      <c r="C33" s="623" t="s">
        <v>380</v>
      </c>
      <c r="D33" s="623"/>
      <c r="E33" s="623"/>
      <c r="F33" s="623"/>
      <c r="G33" s="623"/>
      <c r="H33" s="623"/>
      <c r="I33" s="445">
        <v>90005600</v>
      </c>
      <c r="J33" s="623"/>
      <c r="K33" s="623"/>
      <c r="L33" s="623"/>
      <c r="M33" s="623" t="s">
        <v>383</v>
      </c>
      <c r="N33" s="623"/>
      <c r="O33" s="620">
        <v>30000009504</v>
      </c>
      <c r="P33" s="629">
        <f>+'COMBUSTIBLES '!$C$7</f>
        <v>11532</v>
      </c>
      <c r="Q33" s="623" t="s">
        <v>373</v>
      </c>
      <c r="R33" s="623">
        <v>1</v>
      </c>
      <c r="S33" s="623" t="s">
        <v>374</v>
      </c>
      <c r="T33" s="626" t="s">
        <v>395</v>
      </c>
      <c r="U33" s="627" t="s">
        <v>394</v>
      </c>
      <c r="V33" s="627" t="str">
        <f t="shared" si="1"/>
        <v>31.01.2025</v>
      </c>
    </row>
    <row r="34" spans="1:22" ht="15">
      <c r="A34" s="445" t="s">
        <v>378</v>
      </c>
      <c r="B34" s="628">
        <v>931</v>
      </c>
      <c r="C34" s="623" t="s">
        <v>380</v>
      </c>
      <c r="D34" s="623"/>
      <c r="E34" s="623"/>
      <c r="F34" s="623"/>
      <c r="G34" s="623"/>
      <c r="H34" s="623"/>
      <c r="I34" s="445">
        <v>90005590</v>
      </c>
      <c r="J34" s="623"/>
      <c r="K34" s="623"/>
      <c r="L34" s="623"/>
      <c r="M34" s="623" t="s">
        <v>383</v>
      </c>
      <c r="N34" s="623"/>
      <c r="O34" s="620">
        <v>30000009504</v>
      </c>
      <c r="P34" s="629">
        <f>+'COMBUSTIBLES '!$C$7</f>
        <v>11532</v>
      </c>
      <c r="Q34" s="623" t="s">
        <v>373</v>
      </c>
      <c r="R34" s="623">
        <v>1</v>
      </c>
      <c r="S34" s="623" t="s">
        <v>374</v>
      </c>
      <c r="T34" s="626" t="s">
        <v>395</v>
      </c>
      <c r="U34" s="627" t="s">
        <v>394</v>
      </c>
      <c r="V34" s="627" t="str">
        <f t="shared" si="1"/>
        <v>31.01.2025</v>
      </c>
    </row>
    <row r="35" spans="1:22" ht="15">
      <c r="A35" s="445" t="s">
        <v>378</v>
      </c>
      <c r="B35" s="628">
        <v>931</v>
      </c>
      <c r="C35" s="623" t="s">
        <v>380</v>
      </c>
      <c r="D35" s="623"/>
      <c r="E35" s="623"/>
      <c r="F35" s="623"/>
      <c r="G35" s="623"/>
      <c r="H35" s="623"/>
      <c r="I35" s="445">
        <v>90005601</v>
      </c>
      <c r="J35" s="623"/>
      <c r="K35" s="623"/>
      <c r="L35" s="623"/>
      <c r="M35" s="623" t="s">
        <v>383</v>
      </c>
      <c r="N35" s="623"/>
      <c r="O35" s="620">
        <v>30000009504</v>
      </c>
      <c r="P35" s="629">
        <f>+'COMBUSTIBLES '!$C$7</f>
        <v>11532</v>
      </c>
      <c r="Q35" s="623" t="s">
        <v>373</v>
      </c>
      <c r="R35" s="623">
        <v>1</v>
      </c>
      <c r="S35" s="623" t="s">
        <v>374</v>
      </c>
      <c r="T35" s="626" t="s">
        <v>395</v>
      </c>
      <c r="U35" s="627" t="s">
        <v>394</v>
      </c>
      <c r="V35" s="627" t="str">
        <f t="shared" si="1"/>
        <v>31.01.2025</v>
      </c>
    </row>
    <row r="36" spans="1:22" ht="15">
      <c r="A36" s="445" t="s">
        <v>378</v>
      </c>
      <c r="B36" s="628">
        <v>567</v>
      </c>
      <c r="C36" s="628" t="s">
        <v>380</v>
      </c>
      <c r="D36" s="453"/>
      <c r="E36" s="453"/>
      <c r="F36" s="453"/>
      <c r="G36" s="453"/>
      <c r="H36" s="453"/>
      <c r="I36" s="453"/>
      <c r="J36" s="453"/>
      <c r="K36" s="453"/>
      <c r="L36" s="453"/>
      <c r="M36" s="453" t="s">
        <v>386</v>
      </c>
      <c r="N36" s="453"/>
      <c r="O36" s="621">
        <v>30000009504</v>
      </c>
      <c r="P36" s="629">
        <f>+'COMBUSTIBLES '!$C$7</f>
        <v>11532</v>
      </c>
      <c r="Q36" s="445" t="s">
        <v>373</v>
      </c>
      <c r="R36" s="445">
        <v>1</v>
      </c>
      <c r="S36" s="445" t="s">
        <v>374</v>
      </c>
      <c r="T36" s="626" t="s">
        <v>395</v>
      </c>
      <c r="U36" s="458" t="str">
        <f>+U35</f>
        <v>01.09.2023</v>
      </c>
      <c r="V36" s="627" t="str">
        <f t="shared" si="1"/>
        <v>31.01.2025</v>
      </c>
    </row>
    <row r="37" spans="1:22" ht="21">
      <c r="A37" s="445" t="s">
        <v>388</v>
      </c>
      <c r="B37" s="628">
        <v>567</v>
      </c>
      <c r="C37" s="623" t="s">
        <v>380</v>
      </c>
      <c r="D37" s="445"/>
      <c r="E37" s="445"/>
      <c r="F37" s="445"/>
      <c r="G37" s="445"/>
      <c r="H37" s="445"/>
      <c r="I37" s="445"/>
      <c r="J37" s="445"/>
      <c r="K37" s="445"/>
      <c r="L37" s="445"/>
      <c r="M37" s="445" t="s">
        <v>390</v>
      </c>
      <c r="N37" s="445"/>
      <c r="O37" s="445">
        <v>30000000004</v>
      </c>
      <c r="P37" s="444">
        <f>ROUND(-('DIESEL MARINO'!$D$6-'DIESEL MARINO'!$F$6),2)</f>
        <v>-1069.48</v>
      </c>
      <c r="Q37" s="623" t="s">
        <v>373</v>
      </c>
      <c r="R37" s="623">
        <v>1</v>
      </c>
      <c r="S37" s="623" t="s">
        <v>374</v>
      </c>
      <c r="T37" s="626" t="s">
        <v>395</v>
      </c>
      <c r="U37" s="634" t="str">
        <f>+TEXT('COMBUSTIBLES '!$A$53,"dd.mm.yyyyy")</f>
        <v>01.01.2025</v>
      </c>
      <c r="V37" s="610" t="s">
        <v>442</v>
      </c>
    </row>
    <row r="38" spans="1:22" ht="15">
      <c r="A38" s="445" t="s">
        <v>388</v>
      </c>
      <c r="B38" s="628">
        <v>567</v>
      </c>
      <c r="C38" s="623" t="s">
        <v>380</v>
      </c>
      <c r="D38" s="445"/>
      <c r="E38" s="445"/>
      <c r="F38" s="445"/>
      <c r="G38" s="445"/>
      <c r="H38" s="445"/>
      <c r="I38" s="445"/>
      <c r="J38" s="445"/>
      <c r="K38" s="445"/>
      <c r="L38" s="445"/>
      <c r="M38" s="445" t="s">
        <v>390</v>
      </c>
      <c r="N38" s="445"/>
      <c r="O38" s="445">
        <v>30000002129</v>
      </c>
      <c r="P38" s="444">
        <f>ROUND(-('DIESEL MARINO'!$D$6-'DIESEL MARINO'!$F$6)*98%,2)</f>
        <v>-1048.0899999999999</v>
      </c>
      <c r="Q38" s="623" t="s">
        <v>373</v>
      </c>
      <c r="R38" s="623">
        <v>1</v>
      </c>
      <c r="S38" s="623" t="s">
        <v>374</v>
      </c>
      <c r="T38" s="626" t="s">
        <v>395</v>
      </c>
      <c r="U38" s="627" t="str">
        <f>+U3</f>
        <v>01.01.2025</v>
      </c>
      <c r="V38" s="627" t="str">
        <f t="shared" ref="V38:V45" si="2">+V37</f>
        <v>31.01.2025</v>
      </c>
    </row>
    <row r="39" spans="1:22" ht="15">
      <c r="A39" s="445" t="s">
        <v>388</v>
      </c>
      <c r="B39" s="628">
        <v>567</v>
      </c>
      <c r="C39" s="623" t="s">
        <v>380</v>
      </c>
      <c r="D39" s="445"/>
      <c r="E39" s="445"/>
      <c r="F39" s="445"/>
      <c r="G39" s="445"/>
      <c r="H39" s="445"/>
      <c r="I39" s="445"/>
      <c r="J39" s="445"/>
      <c r="K39" s="445"/>
      <c r="L39" s="445"/>
      <c r="M39" s="445" t="s">
        <v>382</v>
      </c>
      <c r="N39" s="445"/>
      <c r="O39" s="445">
        <v>30000000004</v>
      </c>
      <c r="P39" s="444">
        <f>ROUND(-('DIESEL MARINO'!$D$6-'DIESEL MARINO'!$F$6),2)</f>
        <v>-1069.48</v>
      </c>
      <c r="Q39" s="623" t="s">
        <v>373</v>
      </c>
      <c r="R39" s="445">
        <v>1</v>
      </c>
      <c r="S39" s="623" t="s">
        <v>374</v>
      </c>
      <c r="T39" s="626" t="s">
        <v>395</v>
      </c>
      <c r="U39" s="627" t="str">
        <f>+U4</f>
        <v>01.01.2025</v>
      </c>
      <c r="V39" s="627" t="str">
        <f t="shared" si="2"/>
        <v>31.01.2025</v>
      </c>
    </row>
    <row r="40" spans="1:22" ht="15">
      <c r="A40" s="445" t="s">
        <v>388</v>
      </c>
      <c r="B40" s="628">
        <v>931</v>
      </c>
      <c r="C40" s="623" t="s">
        <v>380</v>
      </c>
      <c r="D40" s="445"/>
      <c r="E40" s="445"/>
      <c r="F40" s="445"/>
      <c r="G40" s="445"/>
      <c r="H40" s="445"/>
      <c r="I40">
        <v>90005703</v>
      </c>
      <c r="J40" s="445"/>
      <c r="K40" s="445"/>
      <c r="L40" s="445"/>
      <c r="M40" s="445" t="s">
        <v>390</v>
      </c>
      <c r="N40" s="445"/>
      <c r="O40" s="445">
        <v>30000000004</v>
      </c>
      <c r="P40" s="444">
        <f>+ROUND((BIODIESEL!$C$7-BIODIESEL!$C$7*77%)*-1,2)</f>
        <v>-1229.9000000000001</v>
      </c>
      <c r="Q40" s="623" t="s">
        <v>373</v>
      </c>
      <c r="R40" s="445">
        <v>1</v>
      </c>
      <c r="S40" s="623" t="s">
        <v>374</v>
      </c>
      <c r="T40" s="626" t="s">
        <v>395</v>
      </c>
      <c r="U40" s="627" t="str">
        <f>+U5</f>
        <v>01.01.2025</v>
      </c>
      <c r="V40" s="627" t="str">
        <f t="shared" si="2"/>
        <v>31.01.2025</v>
      </c>
    </row>
    <row r="41" spans="1:22" ht="15">
      <c r="A41" s="445" t="s">
        <v>388</v>
      </c>
      <c r="B41" s="628">
        <v>931</v>
      </c>
      <c r="C41" s="623" t="s">
        <v>380</v>
      </c>
      <c r="D41" s="445"/>
      <c r="E41" s="445"/>
      <c r="F41" s="445"/>
      <c r="G41" s="445"/>
      <c r="H41" s="445"/>
      <c r="I41">
        <v>90005703</v>
      </c>
      <c r="J41" s="445"/>
      <c r="K41" s="445"/>
      <c r="L41" s="445"/>
      <c r="M41" s="445" t="s">
        <v>390</v>
      </c>
      <c r="N41" s="445"/>
      <c r="O41" s="445">
        <v>30000002129</v>
      </c>
      <c r="P41" s="444">
        <f>+ROUND('DIESEL MARINO'!$E$53-'DIESEL MARINO'!$F$53,2)*-1</f>
        <v>-1205.31</v>
      </c>
      <c r="Q41" s="631" t="s">
        <v>373</v>
      </c>
      <c r="R41" s="618">
        <v>1</v>
      </c>
      <c r="S41" s="623" t="s">
        <v>374</v>
      </c>
      <c r="T41" s="626" t="s">
        <v>395</v>
      </c>
      <c r="U41" s="627" t="str">
        <f>+U6</f>
        <v>01.01.2025</v>
      </c>
      <c r="V41" s="627" t="str">
        <f t="shared" si="2"/>
        <v>31.01.2025</v>
      </c>
    </row>
    <row r="42" spans="1:22" ht="15">
      <c r="A42" s="445" t="s">
        <v>371</v>
      </c>
      <c r="B42" s="628">
        <v>567</v>
      </c>
      <c r="C42" s="623" t="s">
        <v>380</v>
      </c>
      <c r="D42" s="445"/>
      <c r="E42" s="445"/>
      <c r="F42" s="445"/>
      <c r="G42" s="445"/>
      <c r="H42" s="445"/>
      <c r="I42" s="445"/>
      <c r="J42" s="445"/>
      <c r="K42" s="445"/>
      <c r="L42" s="445"/>
      <c r="M42" s="445" t="s">
        <v>376</v>
      </c>
      <c r="N42" s="445"/>
      <c r="O42" s="620">
        <v>30000002129</v>
      </c>
      <c r="P42" s="624">
        <f>+BIODIESEL!D$8</f>
        <v>5240.46</v>
      </c>
      <c r="Q42" s="623" t="s">
        <v>373</v>
      </c>
      <c r="R42" s="623">
        <v>1</v>
      </c>
      <c r="S42" s="623" t="s">
        <v>374</v>
      </c>
      <c r="T42" s="626" t="s">
        <v>395</v>
      </c>
      <c r="U42" s="627" t="str">
        <f>+U5</f>
        <v>01.01.2025</v>
      </c>
      <c r="V42" s="627" t="str">
        <f>+V39</f>
        <v>31.01.2025</v>
      </c>
    </row>
    <row r="43" spans="1:22" ht="15">
      <c r="A43" s="445" t="s">
        <v>375</v>
      </c>
      <c r="B43" s="628">
        <v>567</v>
      </c>
      <c r="C43" s="623" t="s">
        <v>380</v>
      </c>
      <c r="D43" s="443"/>
      <c r="E43" s="443"/>
      <c r="F43" s="443"/>
      <c r="G43" s="443"/>
      <c r="H43" s="443"/>
      <c r="I43" s="443"/>
      <c r="J43" s="443"/>
      <c r="K43" s="443"/>
      <c r="L43" s="443"/>
      <c r="M43" s="443" t="s">
        <v>376</v>
      </c>
      <c r="N43" s="443"/>
      <c r="O43" s="620">
        <v>30000002129</v>
      </c>
      <c r="P43" s="632">
        <f>+BIODIESEL!$D$9</f>
        <v>431.45</v>
      </c>
      <c r="Q43" s="633" t="s">
        <v>373</v>
      </c>
      <c r="R43" s="633">
        <v>1</v>
      </c>
      <c r="S43" s="633" t="s">
        <v>374</v>
      </c>
      <c r="T43" s="626" t="s">
        <v>395</v>
      </c>
      <c r="U43" s="627" t="str">
        <f>+U6</f>
        <v>01.01.2025</v>
      </c>
      <c r="V43" s="627" t="str">
        <f t="shared" si="2"/>
        <v>31.01.2025</v>
      </c>
    </row>
    <row r="44" spans="1:22" ht="15">
      <c r="A44" s="445" t="s">
        <v>371</v>
      </c>
      <c r="B44" s="628">
        <v>567</v>
      </c>
      <c r="C44" s="623" t="s">
        <v>380</v>
      </c>
      <c r="D44" s="445"/>
      <c r="E44" s="445"/>
      <c r="F44" s="445"/>
      <c r="G44" s="445"/>
      <c r="H44" s="445"/>
      <c r="I44" s="445"/>
      <c r="J44" s="445"/>
      <c r="K44" s="445"/>
      <c r="L44" s="445"/>
      <c r="M44" s="445" t="s">
        <v>392</v>
      </c>
      <c r="N44" s="445"/>
      <c r="O44" s="445">
        <v>30000002129</v>
      </c>
      <c r="P44" s="624">
        <f>+BIODIESEL!D$8</f>
        <v>5240.46</v>
      </c>
      <c r="Q44" s="623" t="s">
        <v>373</v>
      </c>
      <c r="R44" s="623">
        <v>1</v>
      </c>
      <c r="S44" s="623" t="s">
        <v>374</v>
      </c>
      <c r="T44" s="626" t="s">
        <v>395</v>
      </c>
      <c r="U44" s="627" t="str">
        <f>+U7</f>
        <v>01.01.2025</v>
      </c>
      <c r="V44" s="627" t="str">
        <f>+V41</f>
        <v>31.01.2025</v>
      </c>
    </row>
    <row r="45" spans="1:22" ht="15">
      <c r="A45" s="445" t="s">
        <v>375</v>
      </c>
      <c r="B45" s="628">
        <v>567</v>
      </c>
      <c r="C45" s="623" t="s">
        <v>380</v>
      </c>
      <c r="D45" s="443"/>
      <c r="E45" s="443"/>
      <c r="F45" s="443"/>
      <c r="G45" s="443"/>
      <c r="H45" s="443"/>
      <c r="I45" s="443"/>
      <c r="J45" s="443"/>
      <c r="K45" s="443"/>
      <c r="L45" s="443"/>
      <c r="M45" s="443" t="s">
        <v>392</v>
      </c>
      <c r="N45" s="443"/>
      <c r="O45" s="443">
        <v>30000002129</v>
      </c>
      <c r="P45" s="632">
        <f>+BIODIESEL!$D$9</f>
        <v>431.45</v>
      </c>
      <c r="Q45" s="633" t="s">
        <v>373</v>
      </c>
      <c r="R45" s="633">
        <v>1</v>
      </c>
      <c r="S45" s="633" t="s">
        <v>374</v>
      </c>
      <c r="T45" s="626" t="s">
        <v>395</v>
      </c>
      <c r="U45" s="627" t="str">
        <f>+U8</f>
        <v>01.01.2025</v>
      </c>
      <c r="V45" s="627" t="str">
        <f t="shared" si="2"/>
        <v>31.01.2025</v>
      </c>
    </row>
  </sheetData>
  <autoFilter ref="A1:V45" xr:uid="{F0C82715-0163-49C2-AF9D-D85FE30CE2ED}"/>
  <conditionalFormatting sqref="A1:A45 B2:B45 C18:H30 J18:N30 P36:S43 T36:T45 C44:S45">
    <cfRule type="containsText" dxfId="12" priority="26" operator="containsText" text="Seleccione...">
      <formula>NOT(ISERROR(SEARCH("Seleccione...",A1)))</formula>
    </cfRule>
  </conditionalFormatting>
  <conditionalFormatting sqref="A2:A45">
    <cfRule type="cellIs" dxfId="11" priority="172" operator="equal">
      <formula>"ZPRE"</formula>
    </cfRule>
    <cfRule type="cellIs" dxfId="10" priority="173" operator="equal">
      <formula>"ZPRA"</formula>
    </cfRule>
    <cfRule type="cellIs" dxfId="9" priority="174" operator="equal">
      <formula>"ZPRB"</formula>
    </cfRule>
    <cfRule type="colorScale" priority="175">
      <colorScale>
        <cfvo type="min"/>
        <cfvo type="percentile" val="50"/>
        <cfvo type="max"/>
        <color rgb="FFF8696B"/>
        <color rgb="FFFCFCFF"/>
        <color rgb="FF5A8AC6"/>
      </colorScale>
    </cfRule>
  </conditionalFormatting>
  <conditionalFormatting sqref="B1:V1">
    <cfRule type="containsText" dxfId="8" priority="27" operator="containsText" text="Seleccione...">
      <formula>NOT(ISERROR(SEARCH("Seleccione...",B1)))</formula>
    </cfRule>
  </conditionalFormatting>
  <conditionalFormatting sqref="C31:N32">
    <cfRule type="containsText" dxfId="7" priority="21" operator="containsText" text="Seleccione...">
      <formula>NOT(ISERROR(SEARCH("Seleccione...",C31)))</formula>
    </cfRule>
  </conditionalFormatting>
  <conditionalFormatting sqref="C36:N36">
    <cfRule type="containsText" dxfId="6" priority="17" operator="containsText" text="Seleccione...">
      <formula>NOT(ISERROR(SEARCH("Seleccione...",C36)))</formula>
    </cfRule>
  </conditionalFormatting>
  <conditionalFormatting sqref="C42:N43">
    <cfRule type="containsText" dxfId="5" priority="13" operator="containsText" text="Seleccione...">
      <formula>NOT(ISERROR(SEARCH("Seleccione...",C42)))</formula>
    </cfRule>
  </conditionalFormatting>
  <conditionalFormatting sqref="C37:O39 C40:H41 J40:O41">
    <cfRule type="containsText" dxfId="4" priority="20" operator="containsText" text="Seleccione...">
      <formula>NOT(ISERROR(SEARCH("Seleccione...",C37)))</formula>
    </cfRule>
  </conditionalFormatting>
  <conditionalFormatting sqref="C33:T35">
    <cfRule type="containsText" dxfId="3" priority="24" operator="containsText" text="Seleccione...">
      <formula>NOT(ISERROR(SEARCH("Seleccione...",C33)))</formula>
    </cfRule>
  </conditionalFormatting>
  <conditionalFormatting sqref="C2:V17">
    <cfRule type="containsText" dxfId="2" priority="7" operator="containsText" text="Seleccione...">
      <formula>NOT(ISERROR(SEARCH("Seleccione...",C2)))</formula>
    </cfRule>
  </conditionalFormatting>
  <conditionalFormatting sqref="P18:T32">
    <cfRule type="containsText" dxfId="1" priority="23" operator="containsText" text="Seleccione...">
      <formula>NOT(ISERROR(SEARCH("Seleccione...",P18)))</formula>
    </cfRule>
  </conditionalFormatting>
  <conditionalFormatting sqref="U18:V45">
    <cfRule type="containsText" dxfId="0" priority="1" operator="containsText" text="Seleccione...">
      <formula>NOT(ISERROR(SEARCH("Seleccione...",U18)))</formula>
    </cfRule>
  </conditionalFormatting>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965"/>
  <sheetViews>
    <sheetView showGridLines="0" tabSelected="1" zoomScale="70" zoomScaleNormal="70" workbookViewId="0">
      <selection activeCell="A25" sqref="A25:I25"/>
    </sheetView>
  </sheetViews>
  <sheetFormatPr baseColWidth="10" defaultColWidth="11.28515625" defaultRowHeight="14.25" outlineLevelCol="1"/>
  <cols>
    <col min="1" max="1" width="54.7109375" style="5" customWidth="1"/>
    <col min="2" max="2" width="18.85546875" style="5" customWidth="1" outlineLevel="1"/>
    <col min="3" max="3" width="29.85546875" style="5" bestFit="1" customWidth="1"/>
    <col min="4" max="4" width="32.85546875" style="5" bestFit="1" customWidth="1"/>
    <col min="5" max="5" width="30.140625" style="5" bestFit="1" customWidth="1" outlineLevel="1"/>
    <col min="6" max="6" width="33.5703125" style="5" bestFit="1" customWidth="1" outlineLevel="1"/>
    <col min="7" max="7" width="31.140625" style="5" bestFit="1" customWidth="1"/>
    <col min="8" max="8" width="16.42578125" style="5" customWidth="1"/>
    <col min="9" max="9" width="14.7109375" style="5" customWidth="1"/>
    <col min="10" max="10" width="13.28515625" style="5" customWidth="1"/>
    <col min="11" max="11" width="20" style="5" customWidth="1"/>
    <col min="12" max="12" width="11.28515625" style="5"/>
    <col min="13" max="13" width="14.7109375" style="5" bestFit="1" customWidth="1"/>
    <col min="14" max="16384" width="11.28515625" style="5"/>
  </cols>
  <sheetData>
    <row r="1" spans="1:13" ht="15" thickBot="1">
      <c r="B1" s="1"/>
      <c r="C1" s="1">
        <v>7.2405999999999997</v>
      </c>
      <c r="D1" s="3"/>
      <c r="E1" s="4"/>
      <c r="F1" s="4"/>
      <c r="G1" s="2"/>
      <c r="H1" s="2"/>
    </row>
    <row r="2" spans="1:13" s="29" customFormat="1" ht="21.75" customHeight="1" thickTop="1" thickBot="1">
      <c r="A2" s="510" t="str">
        <f>CONCATENATE("ESTRUCTURAS DE PRECIOS DE COMBUSTIBLES LIQUIDOS VIGENTES A PARTIR DE ",TEXT($A$54, "dd MMM yyyy"),)</f>
        <v>ESTRUCTURAS DE PRECIOS DE COMBUSTIBLES LIQUIDOS VIGENTES A PARTIR DE 01.enero.2025</v>
      </c>
      <c r="B2" s="511"/>
      <c r="C2" s="511"/>
      <c r="D2" s="511"/>
      <c r="E2" s="511"/>
      <c r="F2" s="511"/>
      <c r="G2" s="511"/>
      <c r="H2" s="511"/>
      <c r="I2" s="512"/>
    </row>
    <row r="3" spans="1:13" s="29" customFormat="1" ht="21.75" customHeight="1" thickTop="1" thickBot="1">
      <c r="A3" s="513" t="s">
        <v>0</v>
      </c>
      <c r="B3" s="514"/>
      <c r="C3" s="514"/>
      <c r="D3" s="514"/>
      <c r="E3" s="514"/>
      <c r="F3" s="514"/>
      <c r="G3" s="514"/>
      <c r="H3" s="514"/>
      <c r="I3" s="515"/>
      <c r="K3" s="381"/>
      <c r="M3" s="405"/>
    </row>
    <row r="4" spans="1:13" s="26" customFormat="1" ht="63.6" customHeight="1" thickTop="1">
      <c r="A4" s="701" t="s">
        <v>1</v>
      </c>
      <c r="B4" s="703" t="s">
        <v>22</v>
      </c>
      <c r="C4" s="705" t="s">
        <v>439</v>
      </c>
      <c r="D4" s="706"/>
      <c r="E4" s="703" t="s">
        <v>268</v>
      </c>
      <c r="F4" s="707" t="s">
        <v>267</v>
      </c>
      <c r="G4" s="708"/>
      <c r="H4" s="709" t="s">
        <v>267</v>
      </c>
      <c r="I4" s="709"/>
      <c r="J4" s="380"/>
      <c r="K4" s="380"/>
      <c r="M4" s="404"/>
    </row>
    <row r="5" spans="1:13" s="26" customFormat="1" ht="42" customHeight="1">
      <c r="A5" s="701"/>
      <c r="B5" s="704"/>
      <c r="C5" s="34" t="s">
        <v>430</v>
      </c>
      <c r="D5" s="34" t="s">
        <v>431</v>
      </c>
      <c r="E5" s="704"/>
      <c r="F5" s="216" t="s">
        <v>271</v>
      </c>
      <c r="G5" s="216" t="s">
        <v>272</v>
      </c>
      <c r="H5" s="493" t="s">
        <v>278</v>
      </c>
      <c r="I5" s="216" t="s">
        <v>279</v>
      </c>
      <c r="J5" s="380"/>
      <c r="K5" s="381"/>
    </row>
    <row r="6" spans="1:13" s="26" customFormat="1" ht="23.85" customHeight="1" thickBot="1">
      <c r="A6" s="702"/>
      <c r="B6" s="110" t="str">
        <f>+A54</f>
        <v>01.enero.2025</v>
      </c>
      <c r="C6" s="110" t="str">
        <f>+B6</f>
        <v>01.enero.2025</v>
      </c>
      <c r="D6" s="111" t="str">
        <f>+A54</f>
        <v>01.enero.2025</v>
      </c>
      <c r="E6" s="110" t="str">
        <f>+D6</f>
        <v>01.enero.2025</v>
      </c>
      <c r="F6" s="217" t="str">
        <f>+E6</f>
        <v>01.enero.2025</v>
      </c>
      <c r="G6" s="217" t="str">
        <f>+F6</f>
        <v>01.enero.2025</v>
      </c>
      <c r="H6" s="494" t="str">
        <f>+E6</f>
        <v>01.enero.2025</v>
      </c>
      <c r="I6" s="217" t="str">
        <f>+H6</f>
        <v>01.enero.2025</v>
      </c>
      <c r="K6" s="381"/>
    </row>
    <row r="7" spans="1:13" ht="22.7" customHeight="1" thickTop="1">
      <c r="A7" s="516" t="s">
        <v>3</v>
      </c>
      <c r="B7" s="567">
        <v>10380.44</v>
      </c>
      <c r="C7" s="567">
        <v>11532</v>
      </c>
      <c r="D7" s="567">
        <v>11741</v>
      </c>
      <c r="E7" s="567">
        <v>5347.41</v>
      </c>
      <c r="F7" s="567">
        <v>18426</v>
      </c>
      <c r="G7" s="567">
        <v>18634.7</v>
      </c>
      <c r="H7" s="517" t="s">
        <v>283</v>
      </c>
      <c r="I7" s="518" t="s">
        <v>283</v>
      </c>
      <c r="J7" s="332"/>
      <c r="K7" s="415"/>
    </row>
    <row r="8" spans="1:13" ht="22.7" customHeight="1">
      <c r="A8" s="57" t="s">
        <v>41</v>
      </c>
      <c r="B8" s="528">
        <v>9.43</v>
      </c>
      <c r="C8" s="528">
        <v>9.43</v>
      </c>
      <c r="D8" s="528">
        <v>9.43</v>
      </c>
      <c r="E8" s="528">
        <v>9.43</v>
      </c>
      <c r="F8" s="528"/>
      <c r="G8" s="528"/>
      <c r="H8" s="528"/>
      <c r="I8" s="529"/>
      <c r="J8" s="332"/>
      <c r="K8" s="414"/>
    </row>
    <row r="9" spans="1:13" ht="22.7" customHeight="1">
      <c r="A9" s="57" t="s">
        <v>182</v>
      </c>
      <c r="B9" s="530" t="s">
        <v>10</v>
      </c>
      <c r="C9" s="530" t="s">
        <v>10</v>
      </c>
      <c r="D9" s="530" t="s">
        <v>10</v>
      </c>
      <c r="E9" s="530" t="s">
        <v>10</v>
      </c>
      <c r="F9" s="530" t="s">
        <v>10</v>
      </c>
      <c r="G9" s="530" t="s">
        <v>10</v>
      </c>
      <c r="H9" s="531" t="s">
        <v>10</v>
      </c>
      <c r="I9" s="532" t="s">
        <v>10</v>
      </c>
      <c r="K9" s="414"/>
    </row>
    <row r="10" spans="1:13" ht="21.75" customHeight="1">
      <c r="A10" s="57" t="s">
        <v>189</v>
      </c>
      <c r="B10" s="528">
        <f>71.51*0</f>
        <v>0</v>
      </c>
      <c r="C10" s="528">
        <f>B10</f>
        <v>0</v>
      </c>
      <c r="D10" s="528">
        <f>B10</f>
        <v>0</v>
      </c>
      <c r="E10" s="528">
        <f>B10</f>
        <v>0</v>
      </c>
      <c r="F10" s="528"/>
      <c r="G10" s="528"/>
      <c r="H10" s="519"/>
      <c r="I10" s="520"/>
      <c r="K10" s="413" t="s">
        <v>281</v>
      </c>
    </row>
    <row r="11" spans="1:13" ht="22.7" customHeight="1">
      <c r="A11" s="57" t="s">
        <v>329</v>
      </c>
      <c r="B11" s="528">
        <f>+'Resoluciones, leyes'!V33</f>
        <v>724.7</v>
      </c>
      <c r="C11" s="528">
        <f>+'Resoluciones, leyes'!$V$34</f>
        <v>1375.46</v>
      </c>
      <c r="D11" s="528">
        <f>+'Resoluciones, leyes'!$V$34</f>
        <v>1375.46</v>
      </c>
      <c r="E11" s="528">
        <f>+'Resoluciones, leyes'!V35</f>
        <v>693.65</v>
      </c>
      <c r="F11" s="530"/>
      <c r="G11" s="530"/>
      <c r="H11" s="533"/>
      <c r="I11" s="520"/>
      <c r="J11" s="331"/>
      <c r="K11" s="413" t="s">
        <v>281</v>
      </c>
    </row>
    <row r="12" spans="1:13" ht="22.7" customHeight="1">
      <c r="A12" s="57" t="s">
        <v>210</v>
      </c>
      <c r="B12" s="534" t="s">
        <v>245</v>
      </c>
      <c r="C12" s="534" t="s">
        <v>245</v>
      </c>
      <c r="D12" s="534" t="s">
        <v>245</v>
      </c>
      <c r="E12" s="534" t="s">
        <v>245</v>
      </c>
      <c r="F12" s="534" t="s">
        <v>245</v>
      </c>
      <c r="G12" s="534" t="s">
        <v>245</v>
      </c>
      <c r="H12" s="534" t="s">
        <v>401</v>
      </c>
      <c r="I12" s="535" t="s">
        <v>401</v>
      </c>
      <c r="K12" s="413"/>
    </row>
    <row r="13" spans="1:13" ht="22.7" customHeight="1">
      <c r="A13" s="57" t="s">
        <v>237</v>
      </c>
      <c r="B13" s="533">
        <f>+'Resoluciones, leyes'!$V$89</f>
        <v>186.37</v>
      </c>
      <c r="C13" s="533">
        <f>+'Resoluciones, leyes'!$V$89</f>
        <v>186.37</v>
      </c>
      <c r="D13" s="533">
        <f>+'Resoluciones, leyes'!$V$89</f>
        <v>186.37</v>
      </c>
      <c r="E13" s="533">
        <f>+'Resoluciones, leyes'!$V$91</f>
        <v>210.63</v>
      </c>
      <c r="F13" s="533"/>
      <c r="G13" s="519"/>
      <c r="H13" s="528"/>
      <c r="I13" s="520"/>
      <c r="K13" s="413" t="s">
        <v>281</v>
      </c>
    </row>
    <row r="14" spans="1:13" ht="22.7" customHeight="1">
      <c r="A14" s="57" t="s">
        <v>20</v>
      </c>
      <c r="B14" s="531" t="s">
        <v>11</v>
      </c>
      <c r="C14" s="531" t="s">
        <v>11</v>
      </c>
      <c r="D14" s="531" t="s">
        <v>11</v>
      </c>
      <c r="E14" s="531" t="s">
        <v>11</v>
      </c>
      <c r="F14" s="531"/>
      <c r="G14" s="531"/>
      <c r="H14" s="531"/>
      <c r="I14" s="532"/>
    </row>
    <row r="15" spans="1:13" ht="22.7" customHeight="1">
      <c r="A15" s="57" t="s">
        <v>173</v>
      </c>
      <c r="B15" s="531" t="s">
        <v>19</v>
      </c>
      <c r="C15" s="531"/>
      <c r="D15" s="531"/>
      <c r="E15" s="531" t="str">
        <f>+B15</f>
        <v>(***)</v>
      </c>
      <c r="F15" s="519"/>
      <c r="G15" s="519"/>
      <c r="H15" s="519"/>
      <c r="I15" s="520"/>
      <c r="J15" s="332"/>
    </row>
    <row r="16" spans="1:13" ht="22.7" customHeight="1">
      <c r="A16" s="57" t="s">
        <v>317</v>
      </c>
      <c r="B16" s="536" t="s">
        <v>319</v>
      </c>
      <c r="C16" s="536" t="s">
        <v>319</v>
      </c>
      <c r="D16" s="536" t="s">
        <v>319</v>
      </c>
      <c r="E16" s="536" t="s">
        <v>319</v>
      </c>
      <c r="F16" s="521" t="s">
        <v>2</v>
      </c>
      <c r="G16" s="521" t="s">
        <v>2</v>
      </c>
      <c r="H16" s="533"/>
      <c r="I16" s="522"/>
      <c r="J16" s="332"/>
    </row>
    <row r="17" spans="1:13" ht="22.7" customHeight="1">
      <c r="A17" s="57" t="s">
        <v>5</v>
      </c>
      <c r="B17" s="531" t="s">
        <v>11</v>
      </c>
      <c r="C17" s="531" t="s">
        <v>11</v>
      </c>
      <c r="D17" s="531" t="s">
        <v>11</v>
      </c>
      <c r="E17" s="531" t="s">
        <v>11</v>
      </c>
      <c r="F17" s="521" t="s">
        <v>2</v>
      </c>
      <c r="G17" s="521" t="s">
        <v>2</v>
      </c>
      <c r="H17" s="528"/>
      <c r="I17" s="522"/>
      <c r="J17" s="333"/>
      <c r="K17" s="334"/>
    </row>
    <row r="18" spans="1:13" ht="22.7" customHeight="1">
      <c r="A18" s="57" t="s">
        <v>174</v>
      </c>
      <c r="B18" s="531" t="s">
        <v>19</v>
      </c>
      <c r="C18" s="531"/>
      <c r="D18" s="531"/>
      <c r="E18" s="531" t="str">
        <f>+B18</f>
        <v>(***)</v>
      </c>
      <c r="F18" s="521" t="s">
        <v>2</v>
      </c>
      <c r="G18" s="521" t="s">
        <v>2</v>
      </c>
      <c r="H18" s="528"/>
      <c r="I18" s="522"/>
      <c r="K18" s="408"/>
    </row>
    <row r="19" spans="1:13" ht="22.7" customHeight="1">
      <c r="A19" s="57" t="s">
        <v>7</v>
      </c>
      <c r="B19" s="531" t="s">
        <v>175</v>
      </c>
      <c r="C19" s="531"/>
      <c r="D19" s="531"/>
      <c r="E19" s="531"/>
      <c r="F19" s="537" t="s">
        <v>2</v>
      </c>
      <c r="G19" s="537" t="s">
        <v>2</v>
      </c>
      <c r="H19" s="531"/>
      <c r="I19" s="538"/>
      <c r="J19" s="335"/>
    </row>
    <row r="20" spans="1:13" ht="22.7" customHeight="1">
      <c r="A20" s="57" t="s">
        <v>179</v>
      </c>
      <c r="B20" s="531" t="s">
        <v>19</v>
      </c>
      <c r="C20" s="533"/>
      <c r="D20" s="533"/>
      <c r="E20" s="531" t="str">
        <f>+B20</f>
        <v>(***)</v>
      </c>
      <c r="F20" s="521" t="s">
        <v>2</v>
      </c>
      <c r="G20" s="521" t="s">
        <v>2</v>
      </c>
      <c r="H20" s="519"/>
      <c r="I20" s="522"/>
      <c r="J20" s="336"/>
      <c r="K20" s="408"/>
      <c r="M20" s="412"/>
    </row>
    <row r="21" spans="1:13" ht="22.7" customHeight="1" thickBot="1">
      <c r="A21" s="539" t="s">
        <v>9</v>
      </c>
      <c r="B21" s="540" t="s">
        <v>11</v>
      </c>
      <c r="C21" s="540" t="s">
        <v>11</v>
      </c>
      <c r="D21" s="540" t="s">
        <v>11</v>
      </c>
      <c r="E21" s="540" t="s">
        <v>11</v>
      </c>
      <c r="F21" s="540" t="s">
        <v>2</v>
      </c>
      <c r="G21" s="540" t="s">
        <v>2</v>
      </c>
      <c r="H21" s="540"/>
      <c r="I21" s="541"/>
      <c r="J21" s="332"/>
      <c r="K21" s="408"/>
      <c r="M21" s="412"/>
    </row>
    <row r="22" spans="1:13" ht="21.75" customHeight="1" thickTop="1">
      <c r="A22" s="698"/>
      <c r="B22" s="699"/>
      <c r="C22" s="699"/>
      <c r="D22" s="699"/>
      <c r="E22" s="699"/>
      <c r="F22" s="699"/>
      <c r="G22" s="699"/>
      <c r="H22" s="343"/>
      <c r="K22" s="408"/>
    </row>
    <row r="23" spans="1:13" s="14" customFormat="1" ht="36" customHeight="1">
      <c r="A23" s="700" t="s">
        <v>324</v>
      </c>
      <c r="B23" s="700"/>
      <c r="C23" s="700"/>
      <c r="D23" s="700"/>
      <c r="E23" s="700"/>
      <c r="F23" s="700"/>
      <c r="G23" s="700"/>
      <c r="H23" s="700"/>
      <c r="I23" s="700"/>
    </row>
    <row r="24" spans="1:13" s="14" customFormat="1" ht="11.25" customHeight="1">
      <c r="A24" s="695"/>
      <c r="B24" s="695"/>
      <c r="C24" s="695"/>
      <c r="D24" s="695"/>
      <c r="E24" s="695"/>
      <c r="F24" s="695"/>
      <c r="G24" s="695"/>
      <c r="H24" s="695"/>
      <c r="I24" s="695"/>
    </row>
    <row r="25" spans="1:13" s="14" customFormat="1" ht="31.7" customHeight="1">
      <c r="A25" s="700" t="s">
        <v>170</v>
      </c>
      <c r="B25" s="700"/>
      <c r="C25" s="700"/>
      <c r="D25" s="700"/>
      <c r="E25" s="700"/>
      <c r="F25" s="700"/>
      <c r="G25" s="700"/>
      <c r="H25" s="700"/>
      <c r="I25" s="700"/>
    </row>
    <row r="26" spans="1:13" s="14" customFormat="1" ht="7.5" customHeight="1">
      <c r="A26" s="695"/>
      <c r="B26" s="695"/>
      <c r="C26" s="695"/>
      <c r="D26" s="695"/>
      <c r="E26" s="695"/>
      <c r="F26" s="695"/>
      <c r="G26" s="695"/>
      <c r="H26" s="695"/>
      <c r="I26" s="695"/>
    </row>
    <row r="27" spans="1:13" ht="43.5" customHeight="1">
      <c r="A27" s="700" t="s">
        <v>330</v>
      </c>
      <c r="B27" s="700"/>
      <c r="C27" s="700"/>
      <c r="D27" s="700"/>
      <c r="E27" s="700"/>
      <c r="F27" s="700"/>
      <c r="G27" s="700"/>
      <c r="H27" s="700"/>
      <c r="I27" s="700"/>
    </row>
    <row r="28" spans="1:13" s="7" customFormat="1" ht="8.4499999999999993" customHeight="1">
      <c r="A28" s="695"/>
      <c r="B28" s="695"/>
      <c r="C28" s="695"/>
      <c r="D28" s="695"/>
      <c r="E28" s="695"/>
      <c r="F28" s="695"/>
      <c r="G28" s="695"/>
      <c r="H28" s="695"/>
      <c r="I28" s="695"/>
    </row>
    <row r="29" spans="1:13" ht="18" customHeight="1">
      <c r="A29" s="696" t="s">
        <v>171</v>
      </c>
      <c r="B29" s="696"/>
      <c r="C29" s="696"/>
      <c r="D29" s="696"/>
      <c r="E29" s="696"/>
      <c r="F29" s="696"/>
      <c r="G29" s="696"/>
      <c r="H29" s="696"/>
      <c r="I29" s="696"/>
    </row>
    <row r="30" spans="1:13" ht="7.5" customHeight="1">
      <c r="A30" s="694"/>
      <c r="B30" s="694"/>
      <c r="C30" s="694"/>
      <c r="D30" s="694"/>
      <c r="E30" s="694"/>
      <c r="F30" s="694"/>
      <c r="G30" s="694"/>
      <c r="H30" s="694"/>
      <c r="I30" s="694"/>
    </row>
    <row r="31" spans="1:13" s="8" customFormat="1" ht="18" customHeight="1">
      <c r="A31" s="696" t="s">
        <v>226</v>
      </c>
      <c r="B31" s="696"/>
      <c r="C31" s="696"/>
      <c r="D31" s="696"/>
      <c r="E31" s="696"/>
      <c r="F31" s="696"/>
      <c r="G31" s="696"/>
      <c r="H31" s="696"/>
      <c r="I31" s="696"/>
    </row>
    <row r="32" spans="1:13" s="8" customFormat="1">
      <c r="A32" s="693" t="s">
        <v>274</v>
      </c>
      <c r="B32" s="693"/>
      <c r="C32" s="693"/>
      <c r="D32" s="693"/>
      <c r="E32" s="693"/>
      <c r="F32" s="693"/>
      <c r="G32" s="693"/>
      <c r="H32" s="693"/>
      <c r="I32" s="693"/>
    </row>
    <row r="33" spans="1:9" s="8" customFormat="1">
      <c r="A33" s="693" t="s">
        <v>273</v>
      </c>
      <c r="B33" s="693"/>
      <c r="C33" s="693"/>
      <c r="D33" s="693"/>
      <c r="E33" s="693"/>
      <c r="F33" s="693"/>
      <c r="G33" s="693"/>
      <c r="H33" s="693"/>
      <c r="I33" s="693"/>
    </row>
    <row r="34" spans="1:9" s="8" customFormat="1">
      <c r="A34" s="693" t="s">
        <v>269</v>
      </c>
      <c r="B34" s="693"/>
      <c r="C34" s="693"/>
      <c r="D34" s="693"/>
      <c r="E34" s="693"/>
      <c r="F34" s="693"/>
      <c r="G34" s="693"/>
      <c r="H34" s="693"/>
      <c r="I34" s="693"/>
    </row>
    <row r="35" spans="1:9" s="8" customFormat="1">
      <c r="A35" s="693" t="s">
        <v>270</v>
      </c>
      <c r="B35" s="693"/>
      <c r="C35" s="693"/>
      <c r="D35" s="693"/>
      <c r="E35" s="693"/>
      <c r="F35" s="693"/>
      <c r="G35" s="693"/>
      <c r="H35" s="693"/>
      <c r="I35" s="693"/>
    </row>
    <row r="36" spans="1:9" s="8" customFormat="1">
      <c r="A36" s="214" t="s">
        <v>342</v>
      </c>
      <c r="B36" s="214"/>
      <c r="C36" s="214"/>
      <c r="D36" s="214"/>
      <c r="E36" s="214"/>
      <c r="F36" s="214"/>
      <c r="G36" s="214"/>
      <c r="H36" s="214"/>
      <c r="I36" s="214"/>
    </row>
    <row r="37" spans="1:9" s="8" customFormat="1">
      <c r="A37" s="214" t="s">
        <v>343</v>
      </c>
      <c r="B37" s="214"/>
      <c r="C37" s="214"/>
      <c r="D37" s="214"/>
      <c r="E37" s="214"/>
      <c r="F37" s="214"/>
      <c r="G37" s="214"/>
      <c r="H37" s="214"/>
      <c r="I37" s="214"/>
    </row>
    <row r="38" spans="1:9" s="8" customFormat="1">
      <c r="A38" s="693"/>
      <c r="B38" s="693"/>
      <c r="C38" s="693"/>
      <c r="D38" s="693"/>
      <c r="E38" s="693"/>
      <c r="F38" s="693"/>
      <c r="G38" s="693"/>
      <c r="H38" s="693"/>
      <c r="I38" s="693"/>
    </row>
    <row r="39" spans="1:9" s="8" customFormat="1" ht="14.25" customHeight="1">
      <c r="A39" s="696" t="s">
        <v>265</v>
      </c>
      <c r="B39" s="696"/>
      <c r="C39" s="696"/>
      <c r="D39" s="696"/>
      <c r="E39" s="696"/>
      <c r="F39" s="696"/>
      <c r="G39" s="696"/>
      <c r="H39" s="696"/>
      <c r="I39" s="696"/>
    </row>
    <row r="40" spans="1:9" s="8" customFormat="1" ht="14.25" customHeight="1">
      <c r="A40" s="696"/>
      <c r="B40" s="696"/>
      <c r="C40" s="696"/>
      <c r="D40" s="696"/>
      <c r="E40" s="696"/>
      <c r="F40" s="696"/>
      <c r="G40" s="696"/>
      <c r="H40" s="696"/>
      <c r="I40" s="696"/>
    </row>
    <row r="41" spans="1:9" s="8" customFormat="1" ht="14.25" customHeight="1">
      <c r="A41" s="696"/>
      <c r="B41" s="696"/>
      <c r="C41" s="696"/>
      <c r="D41" s="696"/>
      <c r="E41" s="696"/>
      <c r="F41" s="696"/>
      <c r="G41" s="696"/>
      <c r="H41" s="696"/>
      <c r="I41" s="696"/>
    </row>
    <row r="42" spans="1:9" s="8" customFormat="1" ht="14.25" customHeight="1">
      <c r="A42" s="696"/>
      <c r="B42" s="696"/>
      <c r="C42" s="696"/>
      <c r="D42" s="696"/>
      <c r="E42" s="696"/>
      <c r="F42" s="696"/>
      <c r="G42" s="696"/>
      <c r="H42" s="696"/>
      <c r="I42" s="696"/>
    </row>
    <row r="43" spans="1:9" s="8" customFormat="1" ht="28.9" customHeight="1">
      <c r="A43" s="696" t="s">
        <v>266</v>
      </c>
      <c r="B43" s="696"/>
      <c r="C43" s="696"/>
      <c r="D43" s="696"/>
      <c r="E43" s="696"/>
      <c r="F43" s="696"/>
      <c r="G43" s="696"/>
      <c r="H43" s="696"/>
      <c r="I43" s="696"/>
    </row>
    <row r="44" spans="1:9" s="8" customFormat="1" ht="47.85" customHeight="1">
      <c r="A44" s="696" t="s">
        <v>331</v>
      </c>
      <c r="B44" s="696"/>
      <c r="C44" s="696"/>
      <c r="D44" s="696"/>
      <c r="E44" s="696"/>
      <c r="F44" s="696"/>
      <c r="G44" s="696"/>
      <c r="H44" s="696"/>
      <c r="I44" s="696"/>
    </row>
    <row r="45" spans="1:9" s="8" customFormat="1" ht="13.15" customHeight="1">
      <c r="A45" s="696"/>
      <c r="B45" s="696"/>
      <c r="C45" s="696"/>
      <c r="D45" s="696"/>
      <c r="E45" s="696"/>
      <c r="F45" s="696"/>
      <c r="G45" s="696"/>
      <c r="H45" s="428"/>
      <c r="I45" s="428"/>
    </row>
    <row r="46" spans="1:9" s="8" customFormat="1" ht="109.9" customHeight="1">
      <c r="A46" s="697" t="s">
        <v>334</v>
      </c>
      <c r="B46" s="697"/>
      <c r="C46" s="697"/>
      <c r="D46" s="697"/>
      <c r="E46" s="697"/>
      <c r="F46" s="697"/>
      <c r="G46" s="697"/>
      <c r="H46" s="697"/>
      <c r="I46" s="697"/>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row r="53" spans="1:8">
      <c r="A53" s="607">
        <v>45658</v>
      </c>
    </row>
    <row r="54" spans="1:8" ht="15">
      <c r="A54" s="608" t="str">
        <f>+TEXT(A53,"DD.MMMMMMMMMMM.YYYY")</f>
        <v>01.enero.2025</v>
      </c>
      <c r="B54" s="609" t="s">
        <v>429</v>
      </c>
    </row>
    <row r="55" spans="1:8" ht="15">
      <c r="A55" s="456"/>
    </row>
    <row r="56" spans="1:8" ht="15">
      <c r="A56" s="456"/>
    </row>
    <row r="57" spans="1:8" ht="15">
      <c r="A57" s="456"/>
    </row>
    <row r="953" spans="1:1">
      <c r="A953" s="577"/>
    </row>
    <row r="954" spans="1:1">
      <c r="A954" s="577"/>
    </row>
    <row r="955" spans="1:1">
      <c r="A955" s="577"/>
    </row>
    <row r="956" spans="1:1">
      <c r="A956" s="577"/>
    </row>
    <row r="957" spans="1:1">
      <c r="A957" s="577"/>
    </row>
    <row r="958" spans="1:1">
      <c r="A958" s="577"/>
    </row>
    <row r="959" spans="1:1">
      <c r="A959" s="577"/>
    </row>
    <row r="960" spans="1:1">
      <c r="A960" s="577"/>
    </row>
    <row r="961" spans="1:1">
      <c r="A961" s="577"/>
    </row>
    <row r="962" spans="1:1">
      <c r="A962" s="577"/>
    </row>
    <row r="963" spans="1:1">
      <c r="A963" s="577"/>
    </row>
    <row r="964" spans="1:1">
      <c r="A964" s="577"/>
    </row>
    <row r="965" spans="1:1">
      <c r="A965" s="577"/>
    </row>
  </sheetData>
  <sheetProtection algorithmName="SHA-512" hashValue="rzx1oM5RG+uMxJUeuS0NImqRl2xMKC0pW3txG8CNOmKPufSQZKleClUR4KTZ7qhJ0K+EZF+VICqUnvHoEfxmNw==" saltValue="7G4DrYhdrrvS6lpeasXYYQ==" spinCount="100000" sheet="1" objects="1" scenarios="1"/>
  <mergeCells count="26">
    <mergeCell ref="A22:G22"/>
    <mergeCell ref="A23:I23"/>
    <mergeCell ref="A25:I25"/>
    <mergeCell ref="A27:I27"/>
    <mergeCell ref="A4:A6"/>
    <mergeCell ref="B4:B5"/>
    <mergeCell ref="E4:E5"/>
    <mergeCell ref="C4:D4"/>
    <mergeCell ref="F4:G4"/>
    <mergeCell ref="H4:I4"/>
    <mergeCell ref="A35:I35"/>
    <mergeCell ref="A39:I42"/>
    <mergeCell ref="A38:I38"/>
    <mergeCell ref="A43:I43"/>
    <mergeCell ref="A46:I46"/>
    <mergeCell ref="A44:I44"/>
    <mergeCell ref="A45:G45"/>
    <mergeCell ref="A34:I34"/>
    <mergeCell ref="A30:I30"/>
    <mergeCell ref="A28:I28"/>
    <mergeCell ref="A26:I26"/>
    <mergeCell ref="A24:I24"/>
    <mergeCell ref="A33:I33"/>
    <mergeCell ref="A31:I31"/>
    <mergeCell ref="A32:I32"/>
    <mergeCell ref="A29:I29"/>
  </mergeCells>
  <phoneticPr fontId="14" type="noConversion"/>
  <conditionalFormatting sqref="A54:B54">
    <cfRule type="containsText" dxfId="81" priority="1" operator="containsText" text="Seleccione...">
      <formula>NOT(ISERROR(SEARCH("Seleccione...",A54)))</formula>
    </cfRule>
  </conditionalFormatting>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AU40"/>
  <sheetViews>
    <sheetView zoomScale="70" zoomScaleNormal="70" workbookViewId="0">
      <selection activeCell="B14" sqref="B14"/>
    </sheetView>
  </sheetViews>
  <sheetFormatPr baseColWidth="10" defaultColWidth="9.85546875" defaultRowHeight="14.25"/>
  <cols>
    <col min="1" max="1" width="60.7109375" style="2" customWidth="1"/>
    <col min="2" max="3" width="24.28515625" style="2" customWidth="1"/>
    <col min="4" max="16384" width="9.85546875" style="6"/>
  </cols>
  <sheetData>
    <row r="1" spans="1:47" s="5" customFormat="1" ht="15" customHeight="1" thickBot="1">
      <c r="A1" s="15"/>
      <c r="B1" s="15"/>
      <c r="C1" s="1"/>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row>
    <row r="2" spans="1:47" s="29" customFormat="1" ht="39.950000000000003" customHeight="1" thickTop="1">
      <c r="A2" s="713" t="str">
        <f>CONCATENATE("ESTRUCTURAS DE PRECIOS PARA GASOLINA MOTOR CORRIENTE OXIGENADA VIGENTES A PARTIR DE ",TEXT('COMBUSTIBLES '!$A$54,"DD MMM YYY"))</f>
        <v>ESTRUCTURAS DE PRECIOS PARA GASOLINA MOTOR CORRIENTE OXIGENADA VIGENTES A PARTIR DE 01.enero.2025</v>
      </c>
      <c r="B2" s="714"/>
      <c r="C2" s="715"/>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row>
    <row r="3" spans="1:47" s="29" customFormat="1" ht="27.6" customHeight="1">
      <c r="A3" s="716" t="s">
        <v>0</v>
      </c>
      <c r="B3" s="717"/>
      <c r="C3" s="718"/>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row>
    <row r="4" spans="1:47" s="26" customFormat="1" ht="36.6" customHeight="1">
      <c r="A4" s="720" t="s">
        <v>1</v>
      </c>
      <c r="B4" s="719" t="s">
        <v>24</v>
      </c>
      <c r="C4" s="721" t="s">
        <v>253</v>
      </c>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row>
    <row r="5" spans="1:47" s="26" customFormat="1" ht="12.6" customHeight="1">
      <c r="A5" s="701"/>
      <c r="B5" s="704"/>
      <c r="C5" s="722"/>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row>
    <row r="6" spans="1:47" s="26" customFormat="1" ht="25.5" customHeight="1" thickBot="1">
      <c r="A6" s="702"/>
      <c r="B6" s="112" t="str">
        <f>+'COMBUSTIBLES '!B6</f>
        <v>01.enero.2025</v>
      </c>
      <c r="C6" s="497" t="str">
        <f>'COMBUSTIBLES '!B6</f>
        <v>01.enero.2025</v>
      </c>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row>
    <row r="7" spans="1:47" s="5" customFormat="1" ht="31.7" customHeight="1" thickTop="1">
      <c r="A7" s="41" t="s">
        <v>3</v>
      </c>
      <c r="B7" s="568">
        <v>15994</v>
      </c>
      <c r="C7" s="496">
        <f>+'COMBUSTIBLES '!B7</f>
        <v>10380.44</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1:47" s="5" customFormat="1" ht="31.7" customHeight="1">
      <c r="A8" s="35" t="s">
        <v>148</v>
      </c>
      <c r="B8" s="107"/>
      <c r="C8" s="44"/>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47" s="5" customFormat="1" ht="31.7" customHeight="1">
      <c r="A9" s="35" t="s">
        <v>147</v>
      </c>
      <c r="B9" s="107"/>
      <c r="C9" s="44"/>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1:47" s="5" customFormat="1" ht="31.7" customHeight="1">
      <c r="A10" s="35" t="s">
        <v>38</v>
      </c>
      <c r="B10" s="107"/>
      <c r="C10" s="44"/>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47" s="5" customFormat="1" ht="31.7" customHeight="1">
      <c r="A11" s="35" t="str">
        <f>+'COMBUSTIBLES '!A11</f>
        <v>Impuesto Nacional a la Gasolina y al ACPM</v>
      </c>
      <c r="B11" s="107"/>
      <c r="C11" s="44">
        <f>+'Resoluciones, leyes'!$V$33</f>
        <v>724.7</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1:47" s="5" customFormat="1" ht="31.7" customHeight="1">
      <c r="A12" s="35" t="str">
        <f>+'COMBUSTIBLES '!A12</f>
        <v>Impuesto sobre las Ventas</v>
      </c>
      <c r="B12" s="107"/>
      <c r="C12" s="495" t="str">
        <f>+'COMBUSTIBLES '!C12</f>
        <v>(3)</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1:47" s="5" customFormat="1" ht="31.7" customHeight="1">
      <c r="A13" s="35" t="str">
        <f>+'COMBUSTIBLES '!A13</f>
        <v>Impuesto al carbono</v>
      </c>
      <c r="B13" s="107"/>
      <c r="C13" s="44">
        <f>+'Resoluciones, leyes'!$V$89</f>
        <v>186.37</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47" s="5" customFormat="1" ht="31.7" customHeight="1">
      <c r="A14" s="35" t="s">
        <v>41</v>
      </c>
      <c r="B14" s="107"/>
      <c r="C14" s="44">
        <f>+'Resoluciones, leyes'!$V$153</f>
        <v>9.43</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47" s="5" customFormat="1" ht="31.7" customHeight="1">
      <c r="A15" s="35" t="s">
        <v>149</v>
      </c>
      <c r="B15" s="107"/>
      <c r="C15" s="44"/>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s="5" customFormat="1" ht="31.7" customHeight="1">
      <c r="A16" s="35" t="s">
        <v>150</v>
      </c>
      <c r="B16" s="107"/>
      <c r="C16" s="498"/>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s="5" customFormat="1" ht="31.7" hidden="1" customHeight="1">
      <c r="A17" s="35" t="s">
        <v>172</v>
      </c>
      <c r="B17" s="107"/>
      <c r="C17" s="44">
        <f>'COMBUSTIBLES '!B10</f>
        <v>0</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s="5" customFormat="1" ht="31.7" customHeight="1">
      <c r="A18" s="35" t="s">
        <v>39</v>
      </c>
      <c r="B18" s="107"/>
      <c r="C18" s="44" t="s">
        <v>19</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s="5" customFormat="1" ht="31.7" customHeight="1">
      <c r="A19" s="35" t="s">
        <v>317</v>
      </c>
      <c r="B19" s="107"/>
      <c r="C19" s="499" t="s">
        <v>319</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s="5" customFormat="1" ht="31.7" customHeight="1">
      <c r="A20" s="35" t="s">
        <v>36</v>
      </c>
      <c r="B20" s="107"/>
      <c r="C20" s="44" t="s">
        <v>138</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s="5" customFormat="1" ht="31.7" customHeight="1">
      <c r="A21" s="35" t="s">
        <v>45</v>
      </c>
      <c r="B21" s="107"/>
      <c r="C21" s="44" t="s">
        <v>138</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s="5" customFormat="1" ht="31.7" customHeight="1">
      <c r="A22" s="35" t="s">
        <v>37</v>
      </c>
      <c r="B22" s="107"/>
      <c r="C22" s="40" t="s">
        <v>138</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s="5" customFormat="1" ht="31.7" customHeight="1">
      <c r="A23" s="35" t="s">
        <v>43</v>
      </c>
      <c r="B23" s="107"/>
      <c r="C23" s="44" t="s">
        <v>138</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s="5" customFormat="1" ht="31.7" customHeight="1">
      <c r="A24" s="35" t="s">
        <v>179</v>
      </c>
      <c r="B24" s="107"/>
      <c r="C24" s="44" t="s">
        <v>138</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s="5" customFormat="1" ht="31.7" customHeight="1" thickBot="1">
      <c r="A25" s="39" t="s">
        <v>44</v>
      </c>
      <c r="B25" s="108"/>
      <c r="C25" s="46" t="s">
        <v>138</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s="5" customFormat="1" ht="14.25" customHeight="1" thickTop="1">
      <c r="A26" s="6"/>
      <c r="B26" s="6"/>
      <c r="C26" s="10"/>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s="215" customFormat="1" ht="51" customHeight="1">
      <c r="A27" s="710" t="s">
        <v>339</v>
      </c>
      <c r="B27" s="710"/>
      <c r="C27" s="710"/>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row>
    <row r="28" spans="1:47" s="219" customFormat="1" ht="74.25" customHeight="1">
      <c r="A28" s="710" t="s">
        <v>338</v>
      </c>
      <c r="B28" s="710"/>
      <c r="C28" s="710"/>
    </row>
    <row r="29" spans="1:47" s="219" customFormat="1" ht="40.15" customHeight="1">
      <c r="A29" s="710" t="s">
        <v>176</v>
      </c>
      <c r="B29" s="710"/>
      <c r="C29" s="710"/>
    </row>
    <row r="30" spans="1:47" s="219" customFormat="1" ht="12.75">
      <c r="A30" s="401"/>
      <c r="B30" s="401"/>
      <c r="C30" s="402"/>
    </row>
    <row r="31" spans="1:47" s="251" customFormat="1" ht="51" customHeight="1">
      <c r="A31" s="711" t="s">
        <v>177</v>
      </c>
      <c r="B31" s="711"/>
      <c r="C31" s="711"/>
    </row>
    <row r="32" spans="1:47" s="219" customFormat="1" ht="12.75">
      <c r="A32" s="712" t="s">
        <v>178</v>
      </c>
      <c r="B32" s="712"/>
      <c r="C32" s="712"/>
    </row>
    <row r="33" spans="1:3" s="219" customFormat="1" ht="17.649999999999999" customHeight="1">
      <c r="A33" s="344"/>
      <c r="B33" s="344"/>
      <c r="C33" s="344"/>
    </row>
    <row r="34" spans="1:3" s="219" customFormat="1" ht="12.75" customHeight="1">
      <c r="A34" s="711" t="s">
        <v>254</v>
      </c>
      <c r="B34" s="711"/>
      <c r="C34" s="711"/>
    </row>
    <row r="35" spans="1:3" s="219" customFormat="1" ht="12.75">
      <c r="A35" s="711"/>
      <c r="B35" s="711"/>
      <c r="C35" s="711"/>
    </row>
    <row r="36" spans="1:3">
      <c r="A36" s="711"/>
      <c r="B36" s="711"/>
      <c r="C36" s="711"/>
    </row>
    <row r="37" spans="1:3">
      <c r="A37" s="711"/>
      <c r="B37" s="711"/>
      <c r="C37" s="711"/>
    </row>
    <row r="38" spans="1:3" ht="38.450000000000003" customHeight="1">
      <c r="A38" s="693" t="s">
        <v>320</v>
      </c>
      <c r="B38" s="693"/>
      <c r="C38" s="693"/>
    </row>
    <row r="39" spans="1:3" ht="15.6" customHeight="1">
      <c r="A39" s="696"/>
      <c r="B39" s="696"/>
      <c r="C39" s="696"/>
    </row>
    <row r="40" spans="1:3" ht="120.6" customHeight="1">
      <c r="A40" s="697" t="s">
        <v>334</v>
      </c>
      <c r="B40" s="697"/>
      <c r="C40" s="697"/>
    </row>
  </sheetData>
  <sheetProtection algorithmName="SHA-512" hashValue="u1oXa/8QDUjtLHLYdutDucaE+2Aq2HON3sBKFpZ+FJN613p5w2lxweho01HJJlDldjDsZTzWBSrYR7H14DNF2A==" saltValue="xEr7duzcwiJD69DaIvnJ7g==" spinCount="100000" sheet="1" objects="1" scenarios="1"/>
  <mergeCells count="14">
    <mergeCell ref="A27:C27"/>
    <mergeCell ref="A28:C28"/>
    <mergeCell ref="A2:C2"/>
    <mergeCell ref="A3:C3"/>
    <mergeCell ref="B4:B5"/>
    <mergeCell ref="A4:A6"/>
    <mergeCell ref="C4:C5"/>
    <mergeCell ref="A29:C29"/>
    <mergeCell ref="A31:C31"/>
    <mergeCell ref="A34:C37"/>
    <mergeCell ref="A38:C38"/>
    <mergeCell ref="A40:C40"/>
    <mergeCell ref="A32:C32"/>
    <mergeCell ref="A39:C39"/>
  </mergeCells>
  <phoneticPr fontId="14"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I36"/>
  <sheetViews>
    <sheetView showGridLines="0" topLeftCell="A4" zoomScaleNormal="100" workbookViewId="0">
      <selection activeCell="D9" sqref="D9"/>
    </sheetView>
  </sheetViews>
  <sheetFormatPr baseColWidth="10" defaultRowHeight="12.75"/>
  <cols>
    <col min="1" max="1" width="53.28515625" customWidth="1"/>
    <col min="2" max="2" width="20.85546875" customWidth="1"/>
    <col min="3" max="3" width="25.28515625" customWidth="1"/>
    <col min="4" max="4" width="26" customWidth="1"/>
    <col min="5" max="5" width="18" customWidth="1"/>
    <col min="6" max="6" width="0" hidden="1" customWidth="1"/>
  </cols>
  <sheetData>
    <row r="1" spans="1:9" ht="13.5" thickBot="1"/>
    <row r="2" spans="1:9" ht="54.75" customHeight="1" thickTop="1">
      <c r="A2" s="723" t="str">
        <f>CONCATENATE("ESTRUCTURAS DE PRECIOS PARA GASOLINA EXTRA OXIGENADA VIGENTES A PARTIR DE ",TEXT('COMBUSTIBLES '!$A$54,"DD MMM YYYY"))</f>
        <v>ESTRUCTURAS DE PRECIOS PARA GASOLINA EXTRA OXIGENADA VIGENTES A PARTIR DE 01.enero.2025</v>
      </c>
      <c r="B2" s="724"/>
      <c r="C2" s="724"/>
      <c r="D2" s="725"/>
    </row>
    <row r="3" spans="1:9" ht="16.5">
      <c r="A3" s="726" t="s">
        <v>0</v>
      </c>
      <c r="B3" s="727"/>
      <c r="C3" s="727"/>
      <c r="D3" s="728"/>
    </row>
    <row r="4" spans="1:9" ht="37.9" customHeight="1">
      <c r="A4" s="720" t="s">
        <v>1</v>
      </c>
      <c r="B4" s="719" t="s">
        <v>24</v>
      </c>
      <c r="C4" s="719" t="s">
        <v>432</v>
      </c>
      <c r="D4" s="721" t="s">
        <v>433</v>
      </c>
      <c r="F4" s="292"/>
    </row>
    <row r="5" spans="1:9" ht="34.15" customHeight="1">
      <c r="A5" s="701"/>
      <c r="B5" s="704"/>
      <c r="C5" s="704"/>
      <c r="D5" s="722"/>
      <c r="E5" s="25"/>
    </row>
    <row r="6" spans="1:9" ht="30.2" customHeight="1" thickBot="1">
      <c r="A6" s="702"/>
      <c r="B6" s="42" t="str">
        <f>+'GASOLINA CORRIENTE '!B6</f>
        <v>01.enero.2025</v>
      </c>
      <c r="C6" s="42" t="str">
        <f>+B6</f>
        <v>01.enero.2025</v>
      </c>
      <c r="D6" s="43" t="str">
        <f>+B6</f>
        <v>01.enero.2025</v>
      </c>
      <c r="F6" s="418"/>
    </row>
    <row r="7" spans="1:9" ht="23.45" customHeight="1" thickTop="1">
      <c r="A7" s="41" t="s">
        <v>3</v>
      </c>
      <c r="B7" s="421">
        <f>+'GASOLINA CORRIENTE '!B7</f>
        <v>15994</v>
      </c>
      <c r="C7" s="437">
        <f>+'COMBUSTIBLES '!C7</f>
        <v>11532</v>
      </c>
      <c r="D7" s="500">
        <f>+'COMBUSTIBLES '!D7</f>
        <v>11741</v>
      </c>
      <c r="E7" s="403"/>
      <c r="F7" s="418" t="e">
        <f>+'GASOLINA CORRIENTE '!#REF!</f>
        <v>#REF!</v>
      </c>
      <c r="I7" s="292"/>
    </row>
    <row r="8" spans="1:9" ht="23.45" customHeight="1">
      <c r="A8" s="35" t="s">
        <v>23</v>
      </c>
      <c r="B8" s="36"/>
      <c r="C8" s="36">
        <f>+'COMBUSTIBLES '!C8</f>
        <v>9.43</v>
      </c>
      <c r="D8" s="40">
        <f>+'COMBUSTIBLES '!E8</f>
        <v>9.43</v>
      </c>
      <c r="F8" s="292"/>
    </row>
    <row r="9" spans="1:9" ht="23.45" customHeight="1">
      <c r="A9" s="35" t="s">
        <v>182</v>
      </c>
      <c r="B9" s="38"/>
      <c r="C9" s="38" t="s">
        <v>10</v>
      </c>
      <c r="D9" s="44" t="s">
        <v>10</v>
      </c>
      <c r="E9" s="403"/>
    </row>
    <row r="10" spans="1:9" ht="23.85" hidden="1" customHeight="1">
      <c r="A10" s="35" t="s">
        <v>180</v>
      </c>
      <c r="B10" s="38"/>
      <c r="C10" s="38">
        <f>+'COMBUSTIBLES '!C10</f>
        <v>0</v>
      </c>
      <c r="D10" s="44">
        <f>+'COMBUSTIBLES '!D10</f>
        <v>0</v>
      </c>
    </row>
    <row r="11" spans="1:9" ht="23.45" customHeight="1">
      <c r="A11" s="35" t="s">
        <v>329</v>
      </c>
      <c r="B11" s="36"/>
      <c r="C11" s="36">
        <f>+'COMBUSTIBLES '!C11</f>
        <v>1375.46</v>
      </c>
      <c r="D11" s="40">
        <f>+'COMBUSTIBLES '!D11</f>
        <v>1375.46</v>
      </c>
      <c r="E11" s="292"/>
      <c r="F11" s="388"/>
      <c r="G11" s="388"/>
    </row>
    <row r="12" spans="1:9" ht="23.45" customHeight="1">
      <c r="A12" s="35" t="s">
        <v>210</v>
      </c>
      <c r="B12" s="36"/>
      <c r="C12" s="299" t="s">
        <v>245</v>
      </c>
      <c r="D12" s="495" t="s">
        <v>245</v>
      </c>
    </row>
    <row r="13" spans="1:9" ht="23.45" customHeight="1">
      <c r="A13" s="35" t="s">
        <v>237</v>
      </c>
      <c r="B13" s="36"/>
      <c r="C13" s="36">
        <f>+'Resoluciones, leyes'!$V$89</f>
        <v>186.37</v>
      </c>
      <c r="D13" s="40">
        <f>+'Resoluciones, leyes'!$V$89</f>
        <v>186.37</v>
      </c>
    </row>
    <row r="14" spans="1:9" ht="23.45" customHeight="1">
      <c r="A14" s="35" t="s">
        <v>204</v>
      </c>
      <c r="B14" s="38"/>
      <c r="C14" s="38" t="s">
        <v>11</v>
      </c>
      <c r="D14" s="44" t="s">
        <v>11</v>
      </c>
    </row>
    <row r="15" spans="1:9" ht="23.45" customHeight="1">
      <c r="A15" s="35" t="s">
        <v>4</v>
      </c>
      <c r="B15" s="36"/>
      <c r="C15" s="49"/>
      <c r="D15" s="218"/>
    </row>
    <row r="16" spans="1:9" ht="23.45" customHeight="1">
      <c r="A16" s="35" t="s">
        <v>317</v>
      </c>
      <c r="B16" s="36"/>
      <c r="C16" s="299" t="str">
        <f>+'COMBUSTIBLES '!C16</f>
        <v>(5)</v>
      </c>
      <c r="D16" s="495" t="str">
        <f>+'COMBUSTIBLES '!D16</f>
        <v>(5)</v>
      </c>
    </row>
    <row r="17" spans="1:7" ht="23.45" customHeight="1">
      <c r="A17" s="35" t="s">
        <v>5</v>
      </c>
      <c r="B17" s="37"/>
      <c r="C17" s="37"/>
      <c r="D17" s="501"/>
    </row>
    <row r="18" spans="1:7" ht="23.45" customHeight="1">
      <c r="A18" s="35" t="s">
        <v>6</v>
      </c>
      <c r="B18" s="36"/>
      <c r="C18" s="49"/>
      <c r="D18" s="218"/>
    </row>
    <row r="19" spans="1:7" ht="23.45" customHeight="1">
      <c r="A19" s="35" t="s">
        <v>7</v>
      </c>
      <c r="B19" s="36"/>
      <c r="C19" s="36"/>
      <c r="D19" s="40"/>
    </row>
    <row r="20" spans="1:7" ht="23.45" customHeight="1">
      <c r="A20" s="35" t="s">
        <v>179</v>
      </c>
      <c r="B20" s="36"/>
      <c r="C20" s="36"/>
      <c r="D20" s="40"/>
    </row>
    <row r="21" spans="1:7" ht="23.45" customHeight="1" thickBot="1">
      <c r="A21" s="39" t="s">
        <v>9</v>
      </c>
      <c r="B21" s="45"/>
      <c r="C21" s="45" t="s">
        <v>11</v>
      </c>
      <c r="D21" s="46" t="s">
        <v>11</v>
      </c>
    </row>
    <row r="22" spans="1:7" ht="15.75" thickTop="1">
      <c r="A22" s="9"/>
      <c r="B22" s="10"/>
      <c r="C22" s="10"/>
      <c r="D22" s="10"/>
    </row>
    <row r="23" spans="1:7" ht="21" customHeight="1">
      <c r="A23" s="711" t="s">
        <v>325</v>
      </c>
      <c r="B23" s="711"/>
      <c r="C23" s="711"/>
      <c r="D23" s="711"/>
    </row>
    <row r="24" spans="1:7">
      <c r="A24" s="394"/>
      <c r="B24" s="394"/>
      <c r="C24" s="394"/>
      <c r="D24" s="394"/>
    </row>
    <row r="25" spans="1:7" ht="26.45" customHeight="1">
      <c r="A25" s="711" t="s">
        <v>181</v>
      </c>
      <c r="B25" s="711"/>
      <c r="C25" s="711"/>
      <c r="D25" s="711"/>
    </row>
    <row r="26" spans="1:7">
      <c r="A26" s="394"/>
      <c r="B26" s="394"/>
      <c r="C26" s="394"/>
      <c r="D26" s="394"/>
    </row>
    <row r="27" spans="1:7" ht="14.25" hidden="1" customHeight="1">
      <c r="A27" s="730" t="s">
        <v>222</v>
      </c>
      <c r="B27" s="730"/>
      <c r="C27" s="730"/>
      <c r="D27" s="730"/>
    </row>
    <row r="28" spans="1:7" ht="14.25" customHeight="1">
      <c r="A28" s="711" t="s">
        <v>335</v>
      </c>
      <c r="B28" s="711"/>
      <c r="C28" s="711"/>
      <c r="D28" s="711"/>
    </row>
    <row r="29" spans="1:7" ht="14.25" customHeight="1">
      <c r="A29" s="711"/>
      <c r="B29" s="711"/>
      <c r="C29" s="711"/>
      <c r="D29" s="711"/>
    </row>
    <row r="30" spans="1:7" ht="14.25" customHeight="1">
      <c r="A30" s="711"/>
      <c r="B30" s="711"/>
      <c r="C30" s="711"/>
      <c r="D30" s="711"/>
    </row>
    <row r="31" spans="1:7" ht="14.25" customHeight="1">
      <c r="A31" s="711"/>
      <c r="B31" s="711"/>
      <c r="C31" s="711"/>
      <c r="D31" s="711"/>
    </row>
    <row r="32" spans="1:7" ht="19.7" customHeight="1">
      <c r="A32" s="731" t="s">
        <v>318</v>
      </c>
      <c r="B32" s="731"/>
      <c r="C32" s="731"/>
      <c r="D32" s="731"/>
      <c r="E32" s="731"/>
      <c r="F32" s="731"/>
      <c r="G32" s="731"/>
    </row>
    <row r="33" spans="1:7" ht="28.15" customHeight="1">
      <c r="A33" s="436" t="s">
        <v>344</v>
      </c>
      <c r="B33" s="429"/>
      <c r="C33" s="429"/>
      <c r="D33" s="429"/>
      <c r="E33" s="429"/>
      <c r="F33" s="429"/>
      <c r="G33" s="429"/>
    </row>
    <row r="34" spans="1:7" ht="19.7" customHeight="1">
      <c r="A34" s="429"/>
      <c r="B34" s="429"/>
      <c r="C34" s="429"/>
      <c r="D34" s="429"/>
      <c r="E34" s="429"/>
      <c r="F34" s="429"/>
      <c r="G34" s="429"/>
    </row>
    <row r="35" spans="1:7" ht="15" customHeight="1">
      <c r="A35" s="732" t="s">
        <v>336</v>
      </c>
      <c r="B35" s="696"/>
      <c r="C35" s="696"/>
      <c r="D35" s="696"/>
      <c r="E35" s="429"/>
      <c r="F35" s="429"/>
      <c r="G35" s="429"/>
    </row>
    <row r="36" spans="1:7" ht="185.25" customHeight="1">
      <c r="A36" s="729" t="s">
        <v>333</v>
      </c>
      <c r="B36" s="729"/>
      <c r="C36" s="729"/>
      <c r="D36" s="729"/>
    </row>
  </sheetData>
  <sheetProtection algorithmName="SHA-512" hashValue="4VXnpeOE+OZUTHbxnA13p3h/+Gq4LwSMXr+O5NzdbJrxaafOgjPlIl7xfgMLOfiVAOYLfqHAQe59FYngHNYREA==" saltValue="UmGoxBTTteb7USnmHAADbQ==" spinCount="100000" sheet="1" objects="1" scenarios="1"/>
  <mergeCells count="13">
    <mergeCell ref="A36:D36"/>
    <mergeCell ref="A25:D25"/>
    <mergeCell ref="A23:D23"/>
    <mergeCell ref="A27:D27"/>
    <mergeCell ref="A28:D31"/>
    <mergeCell ref="A32:G32"/>
    <mergeCell ref="A35:D35"/>
    <mergeCell ref="A2:D2"/>
    <mergeCell ref="A3:D3"/>
    <mergeCell ref="A4:A6"/>
    <mergeCell ref="B4:B5"/>
    <mergeCell ref="C4:C5"/>
    <mergeCell ref="D4:D5"/>
  </mergeCells>
  <pageMargins left="0.7" right="0.7" top="0.75" bottom="0.75" header="0.3" footer="0.3"/>
  <pageSetup orientation="portrait" r:id="rId1"/>
  <ignoredErrors>
    <ignoredError sqref="D7:D12 D14:D1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T42"/>
  <sheetViews>
    <sheetView showGridLines="0" topLeftCell="A7" zoomScale="70" zoomScaleNormal="70" workbookViewId="0">
      <selection activeCell="E4" sqref="E4"/>
    </sheetView>
  </sheetViews>
  <sheetFormatPr baseColWidth="10" defaultColWidth="9.85546875" defaultRowHeight="14.25"/>
  <cols>
    <col min="1" max="1" width="58.7109375" style="6" customWidth="1"/>
    <col min="2" max="2" width="21.28515625" style="6" customWidth="1"/>
    <col min="3" max="3" width="26.7109375" style="6" customWidth="1"/>
    <col min="4" max="4" width="23.28515625" style="6" customWidth="1"/>
    <col min="5" max="10" width="12.7109375" style="6" customWidth="1"/>
    <col min="11" max="11" width="12.7109375" style="6" hidden="1" customWidth="1"/>
    <col min="12" max="12" width="23.7109375" style="6" customWidth="1"/>
    <col min="13" max="13" width="9.85546875" style="6" customWidth="1"/>
    <col min="14" max="14" width="13.5703125" style="6" customWidth="1"/>
    <col min="15" max="72" width="9.85546875" style="6" customWidth="1"/>
    <col min="73" max="16384" width="9.85546875" style="6"/>
  </cols>
  <sheetData>
    <row r="1" spans="1:72" s="5" customFormat="1" ht="15.75" thickBot="1">
      <c r="A1" s="28"/>
    </row>
    <row r="2" spans="1:72" s="26" customFormat="1" ht="42.75" customHeight="1" thickTop="1">
      <c r="A2" s="734" t="str">
        <f>CONCATENATE("ESTRUCTURAS DE PRECIOS PARA LA MEZCLA DE BIOCOMBUSTIBLE PARA USO EN MOTORES DIESEL CON EL ACPM VIGENTES A PARTIR DE ",TEXT('COMBUSTIBLES '!$A$54,"DD MMM YYYY"))</f>
        <v>ESTRUCTURAS DE PRECIOS PARA LA MEZCLA DE BIOCOMBUSTIBLE PARA USO EN MOTORES DIESEL CON EL ACPM VIGENTES A PARTIR DE 01.enero.2025</v>
      </c>
      <c r="B2" s="735"/>
      <c r="C2" s="735"/>
      <c r="D2" s="73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row>
    <row r="3" spans="1:72" s="26" customFormat="1" ht="19.7" customHeight="1">
      <c r="A3" s="737" t="s">
        <v>0</v>
      </c>
      <c r="B3" s="738"/>
      <c r="C3" s="738"/>
      <c r="D3" s="739"/>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row>
    <row r="4" spans="1:72" s="5" customFormat="1" ht="45.6" customHeight="1">
      <c r="A4" s="740" t="s">
        <v>1</v>
      </c>
      <c r="B4" s="47" t="s">
        <v>140</v>
      </c>
      <c r="C4" s="743" t="s">
        <v>405</v>
      </c>
      <c r="D4" s="507" t="s">
        <v>255</v>
      </c>
      <c r="E4" s="409"/>
      <c r="F4" s="6"/>
      <c r="G4" s="6"/>
      <c r="H4" s="6"/>
      <c r="I4" s="6"/>
      <c r="J4" s="6"/>
      <c r="K4" s="409"/>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5" customFormat="1" ht="18.600000000000001" customHeight="1">
      <c r="A5" s="741"/>
      <c r="B5" s="48">
        <v>1</v>
      </c>
      <c r="C5" s="744"/>
      <c r="D5" s="508">
        <v>0.02</v>
      </c>
      <c r="E5" s="409"/>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5" customFormat="1" ht="24" customHeight="1" thickBot="1">
      <c r="A6" s="742"/>
      <c r="B6" s="109" t="str">
        <f>+'COMBUSTIBLES '!A54</f>
        <v>01.enero.2025</v>
      </c>
      <c r="C6" s="109" t="str">
        <f>+B6</f>
        <v>01.enero.2025</v>
      </c>
      <c r="D6" s="509" t="str">
        <f>+B6</f>
        <v>01.enero.2025</v>
      </c>
      <c r="E6" s="406"/>
      <c r="F6" s="40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75" customFormat="1" ht="31.7" customHeight="1" thickTop="1">
      <c r="A7" s="505" t="s">
        <v>3</v>
      </c>
      <c r="B7" s="566">
        <v>21572.3</v>
      </c>
      <c r="C7" s="551">
        <f>+'COMBUSTIBLES '!E7</f>
        <v>5347.41</v>
      </c>
      <c r="D7" s="506"/>
      <c r="E7" s="74"/>
      <c r="F7" s="6"/>
      <c r="G7" s="6"/>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row>
    <row r="8" spans="1:72" s="75" customFormat="1" ht="31.7" customHeight="1">
      <c r="A8" s="502" t="s">
        <v>46</v>
      </c>
      <c r="B8" s="542"/>
      <c r="C8" s="543"/>
      <c r="D8" s="544">
        <f>+ROUND(C7*(1-D5), 2)</f>
        <v>5240.46</v>
      </c>
      <c r="E8" s="76"/>
      <c r="F8" s="76"/>
      <c r="G8" s="74"/>
      <c r="H8" s="74"/>
      <c r="I8" s="74"/>
      <c r="J8" s="74"/>
      <c r="K8" s="419" t="s">
        <v>282</v>
      </c>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row>
    <row r="9" spans="1:72" s="75" customFormat="1" ht="31.7" customHeight="1">
      <c r="A9" s="502" t="s">
        <v>151</v>
      </c>
      <c r="B9" s="543"/>
      <c r="C9" s="543"/>
      <c r="D9" s="544">
        <f>+ROUND($B$7*D5,2)</f>
        <v>431.45</v>
      </c>
      <c r="E9" s="76"/>
      <c r="F9" s="76"/>
      <c r="G9" s="76"/>
      <c r="H9" s="74"/>
      <c r="I9" s="74"/>
      <c r="J9" s="74"/>
      <c r="K9" s="74" t="s">
        <v>280</v>
      </c>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row>
    <row r="10" spans="1:72" s="75" customFormat="1" ht="31.7" customHeight="1">
      <c r="A10" s="502" t="s">
        <v>258</v>
      </c>
      <c r="B10" s="543"/>
      <c r="C10" s="543"/>
      <c r="D10" s="544">
        <f>+D9+D8</f>
        <v>5671.91</v>
      </c>
      <c r="E10" s="76"/>
      <c r="F10" s="348"/>
      <c r="G10" s="348"/>
      <c r="H10" s="74"/>
      <c r="I10" s="74"/>
      <c r="J10" s="74"/>
      <c r="K10" s="416">
        <f>+B7*0.02+ROUND(C7*0.98,2)</f>
        <v>5671.9059999999999</v>
      </c>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row>
    <row r="11" spans="1:72" s="75" customFormat="1" ht="31.7" customHeight="1">
      <c r="A11" s="502" t="str">
        <f>+'COMBUSTIBLES '!A11</f>
        <v>Impuesto Nacional a la Gasolina y al ACPM</v>
      </c>
      <c r="B11" s="543"/>
      <c r="C11" s="543">
        <f>+'Resoluciones, leyes'!$V$35</f>
        <v>693.65</v>
      </c>
      <c r="D11" s="544">
        <f>+'Resoluciones, leyes'!$V$37</f>
        <v>679.77</v>
      </c>
      <c r="E11" s="76"/>
      <c r="F11" s="74"/>
      <c r="G11" s="74"/>
      <c r="H11" s="74"/>
      <c r="I11" s="74"/>
      <c r="J11" s="74"/>
      <c r="K11" s="74">
        <f>+B7*0.02</f>
        <v>431.44599999999997</v>
      </c>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row>
    <row r="12" spans="1:72" s="75" customFormat="1" ht="31.7" customHeight="1">
      <c r="A12" s="502" t="str">
        <f>+'COMBUSTIBLES '!A12</f>
        <v>Impuesto sobre las Ventas</v>
      </c>
      <c r="B12" s="543"/>
      <c r="C12" s="545" t="s">
        <v>245</v>
      </c>
      <c r="D12" s="546" t="s">
        <v>245</v>
      </c>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row>
    <row r="13" spans="1:72" s="75" customFormat="1" ht="31.7" customHeight="1">
      <c r="A13" s="502" t="str">
        <f>+'COMBUSTIBLES '!A13</f>
        <v>Impuesto al carbono</v>
      </c>
      <c r="B13" s="543"/>
      <c r="C13" s="543">
        <f>+'Resoluciones, leyes'!$V$91</f>
        <v>210.63</v>
      </c>
      <c r="D13" s="544">
        <f>ROUND('Resoluciones, leyes'!$V$91*(1-D5),2)</f>
        <v>206.42</v>
      </c>
      <c r="E13" s="74"/>
      <c r="F13" s="523"/>
      <c r="G13" s="309"/>
      <c r="H13" s="74"/>
      <c r="I13" s="74"/>
      <c r="J13" s="74"/>
      <c r="K13" s="395">
        <f>+C13*0.98</f>
        <v>206.41739999999999</v>
      </c>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row>
    <row r="14" spans="1:72" s="75" customFormat="1" ht="31.7" customHeight="1">
      <c r="A14" s="502" t="s">
        <v>41</v>
      </c>
      <c r="B14" s="543"/>
      <c r="C14" s="543">
        <f>+'Resoluciones, leyes'!$V$153</f>
        <v>9.43</v>
      </c>
      <c r="D14" s="544">
        <f>+'Resoluciones, leyes'!$V$153</f>
        <v>9.43</v>
      </c>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row>
    <row r="15" spans="1:72" s="75" customFormat="1" ht="31.7" customHeight="1">
      <c r="A15" s="502" t="s">
        <v>183</v>
      </c>
      <c r="B15" s="543"/>
      <c r="C15" s="543" t="s">
        <v>10</v>
      </c>
      <c r="D15" s="544" t="s">
        <v>10</v>
      </c>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row>
    <row r="16" spans="1:72" s="75" customFormat="1" ht="31.7" customHeight="1">
      <c r="A16" s="502" t="s">
        <v>184</v>
      </c>
      <c r="B16" s="543" t="s">
        <v>138</v>
      </c>
      <c r="C16" s="543"/>
      <c r="D16" s="544" t="s">
        <v>11</v>
      </c>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row>
    <row r="17" spans="1:72" s="75" customFormat="1" ht="31.7" hidden="1" customHeight="1">
      <c r="A17" s="35" t="s">
        <v>172</v>
      </c>
      <c r="B17" s="543"/>
      <c r="C17" s="543">
        <f>'COMBUSTIBLES '!E10</f>
        <v>0</v>
      </c>
      <c r="D17" s="544">
        <f>+C17</f>
        <v>0</v>
      </c>
      <c r="E17" s="74"/>
      <c r="F17" s="38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row>
    <row r="18" spans="1:72" s="75" customFormat="1" ht="31.7" customHeight="1">
      <c r="A18" s="502" t="s">
        <v>39</v>
      </c>
      <c r="B18" s="543"/>
      <c r="C18" s="543"/>
      <c r="D18" s="54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row>
    <row r="19" spans="1:72" s="75" customFormat="1" ht="31.7" customHeight="1">
      <c r="A19" s="502" t="s">
        <v>36</v>
      </c>
      <c r="B19" s="547"/>
      <c r="C19" s="547"/>
      <c r="D19" s="548" t="s">
        <v>138</v>
      </c>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row>
    <row r="20" spans="1:72" s="75" customFormat="1" ht="31.7" customHeight="1">
      <c r="A20" s="502" t="s">
        <v>45</v>
      </c>
      <c r="B20" s="547"/>
      <c r="C20" s="547"/>
      <c r="D20" s="548" t="s">
        <v>138</v>
      </c>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row>
    <row r="21" spans="1:72" s="75" customFormat="1" ht="31.7" customHeight="1">
      <c r="A21" s="502" t="s">
        <v>37</v>
      </c>
      <c r="B21" s="547"/>
      <c r="C21" s="547"/>
      <c r="D21" s="548" t="s">
        <v>138</v>
      </c>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row>
    <row r="22" spans="1:72" s="75" customFormat="1" ht="31.7" customHeight="1">
      <c r="A22" s="502" t="s">
        <v>186</v>
      </c>
      <c r="B22" s="547"/>
      <c r="C22" s="547"/>
      <c r="D22" s="548" t="s">
        <v>138</v>
      </c>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row>
    <row r="23" spans="1:72" s="77" customFormat="1" ht="31.7" customHeight="1">
      <c r="A23" s="503" t="s">
        <v>8</v>
      </c>
      <c r="B23" s="543"/>
      <c r="C23" s="545" t="s">
        <v>319</v>
      </c>
      <c r="D23" s="546" t="s">
        <v>319</v>
      </c>
      <c r="E23" s="74"/>
      <c r="F23" s="74"/>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row>
    <row r="24" spans="1:72" s="32" customFormat="1" ht="31.7" customHeight="1" thickBot="1">
      <c r="A24" s="504" t="s">
        <v>44</v>
      </c>
      <c r="B24" s="549"/>
      <c r="C24" s="549"/>
      <c r="D24" s="550" t="s">
        <v>138</v>
      </c>
      <c r="E24" s="74"/>
      <c r="F24" s="74"/>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row>
    <row r="25" spans="1:72" s="5" customFormat="1" ht="9.6" customHeight="1" thickTop="1">
      <c r="A25" s="9"/>
      <c r="B25" s="10"/>
      <c r="C25" s="10"/>
      <c r="D25" s="10"/>
      <c r="E25" s="74"/>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32" customFormat="1" ht="15" customHeight="1">
      <c r="A26" s="417" t="s">
        <v>404</v>
      </c>
      <c r="B26" s="312"/>
      <c r="C26" s="312"/>
      <c r="D26" s="313"/>
      <c r="E26" s="74"/>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row>
    <row r="27" spans="1:72" s="32" customFormat="1">
      <c r="A27" s="745" t="s">
        <v>323</v>
      </c>
      <c r="B27" s="745"/>
      <c r="C27" s="745"/>
      <c r="D27" s="745"/>
      <c r="E27" s="74"/>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row>
    <row r="28" spans="1:72" s="32" customFormat="1" ht="6.75" customHeight="1">
      <c r="A28" s="314"/>
      <c r="B28" s="314"/>
      <c r="C28" s="314"/>
      <c r="D28" s="315"/>
      <c r="E28" s="74"/>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row>
    <row r="29" spans="1:72" s="32" customFormat="1">
      <c r="A29" s="745" t="s">
        <v>322</v>
      </c>
      <c r="B29" s="745"/>
      <c r="C29" s="745"/>
      <c r="D29" s="745"/>
      <c r="E29" s="74"/>
    </row>
    <row r="30" spans="1:72" s="32" customFormat="1" ht="11.25" customHeight="1">
      <c r="A30" s="316" t="s">
        <v>138</v>
      </c>
      <c r="B30" s="317"/>
      <c r="C30" s="317"/>
      <c r="E30" s="74"/>
    </row>
    <row r="31" spans="1:72" s="32" customFormat="1">
      <c r="A31" s="745" t="s">
        <v>185</v>
      </c>
      <c r="B31" s="745"/>
      <c r="C31" s="745"/>
      <c r="D31" s="745"/>
      <c r="E31" s="74"/>
    </row>
    <row r="32" spans="1:72" s="32" customFormat="1" ht="10.5" customHeight="1">
      <c r="A32" s="314"/>
      <c r="B32" s="314"/>
      <c r="C32" s="314"/>
      <c r="E32" s="74"/>
    </row>
    <row r="33" spans="1:6" s="32" customFormat="1" ht="42.75" customHeight="1">
      <c r="A33" s="745" t="s">
        <v>177</v>
      </c>
      <c r="B33" s="745"/>
      <c r="C33" s="745"/>
      <c r="D33" s="745"/>
      <c r="E33" s="74"/>
    </row>
    <row r="34" spans="1:6" s="32" customFormat="1" ht="17.649999999999999" customHeight="1">
      <c r="A34" s="316"/>
      <c r="B34" s="317"/>
      <c r="C34" s="317"/>
      <c r="E34" s="74"/>
    </row>
    <row r="35" spans="1:6" s="5" customFormat="1" ht="14.25" customHeight="1">
      <c r="A35" s="733" t="s">
        <v>254</v>
      </c>
      <c r="B35" s="733"/>
      <c r="C35" s="733"/>
      <c r="D35" s="733"/>
      <c r="E35" s="74"/>
    </row>
    <row r="36" spans="1:6" s="5" customFormat="1">
      <c r="A36" s="733"/>
      <c r="B36" s="733"/>
      <c r="C36" s="733"/>
      <c r="D36" s="733"/>
      <c r="E36" s="74"/>
    </row>
    <row r="37" spans="1:6" s="5" customFormat="1" ht="24.75" customHeight="1">
      <c r="A37" s="733"/>
      <c r="B37" s="733"/>
      <c r="C37" s="733"/>
      <c r="D37" s="733"/>
      <c r="E37" s="74"/>
    </row>
    <row r="38" spans="1:6" s="5" customFormat="1" ht="24.75" customHeight="1">
      <c r="A38" s="733"/>
      <c r="B38" s="733"/>
      <c r="C38" s="733"/>
      <c r="D38" s="733"/>
    </row>
    <row r="39" spans="1:6" s="5" customFormat="1" ht="84" customHeight="1">
      <c r="A39" s="733" t="s">
        <v>318</v>
      </c>
      <c r="B39" s="733"/>
      <c r="C39" s="733"/>
      <c r="D39" s="733"/>
      <c r="E39" s="733"/>
      <c r="F39" s="733"/>
    </row>
    <row r="40" spans="1:6" s="5" customFormat="1" ht="125.45" customHeight="1"/>
    <row r="42" spans="1:6" ht="18.75">
      <c r="A42" s="729" t="s">
        <v>333</v>
      </c>
      <c r="B42" s="729"/>
      <c r="C42" s="729"/>
      <c r="D42" s="729"/>
    </row>
  </sheetData>
  <sheetProtection algorithmName="SHA-512" hashValue="uA3E6FjCQ4qsdpRSdNhsh4xWSrZhxUKdyWLt8e4AwZ2wBKIulAvDTnScODcH7VzoTJ30VQjDXEHWqgMHu377xA==" saltValue="HDPYUd5K4b1WvzvJVnE2fQ==" spinCount="100000" sheet="1" objects="1" scenarios="1"/>
  <mergeCells count="12">
    <mergeCell ref="E39:F39"/>
    <mergeCell ref="A2:D2"/>
    <mergeCell ref="A3:D3"/>
    <mergeCell ref="A42:D42"/>
    <mergeCell ref="A4:A6"/>
    <mergeCell ref="C4:C5"/>
    <mergeCell ref="A39:D39"/>
    <mergeCell ref="A27:D27"/>
    <mergeCell ref="A29:D29"/>
    <mergeCell ref="A31:D31"/>
    <mergeCell ref="A33:D33"/>
    <mergeCell ref="A35:D38"/>
  </mergeCells>
  <phoneticPr fontId="14" type="noConversion"/>
  <printOptions horizontalCentered="1" verticalCentered="1"/>
  <pageMargins left="0.59055118110236227" right="0.39370078740157483" top="0.19685039370078741" bottom="0.19685039370078741" header="0" footer="0"/>
  <pageSetup scale="8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39"/>
  <sheetViews>
    <sheetView showGridLines="0" topLeftCell="A12" zoomScale="70" zoomScaleNormal="70" workbookViewId="0">
      <selection activeCell="H8" sqref="H8"/>
    </sheetView>
  </sheetViews>
  <sheetFormatPr baseColWidth="10" defaultColWidth="9.85546875" defaultRowHeight="14.25"/>
  <cols>
    <col min="1" max="1" width="9.85546875" style="5"/>
    <col min="2" max="2" width="47.85546875" style="5" customWidth="1"/>
    <col min="3" max="3" width="23.85546875" style="5" customWidth="1"/>
    <col min="4" max="5" width="21.28515625" style="5" customWidth="1"/>
    <col min="6" max="6" width="19.42578125" style="5" customWidth="1"/>
    <col min="7" max="7" width="21" style="5" customWidth="1"/>
    <col min="8" max="8" width="22.28515625" style="5" customWidth="1"/>
    <col min="9" max="9" width="15.28515625" style="5" customWidth="1"/>
    <col min="10" max="13" width="9.85546875" style="5" customWidth="1"/>
    <col min="14" max="16384" width="9.85546875" style="5"/>
  </cols>
  <sheetData>
    <row r="1" spans="2:16" s="31" customFormat="1" ht="20.100000000000001" customHeight="1" thickTop="1">
      <c r="B1" s="751" t="s">
        <v>12</v>
      </c>
      <c r="C1" s="752"/>
      <c r="D1" s="752"/>
      <c r="E1" s="752"/>
      <c r="F1" s="752"/>
      <c r="G1" s="753"/>
      <c r="I1" s="749" t="s">
        <v>264</v>
      </c>
      <c r="J1" s="749"/>
      <c r="K1" s="749"/>
      <c r="L1" s="749"/>
      <c r="M1" s="749"/>
      <c r="N1" s="337"/>
    </row>
    <row r="2" spans="2:16" s="31" customFormat="1" ht="20.100000000000001" customHeight="1">
      <c r="B2" s="746" t="s">
        <v>308</v>
      </c>
      <c r="C2" s="747"/>
      <c r="D2" s="747"/>
      <c r="E2" s="747"/>
      <c r="F2" s="747"/>
      <c r="G2" s="748"/>
      <c r="I2" s="749"/>
      <c r="J2" s="749"/>
      <c r="K2" s="749"/>
      <c r="L2" s="749"/>
      <c r="M2" s="749"/>
      <c r="N2" s="337"/>
    </row>
    <row r="3" spans="2:16" s="31" customFormat="1" ht="20.25">
      <c r="B3" s="746" t="s">
        <v>13</v>
      </c>
      <c r="C3" s="747"/>
      <c r="D3" s="747"/>
      <c r="E3" s="747"/>
      <c r="F3" s="747"/>
      <c r="G3" s="748"/>
      <c r="I3" s="337"/>
      <c r="J3" s="337"/>
      <c r="K3" s="337"/>
      <c r="L3" s="337"/>
      <c r="M3" s="337"/>
      <c r="N3" s="337"/>
    </row>
    <row r="4" spans="2:16" ht="15">
      <c r="B4" s="524"/>
      <c r="C4" s="525"/>
      <c r="D4" s="525"/>
      <c r="E4" s="525"/>
      <c r="F4" s="525"/>
      <c r="G4" s="526"/>
      <c r="I4" s="430">
        <v>0</v>
      </c>
      <c r="J4" s="338" t="s">
        <v>262</v>
      </c>
      <c r="K4" s="338"/>
      <c r="L4" s="338"/>
      <c r="M4" s="338"/>
    </row>
    <row r="5" spans="2:16" ht="15.75" thickBot="1">
      <c r="B5" s="527" t="str">
        <f>+'COMBUSTIBLES '!A54</f>
        <v>01.enero.2025</v>
      </c>
      <c r="G5" s="526"/>
      <c r="I5" s="430">
        <v>0</v>
      </c>
      <c r="J5" s="338" t="s">
        <v>263</v>
      </c>
      <c r="K5" s="338"/>
      <c r="L5" s="338"/>
      <c r="M5" s="338"/>
    </row>
    <row r="6" spans="2:16" ht="45.2" customHeight="1" thickTop="1">
      <c r="B6" s="51" t="s">
        <v>14</v>
      </c>
      <c r="C6" s="52" t="s">
        <v>15</v>
      </c>
      <c r="D6" s="52" t="s">
        <v>347</v>
      </c>
      <c r="E6" s="52" t="s">
        <v>348</v>
      </c>
      <c r="F6" s="52" t="s">
        <v>16</v>
      </c>
      <c r="G6" s="53" t="s">
        <v>246</v>
      </c>
      <c r="P6" s="407"/>
    </row>
    <row r="7" spans="2:16" ht="30.2" customHeight="1" thickBot="1">
      <c r="B7" s="69"/>
      <c r="C7" s="42" t="str">
        <f>+'COMBUSTIBLES '!B6</f>
        <v>01.enero.2025</v>
      </c>
      <c r="D7" s="42" t="str">
        <f>+C7</f>
        <v>01.enero.2025</v>
      </c>
      <c r="E7" s="42" t="str">
        <f>+D7</f>
        <v>01.enero.2025</v>
      </c>
      <c r="F7" s="42" t="str">
        <f>+D7</f>
        <v>01.enero.2025</v>
      </c>
      <c r="G7" s="43" t="str">
        <f>+F7</f>
        <v>01.enero.2025</v>
      </c>
      <c r="H7" s="50"/>
    </row>
    <row r="8" spans="2:16" ht="27.2" customHeight="1" thickTop="1">
      <c r="B8" s="66" t="s">
        <v>17</v>
      </c>
      <c r="C8" s="67">
        <f>'COMBUSTIBLES '!B7-I4</f>
        <v>10380.44</v>
      </c>
      <c r="D8" s="67">
        <f>+'COMBUSTIBLES '!C7</f>
        <v>11532</v>
      </c>
      <c r="E8" s="67">
        <f>+'COMBUSTIBLES '!D7</f>
        <v>11741</v>
      </c>
      <c r="F8" s="67">
        <f>'COMBUSTIBLES '!E7-I5</f>
        <v>5347.41</v>
      </c>
      <c r="G8" s="68">
        <f>+(F8*98%)+BIODIESEL!D9</f>
        <v>5671.9117999999999</v>
      </c>
      <c r="H8" s="50"/>
    </row>
    <row r="9" spans="2:16" ht="27.2" customHeight="1">
      <c r="B9" s="252" t="s">
        <v>188</v>
      </c>
      <c r="C9" s="55" t="s">
        <v>42</v>
      </c>
      <c r="D9" s="55" t="str">
        <f>+C9</f>
        <v>(*****)</v>
      </c>
      <c r="E9" s="55" t="str">
        <f>+D9</f>
        <v>(*****)</v>
      </c>
      <c r="F9" s="55" t="str">
        <f>+C9</f>
        <v>(*****)</v>
      </c>
      <c r="G9" s="56" t="str">
        <f>+D9</f>
        <v>(*****)</v>
      </c>
      <c r="H9" s="50"/>
    </row>
    <row r="10" spans="2:16" ht="27.2" customHeight="1">
      <c r="B10" s="54" t="s">
        <v>220</v>
      </c>
      <c r="C10" s="55">
        <f>+'Resoluciones, leyes'!$V$153</f>
        <v>9.43</v>
      </c>
      <c r="D10" s="55">
        <f>+'Resoluciones, leyes'!$V$153</f>
        <v>9.43</v>
      </c>
      <c r="E10" s="55">
        <f>+'Resoluciones, leyes'!$V$153</f>
        <v>9.43</v>
      </c>
      <c r="F10" s="55">
        <f>+'Resoluciones, leyes'!$V$153</f>
        <v>9.43</v>
      </c>
      <c r="G10" s="56">
        <f>+'Resoluciones, leyes'!$V$153</f>
        <v>9.43</v>
      </c>
      <c r="H10" s="50"/>
    </row>
    <row r="11" spans="2:16" ht="27.2" hidden="1" customHeight="1">
      <c r="B11" s="57" t="s">
        <v>189</v>
      </c>
      <c r="C11" s="55">
        <f>'COMBUSTIBLES '!B10</f>
        <v>0</v>
      </c>
      <c r="D11" s="55">
        <f>'COMBUSTIBLES '!B10</f>
        <v>0</v>
      </c>
      <c r="E11" s="55">
        <f>'COMBUSTIBLES '!C10</f>
        <v>0</v>
      </c>
      <c r="F11" s="55">
        <f>'COMBUSTIBLES '!E10</f>
        <v>0</v>
      </c>
      <c r="G11" s="56">
        <f>+F11</f>
        <v>0</v>
      </c>
      <c r="H11" s="50"/>
      <c r="I11" s="26">
        <f>+F8*0.98</f>
        <v>5240.4618</v>
      </c>
    </row>
    <row r="12" spans="2:16" ht="27.2" customHeight="1">
      <c r="B12" s="54" t="s">
        <v>241</v>
      </c>
      <c r="C12" s="55">
        <f>+'Resoluciones, leyes'!$V$66</f>
        <v>1427.5723909888</v>
      </c>
      <c r="D12" s="55">
        <f>+'Resoluciones, leyes'!$V$67</f>
        <v>1510.5073958912001</v>
      </c>
      <c r="E12" s="55">
        <f>+'Resoluciones, leyes'!$V$67</f>
        <v>1510.5073958912001</v>
      </c>
      <c r="F12" s="55">
        <f>+'Resoluciones, leyes'!$V$68</f>
        <v>945.82932800000003</v>
      </c>
      <c r="G12" s="56">
        <f>F12*98%</f>
        <v>926.91274143999999</v>
      </c>
      <c r="H12" s="50"/>
      <c r="I12" s="327">
        <f>+BIODIESEL!D9</f>
        <v>431.45</v>
      </c>
    </row>
    <row r="13" spans="2:16" ht="27.2" customHeight="1">
      <c r="B13" s="54" t="s">
        <v>210</v>
      </c>
      <c r="C13" s="55"/>
      <c r="D13" s="55"/>
      <c r="E13" s="55"/>
      <c r="F13" s="55"/>
      <c r="G13" s="56"/>
      <c r="H13" s="50"/>
      <c r="I13" s="327">
        <f>+I11+I12</f>
        <v>5671.9117999999999</v>
      </c>
    </row>
    <row r="14" spans="2:16" ht="27.2" customHeight="1">
      <c r="B14" s="54" t="s">
        <v>237</v>
      </c>
      <c r="C14" s="55">
        <f>+'Resoluciones, leyes'!$V$89</f>
        <v>186.37</v>
      </c>
      <c r="D14" s="55">
        <f>+'Resoluciones, leyes'!$V$89</f>
        <v>186.37</v>
      </c>
      <c r="E14" s="55">
        <f>+'Resoluciones, leyes'!$V$89</f>
        <v>186.37</v>
      </c>
      <c r="F14" s="55">
        <f>+'Resoluciones, leyes'!$V$91</f>
        <v>210.63</v>
      </c>
      <c r="G14" s="56">
        <f>+BIODIESEL!D13</f>
        <v>206.42</v>
      </c>
      <c r="H14" s="50"/>
    </row>
    <row r="15" spans="2:16" ht="44.45" customHeight="1">
      <c r="B15" s="58" t="s">
        <v>20</v>
      </c>
      <c r="C15" s="59">
        <f t="shared" ref="C15:G15" si="0">SUM(C8:C14)</f>
        <v>12003.812390988802</v>
      </c>
      <c r="D15" s="59">
        <f t="shared" si="0"/>
        <v>13238.307395891201</v>
      </c>
      <c r="E15" s="59">
        <f t="shared" ref="E15" si="1">SUM(E8:E14)</f>
        <v>13447.307395891201</v>
      </c>
      <c r="F15" s="59">
        <f t="shared" si="0"/>
        <v>6513.2993280000001</v>
      </c>
      <c r="G15" s="60">
        <f t="shared" si="0"/>
        <v>6814.6745414400002</v>
      </c>
      <c r="H15" s="50"/>
      <c r="I15"/>
      <c r="J15"/>
    </row>
    <row r="16" spans="2:16" ht="32.25" customHeight="1">
      <c r="B16" s="54" t="s">
        <v>4</v>
      </c>
      <c r="C16" s="61" t="s">
        <v>11</v>
      </c>
      <c r="D16" s="55"/>
      <c r="E16" s="55"/>
      <c r="F16" s="61" t="str">
        <f>+C16</f>
        <v>(**)</v>
      </c>
      <c r="G16" s="62" t="str">
        <f t="shared" ref="G16:G18" si="2">+F16</f>
        <v>(**)</v>
      </c>
      <c r="H16" s="50"/>
      <c r="I16"/>
    </row>
    <row r="17" spans="2:19" s="25" customFormat="1" ht="29.25" customHeight="1">
      <c r="B17" s="78" t="s">
        <v>193</v>
      </c>
      <c r="C17" s="61" t="s">
        <v>19</v>
      </c>
      <c r="D17" s="61" t="str">
        <f>+C17</f>
        <v>(***)</v>
      </c>
      <c r="E17" s="61" t="str">
        <f>+D17</f>
        <v>(***)</v>
      </c>
      <c r="F17" s="61" t="str">
        <f>+D17</f>
        <v>(***)</v>
      </c>
      <c r="G17" s="62" t="str">
        <f t="shared" si="2"/>
        <v>(***)</v>
      </c>
      <c r="H17" s="50"/>
      <c r="S17" s="6"/>
    </row>
    <row r="18" spans="2:19" ht="30.2" customHeight="1" thickBot="1">
      <c r="B18" s="63" t="s">
        <v>168</v>
      </c>
      <c r="C18" s="64" t="s">
        <v>175</v>
      </c>
      <c r="D18" s="64" t="str">
        <f>+C18</f>
        <v>(****)</v>
      </c>
      <c r="E18" s="64" t="str">
        <f>+D18</f>
        <v>(****)</v>
      </c>
      <c r="F18" s="64" t="str">
        <f>+D18</f>
        <v>(****)</v>
      </c>
      <c r="G18" s="65" t="str">
        <f t="shared" si="2"/>
        <v>(****)</v>
      </c>
      <c r="H18" s="50"/>
    </row>
    <row r="19" spans="2:19" ht="15" thickTop="1">
      <c r="G19" s="6"/>
    </row>
    <row r="20" spans="2:19" s="50" customFormat="1" ht="40.700000000000003" customHeight="1">
      <c r="B20" s="693" t="s">
        <v>187</v>
      </c>
      <c r="C20" s="693"/>
      <c r="D20" s="693"/>
      <c r="E20" s="693"/>
      <c r="F20" s="693"/>
    </row>
    <row r="21" spans="2:19" s="50" customFormat="1" ht="24" customHeight="1">
      <c r="B21" s="750" t="s">
        <v>219</v>
      </c>
      <c r="C21" s="750"/>
      <c r="D21" s="750"/>
      <c r="E21" s="750"/>
      <c r="F21" s="750"/>
    </row>
    <row r="22" spans="2:19" s="50" customFormat="1" ht="5.45" customHeight="1">
      <c r="B22" s="220"/>
      <c r="C22" s="220"/>
      <c r="D22" s="220"/>
      <c r="E22" s="220"/>
      <c r="F22" s="220"/>
    </row>
    <row r="23" spans="2:19" s="50" customFormat="1" ht="17.45" customHeight="1">
      <c r="B23" s="693" t="s">
        <v>190</v>
      </c>
      <c r="C23" s="693"/>
      <c r="D23" s="693"/>
      <c r="E23" s="693"/>
      <c r="F23" s="693"/>
    </row>
    <row r="24" spans="2:19" s="50" customFormat="1" ht="3.75" customHeight="1">
      <c r="B24" s="214"/>
      <c r="C24" s="214"/>
      <c r="D24" s="214"/>
      <c r="E24" s="214"/>
      <c r="F24" s="214"/>
    </row>
    <row r="25" spans="2:19" s="50" customFormat="1" ht="17.45" customHeight="1">
      <c r="B25" s="693" t="s">
        <v>205</v>
      </c>
      <c r="C25" s="693"/>
      <c r="D25" s="693"/>
      <c r="E25" s="693"/>
      <c r="F25" s="693"/>
    </row>
    <row r="26" spans="2:19" s="50" customFormat="1" ht="8.4499999999999993" customHeight="1">
      <c r="B26" s="214"/>
      <c r="C26" s="214"/>
      <c r="D26" s="214"/>
      <c r="E26" s="214"/>
      <c r="F26" s="214"/>
    </row>
    <row r="27" spans="2:19" s="50" customFormat="1" ht="25.5" customHeight="1">
      <c r="B27" s="693" t="s">
        <v>191</v>
      </c>
      <c r="C27" s="693"/>
      <c r="D27" s="693"/>
      <c r="E27" s="693"/>
      <c r="F27" s="693"/>
      <c r="G27" s="693"/>
    </row>
    <row r="28" spans="2:19" ht="7.5" customHeight="1">
      <c r="B28" s="215"/>
      <c r="C28" s="215"/>
      <c r="D28" s="215"/>
      <c r="E28" s="215"/>
      <c r="F28" s="215"/>
    </row>
    <row r="29" spans="2:19" ht="45.6" customHeight="1">
      <c r="B29" s="696" t="s">
        <v>230</v>
      </c>
      <c r="C29" s="696"/>
      <c r="D29" s="696"/>
      <c r="E29" s="696"/>
      <c r="F29" s="696"/>
      <c r="G29" s="696"/>
    </row>
    <row r="30" spans="2:19" ht="10.9" customHeight="1"/>
    <row r="31" spans="2:19">
      <c r="B31" s="750" t="s">
        <v>221</v>
      </c>
      <c r="C31" s="750"/>
      <c r="D31" s="750"/>
      <c r="E31" s="750"/>
      <c r="F31" s="750"/>
    </row>
    <row r="33" spans="2:7">
      <c r="B33" s="220"/>
      <c r="C33" s="220"/>
      <c r="D33" s="220"/>
      <c r="E33" s="220"/>
      <c r="F33" s="220"/>
    </row>
    <row r="34" spans="2:7" ht="94.15" customHeight="1">
      <c r="B34" s="754" t="s">
        <v>332</v>
      </c>
      <c r="C34" s="754"/>
      <c r="D34" s="754"/>
      <c r="E34" s="754"/>
      <c r="F34" s="754"/>
      <c r="G34" s="754"/>
    </row>
    <row r="39" spans="2:7">
      <c r="B39" s="733"/>
      <c r="C39" s="733"/>
      <c r="D39" s="733"/>
      <c r="E39" s="733"/>
      <c r="F39" s="733"/>
    </row>
  </sheetData>
  <sheetProtection algorithmName="SHA-512" hashValue="O3Ave52xjOA3xS1v7j2QwDD0paCldult/Lox9UjSX+04YKqaFLHYTAjTjgvflzXOcCKNXaRt4umQYOV+QmB0LA==" saltValue="ShxU+ZOQEG06Hc5wDjGtPw==" spinCount="100000" sheet="1" objects="1" scenarios="1"/>
  <mergeCells count="13">
    <mergeCell ref="B29:G29"/>
    <mergeCell ref="B3:G3"/>
    <mergeCell ref="I1:M2"/>
    <mergeCell ref="B39:F39"/>
    <mergeCell ref="B20:F20"/>
    <mergeCell ref="B21:F21"/>
    <mergeCell ref="B31:F31"/>
    <mergeCell ref="B23:F23"/>
    <mergeCell ref="B25:F25"/>
    <mergeCell ref="B1:G1"/>
    <mergeCell ref="B2:G2"/>
    <mergeCell ref="B34:G34"/>
    <mergeCell ref="B27:G27"/>
  </mergeCells>
  <phoneticPr fontId="14"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pageSetUpPr fitToPage="1"/>
  </sheetPr>
  <dimension ref="A1:P80"/>
  <sheetViews>
    <sheetView zoomScale="70" zoomScaleNormal="70" workbookViewId="0">
      <selection activeCell="K21" sqref="J21:K21"/>
    </sheetView>
  </sheetViews>
  <sheetFormatPr baseColWidth="10" defaultColWidth="9.85546875" defaultRowHeight="14.25" outlineLevelRow="1" outlineLevelCol="2"/>
  <cols>
    <col min="1" max="2" width="9.85546875" style="2" customWidth="1"/>
    <col min="3" max="3" width="46.7109375" style="2" customWidth="1"/>
    <col min="4" max="4" width="23.7109375" style="2" customWidth="1"/>
    <col min="5" max="5" width="27.7109375" style="2" customWidth="1"/>
    <col min="6" max="6" width="28.5703125" style="2" customWidth="1" outlineLevel="1"/>
    <col min="7" max="7" width="10.28515625" style="2" hidden="1" customWidth="1" outlineLevel="2"/>
    <col min="8" max="8" width="12.5703125" style="2" hidden="1" customWidth="1" outlineLevel="2"/>
    <col min="9" max="9" width="15.5703125" style="2" hidden="1" customWidth="1" outlineLevel="1" collapsed="1"/>
    <col min="10" max="10" width="29.28515625" style="2" customWidth="1" outlineLevel="1"/>
    <col min="11" max="11" width="14" style="2" customWidth="1"/>
    <col min="12" max="12" width="18.85546875" style="2" customWidth="1"/>
    <col min="13" max="13" width="15.7109375" style="2" bestFit="1" customWidth="1"/>
    <col min="14" max="16384" width="9.85546875" style="2"/>
  </cols>
  <sheetData>
    <row r="1" spans="3:13" ht="15.75">
      <c r="C1" s="760" t="s">
        <v>167</v>
      </c>
      <c r="D1" s="760"/>
      <c r="E1" s="760"/>
      <c r="F1" s="760"/>
      <c r="G1" s="760"/>
      <c r="H1" s="760"/>
    </row>
    <row r="2" spans="3:13" ht="15.75">
      <c r="C2" s="760" t="s">
        <v>26</v>
      </c>
      <c r="D2" s="760"/>
      <c r="E2" s="760"/>
      <c r="F2" s="760"/>
      <c r="G2" s="760"/>
      <c r="H2" s="760"/>
    </row>
    <row r="3" spans="3:13" ht="15.75">
      <c r="C3" s="760" t="s">
        <v>13</v>
      </c>
      <c r="D3" s="760"/>
      <c r="E3" s="760"/>
      <c r="F3" s="760"/>
      <c r="G3" s="760"/>
      <c r="H3" s="760"/>
      <c r="J3" s="4"/>
    </row>
    <row r="4" spans="3:13" ht="24.75" customHeight="1" thickBot="1">
      <c r="C4" s="213" t="str">
        <f>+'COMBUSTIBLES '!A54</f>
        <v>01.enero.2025</v>
      </c>
      <c r="D4" s="18"/>
      <c r="E4" s="19"/>
      <c r="F4" s="762"/>
      <c r="G4" s="762"/>
      <c r="H4" s="26"/>
      <c r="I4" s="26"/>
      <c r="J4" s="425"/>
    </row>
    <row r="5" spans="3:13" ht="45.2" customHeight="1" thickTop="1">
      <c r="C5" s="71" t="s">
        <v>14</v>
      </c>
      <c r="D5" s="227" t="s">
        <v>314</v>
      </c>
      <c r="E5" s="227" t="s">
        <v>208</v>
      </c>
      <c r="F5" s="227" t="s">
        <v>227</v>
      </c>
      <c r="I5" s="227" t="s">
        <v>209</v>
      </c>
      <c r="J5" s="228" t="s">
        <v>259</v>
      </c>
    </row>
    <row r="6" spans="3:13" ht="22.7" customHeight="1">
      <c r="C6" s="229" t="s">
        <v>17</v>
      </c>
      <c r="D6" s="222">
        <f>'COMBUSTIBLES '!E7</f>
        <v>5347.41</v>
      </c>
      <c r="E6" s="222">
        <f>+D6</f>
        <v>5347.41</v>
      </c>
      <c r="F6" s="222">
        <f>+E6*80%</f>
        <v>4277.9279999999999</v>
      </c>
      <c r="I6" s="222">
        <f>+BIODIESEL!B7*4%+(F6)*96%</f>
        <v>4969.7028799999998</v>
      </c>
      <c r="J6" s="231">
        <f>+BIODIESEL!B7*2%+(F6)*98%</f>
        <v>4623.8154399999994</v>
      </c>
      <c r="K6" s="20"/>
      <c r="L6" s="20"/>
      <c r="M6" s="20"/>
    </row>
    <row r="7" spans="3:13" ht="22.7" customHeight="1">
      <c r="C7" s="232" t="str">
        <f>+'GASOLINA CORRIENTE '!A11</f>
        <v>Impuesto Nacional a la Gasolina y al ACPM</v>
      </c>
      <c r="D7" s="225">
        <f>+'Resoluciones, leyes'!$V$35</f>
        <v>693.65</v>
      </c>
      <c r="E7" s="225">
        <f>+'Resoluciones, leyes'!$V$38</f>
        <v>884.07</v>
      </c>
      <c r="F7" s="225">
        <f>+'Resoluciones, leyes'!$V$38</f>
        <v>884.07</v>
      </c>
      <c r="G7" s="5"/>
      <c r="H7" s="5"/>
      <c r="I7" s="225">
        <f>ROUND(F7*96%,2)</f>
        <v>848.71</v>
      </c>
      <c r="J7" s="72">
        <f>+'Resoluciones, leyes'!$V$37</f>
        <v>679.77</v>
      </c>
      <c r="K7" s="460"/>
    </row>
    <row r="8" spans="3:13" ht="22.7" customHeight="1">
      <c r="C8" s="232" t="str">
        <f>+'GASOLINA CORRIENTE '!A12</f>
        <v>Impuesto sobre las Ventas</v>
      </c>
      <c r="D8" s="303" t="str">
        <f>'COMBUSTIBLES '!E12</f>
        <v>(3)</v>
      </c>
      <c r="E8" s="303" t="str">
        <f>'COMBUSTIBLES '!E12</f>
        <v>(3)</v>
      </c>
      <c r="F8" s="303" t="str">
        <f>+E8</f>
        <v>(3)</v>
      </c>
      <c r="G8" s="304"/>
      <c r="H8" s="304"/>
      <c r="I8" s="303" t="str">
        <f>+F8</f>
        <v>(3)</v>
      </c>
      <c r="J8" s="305" t="str">
        <f>+I8</f>
        <v>(3)</v>
      </c>
    </row>
    <row r="9" spans="3:13" ht="22.7" customHeight="1">
      <c r="C9" s="232" t="str">
        <f>+'GASOLINA CORRIENTE '!A13</f>
        <v>Impuesto al carbono</v>
      </c>
      <c r="D9" s="222">
        <f>+'Resoluciones, leyes'!$V$91</f>
        <v>210.63</v>
      </c>
      <c r="E9" s="222">
        <f>+'Resoluciones, leyes'!$V$91</f>
        <v>210.63</v>
      </c>
      <c r="F9" s="222">
        <f>+'Resoluciones, leyes'!$V$91</f>
        <v>210.63</v>
      </c>
      <c r="I9" s="222">
        <f>ROUND(F9*96%,2)</f>
        <v>202.2</v>
      </c>
      <c r="J9" s="231">
        <f>ROUND(E9*98%,2)</f>
        <v>206.42</v>
      </c>
    </row>
    <row r="10" spans="3:13" ht="22.7" customHeight="1">
      <c r="C10" s="229" t="s">
        <v>192</v>
      </c>
      <c r="D10" s="224" t="str">
        <f>+I10</f>
        <v>(*)</v>
      </c>
      <c r="E10" s="224" t="str">
        <f>+D10</f>
        <v>(*)</v>
      </c>
      <c r="F10" s="224" t="str">
        <f>+E10</f>
        <v>(*)</v>
      </c>
      <c r="I10" s="224" t="s">
        <v>10</v>
      </c>
      <c r="J10" s="291" t="str">
        <f>+I10</f>
        <v>(*)</v>
      </c>
    </row>
    <row r="11" spans="3:13" ht="17.100000000000001" hidden="1" customHeight="1">
      <c r="C11" s="57" t="s">
        <v>189</v>
      </c>
      <c r="D11" s="225"/>
      <c r="E11" s="225"/>
      <c r="F11" s="225"/>
      <c r="I11" s="225">
        <f>+F11</f>
        <v>0</v>
      </c>
      <c r="J11" s="72"/>
    </row>
    <row r="12" spans="3:13" ht="26.45" customHeight="1">
      <c r="C12" s="233" t="s">
        <v>169</v>
      </c>
      <c r="D12" s="226">
        <f>SUM(D6:D11)</f>
        <v>6251.69</v>
      </c>
      <c r="E12" s="226">
        <f>SUM(E6:E11)</f>
        <v>6442.11</v>
      </c>
      <c r="F12" s="226">
        <f>SUM(F6:F11)</f>
        <v>5372.6279999999997</v>
      </c>
      <c r="I12" s="226">
        <f>SUM(I6:I11)</f>
        <v>6020.6128799999997</v>
      </c>
      <c r="J12" s="234">
        <f>SUM(J6:J11)</f>
        <v>5510.005439999999</v>
      </c>
    </row>
    <row r="13" spans="3:13" ht="22.7" customHeight="1" thickBot="1">
      <c r="C13" s="235" t="s">
        <v>8</v>
      </c>
      <c r="D13" s="410" t="str">
        <f>'COMBUSTIBLES '!E16</f>
        <v>(5)</v>
      </c>
      <c r="E13" s="236"/>
      <c r="F13" s="236"/>
      <c r="I13" s="236"/>
      <c r="J13" s="237"/>
    </row>
    <row r="14" spans="3:13" ht="12.2" customHeight="1" thickTop="1">
      <c r="C14" s="221"/>
      <c r="D14" s="17"/>
      <c r="E14" s="17"/>
      <c r="F14" s="294"/>
      <c r="G14" s="294"/>
      <c r="H14" s="294"/>
      <c r="I14" s="26"/>
    </row>
    <row r="15" spans="3:13" ht="18.600000000000001" customHeight="1">
      <c r="C15" s="763" t="s">
        <v>206</v>
      </c>
      <c r="D15" s="763"/>
      <c r="E15" s="763"/>
      <c r="F15" s="763"/>
      <c r="G15" s="763"/>
      <c r="H15" s="763"/>
    </row>
    <row r="16" spans="3:13" ht="49.7" customHeight="1">
      <c r="C16" s="761" t="s">
        <v>326</v>
      </c>
      <c r="D16" s="761"/>
      <c r="E16" s="761"/>
      <c r="F16" s="761"/>
      <c r="G16" s="761"/>
      <c r="H16" s="761"/>
    </row>
    <row r="17" spans="3:11" ht="21" hidden="1" customHeight="1">
      <c r="C17" s="759"/>
      <c r="D17" s="759"/>
      <c r="E17" s="759"/>
      <c r="F17" s="759"/>
      <c r="G17" s="759"/>
      <c r="H17" s="759"/>
    </row>
    <row r="18" spans="3:11">
      <c r="C18" s="759" t="s">
        <v>228</v>
      </c>
      <c r="D18" s="759"/>
      <c r="E18" s="759"/>
      <c r="F18" s="759"/>
      <c r="G18" s="759"/>
      <c r="H18" s="759"/>
    </row>
    <row r="19" spans="3:11" ht="9.9499999999999993" customHeight="1">
      <c r="C19" s="238"/>
      <c r="D19" s="238"/>
      <c r="E19" s="238"/>
      <c r="F19" s="238"/>
      <c r="G19" s="238"/>
      <c r="H19" s="238"/>
    </row>
    <row r="20" spans="3:11">
      <c r="C20" s="711" t="s">
        <v>244</v>
      </c>
      <c r="D20" s="711"/>
      <c r="E20" s="711"/>
      <c r="F20" s="711"/>
      <c r="G20" s="711"/>
      <c r="H20" s="711"/>
      <c r="I20" s="711"/>
      <c r="J20" s="2" t="s">
        <v>138</v>
      </c>
    </row>
    <row r="21" spans="3:11">
      <c r="C21" s="711" t="s">
        <v>242</v>
      </c>
      <c r="D21" s="711"/>
      <c r="E21" s="711"/>
      <c r="F21" s="711"/>
      <c r="G21" s="711"/>
      <c r="H21" s="711"/>
      <c r="I21" s="711"/>
    </row>
    <row r="22" spans="3:11">
      <c r="C22" s="711" t="s">
        <v>243</v>
      </c>
      <c r="D22" s="711"/>
      <c r="E22" s="711"/>
      <c r="F22" s="711"/>
      <c r="G22" s="711"/>
      <c r="H22" s="711"/>
      <c r="I22" s="711"/>
    </row>
    <row r="23" spans="3:11">
      <c r="C23" s="344"/>
      <c r="D23" s="344"/>
      <c r="E23" s="344"/>
      <c r="F23" s="344"/>
      <c r="G23" s="344"/>
      <c r="H23" s="344"/>
      <c r="I23" s="344"/>
    </row>
    <row r="24" spans="3:11">
      <c r="C24" s="344"/>
      <c r="D24" s="344"/>
      <c r="E24" s="344"/>
      <c r="F24" s="344"/>
      <c r="G24" s="344"/>
      <c r="H24" s="344"/>
      <c r="I24" s="344"/>
    </row>
    <row r="25" spans="3:11" ht="15.75">
      <c r="C25" s="760" t="s">
        <v>34</v>
      </c>
      <c r="D25" s="760"/>
      <c r="E25" s="760"/>
      <c r="F25" s="760"/>
      <c r="G25" s="760"/>
      <c r="H25" s="760"/>
      <c r="J25" s="2" t="s">
        <v>138</v>
      </c>
    </row>
    <row r="26" spans="3:11" ht="15.75">
      <c r="C26" s="760" t="s">
        <v>28</v>
      </c>
      <c r="D26" s="760"/>
      <c r="E26" s="760"/>
      <c r="F26" s="760"/>
      <c r="G26" s="760"/>
      <c r="H26" s="760"/>
    </row>
    <row r="27" spans="3:11" ht="15.75">
      <c r="C27" s="760" t="s">
        <v>13</v>
      </c>
      <c r="D27" s="760"/>
      <c r="E27" s="760"/>
      <c r="F27" s="760"/>
      <c r="G27" s="760"/>
      <c r="H27" s="760"/>
    </row>
    <row r="28" spans="3:11" ht="15.75" thickBot="1">
      <c r="C28" s="213" t="str">
        <f>+C4</f>
        <v>01.enero.2025</v>
      </c>
      <c r="D28" s="18"/>
      <c r="E28" s="19"/>
      <c r="F28"/>
      <c r="J28" s="5"/>
    </row>
    <row r="29" spans="3:11" ht="57.2" customHeight="1" thickTop="1">
      <c r="C29" s="71" t="s">
        <v>14</v>
      </c>
      <c r="D29" s="227" t="str">
        <f>+D5</f>
        <v>DIESEL MARINO DM0</v>
      </c>
      <c r="E29" s="227" t="str">
        <f>+E5</f>
        <v>DIESEL MARINO CON CUPO (ART 174 LEY 1607/12)</v>
      </c>
      <c r="F29" s="227" t="str">
        <f>+F5</f>
        <v>DIESEL MARINO CON CUPO (ART 174 LEY 1607/12) CON DESCUENTO****</v>
      </c>
      <c r="G29" s="227" t="s">
        <v>223</v>
      </c>
      <c r="H29" s="227" t="s">
        <v>224</v>
      </c>
      <c r="J29" s="227" t="s">
        <v>311</v>
      </c>
    </row>
    <row r="30" spans="3:11" ht="23.45" customHeight="1">
      <c r="C30" s="229" t="s">
        <v>17</v>
      </c>
      <c r="D30" s="225">
        <f>'COMBUSTIBLES '!E7</f>
        <v>5347.41</v>
      </c>
      <c r="E30" s="222">
        <f>+D30</f>
        <v>5347.41</v>
      </c>
      <c r="F30" s="223">
        <f>+D30*80%</f>
        <v>4277.9279999999999</v>
      </c>
      <c r="G30" s="320">
        <v>1903.2</v>
      </c>
      <c r="H30" s="230">
        <v>1280.03</v>
      </c>
      <c r="J30" s="230">
        <f>+(F30*98%)+(BIODIESEL!B7*2%)</f>
        <v>4623.8154399999994</v>
      </c>
      <c r="K30" s="20"/>
    </row>
    <row r="31" spans="3:11" ht="23.45" customHeight="1">
      <c r="C31" s="232" t="str">
        <f>+C7</f>
        <v>Impuesto Nacional a la Gasolina y al ACPM</v>
      </c>
      <c r="D31" s="225">
        <f>+D7</f>
        <v>693.65</v>
      </c>
      <c r="E31" s="225">
        <f>+'Resoluciones, leyes'!$V$38</f>
        <v>884.07</v>
      </c>
      <c r="F31" s="225">
        <f>+'Resoluciones, leyes'!$V$38</f>
        <v>884.07</v>
      </c>
      <c r="G31" s="321">
        <f>+D31</f>
        <v>693.65</v>
      </c>
      <c r="H31" s="231">
        <f>+F31</f>
        <v>884.07</v>
      </c>
      <c r="J31" s="72">
        <f>+$J$7</f>
        <v>679.77</v>
      </c>
    </row>
    <row r="32" spans="3:11" ht="23.45" customHeight="1">
      <c r="C32" s="232" t="str">
        <f t="shared" ref="C32:C33" si="0">+C8</f>
        <v>Impuesto sobre las Ventas</v>
      </c>
      <c r="D32" s="222"/>
      <c r="E32" s="222"/>
      <c r="F32" s="222"/>
      <c r="G32" s="321"/>
      <c r="H32" s="231"/>
      <c r="J32" s="231"/>
    </row>
    <row r="33" spans="1:10" ht="23.45" customHeight="1">
      <c r="C33" s="232" t="str">
        <f t="shared" si="0"/>
        <v>Impuesto al carbono</v>
      </c>
      <c r="D33" s="222">
        <f>+'Resoluciones, leyes'!$V$91</f>
        <v>210.63</v>
      </c>
      <c r="E33" s="222">
        <f>+'Resoluciones, leyes'!$V$91</f>
        <v>210.63</v>
      </c>
      <c r="F33" s="222">
        <f>+'Resoluciones, leyes'!$V$91</f>
        <v>210.63</v>
      </c>
      <c r="G33" s="321"/>
      <c r="H33" s="231"/>
      <c r="J33" s="72">
        <f>ROUND(F33*98%,2)</f>
        <v>206.42</v>
      </c>
    </row>
    <row r="34" spans="1:10" ht="23.45" customHeight="1">
      <c r="C34" s="229" t="s">
        <v>18</v>
      </c>
      <c r="D34" s="225" t="str">
        <f>+D10</f>
        <v>(*)</v>
      </c>
      <c r="E34" s="225" t="str">
        <f>+D34</f>
        <v>(*)</v>
      </c>
      <c r="F34" s="225" t="str">
        <f>+E34</f>
        <v>(*)</v>
      </c>
      <c r="G34" s="322" t="str">
        <f>+F34</f>
        <v>(*)</v>
      </c>
      <c r="H34" s="72" t="str">
        <f>+G34</f>
        <v>(*)</v>
      </c>
      <c r="J34" s="72">
        <f>+I34</f>
        <v>0</v>
      </c>
    </row>
    <row r="35" spans="1:10" ht="23.45" hidden="1" customHeight="1">
      <c r="C35" s="57"/>
      <c r="D35" s="222"/>
      <c r="E35" s="222"/>
      <c r="F35" s="222"/>
      <c r="G35" s="323"/>
      <c r="H35" s="231"/>
      <c r="J35" s="231"/>
    </row>
    <row r="36" spans="1:10" ht="23.45" customHeight="1">
      <c r="C36" s="239" t="s">
        <v>29</v>
      </c>
      <c r="D36" s="226">
        <f>SUM(D30:D35)</f>
        <v>6251.69</v>
      </c>
      <c r="E36" s="226">
        <f>SUM(E30:E35)</f>
        <v>6442.11</v>
      </c>
      <c r="F36" s="226">
        <f>SUM(F30:F35)</f>
        <v>5372.6279999999997</v>
      </c>
      <c r="G36" s="324">
        <f>SUM(G30:G35)</f>
        <v>2596.85</v>
      </c>
      <c r="H36" s="234">
        <f>SUM(H30:H35)</f>
        <v>2164.1</v>
      </c>
      <c r="J36" s="234">
        <f>SUM(J30:J35)</f>
        <v>5510.005439999999</v>
      </c>
    </row>
    <row r="37" spans="1:10" ht="23.45" customHeight="1">
      <c r="C37" s="73" t="s">
        <v>193</v>
      </c>
      <c r="D37" s="55" t="s">
        <v>10</v>
      </c>
      <c r="E37" s="55" t="str">
        <f>+D37</f>
        <v>(*)</v>
      </c>
      <c r="F37" s="55" t="str">
        <f>E37</f>
        <v>(*)</v>
      </c>
      <c r="G37" s="325" t="str">
        <f>+F37</f>
        <v>(*)</v>
      </c>
      <c r="H37" s="56" t="str">
        <f>G37</f>
        <v>(*)</v>
      </c>
      <c r="J37" s="56" t="str">
        <f>+F37</f>
        <v>(*)</v>
      </c>
    </row>
    <row r="38" spans="1:10" ht="23.45" customHeight="1">
      <c r="C38" s="73" t="s">
        <v>195</v>
      </c>
      <c r="D38" s="55" t="s">
        <v>11</v>
      </c>
      <c r="E38" s="55" t="str">
        <f>+D38</f>
        <v>(**)</v>
      </c>
      <c r="F38" s="55" t="str">
        <f>E38</f>
        <v>(**)</v>
      </c>
      <c r="G38" s="325" t="str">
        <f>+F38</f>
        <v>(**)</v>
      </c>
      <c r="H38" s="56" t="str">
        <f>G38</f>
        <v>(**)</v>
      </c>
      <c r="I38" s="20"/>
      <c r="J38" s="56" t="str">
        <f>+F37</f>
        <v>(*)</v>
      </c>
    </row>
    <row r="39" spans="1:10" ht="23.45" customHeight="1">
      <c r="C39" s="233" t="s">
        <v>30</v>
      </c>
      <c r="D39" s="226">
        <f>SUM(D36:D38)</f>
        <v>6251.69</v>
      </c>
      <c r="E39" s="226">
        <f>SUM(E36:E38)</f>
        <v>6442.11</v>
      </c>
      <c r="F39" s="226">
        <f>SUM(F36:F38)</f>
        <v>5372.6279999999997</v>
      </c>
      <c r="G39" s="324">
        <f>SUM(G36:G38)</f>
        <v>2596.85</v>
      </c>
      <c r="H39" s="234">
        <f>SUM(H36:H38)</f>
        <v>2164.1</v>
      </c>
      <c r="J39" s="234">
        <f>SUM(J36:J38)</f>
        <v>5510.005439999999</v>
      </c>
    </row>
    <row r="40" spans="1:10" ht="23.45" customHeight="1" thickBot="1">
      <c r="C40" s="235" t="s">
        <v>8</v>
      </c>
      <c r="D40" s="411" t="str">
        <f>'COMBUSTIBLES '!E16</f>
        <v>(5)</v>
      </c>
      <c r="E40" s="236"/>
      <c r="F40" s="236"/>
      <c r="G40" s="319"/>
      <c r="H40" s="237"/>
      <c r="J40" s="237"/>
    </row>
    <row r="41" spans="1:10" ht="15" thickTop="1">
      <c r="A41" s="2" t="s">
        <v>138</v>
      </c>
      <c r="C41" s="21" t="s">
        <v>138</v>
      </c>
      <c r="D41" s="22"/>
      <c r="E41" s="22"/>
      <c r="F41" s="5"/>
      <c r="G41" s="5"/>
      <c r="H41" s="5"/>
    </row>
    <row r="42" spans="1:10" ht="15" customHeight="1">
      <c r="C42" s="710" t="s">
        <v>207</v>
      </c>
      <c r="D42" s="710"/>
      <c r="E42" s="710"/>
      <c r="F42" s="710"/>
      <c r="G42" s="710"/>
      <c r="H42" s="710"/>
      <c r="I42" s="710"/>
      <c r="J42" s="710"/>
    </row>
    <row r="43" spans="1:10" ht="18" customHeight="1">
      <c r="C43" s="710" t="s">
        <v>194</v>
      </c>
      <c r="D43" s="710"/>
      <c r="E43" s="710"/>
      <c r="F43" s="710"/>
      <c r="G43" s="710"/>
      <c r="H43" s="710"/>
      <c r="I43" s="710"/>
      <c r="J43" s="710"/>
    </row>
    <row r="44" spans="1:10" ht="65.25" customHeight="1">
      <c r="C44" s="712" t="s">
        <v>225</v>
      </c>
      <c r="D44" s="712"/>
      <c r="E44" s="712"/>
      <c r="F44" s="712"/>
      <c r="G44" s="712"/>
      <c r="H44" s="712"/>
      <c r="I44" s="712"/>
      <c r="J44" s="712"/>
    </row>
    <row r="45" spans="1:10" ht="28.5" customHeight="1">
      <c r="C45" s="759" t="s">
        <v>300</v>
      </c>
      <c r="D45" s="759"/>
      <c r="E45" s="759"/>
      <c r="F45" s="759"/>
      <c r="G45" s="759"/>
      <c r="H45" s="759"/>
      <c r="I45" s="6"/>
      <c r="J45" s="6"/>
    </row>
    <row r="46" spans="1:10" s="6" customFormat="1" ht="18" customHeight="1">
      <c r="C46" s="23"/>
      <c r="D46" s="24"/>
      <c r="E46" s="24"/>
    </row>
    <row r="47" spans="1:10" ht="19.7" customHeight="1">
      <c r="C47" s="396" t="s">
        <v>35</v>
      </c>
      <c r="D47" s="397"/>
      <c r="E47" s="398"/>
      <c r="F47" s="399"/>
    </row>
    <row r="48" spans="1:10" ht="15.75">
      <c r="C48" s="396" t="s">
        <v>31</v>
      </c>
      <c r="D48" s="397"/>
      <c r="E48" s="398"/>
      <c r="F48" s="399"/>
    </row>
    <row r="49" spans="3:13" ht="15.75">
      <c r="C49" s="396" t="s">
        <v>32</v>
      </c>
      <c r="D49" s="397"/>
      <c r="E49" s="398"/>
      <c r="F49" s="399"/>
    </row>
    <row r="50" spans="3:13" ht="15.75">
      <c r="C50" s="396" t="s">
        <v>13</v>
      </c>
      <c r="D50" s="397"/>
      <c r="E50" s="398"/>
      <c r="F50" s="399"/>
    </row>
    <row r="51" spans="3:13" ht="15.75" thickBot="1">
      <c r="C51" s="213" t="str">
        <f>+C28</f>
        <v>01.enero.2025</v>
      </c>
      <c r="D51" s="18"/>
      <c r="E51" s="426"/>
      <c r="F51" s="427"/>
    </row>
    <row r="52" spans="3:13" ht="33" customHeight="1" thickTop="1">
      <c r="C52" s="71" t="s">
        <v>14</v>
      </c>
      <c r="D52" s="227" t="s">
        <v>197</v>
      </c>
      <c r="E52" s="227" t="s">
        <v>313</v>
      </c>
      <c r="F52" s="228" t="s">
        <v>312</v>
      </c>
    </row>
    <row r="53" spans="3:13" ht="26.45" customHeight="1">
      <c r="C53" s="229" t="s">
        <v>198</v>
      </c>
      <c r="D53" s="222">
        <f>+BIODIESEL!D10</f>
        <v>5671.91</v>
      </c>
      <c r="E53" s="222">
        <f>+D53</f>
        <v>5671.91</v>
      </c>
      <c r="F53" s="72">
        <f>+BIODIESEL!B7*2%+('COMBUSTIBLES '!E7*77%)*98%</f>
        <v>4466.6015859999998</v>
      </c>
      <c r="G53" s="293"/>
      <c r="J53" s="328"/>
      <c r="K53" s="20"/>
      <c r="L53" s="328"/>
      <c r="M53" s="20"/>
    </row>
    <row r="54" spans="3:13" ht="26.45" customHeight="1">
      <c r="C54" s="229" t="str">
        <f>+C31</f>
        <v>Impuesto Nacional a la Gasolina y al ACPM</v>
      </c>
      <c r="D54" s="225">
        <f>+'Resoluciones, leyes'!V37</f>
        <v>679.77</v>
      </c>
      <c r="E54" s="225">
        <f>+ROUND('Resoluciones, leyes'!$V$38*98%,2)</f>
        <v>866.39</v>
      </c>
      <c r="F54" s="225">
        <f>+ROUND('Resoluciones, leyes'!$V$38*98%,2)</f>
        <v>866.39</v>
      </c>
      <c r="G54" s="20"/>
      <c r="J54" s="393"/>
    </row>
    <row r="55" spans="3:13" ht="26.45" customHeight="1">
      <c r="C55" s="229" t="str">
        <f>+C32</f>
        <v>Impuesto sobre las Ventas</v>
      </c>
      <c r="D55" s="303" t="str">
        <f>+'COMBUSTIBLES '!C12</f>
        <v>(3)</v>
      </c>
      <c r="E55" s="303" t="str">
        <f>+D55</f>
        <v>(3)</v>
      </c>
      <c r="F55" s="305" t="str">
        <f>+E55</f>
        <v>(3)</v>
      </c>
      <c r="G55" s="20"/>
    </row>
    <row r="56" spans="3:13" ht="26.45" customHeight="1">
      <c r="C56" s="229" t="str">
        <f>+C33</f>
        <v>Impuesto al carbono</v>
      </c>
      <c r="D56" s="222">
        <f>+D9*98%</f>
        <v>206.41739999999999</v>
      </c>
      <c r="E56" s="222">
        <f>+E33*98%</f>
        <v>206.41739999999999</v>
      </c>
      <c r="F56" s="231">
        <f>E56</f>
        <v>206.41739999999999</v>
      </c>
      <c r="G56" s="20"/>
    </row>
    <row r="57" spans="3:13" ht="26.45" customHeight="1">
      <c r="C57" s="229" t="s">
        <v>196</v>
      </c>
      <c r="D57" s="326" t="s">
        <v>10</v>
      </c>
      <c r="E57" s="55" t="str">
        <f>+D57</f>
        <v>(*)</v>
      </c>
      <c r="F57" s="56" t="str">
        <f>+E57</f>
        <v>(*)</v>
      </c>
    </row>
    <row r="58" spans="3:13" ht="26.45" customHeight="1">
      <c r="C58" s="229" t="s">
        <v>184</v>
      </c>
      <c r="D58" s="300">
        <v>32.44</v>
      </c>
      <c r="E58" s="225">
        <f>+D58</f>
        <v>32.44</v>
      </c>
      <c r="F58" s="72">
        <f>+E58</f>
        <v>32.44</v>
      </c>
    </row>
    <row r="59" spans="3:13" ht="26.45" hidden="1" customHeight="1">
      <c r="C59" s="57"/>
      <c r="D59" s="222"/>
      <c r="E59" s="222"/>
      <c r="F59" s="231"/>
    </row>
    <row r="60" spans="3:13" ht="26.45" customHeight="1">
      <c r="C60" s="229" t="s">
        <v>27</v>
      </c>
      <c r="D60" s="240">
        <f>SUM(D53:D59)</f>
        <v>6590.5374000000002</v>
      </c>
      <c r="E60" s="240">
        <f>SUM(E53:E59)</f>
        <v>6777.1574000000001</v>
      </c>
      <c r="F60" s="241">
        <f>SUM(F53:F59)</f>
        <v>5571.848986</v>
      </c>
      <c r="I60" s="20"/>
    </row>
    <row r="61" spans="3:13" ht="37.15" customHeight="1">
      <c r="C61" s="233" t="s">
        <v>33</v>
      </c>
      <c r="D61" s="242">
        <f>SUM(D60:D60)</f>
        <v>6590.5374000000002</v>
      </c>
      <c r="E61" s="242">
        <f>SUM(E60:E60)</f>
        <v>6777.1574000000001</v>
      </c>
      <c r="F61" s="243">
        <f>SUM(F60:F60)</f>
        <v>5571.848986</v>
      </c>
    </row>
    <row r="62" spans="3:13" ht="37.15" customHeight="1" thickBot="1">
      <c r="C62" s="235" t="s">
        <v>40</v>
      </c>
      <c r="D62" s="411" t="str">
        <f>D40</f>
        <v>(5)</v>
      </c>
      <c r="E62" s="236"/>
      <c r="F62" s="237"/>
    </row>
    <row r="63" spans="3:13" ht="18.600000000000001" customHeight="1" thickTop="1">
      <c r="C63" s="756" t="s">
        <v>138</v>
      </c>
      <c r="D63" s="757"/>
      <c r="E63" s="757"/>
      <c r="F63" s="5"/>
    </row>
    <row r="64" spans="3:13" ht="18.600000000000001" customHeight="1">
      <c r="C64" s="711" t="s">
        <v>260</v>
      </c>
      <c r="D64" s="711"/>
      <c r="E64" s="711"/>
      <c r="F64" s="711"/>
    </row>
    <row r="65" spans="3:16" ht="18.600000000000001" customHeight="1">
      <c r="C65" s="711" t="s">
        <v>327</v>
      </c>
      <c r="D65" s="711"/>
      <c r="E65" s="711"/>
      <c r="F65" s="711"/>
    </row>
    <row r="66" spans="3:16" ht="9.9499999999999993" customHeight="1">
      <c r="C66" s="344"/>
      <c r="D66" s="344"/>
      <c r="E66" s="344"/>
      <c r="F66" s="344"/>
    </row>
    <row r="67" spans="3:16" ht="40.700000000000003" customHeight="1">
      <c r="C67" s="696" t="s">
        <v>257</v>
      </c>
      <c r="D67" s="696"/>
      <c r="E67" s="696"/>
      <c r="F67" s="696"/>
      <c r="G67" s="696"/>
      <c r="H67" s="696"/>
      <c r="I67" s="696"/>
    </row>
    <row r="68" spans="3:16" ht="44.45" customHeight="1">
      <c r="C68" s="758"/>
      <c r="D68" s="758"/>
      <c r="E68" s="758"/>
      <c r="F68" s="758"/>
    </row>
    <row r="72" spans="3:16" ht="19.7" hidden="1" customHeight="1" outlineLevel="1">
      <c r="C72" s="212" t="s">
        <v>249</v>
      </c>
      <c r="D72" s="212" t="s">
        <v>163</v>
      </c>
      <c r="E72" s="212" t="s">
        <v>164</v>
      </c>
      <c r="F72" s="212" t="s">
        <v>165</v>
      </c>
    </row>
    <row r="73" spans="3:16" ht="19.7" hidden="1" customHeight="1" outlineLevel="1">
      <c r="C73" s="210" t="s">
        <v>315</v>
      </c>
      <c r="D73" s="211">
        <f>+E6</f>
        <v>5347.41</v>
      </c>
      <c r="E73" s="211">
        <f>+F6</f>
        <v>4277.9279999999999</v>
      </c>
      <c r="F73" s="306">
        <f t="shared" ref="F73:F76" si="1">+D73-E73</f>
        <v>1069.482</v>
      </c>
      <c r="I73" s="311" t="s">
        <v>252</v>
      </c>
      <c r="J73" s="347" t="s">
        <v>252</v>
      </c>
      <c r="K73" s="340">
        <v>912.6</v>
      </c>
      <c r="L73" s="20">
        <f>+F73-K73</f>
        <v>156.88199999999995</v>
      </c>
      <c r="N73" s="2" t="s">
        <v>275</v>
      </c>
    </row>
    <row r="74" spans="3:16" ht="20.100000000000001" hidden="1" customHeight="1" outlineLevel="1">
      <c r="C74" s="210" t="s">
        <v>316</v>
      </c>
      <c r="D74" s="210">
        <f>+BIODIESEL!D10</f>
        <v>5671.91</v>
      </c>
      <c r="E74" s="211">
        <f>+J6</f>
        <v>4623.8154399999994</v>
      </c>
      <c r="F74" s="306">
        <f t="shared" si="1"/>
        <v>1048.0945600000005</v>
      </c>
      <c r="I74" s="311" t="s">
        <v>252</v>
      </c>
      <c r="J74" s="347" t="s">
        <v>346</v>
      </c>
      <c r="K74" s="340">
        <v>894.35</v>
      </c>
      <c r="L74" s="20">
        <f t="shared" ref="L74:L77" si="2">+F74-K74</f>
        <v>153.74456000000043</v>
      </c>
      <c r="O74" s="346" t="s">
        <v>276</v>
      </c>
    </row>
    <row r="75" spans="3:16" ht="19.7" hidden="1" customHeight="1" outlineLevel="1">
      <c r="C75" s="307" t="s">
        <v>248</v>
      </c>
      <c r="D75" s="308">
        <f>+E6</f>
        <v>5347.41</v>
      </c>
      <c r="E75" s="339">
        <f>+D75*77%</f>
        <v>4117.5056999999997</v>
      </c>
      <c r="F75" s="345">
        <f t="shared" si="1"/>
        <v>1229.9043000000001</v>
      </c>
      <c r="I75" s="311" t="s">
        <v>252</v>
      </c>
      <c r="J75" s="347" t="s">
        <v>252</v>
      </c>
      <c r="K75" s="340">
        <v>2281.5</v>
      </c>
      <c r="L75" s="20">
        <f t="shared" si="2"/>
        <v>-1051.5956999999999</v>
      </c>
      <c r="O75" s="347">
        <f>+D75-D75*0.77</f>
        <v>1229.9043000000001</v>
      </c>
      <c r="P75" s="2" t="s">
        <v>277</v>
      </c>
    </row>
    <row r="76" spans="3:16" ht="19.7" hidden="1" customHeight="1" outlineLevel="1">
      <c r="C76" s="307" t="s">
        <v>247</v>
      </c>
      <c r="D76" s="308">
        <f>D53</f>
        <v>5671.91</v>
      </c>
      <c r="E76" s="308">
        <f>F53</f>
        <v>4466.6015859999998</v>
      </c>
      <c r="F76" s="345">
        <f t="shared" si="1"/>
        <v>1205.3084140000001</v>
      </c>
      <c r="I76" s="311"/>
      <c r="J76" s="347" t="s">
        <v>345</v>
      </c>
      <c r="K76" s="340">
        <v>2235.87</v>
      </c>
      <c r="L76" s="20">
        <f t="shared" si="2"/>
        <v>-1030.5615859999998</v>
      </c>
      <c r="O76" s="382">
        <f>+D76-D75*0.98*0.77-13242.08*0.02</f>
        <v>1371.9128139999996</v>
      </c>
    </row>
    <row r="77" spans="3:16" ht="22.9" hidden="1" customHeight="1" outlineLevel="1">
      <c r="C77" s="210" t="s">
        <v>261</v>
      </c>
      <c r="D77" s="420">
        <f>+D30</f>
        <v>5347.41</v>
      </c>
      <c r="E77" s="211">
        <f>+F30</f>
        <v>4277.9279999999999</v>
      </c>
      <c r="F77" s="211">
        <f>+D77-E77</f>
        <v>1069.482</v>
      </c>
      <c r="J77" s="347" t="s">
        <v>252</v>
      </c>
      <c r="K77" s="340">
        <v>912.6</v>
      </c>
      <c r="L77" s="20">
        <f t="shared" si="2"/>
        <v>156.88199999999995</v>
      </c>
      <c r="O77" s="20"/>
    </row>
    <row r="78" spans="3:16" collapsed="1">
      <c r="D78" s="328"/>
      <c r="K78" s="340"/>
    </row>
    <row r="79" spans="3:16">
      <c r="D79" s="328"/>
      <c r="J79" s="20"/>
    </row>
    <row r="80" spans="3:16" ht="143.44999999999999" customHeight="1">
      <c r="C80" s="755" t="s">
        <v>333</v>
      </c>
      <c r="D80" s="755"/>
      <c r="E80" s="755"/>
      <c r="F80" s="755"/>
      <c r="G80" s="755"/>
      <c r="J80" s="20"/>
    </row>
  </sheetData>
  <sheetProtection algorithmName="SHA-512" hashValue="6Orw5GKpQv5lBUanDOi6UsiHOujD/mjMR5gHEvLNZF2vz6fdfLQF8B0LAOf3YwGYZtQsznJBM6mxnPLrY3i8wQ==" saltValue="Cx9dbP/hUuL2IQjm0w6XJg==" spinCount="100000" sheet="1" objects="1" scenarios="1"/>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29</vt:i4>
      </vt:variant>
    </vt:vector>
  </HeadingPairs>
  <TitlesOfParts>
    <vt:vector size="60" baseType="lpstr">
      <vt:lpstr>Resoluciones, leyes</vt:lpstr>
      <vt:lpstr>TARIFAS DE TRANSPORTE</vt:lpstr>
      <vt:lpstr>Fechas</vt:lpstr>
      <vt:lpstr>COMBUSTIBLES </vt:lpstr>
      <vt:lpstr>GASOLINA CORRIENTE </vt:lpstr>
      <vt:lpstr>GASOLINA EXTRA</vt:lpstr>
      <vt:lpstr>BIODIESEL</vt:lpstr>
      <vt:lpstr>SAN-ANDRES + GENERACION</vt:lpstr>
      <vt:lpstr>DIESEL MARINO</vt:lpstr>
      <vt:lpstr>GCINI 31 Ag al 02 de Sep</vt:lpstr>
      <vt:lpstr>GCINI 03 al 09 de Sep</vt:lpstr>
      <vt:lpstr>GCINI 10 al 16 de Sep</vt:lpstr>
      <vt:lpstr>GCINI 17 al 23 de Sep</vt:lpstr>
      <vt:lpstr>GCINI 24 al 30 de Sep</vt:lpstr>
      <vt:lpstr>GR. CONSU. 31 Agost 02 de sep</vt:lpstr>
      <vt:lpstr>GR. CONSU. 03 al 09 de Sep</vt:lpstr>
      <vt:lpstr>GR. CONSU. 10 al 16 de Sep</vt:lpstr>
      <vt:lpstr>GR. CONSU. 17 al 23 de Sep</vt:lpstr>
      <vt:lpstr>GR. CONSU. 24 al 30 de Sep</vt:lpstr>
      <vt:lpstr>GCINI 31 DIC al 07 de Ene 2025</vt:lpstr>
      <vt:lpstr>GCINI 08 al 13 de ENERO 2025</vt:lpstr>
      <vt:lpstr>GCINI  14 al 20 de ENERO 2025</vt:lpstr>
      <vt:lpstr>GCINI  21 al 27 de ENERO 2025</vt:lpstr>
      <vt:lpstr>GCINI  28 al 31 de ENERO 2025</vt:lpstr>
      <vt:lpstr>GR. Cons 31 DiC 06 ENE 2025</vt:lpstr>
      <vt:lpstr>GR. Cons 07 al 13 ENE 2025</vt:lpstr>
      <vt:lpstr>GR. Cons 14 al 20 ENE 2025 </vt:lpstr>
      <vt:lpstr>GR. Cons 21 al 27 ENE 2025</vt:lpstr>
      <vt:lpstr>GR. Cons 28 al 31 ENE</vt:lpstr>
      <vt:lpstr>BI ECOPETROL</vt:lpstr>
      <vt:lpstr>BI RCSA</vt:lpstr>
      <vt:lpstr>BIODIESEL!Área_de_impresión</vt:lpstr>
      <vt:lpstr>'COMBUSTIBLES '!Área_de_impresión</vt:lpstr>
      <vt:lpstr>'DIESEL MARINO'!Área_de_impresión</vt:lpstr>
      <vt:lpstr>'GASOLINA CORRIENTE '!Área_de_impresión</vt:lpstr>
      <vt:lpstr>'GCINI  14 al 20 de ENERO 2025'!Área_de_impresión</vt:lpstr>
      <vt:lpstr>'GCINI  21 al 27 de ENERO 2025'!Área_de_impresión</vt:lpstr>
      <vt:lpstr>'GCINI  28 al 31 de ENERO 2025'!Área_de_impresión</vt:lpstr>
      <vt:lpstr>'GCINI 03 al 09 de Sep'!Área_de_impresión</vt:lpstr>
      <vt:lpstr>'GCINI 08 al 13 de ENERO 2025'!Área_de_impresión</vt:lpstr>
      <vt:lpstr>'GCINI 10 al 16 de Sep'!Área_de_impresión</vt:lpstr>
      <vt:lpstr>'GCINI 17 al 23 de Sep'!Área_de_impresión</vt:lpstr>
      <vt:lpstr>'GCINI 24 al 30 de Sep'!Área_de_impresión</vt:lpstr>
      <vt:lpstr>'GCINI 31 Ag al 02 de Sep'!Área_de_impresión</vt:lpstr>
      <vt:lpstr>'GCINI 31 DIC al 07 de Ene 2025'!Área_de_impresión</vt:lpstr>
      <vt:lpstr>'GR. Cons 07 al 13 ENE 2025'!Área_de_impresión</vt:lpstr>
      <vt:lpstr>'GR. Cons 14 al 20 ENE 2025 '!Área_de_impresión</vt:lpstr>
      <vt:lpstr>'GR. Cons 21 al 27 ENE 2025'!Área_de_impresión</vt:lpstr>
      <vt:lpstr>'GR. Cons 28 al 31 ENE'!Área_de_impresión</vt:lpstr>
      <vt:lpstr>'GR. Cons 31 DiC 06 ENE 2025'!Área_de_impresión</vt:lpstr>
      <vt:lpstr>'GR. CONSU. 03 al 09 de Sep'!Área_de_impresión</vt:lpstr>
      <vt:lpstr>'GR. CONSU. 10 al 16 de Sep'!Área_de_impresión</vt:lpstr>
      <vt:lpstr>'GR. CONSU. 17 al 23 de Sep'!Área_de_impresión</vt:lpstr>
      <vt:lpstr>'GR. CONSU. 24 al 30 de Sep'!Área_de_impresión</vt:lpstr>
      <vt:lpstr>'GR. CONSU. 31 Agost 02 de sep'!Área_de_impresión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Helber Froilan Martinez Puerto</cp:lastModifiedBy>
  <cp:lastPrinted>2024-09-25T14:33:16Z</cp:lastPrinted>
  <dcterms:created xsi:type="dcterms:W3CDTF">2003-04-09T13:52:41Z</dcterms:created>
  <dcterms:modified xsi:type="dcterms:W3CDTF">2025-02-13T15:16:53Z</dcterms:modified>
</cp:coreProperties>
</file>