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orp1-a\apps\Teusaca\Precios PME\GESTIÓN\GRE_GPI PRECIOS\COMBUSTIBLES\2020\05 20 Mayo\Publicación\"/>
    </mc:Choice>
  </mc:AlternateContent>
  <workbookProtection workbookPassword="C712" lockStructure="1"/>
  <bookViews>
    <workbookView xWindow="0" yWindow="0" windowWidth="19200" windowHeight="7455" tabRatio="881"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'!$A$1:$V$46</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102T5">RUBROS!$B$102</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23" l="1"/>
  <c r="B53" i="28" s="1"/>
  <c r="B29" i="27"/>
  <c r="C15" i="27"/>
  <c r="B29" i="21"/>
  <c r="C15" i="20"/>
  <c r="B29" i="20"/>
  <c r="B54" i="19"/>
  <c r="B30" i="17"/>
  <c r="B29" i="15"/>
  <c r="C14" i="15"/>
  <c r="C39" i="12"/>
  <c r="C14" i="12"/>
  <c r="B53" i="12"/>
  <c r="B29" i="11"/>
  <c r="AA29" i="2"/>
  <c r="L29" i="2"/>
  <c r="B29" i="10"/>
  <c r="AA41" i="2"/>
  <c r="AA40" i="2"/>
  <c r="AK39" i="2"/>
  <c r="AO42" i="2"/>
  <c r="M5" i="30" l="1"/>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B1"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H14" i="9"/>
  <c r="H13" i="9"/>
  <c r="F13" i="9"/>
  <c r="H9" i="9"/>
  <c r="G9" i="9"/>
  <c r="H8" i="9"/>
  <c r="G8" i="9"/>
  <c r="E21" i="3"/>
  <c r="D21" i="3"/>
  <c r="C21" i="3"/>
  <c r="C38" i="3" l="1"/>
  <c r="H38" i="3" s="1"/>
  <c r="C33" i="3"/>
  <c r="E27" i="3"/>
  <c r="P17" i="30" s="1"/>
  <c r="E31" i="3"/>
  <c r="P21" i="30" s="1"/>
  <c r="E35" i="3"/>
  <c r="P25" i="30" s="1"/>
  <c r="E25" i="3"/>
  <c r="P15" i="30" s="1"/>
  <c r="E26" i="3"/>
  <c r="P16" i="30" s="1"/>
  <c r="E38" i="3"/>
  <c r="P45" i="30" s="1"/>
  <c r="E28" i="3"/>
  <c r="E32" i="3"/>
  <c r="P20" i="29" s="1"/>
  <c r="E36" i="3"/>
  <c r="P26" i="30" s="1"/>
  <c r="E34" i="3"/>
  <c r="E29" i="3"/>
  <c r="E33" i="3"/>
  <c r="E37" i="3"/>
  <c r="P27" i="30" s="1"/>
  <c r="E30" i="3"/>
  <c r="B25" i="3"/>
  <c r="B38" i="3"/>
  <c r="P46" i="30" s="1"/>
  <c r="B26" i="3"/>
  <c r="P29" i="30" s="1"/>
  <c r="B33" i="3"/>
  <c r="P40" i="30" s="1"/>
  <c r="B35" i="3"/>
  <c r="P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B31" i="3"/>
  <c r="P34" i="30" s="1"/>
  <c r="B29" i="3"/>
  <c r="B27" i="3"/>
  <c r="P30" i="30" s="1"/>
  <c r="C37" i="3"/>
  <c r="H37" i="3" s="1"/>
  <c r="C34" i="3"/>
  <c r="H34" i="3" s="1"/>
  <c r="C32" i="3"/>
  <c r="H32" i="3" s="1"/>
  <c r="C30" i="3"/>
  <c r="H30" i="3" s="1"/>
  <c r="C28" i="3"/>
  <c r="H28" i="3" s="1"/>
  <c r="B37" i="3"/>
  <c r="P39" i="30" s="1"/>
  <c r="B34" i="3"/>
  <c r="P36" i="30" s="1"/>
  <c r="B32" i="3"/>
  <c r="B30" i="3"/>
  <c r="B28" i="3"/>
  <c r="H33" i="3" l="1"/>
  <c r="P42" i="30"/>
  <c r="P22" i="29"/>
  <c r="F8" i="19"/>
  <c r="F17" i="19" s="1"/>
  <c r="F21" i="19" s="1"/>
  <c r="H21" i="19"/>
  <c r="P28" i="30"/>
  <c r="G25" i="3"/>
  <c r="D8" i="9" s="1"/>
  <c r="P20" i="30"/>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2" i="28"/>
  <c r="F40" i="28" s="1"/>
  <c r="F44" i="28" s="1"/>
  <c r="P24" i="30"/>
  <c r="P23" i="30"/>
  <c r="C8" i="10"/>
  <c r="C17" i="10" s="1"/>
  <c r="C21" i="10" s="1"/>
  <c r="P10" i="29"/>
  <c r="D30" i="3"/>
  <c r="F30" i="3" s="1"/>
  <c r="E8" i="15" s="1"/>
  <c r="E16" i="15" s="1"/>
  <c r="E20" i="15" s="1"/>
  <c r="P4" i="29"/>
  <c r="P11" i="29"/>
  <c r="P35" i="30"/>
  <c r="P5" i="29"/>
  <c r="P8" i="29"/>
  <c r="P32" i="30"/>
  <c r="P7" i="29"/>
  <c r="P31" i="30"/>
  <c r="P6" i="29"/>
  <c r="P9" i="29"/>
  <c r="P33" i="30"/>
  <c r="D28" i="3"/>
  <c r="P2" i="29"/>
  <c r="P3" i="29"/>
  <c r="G26" i="3"/>
  <c r="D8" i="10" s="1"/>
  <c r="D17" i="10" s="1"/>
  <c r="D21" i="10" s="1"/>
  <c r="K49" i="1"/>
  <c r="D32" i="3"/>
  <c r="P15" i="29" s="1"/>
  <c r="K47" i="1"/>
  <c r="D33" i="3"/>
  <c r="F32" i="12"/>
  <c r="F41" i="12" s="1"/>
  <c r="F45" i="12" s="1"/>
  <c r="D29" i="3"/>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8" i="3" l="1"/>
  <c r="E32" i="28" s="1"/>
  <c r="E40" i="28" s="1"/>
  <c r="E44" i="28" s="1"/>
  <c r="P44" i="30"/>
  <c r="F36" i="3"/>
  <c r="E8" i="23" s="1"/>
  <c r="E16" i="23" s="1"/>
  <c r="E20" i="23" s="1"/>
  <c r="F34" i="3"/>
  <c r="E8" i="21" s="1"/>
  <c r="E17" i="21" s="1"/>
  <c r="E21" i="21" s="1"/>
  <c r="F27" i="3"/>
  <c r="E8"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<sst xmlns="http://schemas.openxmlformats.org/spreadsheetml/2006/main" count="2737" uniqueCount="458">
  <si>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</si>
  <si>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</si>
  <si>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</si>
  <si>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</si>
  <si>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</si>
  <si>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</si>
  <si>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</si>
  <si>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</si>
  <si>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</si>
  <si>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</si>
  <si>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</si>
  <si>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</si>
  <si>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</si>
  <si>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</si>
  <si>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</si>
  <si>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</si>
  <si>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</si>
  <si>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</si>
  <si>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</si>
  <si>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</si>
  <si>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</si>
  <si>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</si>
  <si>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</si>
  <si>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</si>
  <si>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</si>
  <si>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</si>
  <si>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</si>
  <si>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</si>
  <si>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</si>
  <si>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</si>
  <si>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</si>
  <si>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</si>
  <si>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</si>
  <si>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</si>
  <si>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</si>
  <si>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</si>
  <si>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</si>
  <si>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</si>
  <si>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</si>
  <si>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</si>
  <si>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</si>
  <si>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</si>
  <si>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</si>
  <si>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</si>
  <si>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</si>
  <si>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</si>
  <si>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</si>
  <si>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</si>
  <si>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</si>
  <si>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</si>
  <si>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</si>
  <si>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</si>
  <si>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</si>
  <si>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</si>
  <si>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</si>
  <si>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</si>
  <si>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</si>
  <si>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</si>
  <si>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</si>
  <si>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</si>
  <si>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</si>
  <si>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</si>
  <si>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</si>
  <si>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</si>
  <si>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</si>
  <si>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</si>
  <si>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</si>
  <si>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</si>
  <si>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</si>
  <si>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</si>
  <si>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</si>
  <si>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</si>
  <si>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</si>
  <si>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</si>
  <si>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</si>
  <si>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</si>
  <si>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</si>
  <si>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</si>
  <si>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</si>
  <si>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</si>
  <si>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</si>
  <si>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</si>
  <si>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</si>
  <si>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</si>
  <si>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</si>
  <si>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</si>
  <si>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</si>
  <si>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</si>
  <si>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</si>
  <si>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</si>
  <si>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</si>
  <si>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</si>
  <si>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</si>
  <si>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</si>
  <si>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</si>
  <si>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</si>
  <si>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</si>
  <si>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</si>
  <si>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</si>
  <si>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</si>
  <si>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</si>
  <si>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</si>
  <si>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</si>
  <si>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</si>
  <si>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</si>
  <si>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</si>
  <si>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</si>
  <si>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</si>
  <si>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</si>
  <si>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</si>
  <si>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</si>
  <si>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</si>
  <si>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</si>
  <si>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</si>
  <si>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</si>
  <si>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</si>
  <si>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</si>
  <si>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</si>
  <si>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</si>
  <si>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</si>
  <si>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</si>
  <si>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</si>
  <si>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</si>
  <si>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</si>
  <si>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</si>
  <si>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</si>
  <si>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</si>
  <si>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</si>
  <si>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</si>
  <si>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</si>
  <si>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</si>
  <si>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</si>
  <si>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</si>
  <si>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</si>
  <si>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</si>
  <si>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</si>
  <si>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</si>
  <si>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</si>
  <si>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</si>
  <si>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</si>
  <si>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</si>
  <si>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</si>
  <si>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</si>
  <si>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</si>
  <si>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</si>
  <si>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</si>
  <si>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</si>
  <si>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</si>
  <si>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</si>
  <si>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</si>
  <si>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</si>
  <si>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</si>
  <si>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</si>
  <si>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</si>
  <si>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</si>
  <si>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</si>
  <si>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</si>
  <si>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</si>
  <si>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</si>
  <si>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</si>
  <si>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</si>
  <si>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</si>
  <si>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</si>
  <si>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</si>
  <si>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</si>
  <si>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</si>
  <si>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</si>
  <si>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</si>
  <si>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</si>
  <si>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</si>
  <si>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</si>
  <si>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</si>
  <si>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</si>
  <si>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</si>
  <si>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</si>
  <si>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</si>
  <si>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</si>
  <si>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</si>
  <si>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</si>
  <si>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</si>
  <si>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</si>
  <si>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</si>
  <si>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</si>
  <si>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</si>
  <si>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</si>
  <si>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</si>
  <si>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</si>
  <si>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</si>
  <si>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</si>
  <si>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</si>
  <si>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</si>
  <si>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</si>
  <si>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</si>
  <si>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</si>
  <si>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</si>
  <si>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</si>
  <si>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</si>
  <si>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</si>
  <si>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</si>
  <si>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</si>
  <si>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</si>
  <si>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</si>
  <si>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</si>
  <si>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</si>
  <si>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</si>
  <si>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</si>
  <si>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</si>
  <si>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</si>
  <si>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</si>
  <si>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</si>
  <si>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</si>
  <si>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</si>
  <si>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</si>
  <si>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</si>
  <si>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</si>
  <si>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</si>
  <si>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</si>
  <si>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</si>
  <si>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</si>
  <si>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</si>
  <si>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</si>
  <si>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</si>
  <si>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</si>
  <si>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</si>
  <si>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</si>
  <si>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</si>
  <si>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</si>
  <si>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</si>
  <si>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</si>
  <si>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</si>
  <si>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</si>
  <si>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</si>
  <si>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</si>
  <si>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</si>
  <si>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</si>
  <si>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</si>
  <si>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</si>
  <si>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</si>
  <si>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</si>
  <si>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</si>
  <si>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</si>
  <si>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</si>
  <si>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</si>
  <si>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</si>
  <si>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</si>
  <si>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</si>
  <si>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</si>
  <si>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</si>
  <si>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</si>
  <si>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</si>
  <si>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</si>
  <si>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</si>
  <si>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</si>
  <si>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</si>
  <si>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</si>
  <si>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</si>
  <si>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</si>
  <si>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</si>
  <si>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</si>
  <si>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</si>
  <si>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</si>
  <si>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</si>
  <si>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</si>
  <si>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</si>
  <si>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</si>
  <si>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</si>
  <si>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</si>
  <si>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</si>
  <si>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</si>
  <si>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</si>
  <si>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</si>
  <si>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</si>
  <si>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</si>
  <si>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</si>
  <si>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</si>
  <si>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</si>
  <si>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</si>
  <si>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</si>
  <si>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</si>
  <si>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</si>
  <si>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</si>
  <si>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</si>
  <si>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</si>
  <si>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</si>
  <si>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</si>
  <si>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</si>
  <si>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</si>
  <si>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</si>
  <si>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</si>
  <si>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</si>
  <si>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</si>
  <si>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</si>
  <si>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</si>
  <si>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</si>
  <si>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</si>
  <si>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</si>
  <si>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</si>
  <si>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</si>
  <si>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</si>
  <si>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</si>
  <si>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</si>
  <si>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</si>
  <si>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</si>
  <si>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</si>
  <si>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</si>
  <si>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</si>
  <si>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</si>
  <si>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</si>
  <si>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</si>
  <si>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</si>
  <si>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</si>
  <si>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</si>
  <si>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</si>
  <si>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</si>
  <si>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</si>
  <si>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</si>
  <si>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</si>
  <si>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</si>
  <si>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</si>
  <si>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</si>
  <si>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</si>
  <si>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</si>
  <si>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</si>
  <si>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</si>
  <si>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</si>
  <si>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</si>
  <si>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</si>
  <si>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</si>
  <si>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</si>
  <si>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</si>
  <si>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</si>
  <si>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</si>
  <si>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</si>
  <si>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</si>
  <si>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</si>
  <si>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</si>
  <si>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</si>
  <si>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</si>
  <si>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</si>
  <si>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</si>
  <si>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</si>
  <si>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</si>
  <si>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</si>
  <si>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</si>
  <si>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</si>
  <si>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</si>
  <si>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</si>
  <si>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</si>
  <si>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</si>
  <si>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</si>
  <si>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</si>
  <si>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</si>
  <si>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</si>
  <si>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</si>
  <si>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</si>
  <si>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</si>
  <si>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</si>
  <si>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</si>
  <si>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</si>
  <si>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</si>
  <si>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</si>
  <si>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</si>
  <si>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</si>
  <si>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</si>
  <si>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</si>
  <si>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</si>
  <si>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</si>
  <si>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</si>
  <si>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</si>
  <si>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</si>
  <si>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</si>
  <si>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</si>
  <si>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</si>
  <si>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</si>
  <si>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</si>
  <si>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</si>
  <si>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</si>
  <si>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</si>
  <si>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</si>
  <si>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</si>
  <si>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</si>
  <si>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</si>
  <si>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</si>
  <si>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</si>
  <si>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</si>
  <si>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</si>
  <si>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</si>
  <si>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</si>
  <si>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</si>
  <si>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</si>
  <si>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</si>
  <si>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</si>
  <si>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</si>
  <si>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</si>
  <si>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</si>
  <si>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</si>
  <si>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</si>
  <si>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</si>
  <si>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</si>
  <si>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</si>
  <si>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</si>
  <si>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</si>
  <si>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</si>
  <si>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</si>
  <si>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</si>
  <si>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</si>
  <si>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</si>
  <si>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</si>
  <si>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</si>
  <si>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</si>
  <si>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</si>
  <si>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</si>
  <si>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</si>
  <si>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</si>
  <si>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</si>
  <si>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</si>
  <si>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</si>
  <si>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</si>
  <si>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</si>
  <si>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</si>
  <si>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</si>
  <si>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</si>
  <si>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</si>
  <si>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</si>
  <si>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</si>
  <si>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</si>
  <si>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</si>
  <si>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</si>
  <si>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</si>
  <si>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</si>
  <si>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</si>
  <si>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</si>
  <si>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</si>
  <si>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</si>
  <si>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</si>
  <si>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</si>
  <si>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</si>
  <si>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</si>
  <si>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</si>
  <si>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</si>
  <si>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</si>
  <si>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</si>
  <si>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</si>
  <si>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</si>
  <si>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</si>
  <si>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</si>
  <si>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</si>
  <si>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</si>
  <si>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</si>
  <si>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</si>
  <si>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</si>
  <si>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</si>
  <si>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</si>
  <si>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</si>
  <si>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</si>
  <si>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17.03.2020</t>
  </si>
  <si>
    <t>10.04.2020</t>
  </si>
  <si>
    <t>Vigencia: 1 de mayo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</si>
</sst>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8"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83">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657225</xdr:colOff>
          <xdr:row>4</xdr:row>
          <xdr:rowOff>85725</xdr:rowOff>
        </xdr:from>
        <xdr:to>
          <xdr:col>5</xdr:col>
          <xdr:colOff>104775</xdr:colOff>
          <xdr:row>7</xdr:row>
          <xdr:rowOff>142875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topLeftCell="A58" workbookViewId="0">
      <selection activeCell="AA30" sqref="AA30"/>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58">
        <v>2013</v>
      </c>
      <c r="C11" s="458"/>
      <c r="D11" s="458"/>
      <c r="E11" s="458">
        <v>2014</v>
      </c>
      <c r="F11" s="458"/>
      <c r="G11" s="458"/>
      <c r="H11" s="458">
        <v>2015</v>
      </c>
      <c r="I11" s="458"/>
      <c r="J11" s="458"/>
      <c r="K11" s="458">
        <v>2016</v>
      </c>
      <c r="L11" s="458"/>
      <c r="M11" s="458"/>
      <c r="N11" s="458">
        <v>2017</v>
      </c>
      <c r="O11" s="458"/>
      <c r="P11" s="458"/>
      <c r="Q11" s="458">
        <v>2018</v>
      </c>
      <c r="R11" s="458"/>
      <c r="S11" s="458"/>
      <c r="T11" s="458">
        <v>2019</v>
      </c>
      <c r="U11" s="458"/>
      <c r="V11" s="458"/>
      <c r="W11" s="458">
        <v>2020</v>
      </c>
      <c r="X11" s="458"/>
      <c r="Y11" s="458"/>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3" t="s">
        <v>81</v>
      </c>
      <c r="X12" s="443" t="s">
        <v>82</v>
      </c>
      <c r="Y12" s="443"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60" t="s">
        <v>80</v>
      </c>
      <c r="B25" s="458">
        <v>2013</v>
      </c>
      <c r="C25" s="458"/>
      <c r="D25" s="458"/>
      <c r="E25" s="458"/>
      <c r="F25" s="458"/>
      <c r="G25" s="458">
        <v>2014</v>
      </c>
      <c r="H25" s="458"/>
      <c r="I25" s="458"/>
      <c r="J25" s="458"/>
      <c r="K25" s="458"/>
      <c r="L25" s="465">
        <v>2015</v>
      </c>
      <c r="M25" s="466"/>
      <c r="N25" s="466"/>
      <c r="O25" s="466"/>
      <c r="P25" s="467"/>
      <c r="Q25" s="465">
        <v>2016</v>
      </c>
      <c r="R25" s="466"/>
      <c r="S25" s="466"/>
      <c r="T25" s="466"/>
      <c r="U25" s="467"/>
      <c r="V25" s="465">
        <v>2017</v>
      </c>
      <c r="W25" s="466"/>
      <c r="X25" s="466"/>
      <c r="Y25" s="466"/>
      <c r="Z25" s="467"/>
      <c r="AA25" s="465">
        <v>2018</v>
      </c>
      <c r="AB25" s="466"/>
      <c r="AC25" s="466"/>
      <c r="AD25" s="466"/>
      <c r="AE25" s="467"/>
      <c r="AF25" s="465">
        <v>2019</v>
      </c>
      <c r="AG25" s="466"/>
      <c r="AH25" s="466"/>
      <c r="AI25" s="466"/>
      <c r="AJ25" s="467"/>
      <c r="AK25" s="465">
        <v>2020</v>
      </c>
      <c r="AL25" s="466"/>
      <c r="AM25" s="466"/>
      <c r="AN25" s="466"/>
      <c r="AO25" s="467"/>
    </row>
    <row r="26" spans="1:41" ht="30" customHeight="1" x14ac:dyDescent="0.25">
      <c r="A26" s="460"/>
      <c r="B26" s="460" t="s">
        <v>81</v>
      </c>
      <c r="C26" s="460"/>
      <c r="D26" s="460" t="s">
        <v>82</v>
      </c>
      <c r="E26" s="460"/>
      <c r="F26" s="460" t="s">
        <v>83</v>
      </c>
      <c r="G26" s="460" t="s">
        <v>81</v>
      </c>
      <c r="H26" s="460"/>
      <c r="I26" s="460" t="s">
        <v>82</v>
      </c>
      <c r="J26" s="460"/>
      <c r="K26" s="460" t="s">
        <v>83</v>
      </c>
      <c r="L26" s="461" t="s">
        <v>81</v>
      </c>
      <c r="M26" s="462"/>
      <c r="N26" s="461" t="s">
        <v>82</v>
      </c>
      <c r="O26" s="462"/>
      <c r="P26" s="463" t="s">
        <v>83</v>
      </c>
      <c r="Q26" s="461" t="s">
        <v>81</v>
      </c>
      <c r="R26" s="462"/>
      <c r="S26" s="461" t="s">
        <v>82</v>
      </c>
      <c r="T26" s="462"/>
      <c r="U26" s="463" t="s">
        <v>83</v>
      </c>
      <c r="V26" s="461" t="s">
        <v>81</v>
      </c>
      <c r="W26" s="462"/>
      <c r="X26" s="461" t="s">
        <v>82</v>
      </c>
      <c r="Y26" s="462"/>
      <c r="Z26" s="463" t="s">
        <v>83</v>
      </c>
      <c r="AA26" s="461" t="s">
        <v>81</v>
      </c>
      <c r="AB26" s="462"/>
      <c r="AC26" s="461" t="s">
        <v>82</v>
      </c>
      <c r="AD26" s="462"/>
      <c r="AE26" s="463" t="s">
        <v>83</v>
      </c>
      <c r="AF26" s="461" t="s">
        <v>81</v>
      </c>
      <c r="AG26" s="462"/>
      <c r="AH26" s="461" t="s">
        <v>82</v>
      </c>
      <c r="AI26" s="462"/>
      <c r="AJ26" s="463" t="s">
        <v>83</v>
      </c>
      <c r="AK26" s="461" t="s">
        <v>81</v>
      </c>
      <c r="AL26" s="462"/>
      <c r="AM26" s="461" t="s">
        <v>82</v>
      </c>
      <c r="AN26" s="462"/>
      <c r="AO26" s="463" t="s">
        <v>83</v>
      </c>
    </row>
    <row r="27" spans="1:41" ht="30" x14ac:dyDescent="0.25">
      <c r="A27" s="460"/>
      <c r="B27" s="30" t="s">
        <v>97</v>
      </c>
      <c r="C27" s="30" t="s">
        <v>98</v>
      </c>
      <c r="D27" s="30" t="s">
        <v>97</v>
      </c>
      <c r="E27" s="30" t="s">
        <v>98</v>
      </c>
      <c r="F27" s="460"/>
      <c r="G27" s="30" t="s">
        <v>97</v>
      </c>
      <c r="H27" s="30" t="s">
        <v>98</v>
      </c>
      <c r="I27" s="30" t="s">
        <v>97</v>
      </c>
      <c r="J27" s="30" t="s">
        <v>98</v>
      </c>
      <c r="K27" s="460"/>
      <c r="L27" s="30" t="s">
        <v>97</v>
      </c>
      <c r="M27" s="30" t="s">
        <v>98</v>
      </c>
      <c r="N27" s="30" t="s">
        <v>97</v>
      </c>
      <c r="O27" s="30" t="s">
        <v>98</v>
      </c>
      <c r="P27" s="464"/>
      <c r="Q27" s="30" t="s">
        <v>97</v>
      </c>
      <c r="R27" s="30" t="s">
        <v>98</v>
      </c>
      <c r="S27" s="30" t="s">
        <v>97</v>
      </c>
      <c r="T27" s="30" t="s">
        <v>98</v>
      </c>
      <c r="U27" s="464"/>
      <c r="V27" s="30" t="s">
        <v>97</v>
      </c>
      <c r="W27" s="30" t="s">
        <v>98</v>
      </c>
      <c r="X27" s="30" t="s">
        <v>97</v>
      </c>
      <c r="Y27" s="30" t="s">
        <v>98</v>
      </c>
      <c r="Z27" s="464"/>
      <c r="AA27" s="30" t="s">
        <v>97</v>
      </c>
      <c r="AB27" s="30" t="s">
        <v>98</v>
      </c>
      <c r="AC27" s="30" t="s">
        <v>97</v>
      </c>
      <c r="AD27" s="30" t="s">
        <v>98</v>
      </c>
      <c r="AE27" s="464"/>
      <c r="AF27" s="30" t="s">
        <v>97</v>
      </c>
      <c r="AG27" s="30" t="s">
        <v>98</v>
      </c>
      <c r="AH27" s="30" t="s">
        <v>97</v>
      </c>
      <c r="AI27" s="30" t="s">
        <v>98</v>
      </c>
      <c r="AJ27" s="464"/>
      <c r="AK27" s="443" t="s">
        <v>97</v>
      </c>
      <c r="AL27" s="443" t="s">
        <v>98</v>
      </c>
      <c r="AM27" s="443" t="s">
        <v>97</v>
      </c>
      <c r="AN27" s="443" t="s">
        <v>98</v>
      </c>
      <c r="AO27" s="464"/>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60" t="s">
        <v>80</v>
      </c>
      <c r="B36" s="458">
        <v>2013</v>
      </c>
      <c r="C36" s="458"/>
      <c r="D36" s="458"/>
      <c r="E36" s="458"/>
      <c r="F36" s="458"/>
      <c r="G36" s="458">
        <v>2014</v>
      </c>
      <c r="H36" s="458"/>
      <c r="I36" s="458"/>
      <c r="J36" s="458"/>
      <c r="K36" s="458"/>
      <c r="L36" s="458">
        <v>2015</v>
      </c>
      <c r="M36" s="458"/>
      <c r="N36" s="458"/>
      <c r="O36" s="458"/>
      <c r="P36" s="458"/>
      <c r="Q36" s="458">
        <v>2016</v>
      </c>
      <c r="R36" s="458"/>
      <c r="S36" s="458"/>
      <c r="T36" s="458"/>
      <c r="U36" s="458"/>
      <c r="V36" s="458">
        <v>2017</v>
      </c>
      <c r="W36" s="458"/>
      <c r="X36" s="458"/>
      <c r="Y36" s="458"/>
      <c r="Z36" s="458"/>
      <c r="AA36" s="458">
        <v>2018</v>
      </c>
      <c r="AB36" s="458"/>
      <c r="AC36" s="458"/>
      <c r="AD36" s="458"/>
      <c r="AE36" s="458"/>
      <c r="AF36" s="458">
        <v>2019</v>
      </c>
      <c r="AG36" s="458"/>
      <c r="AH36" s="458"/>
      <c r="AI36" s="458"/>
      <c r="AJ36" s="458"/>
      <c r="AK36" s="458">
        <v>2020</v>
      </c>
      <c r="AL36" s="458"/>
      <c r="AM36" s="458"/>
      <c r="AN36" s="458"/>
      <c r="AO36" s="458"/>
    </row>
    <row r="37" spans="1:41" ht="30" customHeight="1" x14ac:dyDescent="0.25">
      <c r="A37" s="460"/>
      <c r="B37" s="460" t="s">
        <v>81</v>
      </c>
      <c r="C37" s="460"/>
      <c r="D37" s="460" t="s">
        <v>82</v>
      </c>
      <c r="E37" s="460"/>
      <c r="F37" s="460" t="s">
        <v>83</v>
      </c>
      <c r="G37" s="460" t="s">
        <v>81</v>
      </c>
      <c r="H37" s="460"/>
      <c r="I37" s="460" t="s">
        <v>82</v>
      </c>
      <c r="J37" s="460"/>
      <c r="K37" s="460" t="s">
        <v>83</v>
      </c>
      <c r="L37" s="460" t="s">
        <v>81</v>
      </c>
      <c r="M37" s="460"/>
      <c r="N37" s="460" t="s">
        <v>82</v>
      </c>
      <c r="O37" s="460"/>
      <c r="P37" s="460" t="s">
        <v>83</v>
      </c>
      <c r="Q37" s="460" t="s">
        <v>81</v>
      </c>
      <c r="R37" s="460"/>
      <c r="S37" s="460" t="s">
        <v>82</v>
      </c>
      <c r="T37" s="460"/>
      <c r="U37" s="460" t="s">
        <v>83</v>
      </c>
      <c r="V37" s="460" t="s">
        <v>81</v>
      </c>
      <c r="W37" s="460"/>
      <c r="X37" s="460" t="s">
        <v>82</v>
      </c>
      <c r="Y37" s="460"/>
      <c r="Z37" s="460" t="s">
        <v>83</v>
      </c>
      <c r="AA37" s="460" t="s">
        <v>81</v>
      </c>
      <c r="AB37" s="460"/>
      <c r="AC37" s="460" t="s">
        <v>82</v>
      </c>
      <c r="AD37" s="460"/>
      <c r="AE37" s="460" t="s">
        <v>83</v>
      </c>
      <c r="AF37" s="460" t="s">
        <v>81</v>
      </c>
      <c r="AG37" s="460"/>
      <c r="AH37" s="460" t="s">
        <v>82</v>
      </c>
      <c r="AI37" s="460"/>
      <c r="AJ37" s="460" t="s">
        <v>83</v>
      </c>
      <c r="AK37" s="460" t="s">
        <v>81</v>
      </c>
      <c r="AL37" s="460"/>
      <c r="AM37" s="460" t="s">
        <v>82</v>
      </c>
      <c r="AN37" s="460"/>
      <c r="AO37" s="460" t="s">
        <v>83</v>
      </c>
    </row>
    <row r="38" spans="1:41" ht="60" x14ac:dyDescent="0.25">
      <c r="A38" s="460"/>
      <c r="B38" s="30" t="s">
        <v>100</v>
      </c>
      <c r="C38" s="30" t="s">
        <v>101</v>
      </c>
      <c r="D38" s="30" t="s">
        <v>100</v>
      </c>
      <c r="E38" s="30" t="s">
        <v>101</v>
      </c>
      <c r="F38" s="460"/>
      <c r="G38" s="30" t="s">
        <v>100</v>
      </c>
      <c r="H38" s="30" t="s">
        <v>101</v>
      </c>
      <c r="I38" s="30" t="s">
        <v>100</v>
      </c>
      <c r="J38" s="30" t="s">
        <v>101</v>
      </c>
      <c r="K38" s="460"/>
      <c r="L38" s="30" t="s">
        <v>100</v>
      </c>
      <c r="M38" s="30" t="s">
        <v>101</v>
      </c>
      <c r="N38" s="30" t="s">
        <v>100</v>
      </c>
      <c r="O38" s="30" t="s">
        <v>101</v>
      </c>
      <c r="P38" s="460"/>
      <c r="Q38" s="30" t="s">
        <v>100</v>
      </c>
      <c r="R38" s="30" t="s">
        <v>101</v>
      </c>
      <c r="S38" s="30" t="s">
        <v>100</v>
      </c>
      <c r="T38" s="30" t="s">
        <v>101</v>
      </c>
      <c r="U38" s="460"/>
      <c r="V38" s="30" t="s">
        <v>100</v>
      </c>
      <c r="W38" s="30" t="s">
        <v>101</v>
      </c>
      <c r="X38" s="30" t="s">
        <v>100</v>
      </c>
      <c r="Y38" s="30" t="s">
        <v>101</v>
      </c>
      <c r="Z38" s="460"/>
      <c r="AA38" s="30" t="s">
        <v>100</v>
      </c>
      <c r="AB38" s="30" t="s">
        <v>101</v>
      </c>
      <c r="AC38" s="30" t="s">
        <v>100</v>
      </c>
      <c r="AD38" s="30" t="s">
        <v>101</v>
      </c>
      <c r="AE38" s="460"/>
      <c r="AF38" s="30" t="s">
        <v>100</v>
      </c>
      <c r="AG38" s="30" t="s">
        <v>101</v>
      </c>
      <c r="AH38" s="30" t="s">
        <v>100</v>
      </c>
      <c r="AI38" s="30" t="s">
        <v>101</v>
      </c>
      <c r="AJ38" s="460"/>
      <c r="AK38" s="443" t="s">
        <v>100</v>
      </c>
      <c r="AL38" s="443" t="s">
        <v>101</v>
      </c>
      <c r="AM38" s="443" t="s">
        <v>100</v>
      </c>
      <c r="AN38" s="443" t="s">
        <v>101</v>
      </c>
      <c r="AO38" s="460"/>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6" t="s">
        <v>452</v>
      </c>
      <c r="B42" s="38">
        <v>9.15</v>
      </c>
      <c r="C42" s="38">
        <v>8.2899999999999991</v>
      </c>
      <c r="D42" s="38">
        <v>9.15</v>
      </c>
      <c r="E42" s="38">
        <v>8.2899999999999991</v>
      </c>
      <c r="F42" s="457">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59" t="s">
        <v>80</v>
      </c>
      <c r="B47" s="458">
        <v>2013</v>
      </c>
      <c r="C47" s="458"/>
      <c r="D47" s="458"/>
      <c r="E47" s="458">
        <v>2014</v>
      </c>
      <c r="F47" s="458"/>
      <c r="G47" s="458"/>
      <c r="H47" s="458">
        <v>2015</v>
      </c>
      <c r="I47" s="458"/>
      <c r="J47" s="458"/>
      <c r="K47" s="458">
        <v>2016</v>
      </c>
      <c r="L47" s="458"/>
      <c r="M47" s="458"/>
      <c r="N47" s="458">
        <v>2017</v>
      </c>
      <c r="O47" s="458"/>
      <c r="P47" s="458"/>
      <c r="Q47" s="458">
        <v>2018</v>
      </c>
      <c r="R47" s="458"/>
      <c r="S47" s="458"/>
      <c r="T47" s="458">
        <v>2019</v>
      </c>
      <c r="U47" s="458"/>
      <c r="V47" s="458"/>
      <c r="W47" s="458">
        <v>2019</v>
      </c>
      <c r="X47" s="458"/>
      <c r="Y47" s="458"/>
    </row>
    <row r="48" spans="1:41" ht="45" x14ac:dyDescent="0.25">
      <c r="A48" s="459"/>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3" t="s">
        <v>81</v>
      </c>
      <c r="X48" s="443" t="s">
        <v>82</v>
      </c>
      <c r="Y48" s="443"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59" t="s">
        <v>80</v>
      </c>
      <c r="B61" s="458">
        <v>2013</v>
      </c>
      <c r="C61" s="458"/>
      <c r="D61" s="458"/>
      <c r="E61" s="458">
        <v>2014</v>
      </c>
      <c r="F61" s="458"/>
      <c r="G61" s="458"/>
      <c r="H61" s="458">
        <v>2015</v>
      </c>
      <c r="I61" s="458"/>
      <c r="J61" s="458"/>
      <c r="K61" s="458">
        <v>2016</v>
      </c>
      <c r="L61" s="458"/>
      <c r="M61" s="458"/>
      <c r="N61" s="458">
        <v>2017</v>
      </c>
      <c r="O61" s="458"/>
      <c r="P61" s="458"/>
      <c r="Q61" s="458">
        <v>2018</v>
      </c>
      <c r="R61" s="458"/>
      <c r="S61" s="458"/>
    </row>
    <row r="62" spans="1:25" ht="45" x14ac:dyDescent="0.25">
      <c r="A62" s="459"/>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59" t="s">
        <v>80</v>
      </c>
      <c r="B78" s="458">
        <v>2013</v>
      </c>
      <c r="C78" s="458"/>
      <c r="D78" s="458"/>
      <c r="E78" s="458">
        <v>2014</v>
      </c>
      <c r="F78" s="458"/>
      <c r="G78" s="458"/>
      <c r="H78" s="458">
        <v>2015</v>
      </c>
      <c r="I78" s="458"/>
      <c r="J78" s="458"/>
      <c r="K78" s="458">
        <v>2016</v>
      </c>
      <c r="L78" s="458"/>
      <c r="M78" s="458"/>
      <c r="N78" s="458">
        <v>2017</v>
      </c>
      <c r="O78" s="458"/>
      <c r="P78" s="458"/>
      <c r="Q78" s="458">
        <v>2018</v>
      </c>
      <c r="R78" s="458"/>
      <c r="S78" s="458"/>
    </row>
    <row r="79" spans="1:19" ht="45" x14ac:dyDescent="0.25">
      <c r="A79" s="459"/>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mergeCells count="9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 ref="W11:Y11"/>
    <mergeCell ref="AK25:AO25"/>
    <mergeCell ref="AK26:AL26"/>
    <mergeCell ref="AM26:AN26"/>
    <mergeCell ref="AO26:AO27"/>
    <mergeCell ref="AA25:AE25"/>
    <mergeCell ref="AF25:AJ25"/>
    <mergeCell ref="AH26:AI26"/>
    <mergeCell ref="AJ26:AJ27"/>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E26:AE27"/>
    <mergeCell ref="AF26:AG26"/>
    <mergeCell ref="AA26:AB26"/>
    <mergeCell ref="AC26:AD26"/>
    <mergeCell ref="U26:U27"/>
    <mergeCell ref="V26:W26"/>
    <mergeCell ref="X26:Y26"/>
    <mergeCell ref="Z26:Z2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A47:A48"/>
    <mergeCell ref="B47:D47"/>
    <mergeCell ref="E47:G47"/>
    <mergeCell ref="H47:J47"/>
    <mergeCell ref="K47:M47"/>
    <mergeCell ref="N47:P47"/>
    <mergeCell ref="Q47:S47"/>
    <mergeCell ref="T47:V47"/>
    <mergeCell ref="Z37:Z38"/>
    <mergeCell ref="AA37:AB37"/>
    <mergeCell ref="P37:P38"/>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1 de mayo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37" t="s">
        <v>203</v>
      </c>
      <c r="D3" s="538"/>
      <c r="E3" s="538"/>
      <c r="F3" s="539"/>
      <c r="G3" s="547" t="s">
        <v>275</v>
      </c>
      <c r="H3" s="548"/>
    </row>
    <row r="4" spans="1:8" x14ac:dyDescent="0.25">
      <c r="A4" s="158"/>
      <c r="B4" s="188" t="s">
        <v>285</v>
      </c>
      <c r="C4" s="540"/>
      <c r="D4" s="541"/>
      <c r="E4" s="541"/>
      <c r="F4" s="542"/>
      <c r="G4" s="549"/>
      <c r="H4" s="550"/>
    </row>
    <row r="5" spans="1:8" ht="38.25" x14ac:dyDescent="0.25">
      <c r="A5" s="521" t="s">
        <v>204</v>
      </c>
      <c r="B5" s="523" t="s">
        <v>205</v>
      </c>
      <c r="C5" s="525" t="s">
        <v>266</v>
      </c>
      <c r="D5" s="189" t="s">
        <v>97</v>
      </c>
      <c r="E5" s="189" t="s">
        <v>194</v>
      </c>
      <c r="F5" s="189" t="str">
        <f>+AMAZONAS!F5</f>
        <v>Biodiesel B10</v>
      </c>
      <c r="G5" s="189" t="s">
        <v>97</v>
      </c>
      <c r="H5" s="160" t="str">
        <f>+F5</f>
        <v>Biodiesel B10</v>
      </c>
    </row>
    <row r="6" spans="1:8" x14ac:dyDescent="0.25">
      <c r="A6" s="521"/>
      <c r="B6" s="523"/>
      <c r="C6" s="526"/>
      <c r="D6" s="190">
        <v>0.08</v>
      </c>
      <c r="E6" s="208">
        <v>0.02</v>
      </c>
      <c r="F6" s="437">
        <f>+AMAZONAS!F6</f>
        <v>0.1</v>
      </c>
      <c r="G6" s="208">
        <v>0.1</v>
      </c>
      <c r="H6" s="191">
        <f>+F6</f>
        <v>0.1</v>
      </c>
    </row>
    <row r="7" spans="1:8" x14ac:dyDescent="0.25">
      <c r="A7" s="522"/>
      <c r="B7" s="524"/>
      <c r="C7" s="159" t="s">
        <v>206</v>
      </c>
      <c r="D7" s="189" t="s">
        <v>206</v>
      </c>
      <c r="E7" s="189" t="s">
        <v>206</v>
      </c>
      <c r="F7" s="189" t="s">
        <v>206</v>
      </c>
      <c r="G7" s="159" t="s">
        <v>206</v>
      </c>
      <c r="H7" s="160" t="s">
        <v>206</v>
      </c>
    </row>
    <row r="8" spans="1:8" x14ac:dyDescent="0.25">
      <c r="A8" s="161" t="s">
        <v>207</v>
      </c>
      <c r="B8" s="167" t="s">
        <v>208</v>
      </c>
      <c r="C8" s="233">
        <f>+'Calculo IP ZDF'!B27</f>
        <v>3980</v>
      </c>
      <c r="D8" s="239">
        <f>+'Calculo IP ZDF'!G27</f>
        <v>4453.7</v>
      </c>
      <c r="E8" s="241">
        <f>+'Calculo IP ZDF'!F27</f>
        <v>4378.2151360000007</v>
      </c>
      <c r="F8" s="240">
        <f>+'Calculo IP ZDF'!H27</f>
        <v>4960.8268800000005</v>
      </c>
      <c r="G8" s="218">
        <f>+'GAS CTE'!D9</f>
        <v>4471.7</v>
      </c>
      <c r="H8" s="243">
        <f>+BIODIESEL!G9</f>
        <v>5413.92</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4240.9783307388498</v>
      </c>
      <c r="D17" s="225">
        <f t="shared" si="1"/>
        <v>4699.1783307388496</v>
      </c>
      <c r="E17" s="225">
        <f t="shared" si="1"/>
        <v>4654.7134667388509</v>
      </c>
      <c r="F17" s="226">
        <f t="shared" si="1"/>
        <v>5223.4052107388507</v>
      </c>
      <c r="G17" s="227">
        <f t="shared" si="1"/>
        <v>5208.8123307388496</v>
      </c>
      <c r="H17" s="246">
        <f t="shared" si="1"/>
        <v>6147.0683307388499</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4240.9783307388498</v>
      </c>
      <c r="D21" s="224">
        <f t="shared" si="2"/>
        <v>4699.1783307388496</v>
      </c>
      <c r="E21" s="224">
        <f t="shared" si="2"/>
        <v>4654.7134667388509</v>
      </c>
      <c r="F21" s="242">
        <f t="shared" si="2"/>
        <v>5223.4052107388507</v>
      </c>
      <c r="G21" s="224">
        <f t="shared" si="2"/>
        <v>5208.8123307388496</v>
      </c>
      <c r="H21" s="242">
        <f t="shared" si="2"/>
        <v>6147.0683307388499</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6" t="str">
        <f>+ARAUCA!B29</f>
        <v>De acuerdo con lo establecido en la Resolución MME 91349 de 2014</v>
      </c>
      <c r="C29" s="536"/>
      <c r="D29" s="536"/>
      <c r="E29" s="536"/>
      <c r="F29" s="536"/>
      <c r="G29" s="536"/>
      <c r="H29" s="536"/>
      <c r="I29" s="536"/>
      <c r="J29" s="536"/>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6" t="s">
        <v>366</v>
      </c>
      <c r="C31" s="536"/>
      <c r="D31" s="536"/>
      <c r="E31" s="536"/>
      <c r="F31" s="536"/>
      <c r="G31" s="536"/>
      <c r="H31" s="536"/>
      <c r="I31" s="536"/>
      <c r="J31" s="536"/>
      <c r="K31" s="214"/>
      <c r="L31" s="214"/>
      <c r="M31" s="214"/>
      <c r="N31" s="214"/>
      <c r="O31" s="214"/>
      <c r="P31" s="214"/>
    </row>
    <row r="32" spans="1:16" ht="24.75" customHeight="1" x14ac:dyDescent="0.25">
      <c r="A32" s="180" t="s">
        <v>241</v>
      </c>
      <c r="B32" s="536" t="s">
        <v>282</v>
      </c>
      <c r="C32" s="536"/>
      <c r="D32" s="536"/>
      <c r="E32" s="536"/>
      <c r="F32" s="536"/>
      <c r="G32" s="536"/>
      <c r="H32" s="536"/>
      <c r="I32" s="536"/>
      <c r="J32" s="53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19" t="s">
        <v>252</v>
      </c>
      <c r="C34" s="519"/>
      <c r="D34" s="519"/>
      <c r="E34" s="519"/>
      <c r="F34" s="519"/>
      <c r="G34" s="519"/>
      <c r="H34" s="519"/>
      <c r="I34" s="519"/>
      <c r="J34" s="519"/>
      <c r="K34" s="214"/>
      <c r="L34" s="214"/>
      <c r="M34" s="214"/>
      <c r="N34" s="214"/>
      <c r="O34" s="214"/>
      <c r="P34" s="214"/>
    </row>
    <row r="35" spans="1:16" x14ac:dyDescent="0.25">
      <c r="A35" s="204" t="s">
        <v>253</v>
      </c>
      <c r="B35" s="536" t="s">
        <v>287</v>
      </c>
      <c r="C35" s="536"/>
      <c r="D35" s="536"/>
      <c r="E35" s="536"/>
      <c r="F35" s="536"/>
      <c r="G35" s="536"/>
      <c r="H35" s="536"/>
      <c r="I35" s="536"/>
      <c r="J35" s="536"/>
      <c r="K35" s="214"/>
      <c r="L35" s="214"/>
      <c r="M35" s="214"/>
      <c r="N35" s="214"/>
      <c r="O35" s="214"/>
      <c r="P35" s="214"/>
    </row>
    <row r="36" spans="1:16" x14ac:dyDescent="0.25">
      <c r="A36" s="180" t="s">
        <v>255</v>
      </c>
      <c r="B36" s="536" t="s">
        <v>256</v>
      </c>
      <c r="C36" s="536"/>
      <c r="D36" s="536"/>
      <c r="E36" s="536"/>
      <c r="F36" s="536"/>
      <c r="G36" s="536"/>
      <c r="H36" s="536"/>
      <c r="I36" s="180"/>
      <c r="J36" s="519"/>
      <c r="K36" s="519"/>
      <c r="L36" s="519"/>
      <c r="M36" s="519"/>
      <c r="N36" s="519"/>
      <c r="O36" s="519"/>
      <c r="P36" s="519"/>
    </row>
    <row r="37" spans="1:16" x14ac:dyDescent="0.25">
      <c r="A37" s="180" t="s">
        <v>257</v>
      </c>
      <c r="B37" s="519" t="s">
        <v>260</v>
      </c>
      <c r="C37" s="519"/>
      <c r="D37" s="519"/>
      <c r="E37" s="519"/>
      <c r="F37" s="519"/>
      <c r="G37" s="519"/>
      <c r="H37" s="519"/>
      <c r="I37" s="180"/>
      <c r="J37" s="209"/>
      <c r="K37" s="209"/>
      <c r="L37" s="209"/>
      <c r="M37" s="209"/>
      <c r="N37" s="209"/>
      <c r="O37" s="209"/>
      <c r="P37" s="209"/>
    </row>
    <row r="38" spans="1:16" x14ac:dyDescent="0.25">
      <c r="A38" s="204" t="s">
        <v>259</v>
      </c>
      <c r="B38" s="536" t="s">
        <v>262</v>
      </c>
      <c r="C38" s="536"/>
      <c r="D38" s="536"/>
      <c r="E38" s="536"/>
      <c r="F38" s="536"/>
      <c r="G38" s="536"/>
      <c r="H38" s="536"/>
      <c r="I38" s="536"/>
      <c r="J38" s="536"/>
      <c r="K38" s="214"/>
      <c r="L38" s="214"/>
      <c r="M38" s="214"/>
      <c r="N38" s="214"/>
      <c r="O38" s="214"/>
      <c r="P38" s="214"/>
    </row>
    <row r="39" spans="1:16" ht="28.5" customHeight="1" x14ac:dyDescent="0.25">
      <c r="A39" s="204" t="s">
        <v>261</v>
      </c>
      <c r="B39" s="536" t="s">
        <v>281</v>
      </c>
      <c r="C39" s="536"/>
      <c r="D39" s="536"/>
      <c r="E39" s="536"/>
      <c r="F39" s="536"/>
      <c r="G39" s="536"/>
      <c r="H39" s="536"/>
      <c r="I39" s="536"/>
      <c r="J39" s="536"/>
      <c r="K39" s="214"/>
      <c r="L39" s="214"/>
      <c r="M39" s="214"/>
      <c r="N39" s="214"/>
      <c r="O39" s="214"/>
      <c r="P39" s="214"/>
    </row>
    <row r="41" spans="1:16" ht="92.25" customHeight="1" x14ac:dyDescent="0.25">
      <c r="A41" s="520" t="s">
        <v>163</v>
      </c>
      <c r="B41" s="520"/>
      <c r="C41" s="520"/>
      <c r="D41" s="520"/>
      <c r="E41" s="520"/>
      <c r="F41" s="520"/>
      <c r="G41" s="520"/>
      <c r="H41" s="520"/>
      <c r="I41" s="520"/>
      <c r="J41" s="520"/>
    </row>
  </sheetData>
  <sheetProtection password="C712"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+AMAZONAS!B1</f>
        <v>Vigencia: 1 de mayo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27" t="s">
        <v>203</v>
      </c>
      <c r="D3" s="528"/>
      <c r="E3" s="528"/>
      <c r="F3" s="528"/>
      <c r="G3" s="528"/>
      <c r="H3" s="528"/>
      <c r="I3" s="528"/>
      <c r="J3" s="554" t="s">
        <v>275</v>
      </c>
      <c r="K3" s="555"/>
      <c r="L3" s="556"/>
    </row>
    <row r="4" spans="1:12" ht="40.5" x14ac:dyDescent="0.25">
      <c r="A4" s="187"/>
      <c r="B4" s="301" t="s">
        <v>299</v>
      </c>
      <c r="C4" s="529"/>
      <c r="D4" s="530"/>
      <c r="E4" s="530"/>
      <c r="F4" s="530"/>
      <c r="G4" s="530"/>
      <c r="H4" s="530"/>
      <c r="I4" s="530"/>
      <c r="J4" s="557"/>
      <c r="K4" s="558"/>
      <c r="L4" s="559"/>
    </row>
    <row r="5" spans="1:12" ht="38.25" customHeight="1" x14ac:dyDescent="0.25">
      <c r="A5" s="521" t="s">
        <v>204</v>
      </c>
      <c r="B5" s="523" t="s">
        <v>205</v>
      </c>
      <c r="C5" s="525" t="s">
        <v>266</v>
      </c>
      <c r="D5" s="189" t="s">
        <v>97</v>
      </c>
      <c r="E5" s="189" t="s">
        <v>194</v>
      </c>
      <c r="F5" s="189" t="str">
        <f>+BOYACA!F5</f>
        <v>Biodiesel B10</v>
      </c>
      <c r="G5" s="551" t="s">
        <v>443</v>
      </c>
      <c r="H5" s="525" t="s">
        <v>185</v>
      </c>
      <c r="I5" s="274" t="s">
        <v>126</v>
      </c>
      <c r="J5" s="445" t="s">
        <v>97</v>
      </c>
      <c r="K5" s="444" t="str">
        <f>+F5</f>
        <v>Biodiesel B10</v>
      </c>
      <c r="L5" s="444" t="s">
        <v>126</v>
      </c>
    </row>
    <row r="6" spans="1:12" ht="21.75" customHeight="1" x14ac:dyDescent="0.25">
      <c r="A6" s="521"/>
      <c r="B6" s="523"/>
      <c r="C6" s="526"/>
      <c r="D6" s="190">
        <v>0.08</v>
      </c>
      <c r="E6" s="208">
        <v>0.02</v>
      </c>
      <c r="F6" s="437">
        <f>+BOYACA!F6</f>
        <v>0.1</v>
      </c>
      <c r="G6" s="552"/>
      <c r="H6" s="526"/>
      <c r="I6" s="275" t="s">
        <v>289</v>
      </c>
      <c r="J6" s="302">
        <v>0.1</v>
      </c>
      <c r="K6" s="438">
        <f>+F6</f>
        <v>0.1</v>
      </c>
      <c r="L6" s="303" t="s">
        <v>289</v>
      </c>
    </row>
    <row r="7" spans="1:12" x14ac:dyDescent="0.25">
      <c r="A7" s="522"/>
      <c r="B7" s="524"/>
      <c r="C7" s="159" t="s">
        <v>206</v>
      </c>
      <c r="D7" s="189" t="s">
        <v>206</v>
      </c>
      <c r="E7" s="189" t="s">
        <v>206</v>
      </c>
      <c r="F7" s="189" t="s">
        <v>206</v>
      </c>
      <c r="G7" s="189" t="s">
        <v>206</v>
      </c>
      <c r="H7" s="210" t="s">
        <v>206</v>
      </c>
      <c r="I7" s="274" t="s">
        <v>206</v>
      </c>
      <c r="J7" s="445" t="s">
        <v>206</v>
      </c>
      <c r="K7" s="444" t="s">
        <v>206</v>
      </c>
      <c r="L7" s="292" t="s">
        <v>206</v>
      </c>
    </row>
    <row r="8" spans="1:12" x14ac:dyDescent="0.25">
      <c r="A8" s="161" t="s">
        <v>207</v>
      </c>
      <c r="B8" s="167" t="s">
        <v>208</v>
      </c>
      <c r="C8" s="293">
        <f>+'Calculo IP ZDF'!B28</f>
        <v>3980</v>
      </c>
      <c r="D8" s="293">
        <f>+'Calculo IP ZDF'!G28</f>
        <v>4453.7</v>
      </c>
      <c r="E8" s="293">
        <f>+'Calculo IP ZDF'!F28</f>
        <v>4848.3768</v>
      </c>
      <c r="F8" s="293">
        <f>+'Calculo IP ZDF'!H28</f>
        <v>5392.6080000000002</v>
      </c>
      <c r="G8" s="198">
        <f>+'Calculo IP ZDF'!C28</f>
        <v>4712.32</v>
      </c>
      <c r="H8" s="239">
        <f>+'GAS EXTRA'!E6</f>
        <v>7270.2889821668068</v>
      </c>
      <c r="I8" s="239">
        <f>+'GAS EXTRA'!F6</f>
        <v>7414.96</v>
      </c>
      <c r="J8" s="276">
        <f>+'GAS CTE'!D9</f>
        <v>4471.7</v>
      </c>
      <c r="K8" s="221">
        <f>+BIODIESEL!G9</f>
        <v>5413.92</v>
      </c>
      <c r="L8" s="243">
        <f>+I8</f>
        <v>7414.96</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933.1</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4240.9783307388498</v>
      </c>
      <c r="D16" s="280">
        <f t="shared" ref="D16:L16" si="0">SUM(D8:D15)</f>
        <v>4699.1783307388496</v>
      </c>
      <c r="E16" s="280">
        <f t="shared" si="0"/>
        <v>5124.8751307388502</v>
      </c>
      <c r="F16" s="280">
        <f t="shared" si="0"/>
        <v>5655.1863307388503</v>
      </c>
      <c r="G16" s="280">
        <f t="shared" si="0"/>
        <v>4992.2983307388495</v>
      </c>
      <c r="H16" s="280">
        <f t="shared" si="0"/>
        <v>7531.2673129056566</v>
      </c>
      <c r="I16" s="281">
        <f t="shared" si="0"/>
        <v>7660.4383307388498</v>
      </c>
      <c r="J16" s="282">
        <f t="shared" si="0"/>
        <v>5208.8123307388496</v>
      </c>
      <c r="K16" s="280">
        <f t="shared" si="0"/>
        <v>6147.0683307388499</v>
      </c>
      <c r="L16" s="283">
        <f t="shared" si="0"/>
        <v>8593.5383307388493</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4240.9783307388498</v>
      </c>
      <c r="D20" s="200">
        <f t="shared" si="2"/>
        <v>4699.1783307388496</v>
      </c>
      <c r="E20" s="200">
        <f t="shared" si="2"/>
        <v>5124.8751307388502</v>
      </c>
      <c r="F20" s="200">
        <f t="shared" si="2"/>
        <v>5655.1863307388503</v>
      </c>
      <c r="G20" s="200">
        <f t="shared" si="2"/>
        <v>4992.2983307388495</v>
      </c>
      <c r="H20" s="200">
        <f t="shared" si="2"/>
        <v>7531.2673129056566</v>
      </c>
      <c r="I20" s="252">
        <f t="shared" si="2"/>
        <v>7660.4383307388498</v>
      </c>
      <c r="J20" s="282">
        <f t="shared" si="2"/>
        <v>5208.8123307388496</v>
      </c>
      <c r="K20" s="200">
        <f t="shared" si="2"/>
        <v>6147.0683307388499</v>
      </c>
      <c r="L20" s="170">
        <f t="shared" si="2"/>
        <v>8593.5383307388493</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7"/>
      <c r="K24" s="448"/>
      <c r="L24" s="449"/>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27" t="s">
        <v>203</v>
      </c>
      <c r="D27" s="528"/>
      <c r="E27" s="528"/>
      <c r="F27" s="528"/>
      <c r="G27" s="528"/>
      <c r="H27" s="528"/>
      <c r="I27" s="528"/>
      <c r="J27" s="554" t="s">
        <v>275</v>
      </c>
      <c r="K27" s="555"/>
      <c r="L27" s="556"/>
    </row>
    <row r="28" spans="1:12" ht="46.5" customHeight="1" x14ac:dyDescent="0.25">
      <c r="A28" s="187"/>
      <c r="B28" s="301" t="s">
        <v>300</v>
      </c>
      <c r="C28" s="529"/>
      <c r="D28" s="530"/>
      <c r="E28" s="530"/>
      <c r="F28" s="530"/>
      <c r="G28" s="530"/>
      <c r="H28" s="530"/>
      <c r="I28" s="530"/>
      <c r="J28" s="557"/>
      <c r="K28" s="558"/>
      <c r="L28" s="559"/>
    </row>
    <row r="29" spans="1:12" ht="38.25" customHeight="1" x14ac:dyDescent="0.25">
      <c r="A29" s="521" t="s">
        <v>204</v>
      </c>
      <c r="B29" s="523" t="s">
        <v>205</v>
      </c>
      <c r="C29" s="525" t="s">
        <v>266</v>
      </c>
      <c r="D29" s="189" t="s">
        <v>97</v>
      </c>
      <c r="E29" s="189" t="s">
        <v>194</v>
      </c>
      <c r="F29" s="189" t="str">
        <f>+F5</f>
        <v>Biodiesel B10</v>
      </c>
      <c r="G29" s="551" t="s">
        <v>442</v>
      </c>
      <c r="H29" s="525" t="s">
        <v>185</v>
      </c>
      <c r="I29" s="274" t="s">
        <v>126</v>
      </c>
      <c r="J29" s="159" t="s">
        <v>97</v>
      </c>
      <c r="K29" s="210" t="str">
        <f>+K5</f>
        <v>Biodiesel B10</v>
      </c>
      <c r="L29" s="210" t="s">
        <v>126</v>
      </c>
    </row>
    <row r="30" spans="1:12" x14ac:dyDescent="0.25">
      <c r="A30" s="521"/>
      <c r="B30" s="523"/>
      <c r="C30" s="526"/>
      <c r="D30" s="190">
        <v>0.08</v>
      </c>
      <c r="E30" s="208">
        <v>0.02</v>
      </c>
      <c r="F30" s="437">
        <f>+F6</f>
        <v>0.1</v>
      </c>
      <c r="G30" s="552"/>
      <c r="H30" s="526"/>
      <c r="I30" s="275" t="s">
        <v>289</v>
      </c>
      <c r="J30" s="302">
        <v>0.1</v>
      </c>
      <c r="K30" s="438">
        <f>+K6</f>
        <v>0.1</v>
      </c>
      <c r="L30" s="303" t="s">
        <v>289</v>
      </c>
    </row>
    <row r="31" spans="1:12" x14ac:dyDescent="0.25">
      <c r="A31" s="522"/>
      <c r="B31" s="524"/>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3980</v>
      </c>
      <c r="D32" s="293">
        <f>+'Calculo IP ZDF'!G29</f>
        <v>4453.7</v>
      </c>
      <c r="E32" s="293">
        <f>+'Calculo IP ZDF'!F29</f>
        <v>4259.3983680000001</v>
      </c>
      <c r="F32" s="294">
        <f>+'Calculo IP ZDF'!H29</f>
        <v>4851.7094400000005</v>
      </c>
      <c r="G32" s="198">
        <f>+'Calculo IP ZDF'!C29</f>
        <v>4111.3216000000002</v>
      </c>
      <c r="H32" s="239">
        <f>+'GAS EXTRA'!C6</f>
        <v>7270.2889821668068</v>
      </c>
      <c r="I32" s="239">
        <f>+'GAS EXTRA'!D6</f>
        <v>7414.96</v>
      </c>
      <c r="J32" s="276">
        <f>+'GAS CTE'!D9</f>
        <v>4471.7</v>
      </c>
      <c r="K32" s="221">
        <f>+BIODIESEL!G9</f>
        <v>5413.92</v>
      </c>
      <c r="L32" s="243">
        <f>+I32</f>
        <v>7414.96</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933.1</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4345.8722640416836</v>
      </c>
      <c r="D41" s="280">
        <f t="shared" si="4"/>
        <v>4804.0722640416834</v>
      </c>
      <c r="E41" s="280">
        <f t="shared" si="4"/>
        <v>4640.7906320416841</v>
      </c>
      <c r="F41" s="280">
        <f t="shared" si="4"/>
        <v>5219.1817040416845</v>
      </c>
      <c r="G41" s="280">
        <f t="shared" si="4"/>
        <v>4496.1938640416838</v>
      </c>
      <c r="H41" s="280">
        <f t="shared" si="4"/>
        <v>7636.1612462084904</v>
      </c>
      <c r="I41" s="281">
        <f t="shared" si="4"/>
        <v>7765.3322640416836</v>
      </c>
      <c r="J41" s="282">
        <f t="shared" si="4"/>
        <v>5368.3322640416836</v>
      </c>
      <c r="K41" s="280">
        <f t="shared" si="4"/>
        <v>6251.9622640416837</v>
      </c>
      <c r="L41" s="283">
        <f t="shared" si="4"/>
        <v>8698.4322640416831</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4345.8722640416836</v>
      </c>
      <c r="D45" s="200">
        <f t="shared" si="5"/>
        <v>4804.0722640416834</v>
      </c>
      <c r="E45" s="200">
        <f t="shared" si="5"/>
        <v>4640.7906320416841</v>
      </c>
      <c r="F45" s="200">
        <f t="shared" si="5"/>
        <v>5219.1817040416845</v>
      </c>
      <c r="G45" s="200">
        <f t="shared" si="5"/>
        <v>4496.1938640416838</v>
      </c>
      <c r="H45" s="200">
        <f t="shared" si="5"/>
        <v>7636.1612462084904</v>
      </c>
      <c r="I45" s="252">
        <f t="shared" si="5"/>
        <v>7765.3322640416836</v>
      </c>
      <c r="J45" s="282">
        <f t="shared" si="5"/>
        <v>5368.3322640416836</v>
      </c>
      <c r="K45" s="200">
        <f t="shared" si="5"/>
        <v>6251.9622640416837</v>
      </c>
      <c r="L45" s="170">
        <f t="shared" si="5"/>
        <v>8698.4322640416831</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6" t="str">
        <f>+BOYACA!B29</f>
        <v>De acuerdo con lo establecido en la Resolución MME 91349 de 2014</v>
      </c>
      <c r="C53" s="536"/>
      <c r="D53" s="536"/>
      <c r="E53" s="536"/>
      <c r="F53" s="536"/>
      <c r="G53" s="536"/>
      <c r="H53" s="536"/>
      <c r="I53" s="536"/>
      <c r="J53" s="536"/>
      <c r="K53" s="179"/>
      <c r="L53" s="179"/>
    </row>
    <row r="54" spans="1:12" ht="24.75" customHeight="1" x14ac:dyDescent="0.25">
      <c r="A54" s="180" t="s">
        <v>240</v>
      </c>
      <c r="B54" s="518" t="s">
        <v>297</v>
      </c>
      <c r="C54" s="518"/>
      <c r="D54" s="518"/>
      <c r="E54" s="518"/>
      <c r="F54" s="518"/>
      <c r="G54" s="518"/>
      <c r="H54" s="518"/>
      <c r="I54" s="518"/>
      <c r="J54" s="518"/>
      <c r="K54" s="179"/>
      <c r="L54" s="179"/>
    </row>
    <row r="55" spans="1:12" ht="39" customHeight="1" x14ac:dyDescent="0.25">
      <c r="A55" s="180" t="s">
        <v>139</v>
      </c>
      <c r="B55" s="536" t="s">
        <v>366</v>
      </c>
      <c r="C55" s="536"/>
      <c r="D55" s="536"/>
      <c r="E55" s="536"/>
      <c r="F55" s="536"/>
      <c r="G55" s="536"/>
      <c r="H55" s="536"/>
      <c r="I55" s="536"/>
      <c r="J55" s="536"/>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53" t="s">
        <v>291</v>
      </c>
      <c r="C57" s="553"/>
      <c r="D57" s="553"/>
      <c r="E57" s="553"/>
      <c r="F57" s="553"/>
      <c r="G57" s="553"/>
      <c r="H57" s="553"/>
      <c r="I57" s="553"/>
      <c r="J57" s="553"/>
      <c r="K57" s="553"/>
      <c r="L57" s="553"/>
    </row>
    <row r="58" spans="1:12" x14ac:dyDescent="0.25">
      <c r="A58" s="180"/>
      <c r="B58" s="203" t="s">
        <v>174</v>
      </c>
      <c r="C58" s="203"/>
      <c r="D58" s="235"/>
      <c r="E58" s="235"/>
      <c r="F58" s="235"/>
      <c r="G58" s="235"/>
      <c r="H58" s="235"/>
      <c r="I58" s="235"/>
      <c r="J58" s="235"/>
      <c r="K58" s="235"/>
      <c r="L58" s="235"/>
    </row>
    <row r="59" spans="1:12" x14ac:dyDescent="0.25">
      <c r="A59" s="204" t="s">
        <v>104</v>
      </c>
      <c r="B59" s="519" t="s">
        <v>252</v>
      </c>
      <c r="C59" s="519"/>
      <c r="D59" s="519"/>
      <c r="E59" s="519"/>
      <c r="F59" s="519"/>
      <c r="G59" s="519"/>
      <c r="H59" s="519"/>
      <c r="I59" s="519"/>
      <c r="J59" s="519"/>
      <c r="K59" s="290"/>
      <c r="L59" s="290"/>
    </row>
    <row r="60" spans="1:12" x14ac:dyDescent="0.25">
      <c r="A60" s="204" t="s">
        <v>253</v>
      </c>
      <c r="B60" s="519" t="s">
        <v>287</v>
      </c>
      <c r="C60" s="519"/>
      <c r="D60" s="519"/>
      <c r="E60" s="519"/>
      <c r="F60" s="519"/>
      <c r="G60" s="519"/>
      <c r="H60" s="519"/>
      <c r="I60" s="519"/>
      <c r="J60" s="519"/>
      <c r="K60" s="519"/>
      <c r="L60" s="519"/>
    </row>
    <row r="61" spans="1:12" x14ac:dyDescent="0.25">
      <c r="A61" s="204" t="s">
        <v>255</v>
      </c>
      <c r="B61" s="519" t="s">
        <v>298</v>
      </c>
      <c r="C61" s="519"/>
      <c r="D61" s="519"/>
      <c r="E61" s="519"/>
      <c r="F61" s="519"/>
      <c r="G61" s="519"/>
      <c r="H61" s="519"/>
      <c r="I61" s="519"/>
      <c r="J61" s="519"/>
      <c r="K61" s="519"/>
      <c r="L61" s="519"/>
    </row>
    <row r="62" spans="1:12" x14ac:dyDescent="0.25">
      <c r="A62" s="204" t="s">
        <v>257</v>
      </c>
      <c r="B62" s="519" t="s">
        <v>292</v>
      </c>
      <c r="C62" s="519"/>
      <c r="D62" s="519"/>
      <c r="E62" s="519"/>
      <c r="F62" s="519"/>
      <c r="G62" s="519"/>
      <c r="H62" s="519"/>
      <c r="I62" s="519"/>
      <c r="J62" s="519"/>
      <c r="K62" s="519"/>
      <c r="L62" s="519"/>
    </row>
    <row r="63" spans="1:12" x14ac:dyDescent="0.25">
      <c r="A63" s="204" t="s">
        <v>259</v>
      </c>
      <c r="B63" s="519" t="s">
        <v>262</v>
      </c>
      <c r="C63" s="519"/>
      <c r="D63" s="519"/>
      <c r="E63" s="519"/>
      <c r="F63" s="519"/>
      <c r="G63" s="519"/>
      <c r="H63" s="519"/>
      <c r="I63" s="519"/>
      <c r="J63" s="209"/>
      <c r="K63" s="291"/>
      <c r="L63" s="291"/>
    </row>
    <row r="64" spans="1:12" x14ac:dyDescent="0.25">
      <c r="A64" s="204" t="s">
        <v>261</v>
      </c>
      <c r="B64" s="519" t="s">
        <v>293</v>
      </c>
      <c r="C64" s="519"/>
      <c r="D64" s="519"/>
      <c r="E64" s="519"/>
      <c r="F64" s="519"/>
      <c r="G64" s="519"/>
      <c r="H64" s="519"/>
      <c r="I64" s="519"/>
      <c r="J64" s="519"/>
      <c r="K64" s="519"/>
      <c r="L64" s="519"/>
    </row>
    <row r="65" spans="1:12" x14ac:dyDescent="0.25">
      <c r="A65" s="271"/>
      <c r="B65" s="272"/>
      <c r="C65" s="272"/>
      <c r="D65" s="272"/>
      <c r="E65" s="272"/>
      <c r="F65" s="272"/>
      <c r="G65" s="272"/>
      <c r="H65" s="272"/>
      <c r="I65" s="272"/>
      <c r="J65" s="272"/>
      <c r="K65" s="272"/>
      <c r="L65" s="272"/>
    </row>
    <row r="66" spans="1:12" ht="87.75" customHeight="1" x14ac:dyDescent="0.25">
      <c r="A66" s="520" t="s">
        <v>163</v>
      </c>
      <c r="B66" s="520"/>
      <c r="C66" s="520"/>
      <c r="D66" s="520"/>
      <c r="E66" s="520"/>
      <c r="F66" s="520"/>
      <c r="G66" s="520"/>
      <c r="H66" s="520"/>
      <c r="I66" s="520"/>
      <c r="J66" s="520"/>
    </row>
  </sheetData>
  <sheetProtection password="C712" sheet="1" objects="1" scenarios="1"/>
  <mergeCells count="25">
    <mergeCell ref="C3:I4"/>
    <mergeCell ref="J3:L4"/>
    <mergeCell ref="A5:A7"/>
    <mergeCell ref="B5:B7"/>
    <mergeCell ref="J27:L28"/>
    <mergeCell ref="C5:C6"/>
    <mergeCell ref="G5:G6"/>
    <mergeCell ref="H5:H6"/>
    <mergeCell ref="C27:I28"/>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mayo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27" t="s">
        <v>203</v>
      </c>
      <c r="D3" s="528"/>
      <c r="E3" s="528"/>
      <c r="F3" s="528"/>
      <c r="G3" s="528"/>
      <c r="H3" s="554" t="s">
        <v>275</v>
      </c>
      <c r="I3" s="556"/>
    </row>
    <row r="4" spans="1:9" ht="92.25" customHeight="1" x14ac:dyDescent="0.25">
      <c r="A4" s="187"/>
      <c r="B4" s="301" t="s">
        <v>302</v>
      </c>
      <c r="C4" s="529"/>
      <c r="D4" s="530"/>
      <c r="E4" s="530"/>
      <c r="F4" s="530"/>
      <c r="G4" s="530"/>
      <c r="H4" s="560"/>
      <c r="I4" s="561"/>
    </row>
    <row r="5" spans="1:9" ht="38.25" customHeight="1" x14ac:dyDescent="0.25">
      <c r="A5" s="521" t="s">
        <v>204</v>
      </c>
      <c r="B5" s="523" t="s">
        <v>205</v>
      </c>
      <c r="C5" s="525" t="s">
        <v>266</v>
      </c>
      <c r="D5" s="189" t="s">
        <v>97</v>
      </c>
      <c r="E5" s="189" t="s">
        <v>194</v>
      </c>
      <c r="F5" s="189" t="str">
        <f>+CESAR!F5</f>
        <v>Biodiesel B10</v>
      </c>
      <c r="G5" s="562" t="s">
        <v>294</v>
      </c>
      <c r="H5" s="308" t="s">
        <v>97</v>
      </c>
      <c r="I5" s="309" t="str">
        <f>+F5</f>
        <v>Biodiesel B10</v>
      </c>
    </row>
    <row r="6" spans="1:9" x14ac:dyDescent="0.25">
      <c r="A6" s="521"/>
      <c r="B6" s="523"/>
      <c r="C6" s="526"/>
      <c r="D6" s="190">
        <v>0.08</v>
      </c>
      <c r="E6" s="208">
        <v>0.02</v>
      </c>
      <c r="F6" s="437">
        <f>+CESAR!F6</f>
        <v>0.1</v>
      </c>
      <c r="G6" s="563"/>
      <c r="H6" s="310">
        <v>0.1</v>
      </c>
      <c r="I6" s="311">
        <f>+F6</f>
        <v>0.1</v>
      </c>
    </row>
    <row r="7" spans="1:9" x14ac:dyDescent="0.25">
      <c r="A7" s="522"/>
      <c r="B7" s="524"/>
      <c r="C7" s="159" t="s">
        <v>206</v>
      </c>
      <c r="D7" s="189" t="s">
        <v>206</v>
      </c>
      <c r="E7" s="189" t="s">
        <v>206</v>
      </c>
      <c r="F7" s="189" t="s">
        <v>206</v>
      </c>
      <c r="G7" s="274" t="s">
        <v>206</v>
      </c>
      <c r="H7" s="308" t="s">
        <v>206</v>
      </c>
      <c r="I7" s="309" t="s">
        <v>206</v>
      </c>
    </row>
    <row r="8" spans="1:9" x14ac:dyDescent="0.25">
      <c r="A8" s="161" t="s">
        <v>207</v>
      </c>
      <c r="B8" s="167" t="s">
        <v>208</v>
      </c>
      <c r="C8" s="293">
        <f>+'Calculo IP ZDF'!B30</f>
        <v>3980</v>
      </c>
      <c r="D8" s="293">
        <f>+'Calculo IP ZDF'!G30</f>
        <v>4453.7</v>
      </c>
      <c r="E8" s="293">
        <f>+'Calculo IP ZDF'!F30</f>
        <v>4848.3768</v>
      </c>
      <c r="F8" s="293">
        <f>+'Calculo IP ZDF'!H30</f>
        <v>5392.6080000000002</v>
      </c>
      <c r="G8" s="239">
        <f>+'Calculo IP ZDF'!C30</f>
        <v>4712.32</v>
      </c>
      <c r="H8" s="314">
        <f>+'GAS CTE'!D9</f>
        <v>4471.7</v>
      </c>
      <c r="I8" s="247">
        <f>+BIODIESEL!G9</f>
        <v>5413.92</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4085.9783307388502</v>
      </c>
      <c r="D16" s="280">
        <f t="shared" ref="D16:I16" si="0">SUM(D8:D15)</f>
        <v>4559.6783307388496</v>
      </c>
      <c r="E16" s="280">
        <f t="shared" si="0"/>
        <v>4954.3551307388498</v>
      </c>
      <c r="F16" s="280">
        <f t="shared" si="0"/>
        <v>5498.5863307388499</v>
      </c>
      <c r="G16" s="281">
        <f t="shared" si="0"/>
        <v>4818.2983307388495</v>
      </c>
      <c r="H16" s="282">
        <f t="shared" si="0"/>
        <v>5069.3123307388496</v>
      </c>
      <c r="I16" s="283">
        <f t="shared" si="0"/>
        <v>5990.4683307388495</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4085.9783307388502</v>
      </c>
      <c r="D20" s="200">
        <f t="shared" si="2"/>
        <v>4559.6783307388496</v>
      </c>
      <c r="E20" s="200">
        <f t="shared" si="2"/>
        <v>4954.3551307388498</v>
      </c>
      <c r="F20" s="200">
        <f t="shared" si="2"/>
        <v>5498.5863307388499</v>
      </c>
      <c r="G20" s="252">
        <f t="shared" si="2"/>
        <v>4818.2983307388495</v>
      </c>
      <c r="H20" s="282">
        <f t="shared" si="2"/>
        <v>5069.3123307388496</v>
      </c>
      <c r="I20" s="170">
        <f t="shared" si="2"/>
        <v>5990.4683307388495</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6" t="str">
        <f>+CESAR!B53</f>
        <v>De acuerdo con lo establecido en la Resolución MME 91349 de 2014</v>
      </c>
      <c r="C29" s="536"/>
      <c r="D29" s="536"/>
      <c r="E29" s="536"/>
      <c r="F29" s="536"/>
      <c r="G29" s="536"/>
      <c r="H29" s="536"/>
      <c r="I29" s="179"/>
    </row>
    <row r="30" spans="1:9" ht="24.75" customHeight="1" x14ac:dyDescent="0.25">
      <c r="A30" s="180" t="s">
        <v>240</v>
      </c>
      <c r="B30" s="518" t="s">
        <v>297</v>
      </c>
      <c r="C30" s="518"/>
      <c r="D30" s="518"/>
      <c r="E30" s="518"/>
      <c r="F30" s="518"/>
      <c r="G30" s="518"/>
      <c r="H30" s="518"/>
      <c r="I30" s="518"/>
    </row>
    <row r="31" spans="1:9" ht="52.5" customHeight="1" x14ac:dyDescent="0.25">
      <c r="A31" s="180" t="s">
        <v>139</v>
      </c>
      <c r="B31" s="518" t="s">
        <v>366</v>
      </c>
      <c r="C31" s="518"/>
      <c r="D31" s="518"/>
      <c r="E31" s="518"/>
      <c r="F31" s="518"/>
      <c r="G31" s="518"/>
      <c r="H31" s="518"/>
      <c r="I31" s="518"/>
    </row>
    <row r="32" spans="1:9" ht="52.5" customHeight="1" x14ac:dyDescent="0.25">
      <c r="A32" s="206" t="s">
        <v>241</v>
      </c>
      <c r="B32" s="535" t="s">
        <v>448</v>
      </c>
      <c r="C32" s="535"/>
      <c r="D32" s="535"/>
      <c r="E32" s="535"/>
      <c r="F32" s="535"/>
      <c r="G32" s="535"/>
      <c r="H32" s="535"/>
      <c r="I32" s="535"/>
    </row>
    <row r="33" spans="1:10" x14ac:dyDescent="0.25">
      <c r="A33" s="180"/>
      <c r="B33" s="203" t="s">
        <v>174</v>
      </c>
      <c r="C33" s="203"/>
      <c r="D33" s="235"/>
      <c r="E33" s="235"/>
      <c r="F33" s="235"/>
      <c r="G33" s="235"/>
      <c r="H33" s="235"/>
      <c r="I33" s="235"/>
    </row>
    <row r="34" spans="1:10" x14ac:dyDescent="0.25">
      <c r="A34" s="204" t="s">
        <v>104</v>
      </c>
      <c r="B34" s="519" t="s">
        <v>252</v>
      </c>
      <c r="C34" s="519"/>
      <c r="D34" s="519"/>
      <c r="E34" s="519"/>
      <c r="F34" s="519"/>
      <c r="G34" s="519"/>
      <c r="H34" s="519"/>
      <c r="I34" s="290"/>
    </row>
    <row r="35" spans="1:10" ht="15" customHeight="1" x14ac:dyDescent="0.25">
      <c r="A35" s="204" t="s">
        <v>253</v>
      </c>
      <c r="B35" s="519" t="s">
        <v>287</v>
      </c>
      <c r="C35" s="519"/>
      <c r="D35" s="519"/>
      <c r="E35" s="519"/>
      <c r="F35" s="519"/>
      <c r="G35" s="519"/>
      <c r="H35" s="519"/>
      <c r="I35" s="519"/>
    </row>
    <row r="36" spans="1:10" ht="26.25" customHeight="1" x14ac:dyDescent="0.25">
      <c r="A36" s="204" t="s">
        <v>255</v>
      </c>
      <c r="B36" s="518" t="s">
        <v>298</v>
      </c>
      <c r="C36" s="518"/>
      <c r="D36" s="518"/>
      <c r="E36" s="518"/>
      <c r="F36" s="518"/>
      <c r="G36" s="518"/>
      <c r="H36" s="518"/>
      <c r="I36" s="518"/>
    </row>
    <row r="37" spans="1:10" x14ac:dyDescent="0.25">
      <c r="A37" s="204" t="s">
        <v>257</v>
      </c>
      <c r="B37" s="519" t="s">
        <v>292</v>
      </c>
      <c r="C37" s="519"/>
      <c r="D37" s="519"/>
      <c r="E37" s="519"/>
      <c r="F37" s="519"/>
      <c r="G37" s="519"/>
      <c r="H37" s="519"/>
      <c r="I37" s="519"/>
    </row>
    <row r="38" spans="1:10" x14ac:dyDescent="0.25">
      <c r="A38" s="204" t="s">
        <v>259</v>
      </c>
      <c r="B38" s="518" t="s">
        <v>262</v>
      </c>
      <c r="C38" s="518"/>
      <c r="D38" s="518"/>
      <c r="E38" s="518"/>
      <c r="F38" s="518"/>
      <c r="G38" s="518"/>
      <c r="H38" s="518"/>
      <c r="I38" s="518"/>
    </row>
    <row r="39" spans="1:10" x14ac:dyDescent="0.25">
      <c r="A39" s="204" t="s">
        <v>261</v>
      </c>
      <c r="B39" s="519" t="s">
        <v>293</v>
      </c>
      <c r="C39" s="519"/>
      <c r="D39" s="519"/>
      <c r="E39" s="519"/>
      <c r="F39" s="519"/>
      <c r="G39" s="519"/>
      <c r="H39" s="519"/>
      <c r="I39" s="519"/>
    </row>
    <row r="40" spans="1:10" x14ac:dyDescent="0.25">
      <c r="A40" s="271"/>
      <c r="B40" s="272"/>
      <c r="C40" s="272"/>
      <c r="D40" s="272"/>
      <c r="E40" s="272"/>
      <c r="F40" s="272"/>
      <c r="G40" s="272"/>
      <c r="H40" s="272"/>
      <c r="I40" s="272"/>
    </row>
    <row r="41" spans="1:10" ht="88.5" customHeight="1" x14ac:dyDescent="0.25">
      <c r="A41" s="520" t="s">
        <v>163</v>
      </c>
      <c r="B41" s="520"/>
      <c r="C41" s="520"/>
      <c r="D41" s="520"/>
      <c r="E41" s="520"/>
      <c r="F41" s="520"/>
      <c r="G41" s="520"/>
      <c r="H41" s="520"/>
      <c r="I41" s="520"/>
      <c r="J41" s="520"/>
    </row>
  </sheetData>
  <sheetProtection password="C712"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mayo de 2020; 00:00 horas</v>
      </c>
    </row>
    <row r="2" spans="1:8" ht="15.75" thickBot="1" x14ac:dyDescent="0.3">
      <c r="A2" s="183" t="s">
        <v>202</v>
      </c>
      <c r="B2" s="183"/>
    </row>
    <row r="3" spans="1:8" ht="15.75" customHeight="1" thickTop="1" x14ac:dyDescent="0.25">
      <c r="A3" s="215"/>
      <c r="B3" s="216" t="s">
        <v>303</v>
      </c>
      <c r="C3" s="537" t="s">
        <v>203</v>
      </c>
      <c r="D3" s="538"/>
      <c r="E3" s="538"/>
      <c r="F3" s="539"/>
      <c r="G3" s="543" t="s">
        <v>275</v>
      </c>
      <c r="H3" s="544"/>
    </row>
    <row r="4" spans="1:8" x14ac:dyDescent="0.25">
      <c r="A4" s="158"/>
      <c r="B4" s="317" t="s">
        <v>304</v>
      </c>
      <c r="C4" s="540"/>
      <c r="D4" s="541"/>
      <c r="E4" s="541"/>
      <c r="F4" s="542"/>
      <c r="G4" s="545"/>
      <c r="H4" s="546"/>
    </row>
    <row r="5" spans="1:8" ht="38.25" customHeight="1" x14ac:dyDescent="0.25">
      <c r="A5" s="521" t="s">
        <v>204</v>
      </c>
      <c r="B5" s="523" t="s">
        <v>205</v>
      </c>
      <c r="C5" s="525" t="s">
        <v>266</v>
      </c>
      <c r="D5" s="189" t="s">
        <v>97</v>
      </c>
      <c r="E5" s="189" t="s">
        <v>194</v>
      </c>
      <c r="F5" s="189" t="str">
        <f>+CHOCO!F5</f>
        <v>Biodiesel B10</v>
      </c>
      <c r="G5" s="189" t="s">
        <v>97</v>
      </c>
      <c r="H5" s="255" t="str">
        <f>+F5</f>
        <v>Biodiesel B10</v>
      </c>
    </row>
    <row r="6" spans="1:8" x14ac:dyDescent="0.25">
      <c r="A6" s="521"/>
      <c r="B6" s="523"/>
      <c r="C6" s="526"/>
      <c r="D6" s="190">
        <v>0.08</v>
      </c>
      <c r="E6" s="208">
        <v>0.02</v>
      </c>
      <c r="F6" s="437">
        <f>+CHOCO!F6</f>
        <v>0.1</v>
      </c>
      <c r="G6" s="208">
        <v>0.1</v>
      </c>
      <c r="H6" s="191">
        <f>+F6</f>
        <v>0.1</v>
      </c>
    </row>
    <row r="7" spans="1:8" x14ac:dyDescent="0.25">
      <c r="A7" s="522"/>
      <c r="B7" s="524"/>
      <c r="C7" s="159" t="s">
        <v>206</v>
      </c>
      <c r="D7" s="189" t="s">
        <v>206</v>
      </c>
      <c r="E7" s="189" t="s">
        <v>206</v>
      </c>
      <c r="F7" s="189" t="s">
        <v>206</v>
      </c>
      <c r="G7" s="159" t="s">
        <v>206</v>
      </c>
      <c r="H7" s="255" t="s">
        <v>206</v>
      </c>
    </row>
    <row r="8" spans="1:8" x14ac:dyDescent="0.25">
      <c r="A8" s="161" t="s">
        <v>207</v>
      </c>
      <c r="B8" s="167" t="s">
        <v>208</v>
      </c>
      <c r="C8" s="233">
        <f>+'Calculo IP ZDF'!B31</f>
        <v>3980</v>
      </c>
      <c r="D8" s="239">
        <f>+'Calculo IP ZDF'!G31</f>
        <v>4453.7</v>
      </c>
      <c r="E8" s="241">
        <f>+'Calculo IP ZDF'!F31</f>
        <v>4644.1604799999996</v>
      </c>
      <c r="F8" s="240">
        <f>+'Calculo IP ZDF'!H31</f>
        <v>5205.0623999999998</v>
      </c>
      <c r="G8" s="218">
        <f>+'GAS CTE'!D9</f>
        <v>4471.7</v>
      </c>
      <c r="H8" s="243">
        <f>+BIODIESEL!G9</f>
        <v>5413.92</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4179.100796517253</v>
      </c>
      <c r="D18" s="225">
        <f>SUM(D8:D17)</f>
        <v>4652.8007965172528</v>
      </c>
      <c r="E18" s="225">
        <f t="shared" si="1"/>
        <v>4843.2612765172526</v>
      </c>
      <c r="F18" s="226">
        <f t="shared" si="1"/>
        <v>5404.1631965172528</v>
      </c>
      <c r="G18" s="227">
        <f t="shared" si="1"/>
        <v>5174.2062640416834</v>
      </c>
      <c r="H18" s="246">
        <f t="shared" si="1"/>
        <v>6095.3622640416834</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4179.100796517253</v>
      </c>
      <c r="D22" s="224">
        <f t="shared" ref="D22:H22" si="2">+D18</f>
        <v>4652.8007965172528</v>
      </c>
      <c r="E22" s="224">
        <f t="shared" si="2"/>
        <v>4843.2612765172526</v>
      </c>
      <c r="F22" s="242">
        <f t="shared" si="2"/>
        <v>5404.1631965172528</v>
      </c>
      <c r="G22" s="224">
        <f t="shared" si="2"/>
        <v>5174.2062640416834</v>
      </c>
      <c r="H22" s="242">
        <f t="shared" si="2"/>
        <v>6095.3622640416834</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6" t="str">
        <f>+CHOCO!B29</f>
        <v>De acuerdo con lo establecido en la Resolución MME 91349 de 2014</v>
      </c>
      <c r="C30" s="536"/>
      <c r="D30" s="536"/>
      <c r="E30" s="536"/>
      <c r="F30" s="536"/>
      <c r="G30" s="536"/>
      <c r="H30" s="536"/>
      <c r="I30" s="536"/>
      <c r="J30" s="536"/>
      <c r="K30" s="236"/>
      <c r="L30" s="236"/>
      <c r="M30" s="236"/>
      <c r="N30" s="236"/>
      <c r="O30" s="236"/>
      <c r="P30" s="236"/>
    </row>
    <row r="31" spans="1:16" ht="27" customHeight="1" x14ac:dyDescent="0.25">
      <c r="A31" s="180" t="s">
        <v>240</v>
      </c>
      <c r="B31" s="518" t="s">
        <v>297</v>
      </c>
      <c r="C31" s="518"/>
      <c r="D31" s="518"/>
      <c r="E31" s="518"/>
      <c r="F31" s="518"/>
      <c r="G31" s="518"/>
      <c r="H31" s="518"/>
      <c r="I31" s="518"/>
      <c r="J31" s="518"/>
      <c r="K31" s="214"/>
      <c r="L31" s="214"/>
      <c r="M31" s="214"/>
      <c r="N31" s="214"/>
      <c r="O31" s="214"/>
      <c r="P31" s="214"/>
    </row>
    <row r="32" spans="1:16" ht="53.25" customHeight="1" x14ac:dyDescent="0.25">
      <c r="A32" s="180" t="s">
        <v>139</v>
      </c>
      <c r="B32" s="536" t="s">
        <v>366</v>
      </c>
      <c r="C32" s="536"/>
      <c r="D32" s="536"/>
      <c r="E32" s="536"/>
      <c r="F32" s="536"/>
      <c r="G32" s="536"/>
      <c r="H32" s="536"/>
      <c r="I32" s="536"/>
      <c r="J32" s="536"/>
      <c r="K32" s="214"/>
      <c r="L32" s="214"/>
      <c r="M32" s="214"/>
      <c r="N32" s="214"/>
      <c r="O32" s="214"/>
      <c r="P32" s="214"/>
    </row>
    <row r="33" spans="1:16" ht="53.25" customHeight="1" x14ac:dyDescent="0.25">
      <c r="A33" s="180" t="s">
        <v>241</v>
      </c>
      <c r="B33" s="535" t="s">
        <v>448</v>
      </c>
      <c r="C33" s="535"/>
      <c r="D33" s="535"/>
      <c r="E33" s="535"/>
      <c r="F33" s="535"/>
      <c r="G33" s="535"/>
      <c r="H33" s="535"/>
      <c r="I33" s="535"/>
      <c r="J33" s="535"/>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19" t="s">
        <v>252</v>
      </c>
      <c r="C35" s="519"/>
      <c r="D35" s="519"/>
      <c r="E35" s="519"/>
      <c r="F35" s="519"/>
      <c r="G35" s="519"/>
      <c r="H35" s="519"/>
      <c r="I35" s="519"/>
      <c r="J35" s="519"/>
      <c r="K35" s="214"/>
      <c r="L35" s="214"/>
      <c r="M35" s="214"/>
      <c r="N35" s="214"/>
      <c r="O35" s="214"/>
      <c r="P35" s="214"/>
    </row>
    <row r="36" spans="1:16" ht="15" customHeight="1" x14ac:dyDescent="0.25">
      <c r="A36" s="204" t="s">
        <v>253</v>
      </c>
      <c r="B36" s="536" t="s">
        <v>351</v>
      </c>
      <c r="C36" s="536"/>
      <c r="D36" s="536"/>
      <c r="E36" s="536"/>
      <c r="F36" s="536"/>
      <c r="G36" s="536"/>
      <c r="H36" s="536"/>
      <c r="I36" s="536"/>
      <c r="J36" s="536"/>
      <c r="K36" s="214"/>
      <c r="L36" s="214"/>
      <c r="M36" s="214"/>
      <c r="N36" s="214"/>
      <c r="O36" s="214"/>
      <c r="P36" s="214"/>
    </row>
    <row r="37" spans="1:16" ht="15" customHeight="1" x14ac:dyDescent="0.25">
      <c r="A37" s="180" t="s">
        <v>255</v>
      </c>
      <c r="B37" s="536" t="s">
        <v>256</v>
      </c>
      <c r="C37" s="536"/>
      <c r="D37" s="536"/>
      <c r="E37" s="536"/>
      <c r="F37" s="536"/>
      <c r="G37" s="536"/>
      <c r="H37" s="536"/>
      <c r="I37" s="180"/>
      <c r="J37" s="519"/>
      <c r="K37" s="519"/>
      <c r="L37" s="519"/>
      <c r="M37" s="519"/>
      <c r="N37" s="519"/>
      <c r="O37" s="519"/>
      <c r="P37" s="519"/>
    </row>
    <row r="38" spans="1:16" ht="15" customHeight="1" x14ac:dyDescent="0.25">
      <c r="A38" s="180" t="s">
        <v>257</v>
      </c>
      <c r="B38" s="519" t="s">
        <v>260</v>
      </c>
      <c r="C38" s="519"/>
      <c r="D38" s="519"/>
      <c r="E38" s="519"/>
      <c r="F38" s="519"/>
      <c r="G38" s="519"/>
      <c r="H38" s="519"/>
      <c r="I38" s="180"/>
      <c r="J38" s="254"/>
      <c r="K38" s="254"/>
      <c r="L38" s="254"/>
      <c r="M38" s="254"/>
      <c r="N38" s="254"/>
      <c r="O38" s="254"/>
      <c r="P38" s="254"/>
    </row>
    <row r="39" spans="1:16" ht="24" customHeight="1" x14ac:dyDescent="0.25">
      <c r="A39" s="204" t="s">
        <v>259</v>
      </c>
      <c r="B39" s="536" t="s">
        <v>262</v>
      </c>
      <c r="C39" s="536"/>
      <c r="D39" s="536"/>
      <c r="E39" s="536"/>
      <c r="F39" s="536"/>
      <c r="G39" s="536"/>
      <c r="H39" s="536"/>
      <c r="I39" s="536"/>
      <c r="J39" s="536"/>
      <c r="K39" s="214"/>
      <c r="L39" s="214"/>
      <c r="M39" s="214"/>
      <c r="N39" s="214"/>
      <c r="O39" s="214"/>
      <c r="P39" s="214"/>
    </row>
    <row r="40" spans="1:16" x14ac:dyDescent="0.25">
      <c r="A40" s="204" t="s">
        <v>261</v>
      </c>
      <c r="B40" s="536" t="s">
        <v>305</v>
      </c>
      <c r="C40" s="536"/>
      <c r="D40" s="536"/>
      <c r="E40" s="536"/>
      <c r="F40" s="536"/>
      <c r="G40" s="536"/>
      <c r="H40" s="536"/>
      <c r="I40" s="536"/>
      <c r="J40" s="536"/>
      <c r="K40" s="214"/>
      <c r="L40" s="214"/>
      <c r="M40" s="214"/>
      <c r="N40" s="214"/>
      <c r="O40" s="214"/>
      <c r="P40" s="214"/>
    </row>
    <row r="42" spans="1:16" ht="87.75" customHeight="1" x14ac:dyDescent="0.25">
      <c r="A42" s="520" t="s">
        <v>163</v>
      </c>
      <c r="B42" s="520"/>
      <c r="C42" s="520"/>
      <c r="D42" s="520"/>
      <c r="E42" s="520"/>
      <c r="F42" s="520"/>
      <c r="G42" s="520"/>
      <c r="H42" s="520"/>
      <c r="I42" s="520"/>
      <c r="J42" s="520"/>
    </row>
  </sheetData>
  <sheetProtection password="C712" sheet="1" objects="1" scenarios="1"/>
  <mergeCells count="17">
    <mergeCell ref="B38:H38"/>
    <mergeCell ref="B39:J39"/>
    <mergeCell ref="B40:J40"/>
    <mergeCell ref="A42:J42"/>
    <mergeCell ref="B31:J31"/>
    <mergeCell ref="B32:J32"/>
    <mergeCell ref="B35:J35"/>
    <mergeCell ref="B36:J36"/>
    <mergeCell ref="B37:H37"/>
    <mergeCell ref="J37:P37"/>
    <mergeCell ref="B33:J33"/>
    <mergeCell ref="B30:J30"/>
    <mergeCell ref="C3:F4"/>
    <mergeCell ref="G3:H4"/>
    <mergeCell ref="A5:A7"/>
    <mergeCell ref="B5:B7"/>
    <mergeCell ref="C5:C6"/>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+AMAZONAS!B1</f>
        <v>Vigencia: 1 de mayo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27" t="s">
        <v>203</v>
      </c>
      <c r="D3" s="528"/>
      <c r="E3" s="528"/>
      <c r="F3" s="528"/>
      <c r="G3" s="554" t="s">
        <v>275</v>
      </c>
      <c r="H3" s="556"/>
    </row>
    <row r="4" spans="1:8" ht="51" x14ac:dyDescent="0.25">
      <c r="A4" s="187"/>
      <c r="B4" s="301" t="s">
        <v>307</v>
      </c>
      <c r="C4" s="529"/>
      <c r="D4" s="530"/>
      <c r="E4" s="530"/>
      <c r="F4" s="530"/>
      <c r="G4" s="557"/>
      <c r="H4" s="559"/>
    </row>
    <row r="5" spans="1:8" ht="38.25" customHeight="1" x14ac:dyDescent="0.25">
      <c r="A5" s="521" t="s">
        <v>204</v>
      </c>
      <c r="B5" s="523" t="s">
        <v>205</v>
      </c>
      <c r="C5" s="525" t="s">
        <v>266</v>
      </c>
      <c r="D5" s="189" t="s">
        <v>97</v>
      </c>
      <c r="E5" s="189" t="s">
        <v>440</v>
      </c>
      <c r="F5" s="436" t="str">
        <f>+GUAINIA!F5</f>
        <v>Biodiesel B10</v>
      </c>
      <c r="G5" s="159" t="s">
        <v>97</v>
      </c>
      <c r="H5" s="255" t="str">
        <f>+F5</f>
        <v>Biodiesel B10</v>
      </c>
    </row>
    <row r="6" spans="1:8" ht="21.75" customHeight="1" x14ac:dyDescent="0.25">
      <c r="A6" s="521"/>
      <c r="B6" s="523"/>
      <c r="C6" s="526"/>
      <c r="D6" s="190">
        <v>0.08</v>
      </c>
      <c r="E6" s="191">
        <v>0.02</v>
      </c>
      <c r="F6" s="191">
        <f>+GUAINIA!F6</f>
        <v>0.1</v>
      </c>
      <c r="G6" s="302">
        <v>0.1</v>
      </c>
      <c r="H6" s="191">
        <f>+F6</f>
        <v>0.1</v>
      </c>
    </row>
    <row r="7" spans="1:8" x14ac:dyDescent="0.25">
      <c r="A7" s="522"/>
      <c r="B7" s="524"/>
      <c r="C7" s="159" t="s">
        <v>206</v>
      </c>
      <c r="D7" s="189" t="s">
        <v>206</v>
      </c>
      <c r="E7" s="189" t="s">
        <v>206</v>
      </c>
      <c r="F7" s="189" t="s">
        <v>206</v>
      </c>
      <c r="G7" s="159" t="s">
        <v>206</v>
      </c>
      <c r="H7" s="255" t="s">
        <v>206</v>
      </c>
    </row>
    <row r="8" spans="1:8" x14ac:dyDescent="0.25">
      <c r="A8" s="161" t="s">
        <v>207</v>
      </c>
      <c r="B8" s="167" t="s">
        <v>208</v>
      </c>
      <c r="C8" s="293">
        <f>+'Calculo IP ZDF'!B32</f>
        <v>3980</v>
      </c>
      <c r="D8" s="293">
        <f>+'Calculo IP ZDF'!G32</f>
        <v>4453.7</v>
      </c>
      <c r="E8" s="279">
        <f>+'Calculo IP ZDF'!F32</f>
        <v>4572.2206400000005</v>
      </c>
      <c r="F8" s="198">
        <f>+'Calculo IP ZDF'!H32</f>
        <v>5138.9952000000003</v>
      </c>
      <c r="G8" s="276">
        <f>+'GAS CTE'!D9</f>
        <v>4471.7</v>
      </c>
      <c r="H8" s="243">
        <f>+BIODIESEL!G9</f>
        <v>5413.92</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4318.1645748566725</v>
      </c>
      <c r="D17" s="280">
        <f t="shared" si="1"/>
        <v>4776.3645748566723</v>
      </c>
      <c r="E17" s="280">
        <f t="shared" si="1"/>
        <v>4925.9052148566734</v>
      </c>
      <c r="F17" s="280">
        <f t="shared" si="1"/>
        <v>5478.7597748566732</v>
      </c>
      <c r="G17" s="282">
        <f t="shared" si="1"/>
        <v>5301.4985748566723</v>
      </c>
      <c r="H17" s="283">
        <f>SUM(H8:H16)</f>
        <v>6224.2545748566727</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4318.1645748566725</v>
      </c>
      <c r="D21" s="200">
        <f t="shared" si="2"/>
        <v>4776.3645748566723</v>
      </c>
      <c r="E21" s="200">
        <f t="shared" si="2"/>
        <v>4925.9052148566734</v>
      </c>
      <c r="F21" s="200">
        <f t="shared" si="2"/>
        <v>5478.7597748566732</v>
      </c>
      <c r="G21" s="282">
        <f t="shared" si="2"/>
        <v>5301.4985748566723</v>
      </c>
      <c r="H21" s="170">
        <f t="shared" si="2"/>
        <v>6224.2545748566727</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27" t="s">
        <v>203</v>
      </c>
      <c r="D28" s="528"/>
      <c r="E28" s="528"/>
      <c r="F28" s="528"/>
      <c r="G28" s="554" t="s">
        <v>275</v>
      </c>
      <c r="H28" s="555"/>
    </row>
    <row r="29" spans="1:8" ht="46.5" customHeight="1" x14ac:dyDescent="0.25">
      <c r="A29" s="187"/>
      <c r="B29" s="301" t="s">
        <v>308</v>
      </c>
      <c r="C29" s="529"/>
      <c r="D29" s="530"/>
      <c r="E29" s="530"/>
      <c r="F29" s="530"/>
      <c r="G29" s="557"/>
      <c r="H29" s="558"/>
    </row>
    <row r="30" spans="1:8" ht="38.25" customHeight="1" x14ac:dyDescent="0.25">
      <c r="A30" s="521" t="s">
        <v>204</v>
      </c>
      <c r="B30" s="523" t="s">
        <v>205</v>
      </c>
      <c r="C30" s="525" t="s">
        <v>266</v>
      </c>
      <c r="D30" s="189" t="s">
        <v>97</v>
      </c>
      <c r="E30" s="189" t="str">
        <f>+E5</f>
        <v>Biodiesel B2</v>
      </c>
      <c r="F30" s="551" t="str">
        <f>+F5</f>
        <v>Biodiesel B10</v>
      </c>
      <c r="G30" s="159" t="s">
        <v>97</v>
      </c>
      <c r="H30" s="255" t="str">
        <f>+F30</f>
        <v>Biodiesel B10</v>
      </c>
    </row>
    <row r="31" spans="1:8" x14ac:dyDescent="0.25">
      <c r="A31" s="521"/>
      <c r="B31" s="523"/>
      <c r="C31" s="526"/>
      <c r="D31" s="190">
        <v>0.08</v>
      </c>
      <c r="E31" s="191">
        <f>+E6</f>
        <v>0.02</v>
      </c>
      <c r="F31" s="552"/>
      <c r="G31" s="302">
        <v>0.1</v>
      </c>
      <c r="H31" s="191">
        <f>+H6</f>
        <v>0.1</v>
      </c>
    </row>
    <row r="32" spans="1:8" x14ac:dyDescent="0.25">
      <c r="A32" s="522"/>
      <c r="B32" s="524"/>
      <c r="C32" s="159" t="s">
        <v>206</v>
      </c>
      <c r="D32" s="189" t="s">
        <v>206</v>
      </c>
      <c r="E32" s="189" t="s">
        <v>206</v>
      </c>
      <c r="F32" s="439">
        <f>+F6</f>
        <v>0.1</v>
      </c>
      <c r="G32" s="159" t="s">
        <v>206</v>
      </c>
      <c r="H32" s="255" t="s">
        <v>206</v>
      </c>
    </row>
    <row r="33" spans="1:8" x14ac:dyDescent="0.25">
      <c r="A33" s="161" t="s">
        <v>207</v>
      </c>
      <c r="B33" s="167" t="s">
        <v>208</v>
      </c>
      <c r="C33" s="293">
        <f>+'GAS CTE'!C6</f>
        <v>4000</v>
      </c>
      <c r="D33" s="293">
        <f>+'GAS CTE'!D9</f>
        <v>4471.7</v>
      </c>
      <c r="E33" s="294">
        <f>+BIODIESEL!E9</f>
        <v>4871.58</v>
      </c>
      <c r="F33" s="198">
        <f>+BIODIESEL!G9</f>
        <v>5413.92</v>
      </c>
      <c r="G33" s="276">
        <f>+D33</f>
        <v>4471.7</v>
      </c>
      <c r="H33" s="243">
        <f>+H8</f>
        <v>5413.92</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4338.1645748566725</v>
      </c>
      <c r="D42" s="280">
        <f t="shared" si="4"/>
        <v>4794.3645748566723</v>
      </c>
      <c r="E42" s="280">
        <f t="shared" si="4"/>
        <v>5225.2645748566729</v>
      </c>
      <c r="F42" s="280">
        <f t="shared" si="4"/>
        <v>5753.684574856673</v>
      </c>
      <c r="G42" s="282">
        <f t="shared" si="4"/>
        <v>5285.9985748566723</v>
      </c>
      <c r="H42" s="283">
        <f t="shared" si="4"/>
        <v>6224.2545748566727</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4338.1645748566725</v>
      </c>
      <c r="D46" s="200">
        <f t="shared" ref="D46:H46" si="5">SUM(D42:D45)</f>
        <v>4794.3645748566723</v>
      </c>
      <c r="E46" s="200">
        <f t="shared" si="5"/>
        <v>5225.2645748566729</v>
      </c>
      <c r="F46" s="200">
        <f t="shared" si="5"/>
        <v>5753.684574856673</v>
      </c>
      <c r="G46" s="282">
        <f t="shared" si="5"/>
        <v>5285.9985748566723</v>
      </c>
      <c r="H46" s="170">
        <f t="shared" si="5"/>
        <v>6224.2545748566727</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6" t="str">
        <f>+GUAINIA!B30</f>
        <v>De acuerdo con lo establecido en la Resolución MME 91349 de 2014</v>
      </c>
      <c r="C54" s="536"/>
      <c r="D54" s="536"/>
      <c r="E54" s="536"/>
      <c r="F54" s="536"/>
      <c r="G54" s="536"/>
      <c r="H54" s="536"/>
    </row>
    <row r="55" spans="1:8" ht="27.75" customHeight="1" x14ac:dyDescent="0.25">
      <c r="A55" s="180" t="s">
        <v>240</v>
      </c>
      <c r="B55" s="518" t="s">
        <v>297</v>
      </c>
      <c r="C55" s="518"/>
      <c r="D55" s="518"/>
      <c r="E55" s="518"/>
      <c r="F55" s="518"/>
      <c r="G55" s="518"/>
      <c r="H55" s="518"/>
    </row>
    <row r="56" spans="1:8" ht="39" customHeight="1" x14ac:dyDescent="0.25">
      <c r="A56" s="180" t="s">
        <v>139</v>
      </c>
      <c r="B56" s="518" t="s">
        <v>267</v>
      </c>
      <c r="C56" s="518"/>
      <c r="D56" s="518"/>
      <c r="E56" s="518"/>
      <c r="F56" s="518"/>
      <c r="G56" s="518"/>
      <c r="H56" s="518"/>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18" t="s">
        <v>252</v>
      </c>
      <c r="C59" s="518"/>
      <c r="D59" s="518"/>
      <c r="E59" s="518"/>
      <c r="F59" s="518"/>
      <c r="G59" s="518"/>
      <c r="H59" s="518"/>
    </row>
    <row r="60" spans="1:8" ht="20.25" customHeight="1" x14ac:dyDescent="0.25">
      <c r="A60" s="204" t="s">
        <v>253</v>
      </c>
      <c r="B60" s="519" t="s">
        <v>310</v>
      </c>
      <c r="C60" s="519"/>
      <c r="D60" s="519"/>
      <c r="E60" s="519"/>
      <c r="F60" s="519"/>
      <c r="G60" s="519"/>
      <c r="H60" s="519"/>
    </row>
    <row r="61" spans="1:8" ht="25.5" customHeight="1" x14ac:dyDescent="0.25">
      <c r="A61" s="204" t="s">
        <v>255</v>
      </c>
      <c r="B61" s="519" t="s">
        <v>298</v>
      </c>
      <c r="C61" s="519"/>
      <c r="D61" s="519"/>
      <c r="E61" s="519"/>
      <c r="F61" s="519"/>
      <c r="G61" s="519"/>
      <c r="H61" s="519"/>
    </row>
    <row r="62" spans="1:8" x14ac:dyDescent="0.25">
      <c r="A62" s="204" t="s">
        <v>257</v>
      </c>
      <c r="B62" s="519" t="s">
        <v>292</v>
      </c>
      <c r="C62" s="519"/>
      <c r="D62" s="519"/>
      <c r="E62" s="519"/>
      <c r="F62" s="519"/>
      <c r="G62" s="519"/>
      <c r="H62" s="519"/>
    </row>
    <row r="63" spans="1:8" ht="15" customHeight="1" x14ac:dyDescent="0.25">
      <c r="A63" s="204" t="s">
        <v>259</v>
      </c>
      <c r="B63" s="519" t="s">
        <v>262</v>
      </c>
      <c r="C63" s="519"/>
      <c r="D63" s="519"/>
      <c r="E63" s="519"/>
      <c r="F63" s="519"/>
      <c r="G63" s="519"/>
      <c r="H63" s="519"/>
    </row>
    <row r="64" spans="1:8" ht="15" customHeight="1" x14ac:dyDescent="0.25">
      <c r="A64" s="204" t="s">
        <v>261</v>
      </c>
      <c r="B64" s="519" t="s">
        <v>293</v>
      </c>
      <c r="C64" s="519"/>
      <c r="D64" s="519"/>
      <c r="E64" s="519"/>
      <c r="F64" s="519"/>
      <c r="G64" s="519"/>
      <c r="H64" s="519"/>
    </row>
    <row r="65" spans="1:8" x14ac:dyDescent="0.25">
      <c r="A65" s="271"/>
      <c r="B65" s="272"/>
      <c r="C65" s="272"/>
      <c r="D65" s="272"/>
      <c r="E65" s="272"/>
      <c r="F65" s="272"/>
      <c r="G65" s="272"/>
      <c r="H65" s="272"/>
    </row>
    <row r="66" spans="1:8" ht="87.75" customHeight="1" x14ac:dyDescent="0.25">
      <c r="A66" s="564" t="s">
        <v>163</v>
      </c>
      <c r="B66" s="564"/>
      <c r="C66" s="564"/>
      <c r="D66" s="564"/>
      <c r="E66" s="564"/>
      <c r="F66" s="564"/>
      <c r="G66" s="564"/>
      <c r="H66" s="564"/>
    </row>
  </sheetData>
  <sheetProtection password="C712" sheet="1" objects="1" scenarios="1"/>
  <mergeCells count="21">
    <mergeCell ref="A66:H66"/>
    <mergeCell ref="B61:H61"/>
    <mergeCell ref="B62:H62"/>
    <mergeCell ref="B64:H64"/>
    <mergeCell ref="B54:H54"/>
    <mergeCell ref="B55:H55"/>
    <mergeCell ref="B56:H56"/>
    <mergeCell ref="B59:H59"/>
    <mergeCell ref="B63:H63"/>
    <mergeCell ref="B60:H60"/>
    <mergeCell ref="C28:F29"/>
    <mergeCell ref="G28:H29"/>
    <mergeCell ref="A30:A32"/>
    <mergeCell ref="B30:B32"/>
    <mergeCell ref="C30:C31"/>
    <mergeCell ref="F30:F31"/>
    <mergeCell ref="C3:F4"/>
    <mergeCell ref="G3:H4"/>
    <mergeCell ref="A5:A7"/>
    <mergeCell ref="B5:B7"/>
    <mergeCell ref="C5:C6"/>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C16" sqref="C16"/>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mayo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27" t="s">
        <v>203</v>
      </c>
      <c r="D3" s="528"/>
      <c r="E3" s="528"/>
      <c r="F3" s="528"/>
      <c r="G3" s="528"/>
      <c r="H3" s="554" t="s">
        <v>275</v>
      </c>
      <c r="I3" s="555"/>
    </row>
    <row r="4" spans="1:9" ht="25.5" x14ac:dyDescent="0.25">
      <c r="A4" s="187"/>
      <c r="B4" s="301" t="s">
        <v>311</v>
      </c>
      <c r="C4" s="529"/>
      <c r="D4" s="530"/>
      <c r="E4" s="530"/>
      <c r="F4" s="530"/>
      <c r="G4" s="530"/>
      <c r="H4" s="557"/>
      <c r="I4" s="558"/>
    </row>
    <row r="5" spans="1:9" ht="25.5" customHeight="1" x14ac:dyDescent="0.25">
      <c r="A5" s="521" t="s">
        <v>204</v>
      </c>
      <c r="B5" s="523" t="s">
        <v>205</v>
      </c>
      <c r="C5" s="525" t="s">
        <v>266</v>
      </c>
      <c r="D5" s="189" t="s">
        <v>97</v>
      </c>
      <c r="E5" s="189" t="s">
        <v>194</v>
      </c>
      <c r="F5" s="189" t="str">
        <f>+'LA GUAJIRA'!F5</f>
        <v>Biodiesel B10</v>
      </c>
      <c r="G5" s="551" t="s">
        <v>443</v>
      </c>
      <c r="H5" s="159" t="s">
        <v>97</v>
      </c>
      <c r="I5" s="255" t="str">
        <f>+F5</f>
        <v>Biodiesel B10</v>
      </c>
    </row>
    <row r="6" spans="1:9" x14ac:dyDescent="0.25">
      <c r="A6" s="521"/>
      <c r="B6" s="523"/>
      <c r="C6" s="526"/>
      <c r="D6" s="190">
        <v>0.08</v>
      </c>
      <c r="E6" s="208">
        <v>0.02</v>
      </c>
      <c r="F6" s="191">
        <f>+'LA GUAJIRA'!F6</f>
        <v>0.1</v>
      </c>
      <c r="G6" s="552"/>
      <c r="H6" s="302">
        <v>0.1</v>
      </c>
      <c r="I6" s="191">
        <f>+F6</f>
        <v>0.1</v>
      </c>
    </row>
    <row r="7" spans="1:9" x14ac:dyDescent="0.25">
      <c r="A7" s="522"/>
      <c r="B7" s="524"/>
      <c r="C7" s="159" t="s">
        <v>206</v>
      </c>
      <c r="D7" s="189" t="s">
        <v>206</v>
      </c>
      <c r="E7" s="189" t="s">
        <v>206</v>
      </c>
      <c r="F7" s="189" t="s">
        <v>206</v>
      </c>
      <c r="G7" s="189" t="s">
        <v>206</v>
      </c>
      <c r="H7" s="159" t="s">
        <v>206</v>
      </c>
      <c r="I7" s="255" t="s">
        <v>206</v>
      </c>
    </row>
    <row r="8" spans="1:9" x14ac:dyDescent="0.25">
      <c r="A8" s="161" t="s">
        <v>207</v>
      </c>
      <c r="B8" s="167" t="s">
        <v>208</v>
      </c>
      <c r="C8" s="293">
        <f>+'Calculo IP ZDF'!B33</f>
        <v>3980</v>
      </c>
      <c r="D8" s="293">
        <f>+'Calculo IP ZDF'!G33</f>
        <v>4453.7</v>
      </c>
      <c r="E8" s="293">
        <f>+'Calculo IP ZDF'!F33</f>
        <v>4636.7344320000002</v>
      </c>
      <c r="F8" s="294">
        <f>+'Calculo IP ZDF'!H33</f>
        <v>5198.2425600000006</v>
      </c>
      <c r="G8" s="198">
        <f>+'Calculo IP ZDF'!C33</f>
        <v>4496.3584000000001</v>
      </c>
      <c r="H8" s="276">
        <f>+'GAS CTE'!D9</f>
        <v>4471.7</v>
      </c>
      <c r="I8" s="221">
        <f>+BIODIESEL!G9</f>
        <v>5413.92</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4338.8758889932651</v>
      </c>
      <c r="D17" s="280">
        <f t="shared" ref="D17:I17" si="0">SUM(D8:D16)</f>
        <v>4797.0758889932649</v>
      </c>
      <c r="E17" s="280">
        <f t="shared" si="0"/>
        <v>5011.1303209932657</v>
      </c>
      <c r="F17" s="280">
        <f t="shared" si="0"/>
        <v>5558.7184489932661</v>
      </c>
      <c r="G17" s="280">
        <f t="shared" si="0"/>
        <v>4874.2342889932652</v>
      </c>
      <c r="H17" s="282">
        <f t="shared" si="0"/>
        <v>5313.7062640416834</v>
      </c>
      <c r="I17" s="280">
        <f t="shared" si="0"/>
        <v>6251.9622640416837</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4338.8758889932651</v>
      </c>
      <c r="D21" s="200">
        <f t="shared" ref="D21:I21" si="2">SUM(D17:D20)</f>
        <v>4797.0758889932649</v>
      </c>
      <c r="E21" s="200">
        <f t="shared" si="2"/>
        <v>5011.1303209932657</v>
      </c>
      <c r="F21" s="200">
        <f t="shared" si="2"/>
        <v>5558.7184489932661</v>
      </c>
      <c r="G21" s="200">
        <f t="shared" si="2"/>
        <v>4874.2342889932652</v>
      </c>
      <c r="H21" s="282">
        <f t="shared" si="2"/>
        <v>5313.7062640416834</v>
      </c>
      <c r="I21" s="200">
        <f t="shared" si="2"/>
        <v>6251.9622640416837</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6" t="str">
        <f>+'LA GUAJIRA'!B54:H54</f>
        <v>De acuerdo con lo establecido en la Resolución MME 91349 de 2014</v>
      </c>
      <c r="C29" s="536"/>
      <c r="D29" s="536"/>
      <c r="E29" s="536"/>
      <c r="F29" s="536"/>
      <c r="G29" s="536"/>
      <c r="H29" s="536"/>
      <c r="I29" s="179"/>
    </row>
    <row r="30" spans="1:9" x14ac:dyDescent="0.25">
      <c r="A30" s="180" t="s">
        <v>240</v>
      </c>
      <c r="B30" s="518" t="s">
        <v>297</v>
      </c>
      <c r="C30" s="518"/>
      <c r="D30" s="518"/>
      <c r="E30" s="518"/>
      <c r="F30" s="518"/>
      <c r="G30" s="518"/>
      <c r="H30" s="518"/>
      <c r="I30" s="179"/>
    </row>
    <row r="31" spans="1:9" ht="52.5" customHeight="1" x14ac:dyDescent="0.25">
      <c r="A31" s="180" t="s">
        <v>139</v>
      </c>
      <c r="B31" s="536" t="s">
        <v>366</v>
      </c>
      <c r="C31" s="536"/>
      <c r="D31" s="536"/>
      <c r="E31" s="536"/>
      <c r="F31" s="536"/>
      <c r="G31" s="536"/>
      <c r="H31" s="536"/>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19" t="s">
        <v>252</v>
      </c>
      <c r="C34" s="519"/>
      <c r="D34" s="519"/>
      <c r="E34" s="519"/>
      <c r="F34" s="519"/>
      <c r="G34" s="519"/>
      <c r="H34" s="519"/>
      <c r="I34" s="290"/>
    </row>
    <row r="35" spans="1:18" x14ac:dyDescent="0.25">
      <c r="A35" s="204" t="s">
        <v>253</v>
      </c>
      <c r="B35" s="519" t="s">
        <v>287</v>
      </c>
      <c r="C35" s="519"/>
      <c r="D35" s="519"/>
      <c r="E35" s="519"/>
      <c r="F35" s="519"/>
      <c r="G35" s="519"/>
      <c r="H35" s="519"/>
      <c r="I35" s="519"/>
    </row>
    <row r="36" spans="1:18" x14ac:dyDescent="0.25">
      <c r="A36" s="204" t="s">
        <v>255</v>
      </c>
      <c r="B36" s="519" t="s">
        <v>298</v>
      </c>
      <c r="C36" s="519"/>
      <c r="D36" s="519"/>
      <c r="E36" s="519"/>
      <c r="F36" s="519"/>
      <c r="G36" s="519"/>
      <c r="H36" s="519"/>
      <c r="I36" s="519"/>
    </row>
    <row r="37" spans="1:18" x14ac:dyDescent="0.25">
      <c r="A37" s="204" t="s">
        <v>257</v>
      </c>
      <c r="B37" s="519" t="s">
        <v>292</v>
      </c>
      <c r="C37" s="519"/>
      <c r="D37" s="519"/>
      <c r="E37" s="519"/>
      <c r="F37" s="519"/>
      <c r="G37" s="519"/>
      <c r="H37" s="519"/>
      <c r="I37" s="519"/>
    </row>
    <row r="38" spans="1:18" x14ac:dyDescent="0.25">
      <c r="A38" s="204" t="s">
        <v>259</v>
      </c>
      <c r="B38" s="519" t="s">
        <v>262</v>
      </c>
      <c r="C38" s="519"/>
      <c r="D38" s="519"/>
      <c r="E38" s="519"/>
      <c r="F38" s="519"/>
      <c r="G38" s="519"/>
      <c r="H38" s="254"/>
      <c r="I38" s="291"/>
    </row>
    <row r="39" spans="1:18" x14ac:dyDescent="0.25">
      <c r="A39" s="204" t="s">
        <v>261</v>
      </c>
      <c r="B39" s="519" t="s">
        <v>293</v>
      </c>
      <c r="C39" s="519"/>
      <c r="D39" s="519"/>
      <c r="E39" s="519"/>
      <c r="F39" s="519"/>
      <c r="G39" s="519"/>
      <c r="H39" s="519"/>
      <c r="I39" s="519"/>
    </row>
    <row r="40" spans="1:18" x14ac:dyDescent="0.25">
      <c r="A40" s="271"/>
      <c r="B40" s="272"/>
      <c r="C40" s="272"/>
      <c r="D40" s="272"/>
      <c r="E40" s="272"/>
      <c r="F40" s="272"/>
      <c r="G40" s="272"/>
      <c r="H40" s="272"/>
      <c r="I40" s="272"/>
    </row>
    <row r="41" spans="1:18" ht="97.5" customHeight="1" x14ac:dyDescent="0.25">
      <c r="A41" s="520" t="s">
        <v>163</v>
      </c>
      <c r="B41" s="520"/>
      <c r="C41" s="520"/>
      <c r="D41" s="520"/>
      <c r="E41" s="520"/>
      <c r="F41" s="520"/>
      <c r="G41" s="520"/>
      <c r="H41" s="520"/>
    </row>
    <row r="42" spans="1:18" x14ac:dyDescent="0.25">
      <c r="A42" s="305"/>
      <c r="B42" s="305"/>
      <c r="C42" s="305"/>
      <c r="D42" s="305"/>
      <c r="E42" s="305"/>
      <c r="F42" s="305"/>
      <c r="G42" s="305"/>
      <c r="H42" s="305"/>
    </row>
    <row r="43" spans="1:18" hidden="1" x14ac:dyDescent="0.25">
      <c r="B43" t="str">
        <f>+AMAZONAS!B1</f>
        <v>Vigencia: 1 de mayo de 2020; 00:00 horas</v>
      </c>
    </row>
    <row r="44" spans="1:18" hidden="1" x14ac:dyDescent="0.25">
      <c r="A44" s="565" t="s">
        <v>202</v>
      </c>
      <c r="B44" s="565"/>
      <c r="C44" s="566"/>
      <c r="D44" s="566"/>
      <c r="E44" s="566"/>
      <c r="F44" s="566"/>
      <c r="G44" s="566"/>
      <c r="H44" s="566"/>
      <c r="I44" s="566"/>
      <c r="J44" s="566"/>
      <c r="K44" s="566"/>
      <c r="L44" s="566"/>
      <c r="M44" s="566"/>
      <c r="N44" s="257"/>
      <c r="O44" s="257"/>
      <c r="P44" s="257"/>
      <c r="Q44" s="319"/>
      <c r="R44" s="319"/>
    </row>
    <row r="45" spans="1:18" ht="15.75" hidden="1" thickTop="1" x14ac:dyDescent="0.25">
      <c r="A45" s="320"/>
      <c r="B45" s="574" t="s">
        <v>312</v>
      </c>
      <c r="C45" s="538" t="s">
        <v>203</v>
      </c>
      <c r="D45" s="538"/>
      <c r="E45" s="571" t="s">
        <v>275</v>
      </c>
      <c r="F45" s="544"/>
    </row>
    <row r="46" spans="1:18" hidden="1" x14ac:dyDescent="0.25">
      <c r="A46" s="158"/>
      <c r="B46" s="575"/>
      <c r="C46" s="570"/>
      <c r="D46" s="570"/>
      <c r="E46" s="572"/>
      <c r="F46" s="573"/>
    </row>
    <row r="47" spans="1:18" ht="25.5" hidden="1" customHeight="1" x14ac:dyDescent="0.25">
      <c r="A47" s="521" t="s">
        <v>204</v>
      </c>
      <c r="B47" s="567" t="s">
        <v>205</v>
      </c>
      <c r="C47" s="321" t="s">
        <v>97</v>
      </c>
      <c r="D47" s="322" t="s">
        <v>314</v>
      </c>
      <c r="E47" s="321" t="s">
        <v>97</v>
      </c>
      <c r="F47" s="322" t="s">
        <v>314</v>
      </c>
    </row>
    <row r="48" spans="1:18" hidden="1" x14ac:dyDescent="0.25">
      <c r="A48" s="521"/>
      <c r="B48" s="567"/>
      <c r="C48" s="323" t="s">
        <v>315</v>
      </c>
      <c r="D48" s="324" t="s">
        <v>315</v>
      </c>
      <c r="E48" s="323" t="s">
        <v>315</v>
      </c>
      <c r="F48" s="324" t="s">
        <v>315</v>
      </c>
    </row>
    <row r="49" spans="1:6" hidden="1" x14ac:dyDescent="0.25">
      <c r="A49" s="522"/>
      <c r="B49" s="568"/>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69" t="s">
        <v>286</v>
      </c>
      <c r="C69" s="569"/>
      <c r="D69" s="569"/>
      <c r="E69" s="569"/>
      <c r="F69" s="569"/>
      <c r="G69" s="569"/>
      <c r="H69" s="569"/>
      <c r="I69" s="179"/>
      <c r="J69" s="291"/>
      <c r="K69" s="291"/>
      <c r="L69" s="291"/>
      <c r="M69" s="291"/>
      <c r="N69" s="291"/>
      <c r="O69" s="291"/>
      <c r="P69" s="291"/>
      <c r="Q69" s="290"/>
      <c r="R69" s="290"/>
    </row>
    <row r="70" spans="1:18" hidden="1" x14ac:dyDescent="0.25">
      <c r="A70" s="180" t="s">
        <v>139</v>
      </c>
      <c r="B70" s="536" t="s">
        <v>267</v>
      </c>
      <c r="C70" s="536"/>
      <c r="D70" s="536"/>
      <c r="E70" s="536"/>
      <c r="F70" s="536"/>
      <c r="G70" s="536"/>
      <c r="H70" s="536"/>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19" t="s">
        <v>252</v>
      </c>
      <c r="C73" s="519"/>
      <c r="D73" s="519"/>
      <c r="E73" s="519"/>
      <c r="F73" s="519"/>
      <c r="G73" s="519"/>
      <c r="H73" s="519"/>
      <c r="I73" s="290"/>
      <c r="J73" s="291"/>
      <c r="K73" s="291"/>
      <c r="L73" s="291"/>
      <c r="M73" s="291"/>
      <c r="N73" s="291"/>
      <c r="O73" s="291"/>
      <c r="P73" s="291"/>
      <c r="Q73" s="290"/>
      <c r="R73" s="290"/>
    </row>
    <row r="74" spans="1:18" hidden="1" x14ac:dyDescent="0.25">
      <c r="A74" s="204" t="s">
        <v>253</v>
      </c>
      <c r="B74" s="519" t="s">
        <v>287</v>
      </c>
      <c r="C74" s="519"/>
      <c r="D74" s="519"/>
      <c r="E74" s="519"/>
      <c r="F74" s="519"/>
      <c r="G74" s="519"/>
      <c r="H74" s="519"/>
      <c r="I74" s="519"/>
      <c r="J74" s="291"/>
      <c r="K74" s="291"/>
      <c r="L74" s="291"/>
      <c r="M74" s="291"/>
      <c r="N74" s="291"/>
      <c r="O74" s="291"/>
      <c r="P74" s="291"/>
      <c r="Q74" s="290"/>
      <c r="R74" s="290"/>
    </row>
    <row r="75" spans="1:18" hidden="1" x14ac:dyDescent="0.25">
      <c r="A75" s="204" t="s">
        <v>255</v>
      </c>
      <c r="B75" s="519" t="s">
        <v>298</v>
      </c>
      <c r="C75" s="519"/>
      <c r="D75" s="519"/>
      <c r="E75" s="519"/>
      <c r="F75" s="519"/>
      <c r="G75" s="519"/>
      <c r="H75" s="519"/>
      <c r="I75" s="519"/>
      <c r="J75" s="291"/>
      <c r="K75" s="291"/>
      <c r="L75" s="291"/>
      <c r="M75" s="291"/>
      <c r="N75" s="291"/>
      <c r="O75" s="291"/>
      <c r="P75" s="291"/>
      <c r="Q75" s="290"/>
      <c r="R75" s="290"/>
    </row>
    <row r="76" spans="1:18" hidden="1" x14ac:dyDescent="0.25">
      <c r="A76" s="204" t="s">
        <v>257</v>
      </c>
      <c r="B76" s="519" t="s">
        <v>292</v>
      </c>
      <c r="C76" s="519"/>
      <c r="D76" s="519"/>
      <c r="E76" s="519"/>
      <c r="F76" s="519"/>
      <c r="G76" s="519"/>
      <c r="H76" s="519"/>
      <c r="I76" s="519"/>
      <c r="J76" s="291"/>
      <c r="K76" s="291"/>
      <c r="L76" s="291"/>
      <c r="M76" s="291"/>
      <c r="N76" s="291"/>
      <c r="O76" s="291"/>
      <c r="P76" s="291"/>
      <c r="Q76" s="290"/>
      <c r="R76" s="290"/>
    </row>
    <row r="77" spans="1:18" hidden="1" x14ac:dyDescent="0.25">
      <c r="A77" s="204" t="s">
        <v>259</v>
      </c>
      <c r="B77" s="519" t="s">
        <v>262</v>
      </c>
      <c r="C77" s="519"/>
      <c r="D77" s="519"/>
      <c r="E77" s="519"/>
      <c r="F77" s="519"/>
      <c r="G77" s="519"/>
      <c r="H77" s="304"/>
      <c r="I77" s="291"/>
      <c r="J77" s="291"/>
      <c r="K77" s="291"/>
      <c r="L77" s="291"/>
      <c r="M77" s="291"/>
      <c r="N77" s="291"/>
      <c r="O77" s="291"/>
      <c r="P77" s="291"/>
      <c r="Q77" s="290"/>
      <c r="R77" s="290"/>
    </row>
    <row r="78" spans="1:18" hidden="1" x14ac:dyDescent="0.25">
      <c r="A78" s="204" t="s">
        <v>261</v>
      </c>
      <c r="B78" s="519" t="s">
        <v>293</v>
      </c>
      <c r="C78" s="519"/>
      <c r="D78" s="519"/>
      <c r="E78" s="519"/>
      <c r="F78" s="519"/>
      <c r="G78" s="519"/>
      <c r="H78" s="519"/>
      <c r="I78" s="519"/>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20" t="s">
        <v>163</v>
      </c>
      <c r="B80" s="520"/>
      <c r="C80" s="520"/>
      <c r="D80" s="520"/>
      <c r="E80" s="520"/>
      <c r="F80" s="520"/>
      <c r="G80" s="520"/>
      <c r="H80" s="520"/>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12"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9" sqref="B29:J2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mayo de 2020; 00:00 horas</v>
      </c>
    </row>
    <row r="2" spans="1:8" ht="15.75" thickBot="1" x14ac:dyDescent="0.3">
      <c r="A2" s="183" t="s">
        <v>202</v>
      </c>
      <c r="B2" s="183"/>
    </row>
    <row r="3" spans="1:8" ht="15.75" customHeight="1" thickTop="1" x14ac:dyDescent="0.25">
      <c r="A3" s="215"/>
      <c r="B3" s="216" t="s">
        <v>318</v>
      </c>
      <c r="C3" s="537" t="s">
        <v>203</v>
      </c>
      <c r="D3" s="538"/>
      <c r="E3" s="538"/>
      <c r="F3" s="539"/>
      <c r="G3" s="543" t="s">
        <v>275</v>
      </c>
      <c r="H3" s="544"/>
    </row>
    <row r="4" spans="1:8" x14ac:dyDescent="0.25">
      <c r="A4" s="158"/>
      <c r="B4" s="217" t="s">
        <v>319</v>
      </c>
      <c r="C4" s="540"/>
      <c r="D4" s="541"/>
      <c r="E4" s="541"/>
      <c r="F4" s="542"/>
      <c r="G4" s="545"/>
      <c r="H4" s="546"/>
    </row>
    <row r="5" spans="1:8" ht="38.25" customHeight="1" x14ac:dyDescent="0.25">
      <c r="A5" s="521" t="s">
        <v>204</v>
      </c>
      <c r="B5" s="523" t="s">
        <v>205</v>
      </c>
      <c r="C5" s="525" t="s">
        <v>266</v>
      </c>
      <c r="D5" s="189" t="s">
        <v>97</v>
      </c>
      <c r="E5" s="189" t="s">
        <v>194</v>
      </c>
      <c r="F5" s="189" t="str">
        <f>+NARIÑO!F5</f>
        <v>Biodiesel B10</v>
      </c>
      <c r="G5" s="189" t="s">
        <v>97</v>
      </c>
      <c r="H5" s="306" t="str">
        <f>+F5</f>
        <v>Biodiesel B10</v>
      </c>
    </row>
    <row r="6" spans="1:8" x14ac:dyDescent="0.25">
      <c r="A6" s="521"/>
      <c r="B6" s="523"/>
      <c r="C6" s="526"/>
      <c r="D6" s="190">
        <v>0.08</v>
      </c>
      <c r="E6" s="208">
        <v>0.02</v>
      </c>
      <c r="F6" s="191">
        <f>+NARIÑO!F6</f>
        <v>0.1</v>
      </c>
      <c r="G6" s="208">
        <v>0.1</v>
      </c>
      <c r="H6" s="191">
        <f>+F6</f>
        <v>0.1</v>
      </c>
    </row>
    <row r="7" spans="1:8" x14ac:dyDescent="0.25">
      <c r="A7" s="522"/>
      <c r="B7" s="524"/>
      <c r="C7" s="159" t="s">
        <v>206</v>
      </c>
      <c r="D7" s="189" t="s">
        <v>206</v>
      </c>
      <c r="E7" s="189" t="s">
        <v>206</v>
      </c>
      <c r="F7" s="189" t="s">
        <v>206</v>
      </c>
      <c r="G7" s="159" t="s">
        <v>206</v>
      </c>
      <c r="H7" s="306" t="s">
        <v>206</v>
      </c>
    </row>
    <row r="8" spans="1:8" x14ac:dyDescent="0.25">
      <c r="A8" s="161" t="s">
        <v>207</v>
      </c>
      <c r="B8" s="167" t="s">
        <v>208</v>
      </c>
      <c r="C8" s="233">
        <f>+'Calculo IP ZDF'!B34</f>
        <v>3980</v>
      </c>
      <c r="D8" s="239">
        <f>+'Calculo IP ZDF'!G34</f>
        <v>4453.7</v>
      </c>
      <c r="E8" s="241">
        <f>+'Calculo IP ZDF'!F34</f>
        <v>4564.3304639999997</v>
      </c>
      <c r="F8" s="240">
        <f>+'Calculo IP ZDF'!H34</f>
        <v>5131.7491199999995</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4345.8577514316967</v>
      </c>
      <c r="D17" s="225">
        <f t="shared" ref="D17:H17" si="1">SUM(D8:D16)</f>
        <v>4804.0577514316965</v>
      </c>
      <c r="E17" s="225">
        <f t="shared" si="1"/>
        <v>4945.7082154316968</v>
      </c>
      <c r="F17" s="226">
        <f t="shared" si="1"/>
        <v>5499.2068714316965</v>
      </c>
      <c r="G17" s="227">
        <f t="shared" si="1"/>
        <v>5313.6917514316965</v>
      </c>
      <c r="H17" s="246">
        <f t="shared" si="1"/>
        <v>6251.9477514316968</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4345.8577514316967</v>
      </c>
      <c r="D21" s="224">
        <f t="shared" si="2"/>
        <v>4804.0577514316965</v>
      </c>
      <c r="E21" s="224">
        <f t="shared" si="2"/>
        <v>4945.7082154316968</v>
      </c>
      <c r="F21" s="242">
        <f t="shared" si="2"/>
        <v>5499.2068714316965</v>
      </c>
      <c r="G21" s="224">
        <f t="shared" si="2"/>
        <v>5313.6917514316965</v>
      </c>
      <c r="H21" s="242">
        <f t="shared" si="2"/>
        <v>6251.9477514316968</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+NARIÑO!B29</f>
        <v>De acuerdo con lo establecido en la Resolución MME 91349 de 2014</v>
      </c>
      <c r="C29" s="536"/>
      <c r="D29" s="536"/>
      <c r="E29" s="536"/>
      <c r="F29" s="536"/>
      <c r="G29" s="536"/>
      <c r="H29" s="536"/>
      <c r="I29" s="536"/>
      <c r="J29" s="536"/>
      <c r="K29" s="236"/>
      <c r="L29" s="236"/>
      <c r="M29" s="236"/>
      <c r="N29" s="236"/>
      <c r="O29" s="236"/>
      <c r="P29" s="236"/>
    </row>
    <row r="30" spans="1:16" ht="26.25" customHeight="1" x14ac:dyDescent="0.25">
      <c r="A30" s="180" t="s">
        <v>240</v>
      </c>
      <c r="B30" s="518" t="s">
        <v>297</v>
      </c>
      <c r="C30" s="518"/>
      <c r="D30" s="518"/>
      <c r="E30" s="518"/>
      <c r="F30" s="518"/>
      <c r="G30" s="518"/>
      <c r="H30" s="518"/>
      <c r="I30" s="518"/>
      <c r="J30" s="518"/>
      <c r="K30" s="214"/>
      <c r="L30" s="214"/>
      <c r="M30" s="214"/>
      <c r="N30" s="214"/>
      <c r="O30" s="214"/>
      <c r="P30" s="214"/>
    </row>
    <row r="31" spans="1:16" ht="57" customHeight="1" x14ac:dyDescent="0.25">
      <c r="A31" s="180" t="s">
        <v>139</v>
      </c>
      <c r="B31" s="536" t="s">
        <v>366</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9" t="s">
        <v>252</v>
      </c>
      <c r="C33" s="519"/>
      <c r="D33" s="519"/>
      <c r="E33" s="519"/>
      <c r="F33" s="519"/>
      <c r="G33" s="519"/>
      <c r="H33" s="519"/>
      <c r="I33" s="519"/>
      <c r="J33" s="519"/>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19"/>
      <c r="K35" s="519"/>
      <c r="L35" s="519"/>
      <c r="M35" s="519"/>
      <c r="N35" s="519"/>
      <c r="O35" s="519"/>
      <c r="P35" s="519"/>
    </row>
    <row r="36" spans="1:16" ht="15" customHeight="1" x14ac:dyDescent="0.25">
      <c r="A36" s="180" t="s">
        <v>257</v>
      </c>
      <c r="B36" s="519" t="s">
        <v>260</v>
      </c>
      <c r="C36" s="519"/>
      <c r="D36" s="519"/>
      <c r="E36" s="519"/>
      <c r="F36" s="519"/>
      <c r="G36" s="519"/>
      <c r="H36" s="519"/>
      <c r="I36" s="180"/>
      <c r="J36" s="304"/>
      <c r="K36" s="304"/>
      <c r="L36" s="304"/>
      <c r="M36" s="304"/>
      <c r="N36" s="304"/>
      <c r="O36" s="304"/>
      <c r="P36" s="304"/>
    </row>
    <row r="37" spans="1:16" x14ac:dyDescent="0.25">
      <c r="A37" s="204" t="s">
        <v>259</v>
      </c>
      <c r="B37" s="536" t="s">
        <v>262</v>
      </c>
      <c r="C37" s="536"/>
      <c r="D37" s="536"/>
      <c r="E37" s="536"/>
      <c r="F37" s="536"/>
      <c r="G37" s="536"/>
      <c r="H37" s="536"/>
      <c r="I37" s="536"/>
      <c r="J37" s="536"/>
      <c r="K37" s="214"/>
      <c r="L37" s="214"/>
      <c r="M37" s="214"/>
      <c r="N37" s="214"/>
      <c r="O37" s="214"/>
      <c r="P37" s="214"/>
    </row>
    <row r="38" spans="1:16" x14ac:dyDescent="0.25">
      <c r="A38" s="204" t="s">
        <v>261</v>
      </c>
      <c r="B38" s="536" t="s">
        <v>321</v>
      </c>
      <c r="C38" s="536"/>
      <c r="D38" s="536"/>
      <c r="E38" s="536"/>
      <c r="F38" s="536"/>
      <c r="G38" s="536"/>
      <c r="H38" s="536"/>
      <c r="I38" s="536"/>
      <c r="J38" s="536"/>
      <c r="K38" s="214"/>
      <c r="L38" s="214"/>
      <c r="M38" s="214"/>
      <c r="N38" s="214"/>
      <c r="O38" s="214"/>
      <c r="P38" s="214"/>
    </row>
    <row r="40" spans="1:16" ht="87.75" customHeight="1" x14ac:dyDescent="0.25">
      <c r="A40" s="520" t="s">
        <v>163</v>
      </c>
      <c r="B40" s="520"/>
      <c r="C40" s="520"/>
      <c r="D40" s="520"/>
      <c r="E40" s="520"/>
      <c r="F40" s="520"/>
      <c r="G40" s="520"/>
      <c r="H40" s="520"/>
      <c r="I40" s="520"/>
      <c r="J40" s="520"/>
    </row>
  </sheetData>
  <sheetProtection password="C712" sheet="1" objects="1" scenarios="1"/>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29" sqref="B29:J2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mayo de 2020; 00:00 horas</v>
      </c>
    </row>
    <row r="2" spans="1:8" ht="15.75" thickBot="1" x14ac:dyDescent="0.3">
      <c r="A2" s="183" t="s">
        <v>202</v>
      </c>
      <c r="B2" s="183"/>
    </row>
    <row r="3" spans="1:8" ht="15.75" customHeight="1" thickTop="1" x14ac:dyDescent="0.25">
      <c r="A3" s="215"/>
      <c r="B3" s="216" t="s">
        <v>353</v>
      </c>
      <c r="C3" s="537" t="s">
        <v>203</v>
      </c>
      <c r="D3" s="538"/>
      <c r="E3" s="538"/>
      <c r="F3" s="539"/>
      <c r="G3" s="543" t="s">
        <v>275</v>
      </c>
      <c r="H3" s="544"/>
    </row>
    <row r="4" spans="1:8" x14ac:dyDescent="0.25">
      <c r="A4" s="158"/>
      <c r="B4" s="317" t="s">
        <v>354</v>
      </c>
      <c r="C4" s="540"/>
      <c r="D4" s="541"/>
      <c r="E4" s="541"/>
      <c r="F4" s="542"/>
      <c r="G4" s="545"/>
      <c r="H4" s="546"/>
    </row>
    <row r="5" spans="1:8" ht="38.25" customHeight="1" x14ac:dyDescent="0.25">
      <c r="A5" s="521" t="s">
        <v>204</v>
      </c>
      <c r="B5" s="523" t="s">
        <v>205</v>
      </c>
      <c r="C5" s="525" t="s">
        <v>266</v>
      </c>
      <c r="D5" s="352" t="s">
        <v>97</v>
      </c>
      <c r="E5" s="352" t="s">
        <v>194</v>
      </c>
      <c r="F5" s="352" t="str">
        <f>+'NORTE SANTANDER'!F5</f>
        <v>Biodiesel B10</v>
      </c>
      <c r="G5" s="352" t="s">
        <v>97</v>
      </c>
      <c r="H5" s="336" t="str">
        <f>+F5</f>
        <v>Biodiesel B10</v>
      </c>
    </row>
    <row r="6" spans="1:8" x14ac:dyDescent="0.25">
      <c r="A6" s="521"/>
      <c r="B6" s="523"/>
      <c r="C6" s="526"/>
      <c r="D6" s="190">
        <v>0.08</v>
      </c>
      <c r="E6" s="208">
        <v>0.02</v>
      </c>
      <c r="F6" s="191">
        <f>+'NORTE SANTANDER'!F6</f>
        <v>0.1</v>
      </c>
      <c r="G6" s="208">
        <v>0.1</v>
      </c>
      <c r="H6" s="191">
        <f>+F6</f>
        <v>0.1</v>
      </c>
    </row>
    <row r="7" spans="1:8" x14ac:dyDescent="0.25">
      <c r="A7" s="522"/>
      <c r="B7" s="524"/>
      <c r="C7" s="351" t="s">
        <v>206</v>
      </c>
      <c r="D7" s="352" t="s">
        <v>206</v>
      </c>
      <c r="E7" s="352" t="s">
        <v>206</v>
      </c>
      <c r="F7" s="352" t="s">
        <v>206</v>
      </c>
      <c r="G7" s="351" t="s">
        <v>206</v>
      </c>
      <c r="H7" s="336" t="s">
        <v>206</v>
      </c>
    </row>
    <row r="8" spans="1:8" x14ac:dyDescent="0.25">
      <c r="A8" s="161" t="s">
        <v>207</v>
      </c>
      <c r="B8" s="167" t="s">
        <v>208</v>
      </c>
      <c r="C8" s="233">
        <f>+'Calculo IP ZDF'!B35</f>
        <v>3980</v>
      </c>
      <c r="D8" s="239">
        <f>+'Calculo IP ZDF'!G35</f>
        <v>4453.7</v>
      </c>
      <c r="E8" s="241">
        <f>+'Calculo IP ZDF'!F35</f>
        <v>4629.3083839999999</v>
      </c>
      <c r="F8" s="240">
        <f>+'Calculo IP ZDF'!H35</f>
        <v>5191.4227199999996</v>
      </c>
      <c r="G8" s="218">
        <f>+'GAS CTE'!D9</f>
        <v>4471.7</v>
      </c>
      <c r="H8" s="243">
        <f>+BIODIESEL!G9</f>
        <v>5413.92</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4085.9783307388502</v>
      </c>
      <c r="D17" s="367">
        <f t="shared" ref="D17:H17" si="1">SUM(D8:D16)</f>
        <v>4559.6783307388496</v>
      </c>
      <c r="E17" s="225">
        <f t="shared" si="1"/>
        <v>4735.2867147388497</v>
      </c>
      <c r="F17" s="226">
        <f t="shared" si="1"/>
        <v>5297.4010507388493</v>
      </c>
      <c r="G17" s="227">
        <f t="shared" si="1"/>
        <v>5069.3123307388496</v>
      </c>
      <c r="H17" s="246">
        <f t="shared" si="1"/>
        <v>5990.4683307388495</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4085.9783307388502</v>
      </c>
      <c r="D21" s="369">
        <f t="shared" si="2"/>
        <v>4559.6783307388496</v>
      </c>
      <c r="E21" s="224">
        <f t="shared" si="2"/>
        <v>4735.2867147388497</v>
      </c>
      <c r="F21" s="242">
        <f t="shared" si="2"/>
        <v>5297.4010507388493</v>
      </c>
      <c r="G21" s="224">
        <f t="shared" si="2"/>
        <v>5069.3123307388496</v>
      </c>
      <c r="H21" s="242">
        <f t="shared" si="2"/>
        <v>5990.4683307388495</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+'NORTE SANTANDER'!B29:J29</f>
        <v>De acuerdo con lo establecido en la Resolución MME 91349 de 2014</v>
      </c>
      <c r="C29" s="536"/>
      <c r="D29" s="536"/>
      <c r="E29" s="536"/>
      <c r="F29" s="536"/>
      <c r="G29" s="536"/>
      <c r="H29" s="536"/>
      <c r="I29" s="536"/>
      <c r="J29" s="536"/>
      <c r="K29" s="236"/>
      <c r="L29" s="236"/>
      <c r="M29" s="236"/>
      <c r="N29" s="236"/>
      <c r="O29" s="236"/>
      <c r="P29" s="236"/>
    </row>
    <row r="30" spans="1:16" ht="27" customHeight="1" x14ac:dyDescent="0.25">
      <c r="A30" s="180" t="s">
        <v>240</v>
      </c>
      <c r="B30" s="518" t="s">
        <v>297</v>
      </c>
      <c r="C30" s="518"/>
      <c r="D30" s="518"/>
      <c r="E30" s="518"/>
      <c r="F30" s="518"/>
      <c r="G30" s="518"/>
      <c r="H30" s="518"/>
      <c r="I30" s="518"/>
      <c r="J30" s="518"/>
      <c r="K30" s="214"/>
      <c r="L30" s="214"/>
      <c r="M30" s="214"/>
      <c r="N30" s="214"/>
      <c r="O30" s="214"/>
      <c r="P30" s="214"/>
    </row>
    <row r="31" spans="1:16" ht="65.25" customHeight="1" x14ac:dyDescent="0.25">
      <c r="A31" s="180" t="s">
        <v>139</v>
      </c>
      <c r="B31" s="536" t="s">
        <v>366</v>
      </c>
      <c r="C31" s="536"/>
      <c r="D31" s="536"/>
      <c r="E31" s="536"/>
      <c r="F31" s="536"/>
      <c r="G31" s="536"/>
      <c r="H31" s="536"/>
      <c r="I31" s="536"/>
      <c r="J31" s="536"/>
      <c r="K31" s="214"/>
      <c r="L31" s="214"/>
      <c r="M31" s="214"/>
      <c r="N31" s="214"/>
      <c r="O31" s="214"/>
      <c r="P31" s="214"/>
    </row>
    <row r="32" spans="1:16" ht="65.25" customHeight="1" x14ac:dyDescent="0.25">
      <c r="A32" s="180" t="s">
        <v>241</v>
      </c>
      <c r="B32" s="535" t="s">
        <v>448</v>
      </c>
      <c r="C32" s="535"/>
      <c r="D32" s="535"/>
      <c r="E32" s="535"/>
      <c r="F32" s="535"/>
      <c r="G32" s="535"/>
      <c r="H32" s="535"/>
      <c r="I32" s="535"/>
      <c r="J32" s="535"/>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9" t="s">
        <v>252</v>
      </c>
      <c r="C34" s="519"/>
      <c r="D34" s="519"/>
      <c r="E34" s="519"/>
      <c r="F34" s="519"/>
      <c r="G34" s="519"/>
      <c r="H34" s="519"/>
      <c r="I34" s="519"/>
      <c r="J34" s="519"/>
      <c r="K34" s="214"/>
      <c r="L34" s="214"/>
      <c r="M34" s="214"/>
      <c r="N34" s="214"/>
      <c r="O34" s="214"/>
      <c r="P34" s="214"/>
    </row>
    <row r="35" spans="1:16" ht="15" customHeight="1" x14ac:dyDescent="0.25">
      <c r="A35" s="204" t="s">
        <v>253</v>
      </c>
      <c r="B35" s="536" t="s">
        <v>355</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19"/>
      <c r="K36" s="519"/>
      <c r="L36" s="519"/>
      <c r="M36" s="519"/>
      <c r="N36" s="519"/>
      <c r="O36" s="519"/>
      <c r="P36" s="519"/>
    </row>
    <row r="37" spans="1:16" ht="15" customHeight="1" x14ac:dyDescent="0.25">
      <c r="A37" s="180" t="s">
        <v>257</v>
      </c>
      <c r="B37" s="519" t="s">
        <v>260</v>
      </c>
      <c r="C37" s="519"/>
      <c r="D37" s="519"/>
      <c r="E37" s="519"/>
      <c r="F37" s="519"/>
      <c r="G37" s="519"/>
      <c r="H37" s="519"/>
      <c r="I37" s="180"/>
      <c r="J37" s="335"/>
      <c r="K37" s="335"/>
      <c r="L37" s="335"/>
      <c r="M37" s="335"/>
      <c r="N37" s="335"/>
      <c r="O37" s="335"/>
      <c r="P37" s="335"/>
    </row>
    <row r="38" spans="1:16" ht="24" customHeight="1"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305</v>
      </c>
      <c r="C39" s="536"/>
      <c r="D39" s="536"/>
      <c r="E39" s="536"/>
      <c r="F39" s="536"/>
      <c r="G39" s="536"/>
      <c r="H39" s="536"/>
      <c r="I39" s="536"/>
      <c r="J39" s="536"/>
      <c r="K39" s="214"/>
      <c r="L39" s="214"/>
      <c r="M39" s="214"/>
      <c r="N39" s="214"/>
      <c r="O39" s="214"/>
      <c r="P39" s="214"/>
    </row>
    <row r="41" spans="1:16" ht="87.75" customHeight="1" x14ac:dyDescent="0.25">
      <c r="A41" s="520" t="s">
        <v>163</v>
      </c>
      <c r="B41" s="520"/>
      <c r="C41" s="520"/>
      <c r="D41" s="520"/>
      <c r="E41" s="520"/>
      <c r="F41" s="520"/>
      <c r="G41" s="520"/>
      <c r="H41" s="520"/>
      <c r="I41" s="520"/>
      <c r="J41" s="520"/>
    </row>
  </sheetData>
  <sheetProtection password="C712" sheet="1" objects="1" scenarios="1"/>
  <mergeCells count="17">
    <mergeCell ref="B37:H37"/>
    <mergeCell ref="B38:J38"/>
    <mergeCell ref="B39:J39"/>
    <mergeCell ref="A41:J41"/>
    <mergeCell ref="B30:J30"/>
    <mergeCell ref="B31:J31"/>
    <mergeCell ref="B34:J34"/>
    <mergeCell ref="B35:J35"/>
    <mergeCell ref="B36:H36"/>
    <mergeCell ref="J36:P36"/>
    <mergeCell ref="B32:J32"/>
    <mergeCell ref="B29:J29"/>
    <mergeCell ref="C3:F4"/>
    <mergeCell ref="G3:H4"/>
    <mergeCell ref="A5:A7"/>
    <mergeCell ref="B5:B7"/>
    <mergeCell ref="C5:C6"/>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28" sqref="B28:J2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mayo de 2020; 00:00 horas</v>
      </c>
    </row>
    <row r="2" spans="1:8" ht="15.75" thickBot="1" x14ac:dyDescent="0.3">
      <c r="A2" s="183" t="s">
        <v>202</v>
      </c>
      <c r="B2" s="183"/>
    </row>
    <row r="3" spans="1:8" ht="15.75" customHeight="1" thickTop="1" x14ac:dyDescent="0.25">
      <c r="A3" s="215"/>
      <c r="B3" s="216" t="s">
        <v>322</v>
      </c>
      <c r="C3" s="537" t="s">
        <v>203</v>
      </c>
      <c r="D3" s="538"/>
      <c r="E3" s="538"/>
      <c r="F3" s="539"/>
      <c r="G3" s="543" t="s">
        <v>275</v>
      </c>
      <c r="H3" s="544"/>
    </row>
    <row r="4" spans="1:8" x14ac:dyDescent="0.25">
      <c r="A4" s="158"/>
      <c r="B4" s="217" t="s">
        <v>323</v>
      </c>
      <c r="C4" s="540"/>
      <c r="D4" s="541"/>
      <c r="E4" s="541"/>
      <c r="F4" s="542"/>
      <c r="G4" s="545"/>
      <c r="H4" s="546"/>
    </row>
    <row r="5" spans="1:8" ht="38.25" customHeight="1" x14ac:dyDescent="0.25">
      <c r="A5" s="521" t="s">
        <v>204</v>
      </c>
      <c r="B5" s="523" t="s">
        <v>205</v>
      </c>
      <c r="C5" s="525" t="s">
        <v>266</v>
      </c>
      <c r="D5" s="189" t="s">
        <v>97</v>
      </c>
      <c r="E5" s="189" t="s">
        <v>194</v>
      </c>
      <c r="F5" s="189" t="str">
        <f>+PUTUMAYO!F5</f>
        <v>Biodiesel B10</v>
      </c>
      <c r="G5" s="189" t="s">
        <v>97</v>
      </c>
      <c r="H5" s="306" t="str">
        <f>+F5</f>
        <v>Biodiesel B10</v>
      </c>
    </row>
    <row r="6" spans="1:8" x14ac:dyDescent="0.25">
      <c r="A6" s="521"/>
      <c r="B6" s="523"/>
      <c r="C6" s="526"/>
      <c r="D6" s="190">
        <v>0.08</v>
      </c>
      <c r="E6" s="208">
        <v>0.02</v>
      </c>
      <c r="F6" s="437">
        <f>+PUTUMAYO!F6</f>
        <v>0.1</v>
      </c>
      <c r="G6" s="208">
        <v>0.1</v>
      </c>
      <c r="H6" s="191">
        <f>+F6</f>
        <v>0.1</v>
      </c>
    </row>
    <row r="7" spans="1:8" x14ac:dyDescent="0.25">
      <c r="A7" s="522"/>
      <c r="B7" s="524"/>
      <c r="C7" s="159" t="s">
        <v>206</v>
      </c>
      <c r="D7" s="189" t="s">
        <v>206</v>
      </c>
      <c r="E7" s="189" t="s">
        <v>206</v>
      </c>
      <c r="F7" s="189" t="s">
        <v>206</v>
      </c>
      <c r="G7" s="159" t="s">
        <v>206</v>
      </c>
      <c r="H7" s="306" t="s">
        <v>206</v>
      </c>
    </row>
    <row r="8" spans="1:8" x14ac:dyDescent="0.25">
      <c r="A8" s="161" t="s">
        <v>207</v>
      </c>
      <c r="B8" s="167" t="s">
        <v>208</v>
      </c>
      <c r="C8" s="233">
        <f>+'Calculo IP ZDF'!B36</f>
        <v>3980</v>
      </c>
      <c r="D8" s="239">
        <f>+'Calculo IP ZDF'!G36</f>
        <v>4453.7</v>
      </c>
      <c r="E8" s="241">
        <f>+'Calculo IP ZDF'!F36</f>
        <v>4848.3768</v>
      </c>
      <c r="F8" s="240">
        <f>+'Calculo IP ZDF'!H36</f>
        <v>5392.6080000000002</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4085.9783307388502</v>
      </c>
      <c r="D16" s="225">
        <f t="shared" ref="D16:H16" si="1">SUM(D8:D15)</f>
        <v>4559.6783307388496</v>
      </c>
      <c r="E16" s="225">
        <f t="shared" si="1"/>
        <v>4954.3551307388498</v>
      </c>
      <c r="F16" s="226">
        <f t="shared" si="1"/>
        <v>5498.5863307388499</v>
      </c>
      <c r="G16" s="227">
        <f t="shared" si="1"/>
        <v>5069.3123307388496</v>
      </c>
      <c r="H16" s="246">
        <f t="shared" si="1"/>
        <v>5990.4683307388495</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4085.9783307388502</v>
      </c>
      <c r="D20" s="224">
        <f t="shared" si="2"/>
        <v>4559.6783307388496</v>
      </c>
      <c r="E20" s="224">
        <f t="shared" si="2"/>
        <v>4954.3551307388498</v>
      </c>
      <c r="F20" s="242">
        <f t="shared" si="2"/>
        <v>5498.5863307388499</v>
      </c>
      <c r="G20" s="224">
        <f t="shared" si="2"/>
        <v>5069.3123307388496</v>
      </c>
      <c r="H20" s="242">
        <f t="shared" si="2"/>
        <v>5990.4683307388495</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6" t="str">
        <f>+PUTUMAYO!B29</f>
        <v>De acuerdo con lo establecido en la Resolución MME 91349 de 2014</v>
      </c>
      <c r="C28" s="536"/>
      <c r="D28" s="536"/>
      <c r="E28" s="536"/>
      <c r="F28" s="536"/>
      <c r="G28" s="536"/>
      <c r="H28" s="536"/>
      <c r="I28" s="536"/>
      <c r="J28" s="536"/>
      <c r="K28" s="236"/>
      <c r="L28" s="236"/>
      <c r="M28" s="236"/>
      <c r="N28" s="236"/>
      <c r="O28" s="236"/>
      <c r="P28" s="236"/>
    </row>
    <row r="29" spans="1:16" ht="26.25" customHeight="1" x14ac:dyDescent="0.25">
      <c r="A29" s="180" t="s">
        <v>240</v>
      </c>
      <c r="B29" s="518" t="s">
        <v>297</v>
      </c>
      <c r="C29" s="518"/>
      <c r="D29" s="518"/>
      <c r="E29" s="518"/>
      <c r="F29" s="518"/>
      <c r="G29" s="518"/>
      <c r="H29" s="518"/>
      <c r="I29" s="518"/>
      <c r="J29" s="518"/>
      <c r="K29" s="214"/>
      <c r="L29" s="214"/>
      <c r="M29" s="214"/>
      <c r="N29" s="214"/>
      <c r="O29" s="214"/>
      <c r="P29" s="214"/>
    </row>
    <row r="30" spans="1:16" ht="54.75" customHeight="1" x14ac:dyDescent="0.25">
      <c r="A30" s="180" t="s">
        <v>139</v>
      </c>
      <c r="B30" s="536" t="s">
        <v>366</v>
      </c>
      <c r="C30" s="536"/>
      <c r="D30" s="536"/>
      <c r="E30" s="536"/>
      <c r="F30" s="536"/>
      <c r="G30" s="536"/>
      <c r="H30" s="536"/>
      <c r="I30" s="536"/>
      <c r="J30" s="536"/>
      <c r="K30" s="214"/>
      <c r="L30" s="214"/>
      <c r="M30" s="214"/>
      <c r="N30" s="214"/>
      <c r="O30" s="214"/>
      <c r="P30" s="214"/>
    </row>
    <row r="31" spans="1:16" ht="54.75" customHeight="1" x14ac:dyDescent="0.25">
      <c r="A31" s="180" t="s">
        <v>241</v>
      </c>
      <c r="B31" s="535" t="s">
        <v>448</v>
      </c>
      <c r="C31" s="535"/>
      <c r="D31" s="535"/>
      <c r="E31" s="535"/>
      <c r="F31" s="535"/>
      <c r="G31" s="535"/>
      <c r="H31" s="535"/>
      <c r="I31" s="535"/>
      <c r="J31" s="535"/>
      <c r="K31" s="214"/>
      <c r="L31" s="214"/>
      <c r="M31" s="214"/>
      <c r="N31" s="214"/>
      <c r="O31" s="214"/>
      <c r="P31" s="214"/>
    </row>
    <row r="32" spans="1:16" ht="54.75" customHeight="1" x14ac:dyDescent="0.25">
      <c r="A32" s="180"/>
      <c r="B32" s="446"/>
      <c r="C32" s="446"/>
      <c r="D32" s="446"/>
      <c r="E32" s="446"/>
      <c r="F32" s="446"/>
      <c r="G32" s="446"/>
      <c r="H32" s="446"/>
      <c r="I32" s="446"/>
      <c r="J32" s="44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9" t="s">
        <v>252</v>
      </c>
      <c r="C34" s="519"/>
      <c r="D34" s="519"/>
      <c r="E34" s="519"/>
      <c r="F34" s="519"/>
      <c r="G34" s="519"/>
      <c r="H34" s="519"/>
      <c r="I34" s="519"/>
      <c r="J34" s="519"/>
      <c r="K34" s="214"/>
      <c r="L34" s="214"/>
      <c r="M34" s="214"/>
      <c r="N34" s="214"/>
      <c r="O34" s="214"/>
      <c r="P34" s="214"/>
    </row>
    <row r="35" spans="1:16" ht="15" customHeight="1" x14ac:dyDescent="0.25">
      <c r="A35" s="204" t="s">
        <v>253</v>
      </c>
      <c r="B35" s="536" t="s">
        <v>324</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19"/>
      <c r="K36" s="519"/>
      <c r="L36" s="519"/>
      <c r="M36" s="519"/>
      <c r="N36" s="519"/>
      <c r="O36" s="519"/>
      <c r="P36" s="519"/>
    </row>
    <row r="37" spans="1:16" ht="15" customHeight="1" x14ac:dyDescent="0.25">
      <c r="A37" s="180" t="s">
        <v>257</v>
      </c>
      <c r="B37" s="519" t="s">
        <v>260</v>
      </c>
      <c r="C37" s="519"/>
      <c r="D37" s="519"/>
      <c r="E37" s="519"/>
      <c r="F37" s="519"/>
      <c r="G37" s="519"/>
      <c r="H37" s="519"/>
      <c r="I37" s="180"/>
      <c r="J37" s="304"/>
      <c r="K37" s="304"/>
      <c r="L37" s="304"/>
      <c r="M37" s="304"/>
      <c r="N37" s="304"/>
      <c r="O37" s="304"/>
      <c r="P37" s="304"/>
    </row>
    <row r="38" spans="1:16"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326</v>
      </c>
      <c r="C39" s="536"/>
      <c r="D39" s="536"/>
      <c r="E39" s="536"/>
      <c r="F39" s="536"/>
      <c r="G39" s="536"/>
      <c r="H39" s="536"/>
      <c r="I39" s="536"/>
      <c r="J39" s="536"/>
      <c r="K39" s="214"/>
      <c r="L39" s="214"/>
      <c r="M39" s="214"/>
      <c r="N39" s="214"/>
      <c r="O39" s="214"/>
      <c r="P39" s="214"/>
    </row>
    <row r="41" spans="1:16" ht="87.75" customHeight="1" x14ac:dyDescent="0.25">
      <c r="A41" s="520" t="s">
        <v>163</v>
      </c>
      <c r="B41" s="520"/>
      <c r="C41" s="520"/>
      <c r="D41" s="520"/>
      <c r="E41" s="520"/>
      <c r="F41" s="520"/>
      <c r="G41" s="520"/>
      <c r="H41" s="520"/>
      <c r="I41" s="520"/>
      <c r="J41" s="520"/>
    </row>
  </sheetData>
  <sheetProtection password="C712" sheet="1" objects="1" scenarios="1"/>
  <mergeCells count="17">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B53" sqref="B53:J53"/>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mayo de 2020; 00:00 horas</v>
      </c>
    </row>
    <row r="2" spans="1:8" ht="15.75" thickBot="1" x14ac:dyDescent="0.3">
      <c r="A2" s="183" t="s">
        <v>202</v>
      </c>
      <c r="B2" s="183"/>
    </row>
    <row r="3" spans="1:8" ht="15.75" customHeight="1" thickTop="1" x14ac:dyDescent="0.25">
      <c r="A3" s="215"/>
      <c r="B3" s="216" t="s">
        <v>369</v>
      </c>
      <c r="C3" s="537" t="s">
        <v>203</v>
      </c>
      <c r="D3" s="538"/>
      <c r="E3" s="538"/>
      <c r="F3" s="539"/>
      <c r="G3" s="543" t="s">
        <v>275</v>
      </c>
      <c r="H3" s="544"/>
    </row>
    <row r="4" spans="1:8" x14ac:dyDescent="0.25">
      <c r="A4" s="158"/>
      <c r="B4" s="217" t="s">
        <v>368</v>
      </c>
      <c r="C4" s="540"/>
      <c r="D4" s="541"/>
      <c r="E4" s="541"/>
      <c r="F4" s="542"/>
      <c r="G4" s="545"/>
      <c r="H4" s="546"/>
    </row>
    <row r="5" spans="1:8" ht="38.25" customHeight="1" x14ac:dyDescent="0.25">
      <c r="A5" s="521" t="s">
        <v>204</v>
      </c>
      <c r="B5" s="523" t="s">
        <v>205</v>
      </c>
      <c r="C5" s="525" t="s">
        <v>266</v>
      </c>
      <c r="D5" s="375" t="s">
        <v>97</v>
      </c>
      <c r="E5" s="375" t="s">
        <v>194</v>
      </c>
      <c r="F5" s="375" t="str">
        <f>+VAUPES!F5</f>
        <v>Biodiesel B10</v>
      </c>
      <c r="G5" s="375" t="s">
        <v>97</v>
      </c>
      <c r="H5" s="373" t="str">
        <f>+F5</f>
        <v>Biodiesel B10</v>
      </c>
    </row>
    <row r="6" spans="1:8" x14ac:dyDescent="0.25">
      <c r="A6" s="521"/>
      <c r="B6" s="523"/>
      <c r="C6" s="526"/>
      <c r="D6" s="190">
        <v>0.08</v>
      </c>
      <c r="E6" s="208">
        <v>0.02</v>
      </c>
      <c r="F6" s="437">
        <f>+VAUPES!F6</f>
        <v>0.1</v>
      </c>
      <c r="G6" s="208">
        <v>0.1</v>
      </c>
      <c r="H6" s="191">
        <f>+F6</f>
        <v>0.1</v>
      </c>
    </row>
    <row r="7" spans="1:8" x14ac:dyDescent="0.25">
      <c r="A7" s="522"/>
      <c r="B7" s="524"/>
      <c r="C7" s="374" t="s">
        <v>206</v>
      </c>
      <c r="D7" s="375" t="s">
        <v>206</v>
      </c>
      <c r="E7" s="375" t="s">
        <v>206</v>
      </c>
      <c r="F7" s="375" t="s">
        <v>206</v>
      </c>
      <c r="G7" s="374" t="s">
        <v>206</v>
      </c>
      <c r="H7" s="373" t="s">
        <v>206</v>
      </c>
    </row>
    <row r="8" spans="1:8" x14ac:dyDescent="0.25">
      <c r="A8" s="161" t="s">
        <v>207</v>
      </c>
      <c r="B8" s="167" t="s">
        <v>208</v>
      </c>
      <c r="C8" s="233">
        <f>+'Calculo IP ZDF'!B37</f>
        <v>3980</v>
      </c>
      <c r="D8" s="239">
        <f>+'Calculo IP ZDF'!G37</f>
        <v>4453.7</v>
      </c>
      <c r="E8" s="241">
        <f>+'Calculo IP ZDF'!F37</f>
        <v>4247.33104</v>
      </c>
      <c r="F8" s="240">
        <f>+'Calculo IP ZDF'!H37</f>
        <v>4840.6271999999999</v>
      </c>
      <c r="G8" s="218">
        <f>+'GAS CTE'!D9</f>
        <v>4471.7</v>
      </c>
      <c r="H8" s="243">
        <f>+BIODIESEL!G9</f>
        <v>5413.92</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4074.2068632144192</v>
      </c>
      <c r="D16" s="225">
        <f t="shared" ref="D16:H16" si="1">SUM(D8:D15)</f>
        <v>4547.906863214419</v>
      </c>
      <c r="E16" s="225">
        <f t="shared" si="1"/>
        <v>4341.5379032144192</v>
      </c>
      <c r="F16" s="226">
        <f t="shared" si="1"/>
        <v>4934.8340632144191</v>
      </c>
      <c r="G16" s="227">
        <f t="shared" si="1"/>
        <v>5069.3123307388496</v>
      </c>
      <c r="H16" s="246">
        <f t="shared" si="1"/>
        <v>5990.4683307388495</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4074.2068632144192</v>
      </c>
      <c r="D20" s="224">
        <f t="shared" si="2"/>
        <v>4547.906863214419</v>
      </c>
      <c r="E20" s="224">
        <f t="shared" si="2"/>
        <v>4341.5379032144192</v>
      </c>
      <c r="F20" s="242">
        <f t="shared" si="2"/>
        <v>4934.8340632144191</v>
      </c>
      <c r="G20" s="224">
        <f t="shared" si="2"/>
        <v>5069.3123307388496</v>
      </c>
      <c r="H20" s="242">
        <f t="shared" si="2"/>
        <v>5990.4683307388495</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37" t="s">
        <v>203</v>
      </c>
      <c r="D27" s="538"/>
      <c r="E27" s="538"/>
      <c r="F27" s="539"/>
      <c r="G27" s="543" t="s">
        <v>275</v>
      </c>
      <c r="H27" s="544"/>
    </row>
    <row r="28" spans="1:8" x14ac:dyDescent="0.25">
      <c r="A28" s="158"/>
      <c r="B28" s="217" t="s">
        <v>368</v>
      </c>
      <c r="C28" s="540"/>
      <c r="D28" s="541"/>
      <c r="E28" s="541"/>
      <c r="F28" s="542"/>
      <c r="G28" s="545"/>
      <c r="H28" s="546"/>
    </row>
    <row r="29" spans="1:8" ht="38.25" x14ac:dyDescent="0.25">
      <c r="A29" s="521" t="s">
        <v>204</v>
      </c>
      <c r="B29" s="523" t="s">
        <v>205</v>
      </c>
      <c r="C29" s="525" t="s">
        <v>266</v>
      </c>
      <c r="D29" s="375" t="s">
        <v>97</v>
      </c>
      <c r="E29" s="375" t="s">
        <v>194</v>
      </c>
      <c r="F29" s="375" t="str">
        <f>+F5</f>
        <v>Biodiesel B10</v>
      </c>
      <c r="G29" s="375" t="s">
        <v>97</v>
      </c>
      <c r="H29" s="373" t="str">
        <f>+F29</f>
        <v>Biodiesel B10</v>
      </c>
    </row>
    <row r="30" spans="1:8" x14ac:dyDescent="0.25">
      <c r="A30" s="521"/>
      <c r="B30" s="523"/>
      <c r="C30" s="526"/>
      <c r="D30" s="190">
        <v>0.08</v>
      </c>
      <c r="E30" s="208">
        <v>0.02</v>
      </c>
      <c r="F30" s="437">
        <f>+F6</f>
        <v>0.1</v>
      </c>
      <c r="G30" s="208">
        <v>0.1</v>
      </c>
      <c r="H30" s="191">
        <f>+F30</f>
        <v>0.1</v>
      </c>
    </row>
    <row r="31" spans="1:8" x14ac:dyDescent="0.25">
      <c r="A31" s="522"/>
      <c r="B31" s="524"/>
      <c r="C31" s="374" t="s">
        <v>206</v>
      </c>
      <c r="D31" s="375" t="s">
        <v>206</v>
      </c>
      <c r="E31" s="375" t="s">
        <v>206</v>
      </c>
      <c r="F31" s="375" t="s">
        <v>206</v>
      </c>
      <c r="G31" s="374" t="s">
        <v>206</v>
      </c>
      <c r="H31" s="373" t="s">
        <v>206</v>
      </c>
    </row>
    <row r="32" spans="1:8" x14ac:dyDescent="0.25">
      <c r="A32" s="161" t="s">
        <v>207</v>
      </c>
      <c r="B32" s="167" t="s">
        <v>208</v>
      </c>
      <c r="C32" s="233">
        <f>+'Calculo IP ZDF'!B38</f>
        <v>3980</v>
      </c>
      <c r="D32" s="239">
        <f>+'Calculo IP ZDF'!G38</f>
        <v>4453.7</v>
      </c>
      <c r="E32" s="241">
        <f>+'Calculo IP ZDF'!F38</f>
        <v>4848.3768</v>
      </c>
      <c r="F32" s="240">
        <f>+'Calculo IP ZDF'!H38</f>
        <v>5392.6080000000002</v>
      </c>
      <c r="G32" s="218">
        <f>+G8</f>
        <v>4471.7</v>
      </c>
      <c r="H32" s="243">
        <f>+H8</f>
        <v>5413.92</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4074.2068632144192</v>
      </c>
      <c r="D40" s="225">
        <f t="shared" ref="D40:H40" si="4">SUM(D32:D39)</f>
        <v>4547.906863214419</v>
      </c>
      <c r="E40" s="225">
        <f t="shared" si="4"/>
        <v>4942.5836632144192</v>
      </c>
      <c r="F40" s="226">
        <f t="shared" si="4"/>
        <v>5486.8148632144193</v>
      </c>
      <c r="G40" s="227">
        <f t="shared" si="4"/>
        <v>5069.3123307388496</v>
      </c>
      <c r="H40" s="246">
        <f t="shared" si="4"/>
        <v>5990.4683307388495</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4074.2068632144192</v>
      </c>
      <c r="D44" s="224">
        <f t="shared" si="5"/>
        <v>4547.906863214419</v>
      </c>
      <c r="E44" s="224">
        <f t="shared" si="5"/>
        <v>4942.5836632144192</v>
      </c>
      <c r="F44" s="242">
        <f t="shared" si="5"/>
        <v>5486.8148632144193</v>
      </c>
      <c r="G44" s="224">
        <f t="shared" si="5"/>
        <v>5069.3123307388496</v>
      </c>
      <c r="H44" s="242">
        <f t="shared" si="5"/>
        <v>5990.4683307388495</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6" t="str">
        <f>+VAUPES!B28</f>
        <v>De acuerdo con lo establecido en la Resolución MME 91349 de 2014</v>
      </c>
      <c r="C53" s="536"/>
      <c r="D53" s="536"/>
      <c r="E53" s="536"/>
      <c r="F53" s="536"/>
      <c r="G53" s="536"/>
      <c r="H53" s="536"/>
      <c r="I53" s="536"/>
      <c r="J53" s="536"/>
      <c r="K53" s="236"/>
      <c r="L53" s="236"/>
      <c r="M53" s="236"/>
      <c r="N53" s="236"/>
      <c r="O53" s="236"/>
      <c r="P53" s="236"/>
    </row>
    <row r="54" spans="1:16" ht="26.25" customHeight="1" x14ac:dyDescent="0.25">
      <c r="A54" s="180" t="s">
        <v>240</v>
      </c>
      <c r="B54" s="518" t="s">
        <v>297</v>
      </c>
      <c r="C54" s="518"/>
      <c r="D54" s="518"/>
      <c r="E54" s="518"/>
      <c r="F54" s="518"/>
      <c r="G54" s="518"/>
      <c r="H54" s="518"/>
      <c r="I54" s="518"/>
      <c r="J54" s="518"/>
      <c r="K54" s="214"/>
      <c r="L54" s="214"/>
      <c r="M54" s="214"/>
      <c r="N54" s="214"/>
      <c r="O54" s="214"/>
      <c r="P54" s="214"/>
    </row>
    <row r="55" spans="1:16" ht="54.75" customHeight="1" x14ac:dyDescent="0.25">
      <c r="A55" s="180" t="s">
        <v>139</v>
      </c>
      <c r="B55" s="536" t="s">
        <v>366</v>
      </c>
      <c r="C55" s="536"/>
      <c r="D55" s="536"/>
      <c r="E55" s="536"/>
      <c r="F55" s="536"/>
      <c r="G55" s="536"/>
      <c r="H55" s="536"/>
      <c r="I55" s="536"/>
      <c r="J55" s="536"/>
      <c r="K55" s="214"/>
      <c r="L55" s="214"/>
      <c r="M55" s="214"/>
      <c r="N55" s="214"/>
      <c r="O55" s="214"/>
      <c r="P55" s="214"/>
    </row>
    <row r="56" spans="1:16" ht="54.75" customHeight="1" x14ac:dyDescent="0.25">
      <c r="A56" s="180" t="s">
        <v>241</v>
      </c>
      <c r="B56" s="535" t="s">
        <v>448</v>
      </c>
      <c r="C56" s="535"/>
      <c r="D56" s="535"/>
      <c r="E56" s="535"/>
      <c r="F56" s="535"/>
      <c r="G56" s="535"/>
      <c r="H56" s="535"/>
      <c r="I56" s="535"/>
      <c r="J56" s="535"/>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19" t="s">
        <v>252</v>
      </c>
      <c r="C58" s="519"/>
      <c r="D58" s="519"/>
      <c r="E58" s="519"/>
      <c r="F58" s="519"/>
      <c r="G58" s="519"/>
      <c r="H58" s="519"/>
      <c r="I58" s="519"/>
      <c r="J58" s="519"/>
      <c r="K58" s="214"/>
      <c r="L58" s="214"/>
      <c r="M58" s="214"/>
      <c r="N58" s="214"/>
      <c r="O58" s="214"/>
      <c r="P58" s="214"/>
    </row>
    <row r="59" spans="1:16" ht="15" customHeight="1" x14ac:dyDescent="0.25">
      <c r="A59" s="204" t="s">
        <v>253</v>
      </c>
      <c r="B59" s="536" t="s">
        <v>324</v>
      </c>
      <c r="C59" s="536"/>
      <c r="D59" s="536"/>
      <c r="E59" s="536"/>
      <c r="F59" s="536"/>
      <c r="G59" s="536"/>
      <c r="H59" s="536"/>
      <c r="I59" s="536"/>
      <c r="J59" s="536"/>
      <c r="K59" s="214"/>
      <c r="L59" s="214"/>
      <c r="M59" s="214"/>
      <c r="N59" s="214"/>
      <c r="O59" s="214"/>
      <c r="P59" s="214"/>
    </row>
    <row r="60" spans="1:16" ht="15" customHeight="1" x14ac:dyDescent="0.25">
      <c r="A60" s="180" t="s">
        <v>255</v>
      </c>
      <c r="B60" s="536" t="s">
        <v>256</v>
      </c>
      <c r="C60" s="536"/>
      <c r="D60" s="536"/>
      <c r="E60" s="536"/>
      <c r="F60" s="536"/>
      <c r="G60" s="536"/>
      <c r="H60" s="536"/>
      <c r="I60" s="180"/>
      <c r="J60" s="519"/>
      <c r="K60" s="519"/>
      <c r="L60" s="519"/>
      <c r="M60" s="519"/>
      <c r="N60" s="519"/>
      <c r="O60" s="519"/>
      <c r="P60" s="519"/>
    </row>
    <row r="61" spans="1:16" ht="15" customHeight="1" x14ac:dyDescent="0.25">
      <c r="A61" s="180" t="s">
        <v>257</v>
      </c>
      <c r="B61" s="519" t="s">
        <v>260</v>
      </c>
      <c r="C61" s="519"/>
      <c r="D61" s="519"/>
      <c r="E61" s="519"/>
      <c r="F61" s="519"/>
      <c r="G61" s="519"/>
      <c r="H61" s="519"/>
      <c r="I61" s="180"/>
      <c r="J61" s="372"/>
      <c r="K61" s="372"/>
      <c r="L61" s="372"/>
      <c r="M61" s="372"/>
      <c r="N61" s="372"/>
      <c r="O61" s="372"/>
      <c r="P61" s="372"/>
    </row>
    <row r="62" spans="1:16" x14ac:dyDescent="0.25">
      <c r="A62" s="204" t="s">
        <v>259</v>
      </c>
      <c r="B62" s="536" t="s">
        <v>262</v>
      </c>
      <c r="C62" s="536"/>
      <c r="D62" s="536"/>
      <c r="E62" s="536"/>
      <c r="F62" s="536"/>
      <c r="G62" s="536"/>
      <c r="H62" s="536"/>
      <c r="I62" s="536"/>
      <c r="J62" s="536"/>
      <c r="K62" s="214"/>
      <c r="L62" s="214"/>
      <c r="M62" s="214"/>
      <c r="N62" s="214"/>
      <c r="O62" s="214"/>
      <c r="P62" s="214"/>
    </row>
    <row r="63" spans="1:16" x14ac:dyDescent="0.25">
      <c r="A63" s="204" t="s">
        <v>261</v>
      </c>
      <c r="B63" s="536" t="s">
        <v>326</v>
      </c>
      <c r="C63" s="536"/>
      <c r="D63" s="536"/>
      <c r="E63" s="536"/>
      <c r="F63" s="536"/>
      <c r="G63" s="536"/>
      <c r="H63" s="536"/>
      <c r="I63" s="536"/>
      <c r="J63" s="536"/>
      <c r="K63" s="214"/>
      <c r="L63" s="214"/>
      <c r="M63" s="214"/>
      <c r="N63" s="214"/>
      <c r="O63" s="214"/>
      <c r="P63" s="214"/>
    </row>
    <row r="65" spans="1:10" ht="87.75" customHeight="1" x14ac:dyDescent="0.25">
      <c r="A65" s="520" t="s">
        <v>163</v>
      </c>
      <c r="B65" s="520"/>
      <c r="C65" s="520"/>
      <c r="D65" s="520"/>
      <c r="E65" s="520"/>
      <c r="F65" s="520"/>
      <c r="G65" s="520"/>
      <c r="H65" s="520"/>
      <c r="I65" s="520"/>
      <c r="J65" s="520"/>
    </row>
  </sheetData>
  <sheetProtection password="C712"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68" t="s">
        <v>17</v>
      </c>
      <c r="G6" s="468"/>
      <c r="H6" s="468"/>
      <c r="I6" s="468"/>
      <c r="J6" s="468"/>
      <c r="K6" s="8">
        <v>4169.6138703799988</v>
      </c>
      <c r="L6" s="13"/>
    </row>
    <row r="7" spans="2:12" x14ac:dyDescent="0.25">
      <c r="D7" s="11" t="s">
        <v>18</v>
      </c>
      <c r="E7" s="7" t="s">
        <v>19</v>
      </c>
      <c r="F7" s="468" t="s">
        <v>17</v>
      </c>
      <c r="G7" s="468"/>
      <c r="H7" s="468"/>
      <c r="I7" s="468"/>
      <c r="J7" s="468"/>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69" t="s">
        <v>9</v>
      </c>
      <c r="E19" s="470" t="s">
        <v>1</v>
      </c>
      <c r="F19" s="471" t="s">
        <v>2</v>
      </c>
      <c r="G19" s="472"/>
      <c r="H19" s="472"/>
      <c r="I19" s="472"/>
      <c r="J19" s="473"/>
    </row>
    <row r="20" spans="4:12" ht="21" x14ac:dyDescent="0.35">
      <c r="D20" s="469"/>
      <c r="E20" s="470"/>
      <c r="F20" s="474" t="s">
        <v>23</v>
      </c>
      <c r="G20" s="475"/>
      <c r="H20" s="475"/>
      <c r="I20" s="475"/>
      <c r="J20" s="476"/>
    </row>
    <row r="21" spans="4:12" x14ac:dyDescent="0.25">
      <c r="D21" s="12" t="s">
        <v>24</v>
      </c>
      <c r="E21" s="14" t="s">
        <v>10</v>
      </c>
      <c r="F21" s="468" t="s">
        <v>25</v>
      </c>
      <c r="G21" s="468"/>
      <c r="H21" s="468"/>
      <c r="I21" s="468"/>
      <c r="J21" s="468"/>
      <c r="K21" s="15">
        <v>4915.26</v>
      </c>
      <c r="L21" s="2" t="s">
        <v>357</v>
      </c>
    </row>
    <row r="22" spans="4:12" x14ac:dyDescent="0.25">
      <c r="D22" s="12" t="s">
        <v>26</v>
      </c>
      <c r="E22" s="14" t="s">
        <v>11</v>
      </c>
      <c r="F22" s="468" t="s">
        <v>27</v>
      </c>
      <c r="G22" s="468"/>
      <c r="H22" s="468"/>
      <c r="I22" s="468"/>
      <c r="J22" s="468"/>
      <c r="K22" s="15">
        <v>203.74</v>
      </c>
      <c r="L22" s="2" t="s">
        <v>357</v>
      </c>
    </row>
    <row r="23" spans="4:12" x14ac:dyDescent="0.25">
      <c r="D23" s="12" t="s">
        <v>28</v>
      </c>
      <c r="E23" s="14" t="s">
        <v>4</v>
      </c>
      <c r="F23" s="468" t="s">
        <v>29</v>
      </c>
      <c r="G23" s="468"/>
      <c r="H23" s="468"/>
      <c r="I23" s="468"/>
      <c r="J23" s="468"/>
      <c r="K23" s="15">
        <v>4923.01</v>
      </c>
      <c r="L23" s="2" t="s">
        <v>357</v>
      </c>
    </row>
    <row r="24" spans="4:12" x14ac:dyDescent="0.25">
      <c r="D24" s="12" t="s">
        <v>30</v>
      </c>
      <c r="E24" s="14" t="s">
        <v>3</v>
      </c>
      <c r="F24" s="468" t="s">
        <v>29</v>
      </c>
      <c r="G24" s="468"/>
      <c r="H24" s="468"/>
      <c r="I24" s="468"/>
      <c r="J24" s="468"/>
      <c r="K24" s="15">
        <v>5015.57</v>
      </c>
      <c r="L24" s="2" t="s">
        <v>359</v>
      </c>
    </row>
    <row r="25" spans="4:12" x14ac:dyDescent="0.25">
      <c r="D25" s="12" t="s">
        <v>31</v>
      </c>
      <c r="E25" s="14" t="s">
        <v>12</v>
      </c>
      <c r="F25" s="468" t="s">
        <v>32</v>
      </c>
      <c r="G25" s="468"/>
      <c r="H25" s="468"/>
      <c r="I25" s="468"/>
      <c r="J25" s="468"/>
      <c r="K25" s="15">
        <v>4254.7080309999992</v>
      </c>
      <c r="L25" s="378" t="s">
        <v>357</v>
      </c>
    </row>
    <row r="26" spans="4:12" x14ac:dyDescent="0.25">
      <c r="D26" s="12" t="s">
        <v>33</v>
      </c>
      <c r="E26" s="14" t="s">
        <v>34</v>
      </c>
      <c r="F26" s="468" t="s">
        <v>32</v>
      </c>
      <c r="G26" s="468"/>
      <c r="H26" s="468"/>
      <c r="I26" s="468"/>
      <c r="J26" s="468"/>
      <c r="K26" s="15">
        <v>4391.8172209999993</v>
      </c>
      <c r="L26" s="2" t="s">
        <v>357</v>
      </c>
    </row>
    <row r="27" spans="4:12" ht="15" customHeight="1" x14ac:dyDescent="0.25">
      <c r="D27" s="12" t="s">
        <v>35</v>
      </c>
      <c r="E27" s="14" t="s">
        <v>36</v>
      </c>
      <c r="F27" s="468" t="s">
        <v>32</v>
      </c>
      <c r="G27" s="468"/>
      <c r="H27" s="468"/>
      <c r="I27" s="468"/>
      <c r="J27" s="468"/>
      <c r="K27" s="15">
        <v>4384.4327060000005</v>
      </c>
      <c r="L27" s="2" t="s">
        <v>357</v>
      </c>
    </row>
    <row r="28" spans="4:12" ht="15" customHeight="1" x14ac:dyDescent="0.25">
      <c r="D28" s="12" t="s">
        <v>37</v>
      </c>
      <c r="E28" s="14" t="s">
        <v>38</v>
      </c>
      <c r="F28" s="468" t="s">
        <v>32</v>
      </c>
      <c r="G28" s="468"/>
      <c r="H28" s="468"/>
      <c r="I28" s="468"/>
      <c r="J28" s="468"/>
      <c r="K28" s="15">
        <v>4505.5387520000004</v>
      </c>
      <c r="L28" s="2" t="s">
        <v>357</v>
      </c>
    </row>
    <row r="29" spans="4:12" ht="15" customHeight="1" x14ac:dyDescent="0.25">
      <c r="D29" s="12" t="s">
        <v>39</v>
      </c>
      <c r="E29" s="14" t="s">
        <v>40</v>
      </c>
      <c r="F29" s="468" t="s">
        <v>32</v>
      </c>
      <c r="G29" s="468"/>
      <c r="H29" s="468"/>
      <c r="I29" s="468"/>
      <c r="J29" s="468"/>
      <c r="K29" s="15">
        <v>4234.7732020000003</v>
      </c>
      <c r="L29" s="2" t="s">
        <v>357</v>
      </c>
    </row>
    <row r="30" spans="4:12" x14ac:dyDescent="0.25">
      <c r="D30" s="12" t="s">
        <v>41</v>
      </c>
      <c r="E30" s="14" t="s">
        <v>42</v>
      </c>
      <c r="F30" s="468" t="s">
        <v>32</v>
      </c>
      <c r="G30" s="468"/>
      <c r="H30" s="468"/>
      <c r="I30" s="468"/>
      <c r="J30" s="468"/>
      <c r="K30" s="15">
        <v>4923.01</v>
      </c>
      <c r="L30" s="2" t="s">
        <v>357</v>
      </c>
    </row>
    <row r="31" spans="4:12" x14ac:dyDescent="0.25">
      <c r="D31" s="12" t="s">
        <v>43</v>
      </c>
      <c r="E31" s="14" t="s">
        <v>4</v>
      </c>
      <c r="F31" s="468" t="s">
        <v>29</v>
      </c>
      <c r="G31" s="468"/>
      <c r="H31" s="468"/>
      <c r="I31" s="468"/>
      <c r="J31" s="468"/>
      <c r="K31" s="15">
        <v>4923.01</v>
      </c>
      <c r="L31" s="2" t="s">
        <v>357</v>
      </c>
    </row>
    <row r="32" spans="4:12" x14ac:dyDescent="0.25">
      <c r="D32" s="12" t="s">
        <v>44</v>
      </c>
      <c r="E32" s="14" t="s">
        <v>40</v>
      </c>
      <c r="F32" s="468" t="s">
        <v>45</v>
      </c>
      <c r="G32" s="468"/>
      <c r="H32" s="468"/>
      <c r="I32" s="468"/>
      <c r="J32" s="468"/>
      <c r="K32" s="15">
        <v>4923.01</v>
      </c>
      <c r="L32" s="2" t="s">
        <v>357</v>
      </c>
    </row>
    <row r="33" spans="4:12" x14ac:dyDescent="0.25">
      <c r="D33" s="12" t="s">
        <v>46</v>
      </c>
      <c r="E33" s="14" t="s">
        <v>47</v>
      </c>
      <c r="F33" s="468" t="s">
        <v>32</v>
      </c>
      <c r="G33" s="468"/>
      <c r="H33" s="468"/>
      <c r="I33" s="468"/>
      <c r="J33" s="468"/>
      <c r="K33" s="15">
        <v>4056.8112165399998</v>
      </c>
      <c r="L33" s="2" t="s">
        <v>359</v>
      </c>
    </row>
    <row r="34" spans="4:12" x14ac:dyDescent="0.25">
      <c r="D34" s="12" t="s">
        <v>48</v>
      </c>
      <c r="E34" s="14">
        <v>0</v>
      </c>
      <c r="F34" s="468"/>
      <c r="G34" s="468"/>
      <c r="H34" s="468"/>
      <c r="I34" s="468"/>
      <c r="J34" s="468"/>
      <c r="K34" s="15"/>
      <c r="L34" s="2" t="s">
        <v>357</v>
      </c>
    </row>
    <row r="35" spans="4:12" x14ac:dyDescent="0.25">
      <c r="D35" s="12" t="s">
        <v>49</v>
      </c>
      <c r="E35" s="14" t="s">
        <v>50</v>
      </c>
      <c r="F35" s="468" t="s">
        <v>32</v>
      </c>
      <c r="G35" s="468"/>
      <c r="H35" s="468"/>
      <c r="I35" s="468"/>
      <c r="J35" s="468"/>
      <c r="K35" s="15">
        <v>3853.07121654</v>
      </c>
      <c r="L35" s="2" t="s">
        <v>357</v>
      </c>
    </row>
    <row r="36" spans="4:12" x14ac:dyDescent="0.25">
      <c r="D36" s="12" t="s">
        <v>51</v>
      </c>
      <c r="E36" s="14" t="s">
        <v>52</v>
      </c>
      <c r="F36" s="468" t="s">
        <v>32</v>
      </c>
      <c r="G36" s="468"/>
      <c r="H36" s="468"/>
      <c r="I36" s="468"/>
      <c r="J36" s="468"/>
      <c r="K36" s="15">
        <v>203.74</v>
      </c>
      <c r="L36" s="2" t="s">
        <v>357</v>
      </c>
    </row>
    <row r="37" spans="4:12" x14ac:dyDescent="0.25">
      <c r="D37" s="12" t="s">
        <v>53</v>
      </c>
      <c r="E37" s="14" t="s">
        <v>54</v>
      </c>
      <c r="F37" s="468" t="s">
        <v>55</v>
      </c>
      <c r="G37" s="468"/>
      <c r="H37" s="468"/>
      <c r="I37" s="468"/>
      <c r="J37" s="468"/>
      <c r="K37" s="15">
        <v>4345.8234222199999</v>
      </c>
      <c r="L37" s="16" t="s">
        <v>358</v>
      </c>
    </row>
    <row r="38" spans="4:12" x14ac:dyDescent="0.25">
      <c r="D38" s="12" t="s">
        <v>56</v>
      </c>
      <c r="E38" s="14" t="s">
        <v>57</v>
      </c>
      <c r="F38" s="468" t="s">
        <v>55</v>
      </c>
      <c r="G38" s="468"/>
      <c r="H38" s="468"/>
      <c r="I38" s="468"/>
      <c r="J38" s="468"/>
      <c r="K38" s="15">
        <v>4142.0884222200002</v>
      </c>
      <c r="L38" s="2" t="s">
        <v>357</v>
      </c>
    </row>
    <row r="39" spans="4:12" x14ac:dyDescent="0.25">
      <c r="D39" s="12" t="s">
        <v>58</v>
      </c>
      <c r="E39" s="14" t="s">
        <v>59</v>
      </c>
      <c r="F39" s="468" t="s">
        <v>55</v>
      </c>
      <c r="G39" s="468"/>
      <c r="H39" s="468"/>
      <c r="I39" s="468"/>
      <c r="J39" s="468"/>
      <c r="K39" s="15">
        <v>203.73500000000001</v>
      </c>
      <c r="L39" s="2" t="s">
        <v>357</v>
      </c>
    </row>
    <row r="40" spans="4:12" x14ac:dyDescent="0.25">
      <c r="D40" s="12" t="s">
        <v>60</v>
      </c>
      <c r="E40" s="14" t="s">
        <v>61</v>
      </c>
      <c r="F40" s="468" t="s">
        <v>62</v>
      </c>
      <c r="G40" s="468"/>
      <c r="H40" s="468"/>
      <c r="I40" s="468"/>
      <c r="J40" s="468"/>
      <c r="K40" s="15">
        <v>4180.670733259999</v>
      </c>
      <c r="L40" s="16" t="s">
        <v>358</v>
      </c>
    </row>
    <row r="41" spans="4:12" x14ac:dyDescent="0.25">
      <c r="D41" s="12" t="s">
        <v>63</v>
      </c>
      <c r="E41" s="14" t="s">
        <v>64</v>
      </c>
      <c r="F41" s="468" t="s">
        <v>62</v>
      </c>
      <c r="G41" s="468"/>
      <c r="H41" s="468"/>
      <c r="I41" s="468"/>
      <c r="J41" s="468"/>
      <c r="K41" s="15">
        <v>3976.9357332599993</v>
      </c>
      <c r="L41" s="17" t="s">
        <v>357</v>
      </c>
    </row>
    <row r="42" spans="4:12" x14ac:dyDescent="0.25">
      <c r="D42" s="12" t="s">
        <v>65</v>
      </c>
      <c r="E42" s="14" t="s">
        <v>66</v>
      </c>
      <c r="F42" s="468" t="s">
        <v>62</v>
      </c>
      <c r="G42" s="468"/>
      <c r="H42" s="468"/>
      <c r="I42" s="468"/>
      <c r="J42" s="468"/>
      <c r="K42" s="15">
        <v>203.73500000000001</v>
      </c>
      <c r="L42" s="2" t="s">
        <v>357</v>
      </c>
    </row>
    <row r="43" spans="4:12" x14ac:dyDescent="0.25">
      <c r="D43" s="12" t="s">
        <v>67</v>
      </c>
      <c r="E43" s="14" t="s">
        <v>68</v>
      </c>
      <c r="F43" s="468" t="s">
        <v>69</v>
      </c>
      <c r="G43" s="468"/>
      <c r="H43" s="468"/>
      <c r="I43" s="468"/>
      <c r="J43" s="468"/>
      <c r="K43" s="15">
        <v>4373.3488703799985</v>
      </c>
      <c r="L43" s="16" t="s">
        <v>357</v>
      </c>
    </row>
    <row r="44" spans="4:12" x14ac:dyDescent="0.25">
      <c r="D44" s="12" t="s">
        <v>70</v>
      </c>
      <c r="E44" s="14" t="s">
        <v>16</v>
      </c>
      <c r="F44" s="468" t="s">
        <v>69</v>
      </c>
      <c r="G44" s="468"/>
      <c r="H44" s="468"/>
      <c r="I44" s="468"/>
      <c r="J44" s="468"/>
      <c r="K44" s="15">
        <v>4169.6138703799988</v>
      </c>
      <c r="L44" s="2" t="s">
        <v>357</v>
      </c>
    </row>
    <row r="45" spans="4:12" x14ac:dyDescent="0.25">
      <c r="D45" s="12" t="s">
        <v>71</v>
      </c>
      <c r="E45" s="14" t="s">
        <v>72</v>
      </c>
      <c r="F45" s="468" t="s">
        <v>69</v>
      </c>
      <c r="G45" s="468"/>
      <c r="H45" s="468"/>
      <c r="I45" s="468"/>
      <c r="J45" s="468"/>
      <c r="K45" s="15">
        <v>203.73500000000001</v>
      </c>
      <c r="L45" s="2" t="s">
        <v>357</v>
      </c>
    </row>
    <row r="46" spans="4:12" x14ac:dyDescent="0.25">
      <c r="D46" s="12" t="s">
        <v>73</v>
      </c>
      <c r="E46" s="10">
        <v>0</v>
      </c>
      <c r="F46" s="468"/>
      <c r="G46" s="468"/>
      <c r="H46" s="468"/>
      <c r="I46" s="468"/>
      <c r="J46" s="468"/>
      <c r="K46" s="15"/>
      <c r="L46" s="2" t="s">
        <v>359</v>
      </c>
    </row>
    <row r="47" spans="4:12" x14ac:dyDescent="0.25">
      <c r="D47" s="377" t="s">
        <v>360</v>
      </c>
      <c r="E47" s="18"/>
      <c r="F47" s="2" t="s">
        <v>361</v>
      </c>
      <c r="K47" s="2">
        <f>+'Calculo IP ZDF'!C33</f>
        <v>4496.3584000000001</v>
      </c>
      <c r="L47" s="2" t="s">
        <v>357</v>
      </c>
    </row>
    <row r="48" spans="4:12" x14ac:dyDescent="0.25">
      <c r="D48" s="377" t="s">
        <v>362</v>
      </c>
      <c r="E48" s="18"/>
      <c r="F48" s="2" t="s">
        <v>363</v>
      </c>
      <c r="K48" s="2">
        <f>+'Calculo IP ZDF'!C29</f>
        <v>4111.3216000000002</v>
      </c>
      <c r="L48" s="378" t="s">
        <v>357</v>
      </c>
    </row>
    <row r="49" spans="4:12" x14ac:dyDescent="0.25">
      <c r="D49" s="376" t="s">
        <v>364</v>
      </c>
      <c r="K49" s="2">
        <f>+'Calculo IP ZDF'!C32</f>
        <v>4430.5280000000002</v>
      </c>
      <c r="L49" s="378" t="s">
        <v>357</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A25" sqref="A25"/>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76" t="s">
        <v>327</v>
      </c>
      <c r="B1" s="576"/>
      <c r="C1" s="576"/>
      <c r="D1" s="576"/>
      <c r="E1" s="339">
        <v>2826.91</v>
      </c>
    </row>
    <row r="2" spans="1:5" x14ac:dyDescent="0.25">
      <c r="A2" s="576" t="s">
        <v>328</v>
      </c>
      <c r="B2" s="576"/>
      <c r="C2" s="576"/>
      <c r="D2" s="576"/>
      <c r="E2" s="338"/>
    </row>
    <row r="3" spans="1:5" x14ac:dyDescent="0.25">
      <c r="A3" s="576" t="s">
        <v>329</v>
      </c>
      <c r="B3" s="576"/>
      <c r="C3" s="576"/>
      <c r="D3" s="576"/>
      <c r="E3" s="338"/>
    </row>
    <row r="4" spans="1:5" x14ac:dyDescent="0.25">
      <c r="A4" s="337"/>
      <c r="B4" s="337"/>
      <c r="C4" s="338"/>
      <c r="D4" s="338"/>
      <c r="E4" s="338"/>
    </row>
    <row r="5" spans="1:5" ht="15.75" thickBot="1" x14ac:dyDescent="0.3">
      <c r="A5" s="340" t="str">
        <f>+AMAZONAS!B1</f>
        <v>Vigencia: 1 de mayo de 2020; 00:00 horas</v>
      </c>
      <c r="B5" s="337"/>
      <c r="C5" s="338"/>
      <c r="D5" s="338"/>
      <c r="E5" s="338"/>
    </row>
    <row r="6" spans="1:5" ht="15.75" customHeight="1" thickTop="1" x14ac:dyDescent="0.25">
      <c r="A6" s="577" t="s">
        <v>330</v>
      </c>
      <c r="B6" s="579" t="s">
        <v>348</v>
      </c>
      <c r="C6" s="579" t="s">
        <v>347</v>
      </c>
      <c r="D6" s="581" t="s">
        <v>446</v>
      </c>
      <c r="E6" s="338"/>
    </row>
    <row r="7" spans="1:5" ht="31.5" customHeight="1" x14ac:dyDescent="0.25">
      <c r="A7" s="578"/>
      <c r="B7" s="580"/>
      <c r="C7" s="580"/>
      <c r="D7" s="523"/>
      <c r="E7" s="338"/>
    </row>
    <row r="8" spans="1:5" x14ac:dyDescent="0.25">
      <c r="A8" s="353" t="s">
        <v>331</v>
      </c>
      <c r="B8" s="354">
        <f>+BIODIESEL!C6</f>
        <v>4736</v>
      </c>
      <c r="C8" s="355">
        <f>+BIODIESEL!E9</f>
        <v>4871.58</v>
      </c>
      <c r="D8" s="356">
        <f>+BIODIESEL!G9</f>
        <v>5413.92</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82" t="s">
        <v>365</v>
      </c>
      <c r="B27" s="582"/>
      <c r="C27" s="582"/>
      <c r="D27" s="582"/>
      <c r="E27" s="582"/>
    </row>
    <row r="28" spans="1:5" ht="30" customHeight="1" x14ac:dyDescent="0.25">
      <c r="A28" s="582"/>
      <c r="B28" s="582"/>
      <c r="C28" s="582"/>
      <c r="D28" s="582"/>
      <c r="E28" s="582"/>
    </row>
    <row r="29" spans="1:5" x14ac:dyDescent="0.25">
      <c r="A29" s="344"/>
      <c r="B29" s="347"/>
      <c r="C29" s="338"/>
      <c r="D29" s="338"/>
      <c r="E29" s="338"/>
    </row>
    <row r="30" spans="1:5" x14ac:dyDescent="0.25">
      <c r="A30" s="348" t="s">
        <v>174</v>
      </c>
      <c r="B30" s="349"/>
      <c r="C30" s="338"/>
      <c r="D30" s="338"/>
      <c r="E30" s="338"/>
    </row>
    <row r="31" spans="1:5" ht="90" customHeight="1" x14ac:dyDescent="0.25">
      <c r="A31" s="490" t="s">
        <v>163</v>
      </c>
      <c r="B31" s="490"/>
      <c r="C31" s="490"/>
      <c r="D31" s="490"/>
      <c r="E31" s="490"/>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A37" workbookViewId="0">
      <selection activeCell="A47" sqref="A47"/>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407</v>
      </c>
      <c r="B2" s="388">
        <v>543</v>
      </c>
      <c r="C2" s="388" t="s">
        <v>408</v>
      </c>
      <c r="F2" s="388" t="s">
        <v>174</v>
      </c>
      <c r="M2" s="394" t="str">
        <f>+'Calculo IP ZDF'!I25</f>
        <v>Z61</v>
      </c>
      <c r="O2" s="393">
        <f>+'Calculo IP ZDF'!B43</f>
        <v>30000002129</v>
      </c>
      <c r="P2" s="389">
        <f>ROUND('Calculo IP ZDF'!D25,2)</f>
        <v>4242.59</v>
      </c>
      <c r="Q2" s="388" t="s">
        <v>409</v>
      </c>
      <c r="R2" s="388">
        <v>1</v>
      </c>
      <c r="S2" s="388" t="s">
        <v>410</v>
      </c>
      <c r="T2" s="388" t="s">
        <v>411</v>
      </c>
      <c r="U2" s="392" t="str">
        <f>+'Calculo IP ZDF'!B40</f>
        <v>17.03.2020</v>
      </c>
      <c r="V2" s="392" t="str">
        <f>+'Calculo IP ZDF'!C40</f>
        <v>10.04.2020</v>
      </c>
    </row>
    <row r="3" spans="1:22" x14ac:dyDescent="0.25">
      <c r="A3" s="388" t="s">
        <v>407</v>
      </c>
      <c r="B3" s="388">
        <v>543</v>
      </c>
      <c r="C3" s="388" t="s">
        <v>408</v>
      </c>
      <c r="F3" s="388" t="s">
        <v>174</v>
      </c>
      <c r="M3" s="394" t="str">
        <f>+'Calculo IP ZDF'!I26</f>
        <v>Z68</v>
      </c>
      <c r="O3" s="393">
        <f>+O2</f>
        <v>30000002129</v>
      </c>
      <c r="P3" s="389">
        <f>ROUND('Calculo IP ZDF'!D26,2)</f>
        <v>4026.31</v>
      </c>
      <c r="Q3" s="388" t="s">
        <v>409</v>
      </c>
      <c r="R3" s="388">
        <v>1</v>
      </c>
      <c r="S3" s="388" t="s">
        <v>410</v>
      </c>
      <c r="T3" s="388" t="s">
        <v>411</v>
      </c>
      <c r="U3" s="392" t="str">
        <f>+U2</f>
        <v>17.03.2020</v>
      </c>
      <c r="V3" s="392" t="str">
        <f>+V2</f>
        <v>10.04.2020</v>
      </c>
    </row>
    <row r="4" spans="1:22" x14ac:dyDescent="0.25">
      <c r="A4" s="388" t="s">
        <v>407</v>
      </c>
      <c r="B4" s="388">
        <v>543</v>
      </c>
      <c r="C4" s="388" t="s">
        <v>408</v>
      </c>
      <c r="M4" s="394" t="str">
        <f>+'Calculo IP ZDF'!I27</f>
        <v>Z67</v>
      </c>
      <c r="O4" s="393">
        <f t="shared" ref="O4:O27" si="0">+O3</f>
        <v>30000002129</v>
      </c>
      <c r="P4" s="389">
        <f>ROUND('Calculo IP ZDF'!D27,2)</f>
        <v>4147.91</v>
      </c>
      <c r="Q4" s="388" t="s">
        <v>409</v>
      </c>
      <c r="R4" s="388">
        <v>1</v>
      </c>
      <c r="S4" s="388" t="s">
        <v>410</v>
      </c>
      <c r="T4" s="388" t="s">
        <v>411</v>
      </c>
      <c r="U4" s="392" t="str">
        <f t="shared" ref="U4:V20" si="1">+U3</f>
        <v>17.03.2020</v>
      </c>
      <c r="V4" s="392" t="str">
        <f t="shared" si="1"/>
        <v>10.04.2020</v>
      </c>
    </row>
    <row r="5" spans="1:22" x14ac:dyDescent="0.25">
      <c r="A5" s="452" t="s">
        <v>407</v>
      </c>
      <c r="B5" s="452">
        <v>543</v>
      </c>
      <c r="C5" s="452" t="s">
        <v>408</v>
      </c>
      <c r="D5" s="452"/>
      <c r="E5" s="452"/>
      <c r="F5" s="452"/>
      <c r="G5" s="452"/>
      <c r="H5" s="452"/>
      <c r="I5" s="452"/>
      <c r="J5" s="452"/>
      <c r="K5" s="452"/>
      <c r="L5" s="452"/>
      <c r="M5" s="451" t="str">
        <f>+'Calculo IP ZDF'!I28</f>
        <v xml:space="preserve">Z64  </v>
      </c>
      <c r="N5" s="452"/>
      <c r="O5" s="453">
        <f t="shared" si="0"/>
        <v>30000002129</v>
      </c>
      <c r="P5" s="454">
        <f>ROUND('Calculo IP ZDF'!D28,2)</f>
        <v>4618.07</v>
      </c>
      <c r="Q5" s="452" t="s">
        <v>409</v>
      </c>
      <c r="R5" s="452">
        <v>1</v>
      </c>
      <c r="S5" s="452" t="s">
        <v>410</v>
      </c>
      <c r="T5" s="452" t="s">
        <v>411</v>
      </c>
      <c r="U5" s="455" t="str">
        <f t="shared" si="1"/>
        <v>17.03.2020</v>
      </c>
      <c r="V5" s="455" t="str">
        <f t="shared" si="1"/>
        <v>10.04.2020</v>
      </c>
    </row>
    <row r="6" spans="1:22" x14ac:dyDescent="0.25">
      <c r="A6" s="388" t="s">
        <v>407</v>
      </c>
      <c r="B6" s="388">
        <v>543</v>
      </c>
      <c r="C6" s="388" t="s">
        <v>408</v>
      </c>
      <c r="M6" s="394" t="s">
        <v>451</v>
      </c>
      <c r="O6" s="393">
        <f t="shared" si="0"/>
        <v>30000002129</v>
      </c>
      <c r="P6" s="389">
        <f>ROUND('Calculo IP ZDF'!D29,2)</f>
        <v>4029.1</v>
      </c>
      <c r="Q6" s="388" t="s">
        <v>409</v>
      </c>
      <c r="R6" s="388">
        <v>1</v>
      </c>
      <c r="S6" s="388" t="s">
        <v>410</v>
      </c>
      <c r="T6" s="388" t="s">
        <v>411</v>
      </c>
      <c r="U6" s="392" t="str">
        <f t="shared" si="1"/>
        <v>17.03.2020</v>
      </c>
      <c r="V6" s="392" t="str">
        <f t="shared" si="1"/>
        <v>10.04.2020</v>
      </c>
    </row>
    <row r="7" spans="1:22" x14ac:dyDescent="0.25">
      <c r="A7" s="388" t="s">
        <v>407</v>
      </c>
      <c r="B7" s="388">
        <v>543</v>
      </c>
      <c r="C7" s="388" t="s">
        <v>408</v>
      </c>
      <c r="M7" s="394" t="str">
        <f>+'Calculo IP ZDF'!I30</f>
        <v>Z65</v>
      </c>
      <c r="O7" s="393">
        <f t="shared" si="0"/>
        <v>30000002129</v>
      </c>
      <c r="P7" s="389">
        <f>ROUND('Calculo IP ZDF'!D30,2)</f>
        <v>4618.07</v>
      </c>
      <c r="Q7" s="388" t="s">
        <v>409</v>
      </c>
      <c r="R7" s="388">
        <v>1</v>
      </c>
      <c r="S7" s="388" t="s">
        <v>410</v>
      </c>
      <c r="T7" s="388" t="s">
        <v>411</v>
      </c>
      <c r="U7" s="392" t="str">
        <f t="shared" si="1"/>
        <v>17.03.2020</v>
      </c>
      <c r="V7" s="392" t="str">
        <f t="shared" si="1"/>
        <v>10.04.2020</v>
      </c>
    </row>
    <row r="8" spans="1:22" x14ac:dyDescent="0.25">
      <c r="A8" s="388" t="s">
        <v>407</v>
      </c>
      <c r="B8" s="388">
        <v>543</v>
      </c>
      <c r="C8" s="388" t="s">
        <v>408</v>
      </c>
      <c r="M8" s="394" t="str">
        <f>+'Calculo IP ZDF'!I31</f>
        <v>Z69</v>
      </c>
      <c r="O8" s="393">
        <f t="shared" si="0"/>
        <v>30000002129</v>
      </c>
      <c r="P8" s="389">
        <f>ROUND('Calculo IP ZDF'!D31,2)</f>
        <v>4413.8599999999997</v>
      </c>
      <c r="Q8" s="388" t="s">
        <v>409</v>
      </c>
      <c r="R8" s="388">
        <v>1</v>
      </c>
      <c r="S8" s="388" t="s">
        <v>410</v>
      </c>
      <c r="T8" s="388" t="s">
        <v>411</v>
      </c>
      <c r="U8" s="392" t="str">
        <f t="shared" si="1"/>
        <v>17.03.2020</v>
      </c>
      <c r="V8" s="392" t="str">
        <f t="shared" si="1"/>
        <v>10.04.2020</v>
      </c>
    </row>
    <row r="9" spans="1:22" x14ac:dyDescent="0.25">
      <c r="A9" s="388" t="s">
        <v>407</v>
      </c>
      <c r="B9" s="388">
        <v>543</v>
      </c>
      <c r="C9" s="388" t="s">
        <v>408</v>
      </c>
      <c r="M9" s="394" t="str">
        <f>+'Calculo IP ZDF'!I33</f>
        <v>Z62</v>
      </c>
      <c r="O9" s="393">
        <f>+O8</f>
        <v>30000002129</v>
      </c>
      <c r="P9" s="389">
        <f>ROUND('Calculo IP ZDF'!D33,2)</f>
        <v>4406.43</v>
      </c>
      <c r="Q9" s="388" t="s">
        <v>409</v>
      </c>
      <c r="R9" s="388">
        <v>1</v>
      </c>
      <c r="S9" s="388" t="s">
        <v>410</v>
      </c>
      <c r="T9" s="388" t="s">
        <v>411</v>
      </c>
      <c r="U9" s="392" t="str">
        <f>+U8</f>
        <v>17.03.2020</v>
      </c>
      <c r="V9" s="392" t="str">
        <f>+V8</f>
        <v>10.04.2020</v>
      </c>
    </row>
    <row r="10" spans="1:22" s="402" customFormat="1" x14ac:dyDescent="0.25">
      <c r="A10" s="402" t="s">
        <v>407</v>
      </c>
      <c r="B10" s="402">
        <v>543</v>
      </c>
      <c r="C10" s="402" t="s">
        <v>408</v>
      </c>
      <c r="M10" s="403" t="str">
        <f>+M9</f>
        <v>Z62</v>
      </c>
      <c r="O10" s="404">
        <f>+'Calculo IP ZDF'!B45</f>
        <v>30000009250</v>
      </c>
      <c r="P10" s="405">
        <f>+P9</f>
        <v>4406.43</v>
      </c>
      <c r="Q10" s="402" t="s">
        <v>409</v>
      </c>
      <c r="R10" s="402">
        <v>1</v>
      </c>
      <c r="S10" s="402" t="s">
        <v>410</v>
      </c>
      <c r="T10" s="402" t="s">
        <v>411</v>
      </c>
      <c r="U10" s="406" t="str">
        <f>+U9</f>
        <v>17.03.2020</v>
      </c>
      <c r="V10" s="406" t="str">
        <f>+V9</f>
        <v>10.04.2020</v>
      </c>
    </row>
    <row r="11" spans="1:22" x14ac:dyDescent="0.25">
      <c r="A11" s="388" t="s">
        <v>407</v>
      </c>
      <c r="B11" s="388">
        <v>543</v>
      </c>
      <c r="C11" s="388" t="s">
        <v>408</v>
      </c>
      <c r="M11" s="394" t="str">
        <f>+'Calculo IP ZDF'!I34</f>
        <v>Z60</v>
      </c>
      <c r="O11" s="393">
        <f>+O2</f>
        <v>30000002129</v>
      </c>
      <c r="P11" s="389">
        <f>ROUND('Calculo IP ZDF'!D34,2)</f>
        <v>4334.03</v>
      </c>
      <c r="Q11" s="388" t="s">
        <v>409</v>
      </c>
      <c r="R11" s="388">
        <v>1</v>
      </c>
      <c r="S11" s="388" t="s">
        <v>410</v>
      </c>
      <c r="T11" s="388" t="s">
        <v>411</v>
      </c>
      <c r="U11" s="392" t="str">
        <f>+U9</f>
        <v>17.03.2020</v>
      </c>
      <c r="V11" s="392" t="str">
        <f>+V9</f>
        <v>10.04.2020</v>
      </c>
    </row>
    <row r="12" spans="1:22" x14ac:dyDescent="0.25">
      <c r="A12" s="388" t="s">
        <v>407</v>
      </c>
      <c r="B12" s="388">
        <v>543</v>
      </c>
      <c r="C12" s="388" t="s">
        <v>408</v>
      </c>
      <c r="M12" s="394" t="str">
        <f>+'Calculo IP ZDF'!I35</f>
        <v>Z63</v>
      </c>
      <c r="O12" s="393">
        <f t="shared" si="0"/>
        <v>30000002129</v>
      </c>
      <c r="P12" s="389">
        <f>ROUND('Calculo IP ZDF'!D35,2)</f>
        <v>4399.01</v>
      </c>
      <c r="Q12" s="388" t="s">
        <v>409</v>
      </c>
      <c r="R12" s="388">
        <v>1</v>
      </c>
      <c r="S12" s="388" t="s">
        <v>410</v>
      </c>
      <c r="T12" s="388" t="s">
        <v>411</v>
      </c>
      <c r="U12" s="392" t="str">
        <f t="shared" si="1"/>
        <v>17.03.2020</v>
      </c>
      <c r="V12" s="392" t="str">
        <f t="shared" si="1"/>
        <v>10.04.2020</v>
      </c>
    </row>
    <row r="13" spans="1:22" x14ac:dyDescent="0.25">
      <c r="A13" s="388" t="s">
        <v>407</v>
      </c>
      <c r="B13" s="388">
        <v>543</v>
      </c>
      <c r="C13" s="388" t="s">
        <v>408</v>
      </c>
      <c r="M13" s="394" t="str">
        <f>+'Calculo IP ZDF'!I36</f>
        <v>Z70</v>
      </c>
      <c r="O13" s="393">
        <f t="shared" si="0"/>
        <v>30000002129</v>
      </c>
      <c r="P13" s="389">
        <f>ROUND('Calculo IP ZDF'!D36,2)</f>
        <v>4618.07</v>
      </c>
      <c r="Q13" s="388" t="s">
        <v>409</v>
      </c>
      <c r="R13" s="388">
        <v>1</v>
      </c>
      <c r="S13" s="388" t="s">
        <v>410</v>
      </c>
      <c r="T13" s="388" t="s">
        <v>411</v>
      </c>
      <c r="U13" s="392" t="str">
        <f t="shared" si="1"/>
        <v>17.03.2020</v>
      </c>
      <c r="V13" s="392" t="str">
        <f t="shared" si="1"/>
        <v>10.04.2020</v>
      </c>
    </row>
    <row r="14" spans="1:22" x14ac:dyDescent="0.25">
      <c r="A14" s="388" t="s">
        <v>407</v>
      </c>
      <c r="B14" s="388">
        <v>543</v>
      </c>
      <c r="C14" s="388" t="s">
        <v>408</v>
      </c>
      <c r="M14" s="394" t="str">
        <f>+'Calculo IP ZDF'!I37</f>
        <v>Z75</v>
      </c>
      <c r="O14" s="393">
        <f t="shared" si="0"/>
        <v>30000002129</v>
      </c>
      <c r="P14" s="389">
        <f>ROUND('Calculo IP ZDF'!D37,2)</f>
        <v>4017.03</v>
      </c>
      <c r="Q14" s="388" t="s">
        <v>409</v>
      </c>
      <c r="R14" s="388">
        <v>1</v>
      </c>
      <c r="S14" s="388" t="s">
        <v>410</v>
      </c>
      <c r="T14" s="388" t="s">
        <v>411</v>
      </c>
      <c r="U14" s="392" t="str">
        <f t="shared" si="1"/>
        <v>17.03.2020</v>
      </c>
      <c r="V14" s="392" t="str">
        <f t="shared" si="1"/>
        <v>10.04.2020</v>
      </c>
    </row>
    <row r="15" spans="1:22" x14ac:dyDescent="0.25">
      <c r="A15" s="388" t="s">
        <v>412</v>
      </c>
      <c r="B15" s="388">
        <v>543</v>
      </c>
      <c r="C15" s="388" t="s">
        <v>408</v>
      </c>
      <c r="M15" s="394" t="str">
        <f>+'Calculo IP ZDF'!I25</f>
        <v>Z61</v>
      </c>
      <c r="O15" s="393">
        <f t="shared" si="0"/>
        <v>30000002129</v>
      </c>
      <c r="P15" s="390">
        <f>ROUND('Calculo IP ZDF'!E25,2)</f>
        <v>230.3</v>
      </c>
      <c r="Q15" s="388" t="s">
        <v>409</v>
      </c>
      <c r="R15" s="388">
        <v>1</v>
      </c>
      <c r="S15" s="388" t="s">
        <v>410</v>
      </c>
      <c r="T15" s="388" t="s">
        <v>411</v>
      </c>
      <c r="U15" s="392" t="str">
        <f t="shared" si="1"/>
        <v>17.03.2020</v>
      </c>
      <c r="V15" s="392" t="str">
        <f t="shared" si="1"/>
        <v>10.04.2020</v>
      </c>
    </row>
    <row r="16" spans="1:22" x14ac:dyDescent="0.25">
      <c r="A16" s="388" t="s">
        <v>412</v>
      </c>
      <c r="B16" s="388">
        <v>543</v>
      </c>
      <c r="C16" s="388" t="s">
        <v>408</v>
      </c>
      <c r="M16" s="394" t="str">
        <f>+'Calculo IP ZDF'!I26</f>
        <v>Z68</v>
      </c>
      <c r="O16" s="393">
        <f t="shared" si="0"/>
        <v>30000002129</v>
      </c>
      <c r="P16" s="390">
        <f>ROUND('Calculo IP ZDF'!E26,2)</f>
        <v>230.3</v>
      </c>
      <c r="Q16" s="388" t="s">
        <v>409</v>
      </c>
      <c r="R16" s="388">
        <v>1</v>
      </c>
      <c r="S16" s="388" t="s">
        <v>410</v>
      </c>
      <c r="T16" s="388" t="s">
        <v>411</v>
      </c>
      <c r="U16" s="392" t="str">
        <f t="shared" si="1"/>
        <v>17.03.2020</v>
      </c>
      <c r="V16" s="392" t="str">
        <f t="shared" si="1"/>
        <v>10.04.2020</v>
      </c>
    </row>
    <row r="17" spans="1:22" x14ac:dyDescent="0.25">
      <c r="A17" s="388" t="s">
        <v>412</v>
      </c>
      <c r="B17" s="388">
        <v>543</v>
      </c>
      <c r="C17" s="388" t="s">
        <v>408</v>
      </c>
      <c r="M17" s="394" t="str">
        <f>+'Calculo IP ZDF'!I27</f>
        <v>Z67</v>
      </c>
      <c r="O17" s="393">
        <f t="shared" si="0"/>
        <v>30000002129</v>
      </c>
      <c r="P17" s="390">
        <f>ROUND('Calculo IP ZDF'!E27,2)</f>
        <v>230.3</v>
      </c>
      <c r="Q17" s="388" t="s">
        <v>409</v>
      </c>
      <c r="R17" s="388">
        <v>1</v>
      </c>
      <c r="S17" s="388" t="s">
        <v>410</v>
      </c>
      <c r="T17" s="388" t="s">
        <v>411</v>
      </c>
      <c r="U17" s="392" t="str">
        <f t="shared" si="1"/>
        <v>17.03.2020</v>
      </c>
      <c r="V17" s="392" t="str">
        <f t="shared" si="1"/>
        <v>10.04.2020</v>
      </c>
    </row>
    <row r="18" spans="1:22" x14ac:dyDescent="0.25">
      <c r="A18" s="452" t="s">
        <v>412</v>
      </c>
      <c r="B18" s="452">
        <v>543</v>
      </c>
      <c r="C18" s="452" t="s">
        <v>408</v>
      </c>
      <c r="D18" s="452"/>
      <c r="E18" s="452"/>
      <c r="F18" s="452"/>
      <c r="G18" s="452"/>
      <c r="H18" s="452"/>
      <c r="I18" s="452"/>
      <c r="J18" s="452"/>
      <c r="K18" s="452"/>
      <c r="L18" s="452"/>
      <c r="M18" s="451" t="str">
        <f>+M5</f>
        <v xml:space="preserve">Z64  </v>
      </c>
      <c r="N18" s="452"/>
      <c r="O18" s="453">
        <f t="shared" si="0"/>
        <v>30000002129</v>
      </c>
      <c r="P18" s="413">
        <f>ROUND('Calculo IP ZDF'!E28,2)</f>
        <v>230.3</v>
      </c>
      <c r="Q18" s="452" t="s">
        <v>409</v>
      </c>
      <c r="R18" s="452">
        <v>1</v>
      </c>
      <c r="S18" s="452" t="s">
        <v>410</v>
      </c>
      <c r="T18" s="452" t="s">
        <v>411</v>
      </c>
      <c r="U18" s="455" t="str">
        <f t="shared" si="1"/>
        <v>17.03.2020</v>
      </c>
      <c r="V18" s="455" t="str">
        <f t="shared" si="1"/>
        <v>10.04.2020</v>
      </c>
    </row>
    <row r="19" spans="1:22" x14ac:dyDescent="0.25">
      <c r="A19" s="388" t="s">
        <v>412</v>
      </c>
      <c r="B19" s="388">
        <v>543</v>
      </c>
      <c r="C19" s="388" t="s">
        <v>408</v>
      </c>
      <c r="M19" s="394" t="str">
        <f>+M6</f>
        <v>Z74</v>
      </c>
      <c r="O19" s="393">
        <f t="shared" si="0"/>
        <v>30000002129</v>
      </c>
      <c r="P19" s="390">
        <f>ROUND('Calculo IP ZDF'!E29,2)</f>
        <v>230.3</v>
      </c>
      <c r="Q19" s="388" t="s">
        <v>409</v>
      </c>
      <c r="R19" s="388">
        <v>1</v>
      </c>
      <c r="S19" s="388" t="s">
        <v>410</v>
      </c>
      <c r="T19" s="388" t="s">
        <v>411</v>
      </c>
      <c r="U19" s="392" t="str">
        <f t="shared" si="1"/>
        <v>17.03.2020</v>
      </c>
      <c r="V19" s="392" t="str">
        <f t="shared" si="1"/>
        <v>10.04.2020</v>
      </c>
    </row>
    <row r="20" spans="1:22" x14ac:dyDescent="0.25">
      <c r="A20" s="388" t="s">
        <v>412</v>
      </c>
      <c r="B20" s="388">
        <v>543</v>
      </c>
      <c r="C20" s="388" t="s">
        <v>408</v>
      </c>
      <c r="M20" s="394" t="str">
        <f>+'Calculo IP ZDF'!I30</f>
        <v>Z65</v>
      </c>
      <c r="O20" s="393">
        <f t="shared" si="0"/>
        <v>30000002129</v>
      </c>
      <c r="P20" s="390">
        <f>ROUND('Calculo IP ZDF'!E30,2)</f>
        <v>230.3</v>
      </c>
      <c r="Q20" s="388" t="s">
        <v>409</v>
      </c>
      <c r="R20" s="388">
        <v>1</v>
      </c>
      <c r="S20" s="388" t="s">
        <v>410</v>
      </c>
      <c r="T20" s="388" t="s">
        <v>411</v>
      </c>
      <c r="U20" s="392" t="str">
        <f t="shared" si="1"/>
        <v>17.03.2020</v>
      </c>
      <c r="V20" s="392" t="str">
        <f t="shared" si="1"/>
        <v>10.04.2020</v>
      </c>
    </row>
    <row r="21" spans="1:22" x14ac:dyDescent="0.25">
      <c r="A21" s="388" t="s">
        <v>412</v>
      </c>
      <c r="B21" s="388">
        <v>543</v>
      </c>
      <c r="C21" s="388" t="s">
        <v>408</v>
      </c>
      <c r="M21" s="394" t="str">
        <f>+'Calculo IP ZDF'!I31</f>
        <v>Z69</v>
      </c>
      <c r="O21" s="393">
        <f t="shared" si="0"/>
        <v>30000002129</v>
      </c>
      <c r="P21" s="390">
        <f>ROUND('Calculo IP ZDF'!E31,2)</f>
        <v>230.3</v>
      </c>
      <c r="Q21" s="388" t="s">
        <v>409</v>
      </c>
      <c r="R21" s="388">
        <v>1</v>
      </c>
      <c r="S21" s="388" t="s">
        <v>410</v>
      </c>
      <c r="T21" s="388" t="s">
        <v>411</v>
      </c>
      <c r="U21" s="392" t="str">
        <f t="shared" ref="U21:V37" si="2">+U20</f>
        <v>17.03.2020</v>
      </c>
      <c r="V21" s="392" t="str">
        <f t="shared" si="2"/>
        <v>10.04.2020</v>
      </c>
    </row>
    <row r="22" spans="1:22" x14ac:dyDescent="0.25">
      <c r="A22" s="388" t="s">
        <v>412</v>
      </c>
      <c r="B22" s="388">
        <v>543</v>
      </c>
      <c r="C22" s="388" t="s">
        <v>408</v>
      </c>
      <c r="M22" s="394" t="str">
        <f>+'Calculo IP ZDF'!I33</f>
        <v>Z62</v>
      </c>
      <c r="O22" s="393">
        <f t="shared" si="0"/>
        <v>30000002129</v>
      </c>
      <c r="P22" s="390">
        <f>ROUND('Calculo IP ZDF'!E33,2)</f>
        <v>230.3</v>
      </c>
      <c r="Q22" s="388" t="s">
        <v>409</v>
      </c>
      <c r="R22" s="388">
        <v>1</v>
      </c>
      <c r="S22" s="388" t="s">
        <v>410</v>
      </c>
      <c r="T22" s="388" t="s">
        <v>411</v>
      </c>
      <c r="U22" s="392" t="str">
        <f>+U21</f>
        <v>17.03.2020</v>
      </c>
      <c r="V22" s="392" t="str">
        <f>+V21</f>
        <v>10.04.2020</v>
      </c>
    </row>
    <row r="23" spans="1:22" s="402" customFormat="1" x14ac:dyDescent="0.25">
      <c r="A23" s="402" t="s">
        <v>412</v>
      </c>
      <c r="B23" s="402">
        <v>543</v>
      </c>
      <c r="C23" s="402" t="s">
        <v>408</v>
      </c>
      <c r="M23" s="403" t="str">
        <f>+M22</f>
        <v>Z62</v>
      </c>
      <c r="O23" s="407">
        <f>+O10</f>
        <v>30000009250</v>
      </c>
      <c r="P23" s="408">
        <f>ROUND('Calculo IP ZDF'!E34,2)</f>
        <v>230.3</v>
      </c>
      <c r="Q23" s="402" t="s">
        <v>409</v>
      </c>
      <c r="R23" s="402">
        <v>1</v>
      </c>
      <c r="S23" s="402" t="s">
        <v>410</v>
      </c>
      <c r="T23" s="402" t="s">
        <v>411</v>
      </c>
      <c r="U23" s="406" t="str">
        <f>+U22</f>
        <v>17.03.2020</v>
      </c>
      <c r="V23" s="406" t="str">
        <f>+V22</f>
        <v>10.04.2020</v>
      </c>
    </row>
    <row r="24" spans="1:22" x14ac:dyDescent="0.25">
      <c r="A24" s="388" t="s">
        <v>412</v>
      </c>
      <c r="B24" s="388">
        <v>543</v>
      </c>
      <c r="C24" s="388" t="s">
        <v>408</v>
      </c>
      <c r="M24" s="394" t="str">
        <f>+'Calculo IP ZDF'!I34</f>
        <v>Z60</v>
      </c>
      <c r="O24" s="393">
        <f>+O22</f>
        <v>30000002129</v>
      </c>
      <c r="P24" s="390">
        <f>ROUND('Calculo IP ZDF'!E34,2)</f>
        <v>230.3</v>
      </c>
      <c r="Q24" s="388" t="s">
        <v>409</v>
      </c>
      <c r="R24" s="388">
        <v>1</v>
      </c>
      <c r="S24" s="388" t="s">
        <v>410</v>
      </c>
      <c r="T24" s="388" t="s">
        <v>411</v>
      </c>
      <c r="U24" s="392" t="str">
        <f>+U22</f>
        <v>17.03.2020</v>
      </c>
      <c r="V24" s="392" t="str">
        <f>+V22</f>
        <v>10.04.2020</v>
      </c>
    </row>
    <row r="25" spans="1:22" x14ac:dyDescent="0.25">
      <c r="A25" s="388" t="s">
        <v>412</v>
      </c>
      <c r="B25" s="388">
        <v>543</v>
      </c>
      <c r="C25" s="388" t="s">
        <v>408</v>
      </c>
      <c r="M25" s="394" t="str">
        <f>+'Calculo IP ZDF'!I35</f>
        <v>Z63</v>
      </c>
      <c r="O25" s="393">
        <f t="shared" si="0"/>
        <v>30000002129</v>
      </c>
      <c r="P25" s="390">
        <f>ROUND('Calculo IP ZDF'!E35,2)</f>
        <v>230.3</v>
      </c>
      <c r="Q25" s="388" t="s">
        <v>409</v>
      </c>
      <c r="R25" s="388">
        <v>1</v>
      </c>
      <c r="S25" s="388" t="s">
        <v>410</v>
      </c>
      <c r="T25" s="388" t="s">
        <v>411</v>
      </c>
      <c r="U25" s="392" t="str">
        <f t="shared" si="2"/>
        <v>17.03.2020</v>
      </c>
      <c r="V25" s="392" t="str">
        <f t="shared" si="2"/>
        <v>10.04.2020</v>
      </c>
    </row>
    <row r="26" spans="1:22" x14ac:dyDescent="0.25">
      <c r="A26" s="388" t="s">
        <v>412</v>
      </c>
      <c r="B26" s="388">
        <v>543</v>
      </c>
      <c r="C26" s="388" t="s">
        <v>408</v>
      </c>
      <c r="M26" s="394" t="str">
        <f>+'Calculo IP ZDF'!I36</f>
        <v>Z70</v>
      </c>
      <c r="O26" s="393">
        <f t="shared" si="0"/>
        <v>30000002129</v>
      </c>
      <c r="P26" s="390">
        <f>ROUND('Calculo IP ZDF'!E36,2)</f>
        <v>230.3</v>
      </c>
      <c r="Q26" s="388" t="s">
        <v>409</v>
      </c>
      <c r="R26" s="388">
        <v>1</v>
      </c>
      <c r="S26" s="388" t="s">
        <v>410</v>
      </c>
      <c r="T26" s="388" t="s">
        <v>411</v>
      </c>
      <c r="U26" s="392" t="str">
        <f t="shared" si="2"/>
        <v>17.03.2020</v>
      </c>
      <c r="V26" s="392" t="str">
        <f t="shared" si="2"/>
        <v>10.04.2020</v>
      </c>
    </row>
    <row r="27" spans="1:22" x14ac:dyDescent="0.25">
      <c r="A27" s="388" t="s">
        <v>412</v>
      </c>
      <c r="B27" s="388">
        <v>543</v>
      </c>
      <c r="C27" s="388" t="s">
        <v>408</v>
      </c>
      <c r="M27" s="394" t="str">
        <f>+'Calculo IP ZDF'!I37</f>
        <v>Z75</v>
      </c>
      <c r="O27" s="393">
        <f t="shared" si="0"/>
        <v>30000002129</v>
      </c>
      <c r="P27" s="390">
        <f>ROUND('Calculo IP ZDF'!E37,2)</f>
        <v>230.3</v>
      </c>
      <c r="Q27" s="388" t="s">
        <v>409</v>
      </c>
      <c r="R27" s="388">
        <v>1</v>
      </c>
      <c r="S27" s="388" t="s">
        <v>410</v>
      </c>
      <c r="T27" s="388" t="s">
        <v>411</v>
      </c>
      <c r="U27" s="392" t="str">
        <f t="shared" si="2"/>
        <v>17.03.2020</v>
      </c>
      <c r="V27" s="392" t="str">
        <f t="shared" si="2"/>
        <v>10.04.2020</v>
      </c>
    </row>
    <row r="28" spans="1:22" x14ac:dyDescent="0.25">
      <c r="A28" s="388" t="s">
        <v>413</v>
      </c>
      <c r="B28" s="388">
        <v>543</v>
      </c>
      <c r="C28" s="388" t="s">
        <v>408</v>
      </c>
      <c r="M28" s="394" t="str">
        <f>+'Calculo IP ZDF'!I25</f>
        <v>Z61</v>
      </c>
      <c r="O28" s="388">
        <f>+'Calculo IP ZDF'!B44</f>
        <v>30000000070</v>
      </c>
      <c r="P28" s="390">
        <f>ROUND('Calculo IP ZDF'!B25,2)</f>
        <v>3980</v>
      </c>
      <c r="Q28" s="388" t="s">
        <v>409</v>
      </c>
      <c r="R28" s="388">
        <v>1</v>
      </c>
      <c r="S28" s="388" t="s">
        <v>410</v>
      </c>
      <c r="T28" s="388" t="s">
        <v>411</v>
      </c>
      <c r="U28" s="392" t="str">
        <f t="shared" si="2"/>
        <v>17.03.2020</v>
      </c>
      <c r="V28" s="392" t="str">
        <f t="shared" si="2"/>
        <v>10.04.2020</v>
      </c>
    </row>
    <row r="29" spans="1:22" x14ac:dyDescent="0.25">
      <c r="A29" s="388" t="s">
        <v>413</v>
      </c>
      <c r="B29" s="388">
        <v>543</v>
      </c>
      <c r="C29" s="388" t="s">
        <v>408</v>
      </c>
      <c r="M29" s="394" t="str">
        <f>+'Calculo IP ZDF'!I26</f>
        <v>Z68</v>
      </c>
      <c r="O29" s="388">
        <f>+O28</f>
        <v>30000000070</v>
      </c>
      <c r="P29" s="390">
        <f>ROUND('Calculo IP ZDF'!B26,2)</f>
        <v>3980</v>
      </c>
      <c r="Q29" s="388" t="s">
        <v>409</v>
      </c>
      <c r="R29" s="388">
        <v>1</v>
      </c>
      <c r="S29" s="388" t="s">
        <v>410</v>
      </c>
      <c r="T29" s="388" t="s">
        <v>411</v>
      </c>
      <c r="U29" s="392" t="str">
        <f t="shared" si="2"/>
        <v>17.03.2020</v>
      </c>
      <c r="V29" s="392" t="str">
        <f t="shared" si="2"/>
        <v>10.04.2020</v>
      </c>
    </row>
    <row r="30" spans="1:22" x14ac:dyDescent="0.25">
      <c r="A30" s="388" t="s">
        <v>413</v>
      </c>
      <c r="B30" s="388">
        <v>543</v>
      </c>
      <c r="C30" s="388" t="s">
        <v>408</v>
      </c>
      <c r="M30" s="394" t="str">
        <f>+'Calculo IP ZDF'!I27</f>
        <v>Z67</v>
      </c>
      <c r="O30" s="388">
        <f t="shared" ref="O30:O39" si="3">+O29</f>
        <v>30000000070</v>
      </c>
      <c r="P30" s="390">
        <f>ROUND('Calculo IP ZDF'!B27,2)</f>
        <v>3980</v>
      </c>
      <c r="Q30" s="388" t="s">
        <v>409</v>
      </c>
      <c r="R30" s="388">
        <v>1</v>
      </c>
      <c r="S30" s="388" t="s">
        <v>410</v>
      </c>
      <c r="T30" s="388" t="s">
        <v>411</v>
      </c>
      <c r="U30" s="392" t="str">
        <f t="shared" si="2"/>
        <v>17.03.2020</v>
      </c>
      <c r="V30" s="392" t="str">
        <f t="shared" si="2"/>
        <v>10.04.2020</v>
      </c>
    </row>
    <row r="31" spans="1:22" x14ac:dyDescent="0.25">
      <c r="A31" s="452" t="s">
        <v>413</v>
      </c>
      <c r="B31" s="452">
        <v>543</v>
      </c>
      <c r="C31" s="452" t="s">
        <v>408</v>
      </c>
      <c r="D31" s="452"/>
      <c r="E31" s="452"/>
      <c r="F31" s="452"/>
      <c r="G31" s="452"/>
      <c r="H31" s="452"/>
      <c r="I31" s="452"/>
      <c r="J31" s="452"/>
      <c r="K31" s="452"/>
      <c r="L31" s="452"/>
      <c r="M31" s="451" t="str">
        <f>+M18</f>
        <v xml:space="preserve">Z64  </v>
      </c>
      <c r="N31" s="452"/>
      <c r="O31" s="452">
        <f t="shared" si="3"/>
        <v>30000000070</v>
      </c>
      <c r="P31" s="413">
        <f>ROUND('Calculo IP ZDF'!B28,2)</f>
        <v>3980</v>
      </c>
      <c r="Q31" s="452" t="s">
        <v>409</v>
      </c>
      <c r="R31" s="452">
        <v>1</v>
      </c>
      <c r="S31" s="452" t="s">
        <v>410</v>
      </c>
      <c r="T31" s="452" t="s">
        <v>411</v>
      </c>
      <c r="U31" s="455" t="str">
        <f t="shared" si="2"/>
        <v>17.03.2020</v>
      </c>
      <c r="V31" s="455" t="str">
        <f t="shared" si="2"/>
        <v>10.04.2020</v>
      </c>
    </row>
    <row r="32" spans="1:22" x14ac:dyDescent="0.25">
      <c r="A32" s="388" t="s">
        <v>413</v>
      </c>
      <c r="B32" s="388">
        <v>543</v>
      </c>
      <c r="C32" s="388" t="s">
        <v>408</v>
      </c>
      <c r="M32" s="394" t="str">
        <f>+M19</f>
        <v>Z74</v>
      </c>
      <c r="O32" s="388">
        <f t="shared" si="3"/>
        <v>30000000070</v>
      </c>
      <c r="P32" s="390">
        <f>ROUND('Calculo IP ZDF'!B29,2)</f>
        <v>3980</v>
      </c>
      <c r="Q32" s="388" t="s">
        <v>409</v>
      </c>
      <c r="R32" s="388">
        <v>1</v>
      </c>
      <c r="S32" s="388" t="s">
        <v>410</v>
      </c>
      <c r="T32" s="388" t="s">
        <v>411</v>
      </c>
      <c r="U32" s="392" t="str">
        <f t="shared" si="2"/>
        <v>17.03.2020</v>
      </c>
      <c r="V32" s="392" t="str">
        <f t="shared" si="2"/>
        <v>10.04.2020</v>
      </c>
    </row>
    <row r="33" spans="1:22" x14ac:dyDescent="0.25">
      <c r="A33" s="388" t="s">
        <v>413</v>
      </c>
      <c r="B33" s="388">
        <v>543</v>
      </c>
      <c r="C33" s="388" t="s">
        <v>408</v>
      </c>
      <c r="M33" s="394" t="str">
        <f>+'Calculo IP ZDF'!I30</f>
        <v>Z65</v>
      </c>
      <c r="O33" s="388">
        <f t="shared" si="3"/>
        <v>30000000070</v>
      </c>
      <c r="P33" s="390">
        <f>ROUND('Calculo IP ZDF'!B30,2)</f>
        <v>3980</v>
      </c>
      <c r="Q33" s="388" t="s">
        <v>409</v>
      </c>
      <c r="R33" s="388">
        <v>1</v>
      </c>
      <c r="S33" s="388" t="s">
        <v>410</v>
      </c>
      <c r="T33" s="388" t="s">
        <v>411</v>
      </c>
      <c r="U33" s="392" t="str">
        <f t="shared" si="2"/>
        <v>17.03.2020</v>
      </c>
      <c r="V33" s="392" t="str">
        <f t="shared" si="2"/>
        <v>10.04.2020</v>
      </c>
    </row>
    <row r="34" spans="1:22" x14ac:dyDescent="0.25">
      <c r="A34" s="388" t="s">
        <v>413</v>
      </c>
      <c r="B34" s="388">
        <v>543</v>
      </c>
      <c r="C34" s="388" t="s">
        <v>408</v>
      </c>
      <c r="M34" s="394" t="str">
        <f>+'Calculo IP ZDF'!I31</f>
        <v>Z69</v>
      </c>
      <c r="O34" s="388">
        <f t="shared" si="3"/>
        <v>30000000070</v>
      </c>
      <c r="P34" s="390">
        <f>ROUND('Calculo IP ZDF'!B31,2)</f>
        <v>3980</v>
      </c>
      <c r="Q34" s="388" t="s">
        <v>409</v>
      </c>
      <c r="R34" s="388">
        <v>1</v>
      </c>
      <c r="S34" s="388" t="s">
        <v>410</v>
      </c>
      <c r="T34" s="388" t="s">
        <v>411</v>
      </c>
      <c r="U34" s="392" t="str">
        <f t="shared" si="2"/>
        <v>17.03.2020</v>
      </c>
      <c r="V34" s="392" t="str">
        <f t="shared" si="2"/>
        <v>10.04.2020</v>
      </c>
    </row>
    <row r="35" spans="1:22" x14ac:dyDescent="0.25">
      <c r="A35" s="388" t="s">
        <v>413</v>
      </c>
      <c r="B35" s="388">
        <v>543</v>
      </c>
      <c r="C35" s="388" t="s">
        <v>408</v>
      </c>
      <c r="M35" s="394" t="str">
        <f>+'Calculo IP ZDF'!I33</f>
        <v>Z62</v>
      </c>
      <c r="O35" s="388">
        <f t="shared" si="3"/>
        <v>30000000070</v>
      </c>
      <c r="P35" s="390">
        <f>ROUND('Calculo IP ZDF'!B33,2)</f>
        <v>3980</v>
      </c>
      <c r="Q35" s="388" t="s">
        <v>409</v>
      </c>
      <c r="R35" s="388">
        <v>1</v>
      </c>
      <c r="S35" s="388" t="s">
        <v>410</v>
      </c>
      <c r="T35" s="388" t="s">
        <v>411</v>
      </c>
      <c r="U35" s="392" t="str">
        <f t="shared" si="2"/>
        <v>17.03.2020</v>
      </c>
      <c r="V35" s="392" t="str">
        <f t="shared" si="2"/>
        <v>10.04.2020</v>
      </c>
    </row>
    <row r="36" spans="1:22" x14ac:dyDescent="0.25">
      <c r="A36" s="388" t="s">
        <v>413</v>
      </c>
      <c r="B36" s="388">
        <v>543</v>
      </c>
      <c r="C36" s="388" t="s">
        <v>408</v>
      </c>
      <c r="M36" s="394" t="str">
        <f>+'Calculo IP ZDF'!I34</f>
        <v>Z60</v>
      </c>
      <c r="O36" s="388">
        <f t="shared" si="3"/>
        <v>30000000070</v>
      </c>
      <c r="P36" s="390">
        <f>ROUND('Calculo IP ZDF'!B34,2)</f>
        <v>3980</v>
      </c>
      <c r="Q36" s="388" t="s">
        <v>409</v>
      </c>
      <c r="R36" s="388">
        <v>1</v>
      </c>
      <c r="S36" s="388" t="s">
        <v>410</v>
      </c>
      <c r="T36" s="388" t="s">
        <v>411</v>
      </c>
      <c r="U36" s="392" t="str">
        <f t="shared" si="2"/>
        <v>17.03.2020</v>
      </c>
      <c r="V36" s="392" t="str">
        <f t="shared" si="2"/>
        <v>10.04.2020</v>
      </c>
    </row>
    <row r="37" spans="1:22" x14ac:dyDescent="0.25">
      <c r="A37" s="388" t="s">
        <v>413</v>
      </c>
      <c r="B37" s="388">
        <v>543</v>
      </c>
      <c r="C37" s="388" t="s">
        <v>408</v>
      </c>
      <c r="M37" s="394" t="str">
        <f>+'Calculo IP ZDF'!I35</f>
        <v>Z63</v>
      </c>
      <c r="O37" s="388">
        <f t="shared" si="3"/>
        <v>30000000070</v>
      </c>
      <c r="P37" s="390">
        <f>ROUND('Calculo IP ZDF'!B35,2)</f>
        <v>3980</v>
      </c>
      <c r="Q37" s="388" t="s">
        <v>409</v>
      </c>
      <c r="R37" s="388">
        <v>1</v>
      </c>
      <c r="S37" s="388" t="s">
        <v>410</v>
      </c>
      <c r="T37" s="388" t="s">
        <v>411</v>
      </c>
      <c r="U37" s="392" t="str">
        <f t="shared" si="2"/>
        <v>17.03.2020</v>
      </c>
      <c r="V37" s="392" t="str">
        <f t="shared" si="2"/>
        <v>10.04.2020</v>
      </c>
    </row>
    <row r="38" spans="1:22" x14ac:dyDescent="0.25">
      <c r="A38" s="388" t="s">
        <v>413</v>
      </c>
      <c r="B38" s="388">
        <v>543</v>
      </c>
      <c r="C38" s="388" t="s">
        <v>408</v>
      </c>
      <c r="M38" s="394" t="str">
        <f>+'Calculo IP ZDF'!I36</f>
        <v>Z70</v>
      </c>
      <c r="O38" s="388">
        <f t="shared" si="3"/>
        <v>30000000070</v>
      </c>
      <c r="P38" s="390">
        <f>ROUND('Calculo IP ZDF'!B36,2)</f>
        <v>3980</v>
      </c>
      <c r="Q38" s="388" t="s">
        <v>409</v>
      </c>
      <c r="R38" s="388">
        <v>1</v>
      </c>
      <c r="S38" s="388" t="s">
        <v>410</v>
      </c>
      <c r="T38" s="388" t="s">
        <v>411</v>
      </c>
      <c r="U38" s="392" t="str">
        <f t="shared" ref="U38:V43" si="4">+U37</f>
        <v>17.03.2020</v>
      </c>
      <c r="V38" s="392" t="str">
        <f t="shared" si="4"/>
        <v>10.04.2020</v>
      </c>
    </row>
    <row r="39" spans="1:22" x14ac:dyDescent="0.25">
      <c r="A39" s="388" t="s">
        <v>413</v>
      </c>
      <c r="B39" s="388">
        <v>543</v>
      </c>
      <c r="C39" s="388" t="s">
        <v>408</v>
      </c>
      <c r="M39" s="394" t="str">
        <f>+'Calculo IP ZDF'!I37</f>
        <v>Z75</v>
      </c>
      <c r="O39" s="388">
        <f t="shared" si="3"/>
        <v>30000000070</v>
      </c>
      <c r="P39" s="390">
        <f>ROUND('Calculo IP ZDF'!B37,2)</f>
        <v>3980</v>
      </c>
      <c r="Q39" s="388" t="s">
        <v>409</v>
      </c>
      <c r="R39" s="388">
        <v>1</v>
      </c>
      <c r="S39" s="388" t="s">
        <v>410</v>
      </c>
      <c r="T39" s="388" t="s">
        <v>411</v>
      </c>
      <c r="U39" s="392" t="str">
        <f t="shared" si="4"/>
        <v>17.03.2020</v>
      </c>
      <c r="V39" s="392" t="str">
        <f t="shared" si="4"/>
        <v>10.04.2020</v>
      </c>
    </row>
    <row r="40" spans="1:22" x14ac:dyDescent="0.25">
      <c r="A40" s="388" t="s">
        <v>413</v>
      </c>
      <c r="B40" s="412">
        <v>587</v>
      </c>
      <c r="C40" s="388" t="s">
        <v>408</v>
      </c>
      <c r="F40" s="388">
        <v>3003</v>
      </c>
      <c r="M40" s="394" t="s">
        <v>380</v>
      </c>
      <c r="O40" s="388">
        <v>30000009113</v>
      </c>
      <c r="P40" s="390">
        <f>ROUND(+'Calculo IP ZDF'!B33,2)</f>
        <v>3980</v>
      </c>
      <c r="Q40" s="388" t="s">
        <v>409</v>
      </c>
      <c r="R40" s="388">
        <v>1</v>
      </c>
      <c r="S40" s="388" t="s">
        <v>410</v>
      </c>
      <c r="T40" s="388" t="s">
        <v>411</v>
      </c>
      <c r="U40" s="392" t="str">
        <f t="shared" si="4"/>
        <v>17.03.2020</v>
      </c>
      <c r="V40" s="392" t="str">
        <f t="shared" si="4"/>
        <v>10.04.2020</v>
      </c>
    </row>
    <row r="41" spans="1:22" x14ac:dyDescent="0.25">
      <c r="A41" s="388" t="s">
        <v>435</v>
      </c>
      <c r="B41" s="412">
        <v>587</v>
      </c>
      <c r="C41" s="388" t="s">
        <v>408</v>
      </c>
      <c r="F41" s="388">
        <v>3003</v>
      </c>
      <c r="M41" s="394" t="s">
        <v>380</v>
      </c>
      <c r="O41" s="388">
        <v>30000009113</v>
      </c>
      <c r="P41" s="413">
        <v>8.14</v>
      </c>
      <c r="Q41" s="388" t="s">
        <v>409</v>
      </c>
      <c r="R41" s="388">
        <v>1</v>
      </c>
      <c r="S41" s="388" t="s">
        <v>410</v>
      </c>
      <c r="T41" s="388" t="s">
        <v>411</v>
      </c>
      <c r="U41" s="392" t="str">
        <f t="shared" si="4"/>
        <v>17.03.2020</v>
      </c>
      <c r="V41" s="392" t="str">
        <f t="shared" si="4"/>
        <v>10.04.2020</v>
      </c>
    </row>
    <row r="42" spans="1:22" x14ac:dyDescent="0.25">
      <c r="A42" s="388" t="s">
        <v>413</v>
      </c>
      <c r="B42" s="412">
        <v>587</v>
      </c>
      <c r="C42" s="388" t="s">
        <v>408</v>
      </c>
      <c r="F42" s="388">
        <v>3003</v>
      </c>
      <c r="M42" s="394" t="s">
        <v>380</v>
      </c>
      <c r="O42" s="388">
        <v>30000000003</v>
      </c>
      <c r="P42" s="390">
        <f>ROUND(+'Calculo IP ZDF'!C33,2)</f>
        <v>4496.3599999999997</v>
      </c>
      <c r="Q42" s="388" t="s">
        <v>409</v>
      </c>
      <c r="R42" s="388">
        <v>1</v>
      </c>
      <c r="S42" s="388" t="s">
        <v>410</v>
      </c>
      <c r="T42" s="388" t="s">
        <v>411</v>
      </c>
      <c r="U42" s="392" t="str">
        <f t="shared" si="4"/>
        <v>17.03.2020</v>
      </c>
      <c r="V42" s="392" t="str">
        <f t="shared" si="4"/>
        <v>10.04.2020</v>
      </c>
    </row>
    <row r="43" spans="1:22" x14ac:dyDescent="0.25">
      <c r="A43" s="388" t="s">
        <v>435</v>
      </c>
      <c r="B43" s="412">
        <v>587</v>
      </c>
      <c r="C43" s="388" t="s">
        <v>408</v>
      </c>
      <c r="F43" s="388">
        <v>3003</v>
      </c>
      <c r="M43" s="394" t="s">
        <v>380</v>
      </c>
      <c r="O43" s="388">
        <v>30000000003</v>
      </c>
      <c r="P43" s="413">
        <f>+P41</f>
        <v>8.14</v>
      </c>
      <c r="Q43" s="388" t="s">
        <v>409</v>
      </c>
      <c r="R43" s="388">
        <v>1</v>
      </c>
      <c r="S43" s="388" t="s">
        <v>410</v>
      </c>
      <c r="T43" s="388" t="s">
        <v>411</v>
      </c>
      <c r="U43" s="392" t="str">
        <f t="shared" si="4"/>
        <v>17.03.2020</v>
      </c>
      <c r="V43" s="392" t="str">
        <f t="shared" si="4"/>
        <v>10.04.2020</v>
      </c>
    </row>
    <row r="44" spans="1:22" x14ac:dyDescent="0.25">
      <c r="A44" s="388" t="s">
        <v>407</v>
      </c>
      <c r="B44" s="388">
        <v>543</v>
      </c>
      <c r="C44" s="388" t="s">
        <v>408</v>
      </c>
      <c r="M44" s="451" t="str">
        <f>+'Calculo IP ZDF'!I38</f>
        <v>Z66</v>
      </c>
      <c r="O44" s="388">
        <v>30000002129</v>
      </c>
      <c r="P44" s="390">
        <f>ROUND(+'Calculo IP ZDF'!D38,2)</f>
        <v>4618.07</v>
      </c>
      <c r="Q44" s="388" t="s">
        <v>409</v>
      </c>
      <c r="R44" s="388">
        <v>1</v>
      </c>
      <c r="S44" s="388" t="s">
        <v>410</v>
      </c>
      <c r="T44" s="388" t="s">
        <v>411</v>
      </c>
      <c r="U44" s="392" t="str">
        <f t="shared" ref="U44:V46" si="5">+U43</f>
        <v>17.03.2020</v>
      </c>
      <c r="V44" s="392" t="str">
        <f t="shared" si="5"/>
        <v>10.04.2020</v>
      </c>
    </row>
    <row r="45" spans="1:22" x14ac:dyDescent="0.25">
      <c r="A45" s="388" t="s">
        <v>412</v>
      </c>
      <c r="B45" s="388">
        <v>543</v>
      </c>
      <c r="C45" s="388" t="s">
        <v>408</v>
      </c>
      <c r="M45" s="451" t="str">
        <f>+M44</f>
        <v>Z66</v>
      </c>
      <c r="O45" s="388">
        <v>30000002129</v>
      </c>
      <c r="P45" s="390">
        <f>ROUND(+'Calculo IP ZDF'!E38,2)</f>
        <v>230.3</v>
      </c>
      <c r="Q45" s="388" t="s">
        <v>409</v>
      </c>
      <c r="R45" s="388">
        <v>1</v>
      </c>
      <c r="S45" s="388" t="s">
        <v>410</v>
      </c>
      <c r="T45" s="388" t="s">
        <v>411</v>
      </c>
      <c r="U45" s="392" t="str">
        <f t="shared" si="5"/>
        <v>17.03.2020</v>
      </c>
      <c r="V45" s="392" t="str">
        <f t="shared" si="5"/>
        <v>10.04.2020</v>
      </c>
    </row>
    <row r="46" spans="1:22" x14ac:dyDescent="0.25">
      <c r="A46" s="388" t="s">
        <v>413</v>
      </c>
      <c r="B46" s="388">
        <v>543</v>
      </c>
      <c r="C46" s="388" t="s">
        <v>408</v>
      </c>
      <c r="M46" s="394" t="str">
        <f>+M45</f>
        <v>Z66</v>
      </c>
      <c r="O46" s="388">
        <f>+'Calculo IP ZDF'!B44</f>
        <v>30000000070</v>
      </c>
      <c r="P46" s="390">
        <f>ROUND(+'Calculo IP ZDF'!B38,2)</f>
        <v>3980</v>
      </c>
      <c r="Q46" s="388" t="s">
        <v>409</v>
      </c>
      <c r="R46" s="388">
        <v>1</v>
      </c>
      <c r="S46" s="388" t="s">
        <v>410</v>
      </c>
      <c r="T46" s="388" t="s">
        <v>411</v>
      </c>
      <c r="U46" s="392" t="str">
        <f t="shared" si="5"/>
        <v>17.03.2020</v>
      </c>
      <c r="V46" s="392" t="str">
        <f t="shared" si="5"/>
        <v>10.04.2020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L7" zoomScaleNormal="100" workbookViewId="0">
      <selection activeCell="A47" sqref="A47"/>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3">
        <v>30000000003</v>
      </c>
      <c r="P2" s="389">
        <f>ROUND('Calculo IP ZDF'!C28,2)</f>
        <v>4712.32</v>
      </c>
      <c r="Q2" s="388" t="s">
        <v>409</v>
      </c>
      <c r="R2" s="388">
        <v>1</v>
      </c>
      <c r="S2" s="388" t="s">
        <v>428</v>
      </c>
      <c r="T2" s="388" t="s">
        <v>411</v>
      </c>
      <c r="U2" s="392" t="str">
        <f>+'Calculo IP ZDF'!B40</f>
        <v>17.03.2020</v>
      </c>
      <c r="V2" s="392" t="str">
        <f>+'Calculo IP ZDF'!C40</f>
        <v>10.04.2020</v>
      </c>
    </row>
    <row r="3" spans="1:22" x14ac:dyDescent="0.25">
      <c r="A3" s="388" t="s">
        <v>413</v>
      </c>
      <c r="B3" s="388">
        <v>543</v>
      </c>
      <c r="C3" s="388" t="s">
        <v>427</v>
      </c>
      <c r="M3" s="394" t="s">
        <v>429</v>
      </c>
      <c r="O3" s="433">
        <v>30000000003</v>
      </c>
      <c r="P3" s="389">
        <f>ROUND('Calculo IP ZDF'!C29,2)</f>
        <v>4111.32</v>
      </c>
      <c r="Q3" s="388" t="s">
        <v>409</v>
      </c>
      <c r="R3" s="388">
        <v>1</v>
      </c>
      <c r="S3" s="388" t="s">
        <v>428</v>
      </c>
      <c r="T3" s="388" t="s">
        <v>411</v>
      </c>
      <c r="U3" s="392" t="str">
        <f>+U2</f>
        <v>17.03.2020</v>
      </c>
      <c r="V3" s="392" t="str">
        <f>+V2</f>
        <v>10.04.2020</v>
      </c>
    </row>
    <row r="4" spans="1:22" x14ac:dyDescent="0.25">
      <c r="A4" s="388" t="s">
        <v>413</v>
      </c>
      <c r="B4" s="388">
        <v>543</v>
      </c>
      <c r="C4" s="388" t="s">
        <v>427</v>
      </c>
      <c r="M4" s="394" t="str">
        <f>+'Calculo IP ZDF'!I30</f>
        <v>Z65</v>
      </c>
      <c r="O4" s="433">
        <v>30000000003</v>
      </c>
      <c r="P4" s="389">
        <f>ROUND('Calculo IP ZDF'!C30,2)</f>
        <v>4712.32</v>
      </c>
      <c r="Q4" s="388" t="s">
        <v>409</v>
      </c>
      <c r="R4" s="388">
        <v>1</v>
      </c>
      <c r="S4" s="388" t="s">
        <v>428</v>
      </c>
      <c r="T4" s="388" t="s">
        <v>411</v>
      </c>
      <c r="U4" s="392" t="str">
        <f t="shared" ref="U4:U6" si="0">+U3</f>
        <v>17.03.2020</v>
      </c>
      <c r="V4" s="392" t="str">
        <f t="shared" ref="V4:V6" si="1">+V3</f>
        <v>10.04.2020</v>
      </c>
    </row>
    <row r="5" spans="1:22" x14ac:dyDescent="0.25">
      <c r="A5" s="388" t="s">
        <v>413</v>
      </c>
      <c r="B5" s="388">
        <v>543</v>
      </c>
      <c r="C5" s="388" t="s">
        <v>427</v>
      </c>
      <c r="M5" s="394" t="str">
        <f>+'Calculo IP ZDF'!I32</f>
        <v>Z73</v>
      </c>
      <c r="O5" s="433">
        <v>30000000003</v>
      </c>
      <c r="P5" s="389">
        <f>ROUND('Calculo IP ZDF'!C32,2)</f>
        <v>4430.53</v>
      </c>
      <c r="Q5" s="388" t="s">
        <v>409</v>
      </c>
      <c r="R5" s="388">
        <v>1</v>
      </c>
      <c r="S5" s="388" t="s">
        <v>428</v>
      </c>
      <c r="T5" s="388" t="s">
        <v>411</v>
      </c>
      <c r="U5" s="392" t="str">
        <f t="shared" si="0"/>
        <v>17.03.2020</v>
      </c>
      <c r="V5" s="392" t="str">
        <f t="shared" si="1"/>
        <v>10.04.2020</v>
      </c>
    </row>
    <row r="6" spans="1:22" x14ac:dyDescent="0.25">
      <c r="A6" s="388" t="s">
        <v>413</v>
      </c>
      <c r="B6" s="388">
        <v>543</v>
      </c>
      <c r="C6" s="388" t="s">
        <v>427</v>
      </c>
      <c r="M6" s="394" t="str">
        <f>+'Calculo IP ZDF'!I33</f>
        <v>Z62</v>
      </c>
      <c r="O6" s="433">
        <v>30000000003</v>
      </c>
      <c r="P6" s="389">
        <f>ROUND('Calculo IP ZDF'!C33,2)</f>
        <v>4496.3599999999997</v>
      </c>
      <c r="Q6" s="388" t="s">
        <v>409</v>
      </c>
      <c r="R6" s="388">
        <v>1</v>
      </c>
      <c r="S6" s="388" t="s">
        <v>428</v>
      </c>
      <c r="T6" s="388" t="s">
        <v>411</v>
      </c>
      <c r="U6" s="392" t="str">
        <f t="shared" si="0"/>
        <v>17.03.2020</v>
      </c>
      <c r="V6" s="392" t="str">
        <f t="shared" si="1"/>
        <v>10.04.2020</v>
      </c>
    </row>
    <row r="7" spans="1:22" x14ac:dyDescent="0.25">
      <c r="A7" s="388" t="s">
        <v>413</v>
      </c>
      <c r="B7" s="388">
        <v>543</v>
      </c>
      <c r="C7" s="388" t="s">
        <v>427</v>
      </c>
      <c r="M7" s="394" t="str">
        <f>+M2</f>
        <v xml:space="preserve">Z64  </v>
      </c>
      <c r="O7" s="393">
        <v>30000000070</v>
      </c>
      <c r="P7" s="389">
        <f>ROUND('Calculo IP ZDF'!B28,2)</f>
        <v>3980</v>
      </c>
      <c r="Q7" s="388" t="s">
        <v>409</v>
      </c>
      <c r="R7" s="388">
        <v>1</v>
      </c>
      <c r="S7" s="388" t="s">
        <v>428</v>
      </c>
      <c r="T7" s="388" t="s">
        <v>411</v>
      </c>
      <c r="U7" s="392" t="str">
        <f t="shared" ref="U7:U10" si="2">+U6</f>
        <v>17.03.2020</v>
      </c>
      <c r="V7" s="392" t="str">
        <f t="shared" ref="V7:V21" si="3">+V6</f>
        <v>10.04.2020</v>
      </c>
    </row>
    <row r="8" spans="1:22" x14ac:dyDescent="0.25">
      <c r="A8" s="388" t="s">
        <v>413</v>
      </c>
      <c r="B8" s="388">
        <v>543</v>
      </c>
      <c r="C8" s="388" t="s">
        <v>427</v>
      </c>
      <c r="M8" s="394" t="str">
        <f t="shared" ref="M8:M11" si="4">+M3</f>
        <v>Z51</v>
      </c>
      <c r="O8" s="393">
        <v>30000000070</v>
      </c>
      <c r="P8" s="389">
        <f>ROUND('Calculo IP ZDF'!B29,2)</f>
        <v>3980</v>
      </c>
      <c r="Q8" s="388" t="s">
        <v>409</v>
      </c>
      <c r="R8" s="388">
        <v>1</v>
      </c>
      <c r="S8" s="388" t="s">
        <v>428</v>
      </c>
      <c r="T8" s="388" t="s">
        <v>411</v>
      </c>
      <c r="U8" s="392" t="str">
        <f t="shared" si="2"/>
        <v>17.03.2020</v>
      </c>
      <c r="V8" s="392" t="str">
        <f t="shared" si="3"/>
        <v>10.04.2020</v>
      </c>
    </row>
    <row r="9" spans="1:22" x14ac:dyDescent="0.25">
      <c r="A9" s="388" t="s">
        <v>413</v>
      </c>
      <c r="B9" s="388">
        <v>543</v>
      </c>
      <c r="C9" s="388" t="s">
        <v>427</v>
      </c>
      <c r="M9" s="394" t="str">
        <f t="shared" si="4"/>
        <v>Z65</v>
      </c>
      <c r="O9" s="393">
        <v>30000000070</v>
      </c>
      <c r="P9" s="389">
        <f>ROUND('Calculo IP ZDF'!B30,2)</f>
        <v>3980</v>
      </c>
      <c r="Q9" s="388" t="s">
        <v>409</v>
      </c>
      <c r="R9" s="388">
        <v>1</v>
      </c>
      <c r="S9" s="388" t="s">
        <v>428</v>
      </c>
      <c r="T9" s="388" t="s">
        <v>411</v>
      </c>
      <c r="U9" s="392" t="str">
        <f t="shared" si="2"/>
        <v>17.03.2020</v>
      </c>
      <c r="V9" s="392" t="str">
        <f t="shared" si="3"/>
        <v>10.04.2020</v>
      </c>
    </row>
    <row r="10" spans="1:22" x14ac:dyDescent="0.25">
      <c r="A10" s="388" t="s">
        <v>413</v>
      </c>
      <c r="B10" s="388">
        <v>543</v>
      </c>
      <c r="C10" s="388" t="s">
        <v>427</v>
      </c>
      <c r="M10" s="394" t="str">
        <f t="shared" si="4"/>
        <v>Z73</v>
      </c>
      <c r="O10" s="393">
        <v>30000000070</v>
      </c>
      <c r="P10" s="389">
        <f>ROUND('Calculo IP ZDF'!B32,2)</f>
        <v>3980</v>
      </c>
      <c r="Q10" s="388" t="s">
        <v>409</v>
      </c>
      <c r="R10" s="388">
        <v>1</v>
      </c>
      <c r="S10" s="388" t="s">
        <v>428</v>
      </c>
      <c r="T10" s="388" t="s">
        <v>411</v>
      </c>
      <c r="U10" s="392" t="str">
        <f t="shared" si="2"/>
        <v>17.03.2020</v>
      </c>
      <c r="V10" s="392" t="str">
        <f t="shared" si="3"/>
        <v>10.04.2020</v>
      </c>
    </row>
    <row r="11" spans="1:22" x14ac:dyDescent="0.25">
      <c r="A11" s="388" t="s">
        <v>413</v>
      </c>
      <c r="B11" s="388">
        <v>543</v>
      </c>
      <c r="C11" s="388" t="s">
        <v>427</v>
      </c>
      <c r="M11" s="394" t="str">
        <f t="shared" si="4"/>
        <v>Z62</v>
      </c>
      <c r="O11" s="393">
        <v>30000000070</v>
      </c>
      <c r="P11" s="389">
        <f>ROUND('Calculo IP ZDF'!B33,2)</f>
        <v>3980</v>
      </c>
      <c r="Q11" s="388" t="s">
        <v>409</v>
      </c>
      <c r="R11" s="388">
        <v>1</v>
      </c>
      <c r="S11" s="388" t="s">
        <v>428</v>
      </c>
      <c r="T11" s="388" t="s">
        <v>411</v>
      </c>
      <c r="U11" s="392" t="str">
        <f>+U10</f>
        <v>17.03.2020</v>
      </c>
      <c r="V11" s="392" t="str">
        <f t="shared" si="3"/>
        <v>10.04.2020</v>
      </c>
    </row>
    <row r="12" spans="1:22" x14ac:dyDescent="0.25">
      <c r="A12" s="388" t="s">
        <v>407</v>
      </c>
      <c r="B12" s="388">
        <v>543</v>
      </c>
      <c r="C12" s="388" t="s">
        <v>427</v>
      </c>
      <c r="F12" s="388" t="s">
        <v>174</v>
      </c>
      <c r="M12" s="394" t="str">
        <f t="shared" ref="M12:M21" si="5">+M2</f>
        <v xml:space="preserve">Z64  </v>
      </c>
      <c r="O12" s="407">
        <v>30000002129</v>
      </c>
      <c r="P12" s="389">
        <f>ROUND('Calculo IP ZDF'!D28,2)</f>
        <v>4618.07</v>
      </c>
      <c r="Q12" s="388" t="s">
        <v>409</v>
      </c>
      <c r="R12" s="388">
        <v>1</v>
      </c>
      <c r="S12" s="388" t="s">
        <v>428</v>
      </c>
      <c r="T12" s="388" t="s">
        <v>411</v>
      </c>
      <c r="U12" s="392" t="str">
        <f t="shared" ref="U12:U16" si="6">+U11</f>
        <v>17.03.2020</v>
      </c>
      <c r="V12" s="392" t="str">
        <f t="shared" si="3"/>
        <v>10.04.2020</v>
      </c>
    </row>
    <row r="13" spans="1:22" x14ac:dyDescent="0.25">
      <c r="A13" s="388" t="s">
        <v>407</v>
      </c>
      <c r="B13" s="388">
        <v>543</v>
      </c>
      <c r="C13" s="388" t="s">
        <v>427</v>
      </c>
      <c r="M13" s="394" t="str">
        <f t="shared" si="5"/>
        <v>Z51</v>
      </c>
      <c r="O13" s="407">
        <v>30000002129</v>
      </c>
      <c r="P13" s="389">
        <f>ROUND('Calculo IP ZDF'!D29,2)</f>
        <v>4029.1</v>
      </c>
      <c r="Q13" s="388" t="s">
        <v>409</v>
      </c>
      <c r="R13" s="388">
        <v>1</v>
      </c>
      <c r="S13" s="388" t="s">
        <v>428</v>
      </c>
      <c r="T13" s="388" t="s">
        <v>411</v>
      </c>
      <c r="U13" s="392" t="str">
        <f t="shared" si="6"/>
        <v>17.03.2020</v>
      </c>
      <c r="V13" s="392" t="str">
        <f t="shared" si="3"/>
        <v>10.04.2020</v>
      </c>
    </row>
    <row r="14" spans="1:22" x14ac:dyDescent="0.25">
      <c r="A14" s="388" t="s">
        <v>407</v>
      </c>
      <c r="B14" s="388">
        <v>543</v>
      </c>
      <c r="C14" s="388" t="s">
        <v>427</v>
      </c>
      <c r="M14" s="394" t="str">
        <f t="shared" si="5"/>
        <v>Z65</v>
      </c>
      <c r="O14" s="407">
        <v>30000002129</v>
      </c>
      <c r="P14" s="389">
        <f>ROUND('Calculo IP ZDF'!D30,2)</f>
        <v>4618.07</v>
      </c>
      <c r="Q14" s="388" t="s">
        <v>409</v>
      </c>
      <c r="R14" s="388">
        <v>1</v>
      </c>
      <c r="S14" s="388" t="s">
        <v>428</v>
      </c>
      <c r="T14" s="388" t="s">
        <v>411</v>
      </c>
      <c r="U14" s="392" t="str">
        <f t="shared" si="6"/>
        <v>17.03.2020</v>
      </c>
      <c r="V14" s="392" t="str">
        <f t="shared" si="3"/>
        <v>10.04.2020</v>
      </c>
    </row>
    <row r="15" spans="1:22" x14ac:dyDescent="0.25">
      <c r="A15" s="388" t="s">
        <v>407</v>
      </c>
      <c r="B15" s="388">
        <v>543</v>
      </c>
      <c r="C15" s="388" t="s">
        <v>427</v>
      </c>
      <c r="M15" s="394" t="str">
        <f t="shared" si="5"/>
        <v>Z73</v>
      </c>
      <c r="O15" s="407">
        <v>30000002129</v>
      </c>
      <c r="P15" s="389">
        <f>ROUND('Calculo IP ZDF'!D32,2)</f>
        <v>4341.92</v>
      </c>
      <c r="Q15" s="388" t="s">
        <v>409</v>
      </c>
      <c r="R15" s="388">
        <v>1</v>
      </c>
      <c r="S15" s="388" t="s">
        <v>428</v>
      </c>
      <c r="T15" s="388" t="s">
        <v>411</v>
      </c>
      <c r="U15" s="392" t="str">
        <f t="shared" si="6"/>
        <v>17.03.2020</v>
      </c>
      <c r="V15" s="392" t="str">
        <f t="shared" si="3"/>
        <v>10.04.2020</v>
      </c>
    </row>
    <row r="16" spans="1:22" x14ac:dyDescent="0.25">
      <c r="A16" s="388" t="s">
        <v>407</v>
      </c>
      <c r="B16" s="388">
        <v>543</v>
      </c>
      <c r="C16" s="388" t="s">
        <v>427</v>
      </c>
      <c r="M16" s="394" t="str">
        <f t="shared" si="5"/>
        <v>Z62</v>
      </c>
      <c r="O16" s="407">
        <v>30000002129</v>
      </c>
      <c r="P16" s="389">
        <f>ROUND('Calculo IP ZDF'!D33,2)</f>
        <v>4406.43</v>
      </c>
      <c r="Q16" s="388" t="s">
        <v>409</v>
      </c>
      <c r="R16" s="388">
        <v>1</v>
      </c>
      <c r="S16" s="388" t="s">
        <v>428</v>
      </c>
      <c r="T16" s="388" t="s">
        <v>411</v>
      </c>
      <c r="U16" s="392" t="str">
        <f t="shared" si="6"/>
        <v>17.03.2020</v>
      </c>
      <c r="V16" s="392" t="str">
        <f t="shared" si="3"/>
        <v>10.04.2020</v>
      </c>
    </row>
    <row r="17" spans="1:25" x14ac:dyDescent="0.25">
      <c r="A17" s="388" t="s">
        <v>412</v>
      </c>
      <c r="B17" s="388">
        <v>543</v>
      </c>
      <c r="C17" s="388" t="s">
        <v>427</v>
      </c>
      <c r="F17" s="388" t="s">
        <v>174</v>
      </c>
      <c r="M17" s="394" t="str">
        <f t="shared" si="5"/>
        <v xml:space="preserve">Z64  </v>
      </c>
      <c r="O17" s="407">
        <v>30000002129</v>
      </c>
      <c r="P17" s="389">
        <f>ROUND('Calculo IP ZDF'!E28,2)</f>
        <v>230.3</v>
      </c>
      <c r="Q17" s="388" t="s">
        <v>409</v>
      </c>
      <c r="R17" s="388">
        <v>1</v>
      </c>
      <c r="S17" s="388" t="s">
        <v>428</v>
      </c>
      <c r="T17" s="388" t="s">
        <v>411</v>
      </c>
      <c r="U17" s="392" t="str">
        <f t="shared" ref="U17:U21" si="7">+U16</f>
        <v>17.03.2020</v>
      </c>
      <c r="V17" s="392" t="str">
        <f t="shared" si="3"/>
        <v>10.04.2020</v>
      </c>
    </row>
    <row r="18" spans="1:25" x14ac:dyDescent="0.25">
      <c r="A18" s="388" t="s">
        <v>412</v>
      </c>
      <c r="B18" s="388">
        <v>543</v>
      </c>
      <c r="C18" s="388" t="s">
        <v>427</v>
      </c>
      <c r="M18" s="394" t="str">
        <f t="shared" si="5"/>
        <v>Z51</v>
      </c>
      <c r="O18" s="407">
        <v>30000002129</v>
      </c>
      <c r="P18" s="389">
        <f>ROUND('Calculo IP ZDF'!E29,2)</f>
        <v>230.3</v>
      </c>
      <c r="Q18" s="388" t="s">
        <v>409</v>
      </c>
      <c r="R18" s="388">
        <v>1</v>
      </c>
      <c r="S18" s="388" t="s">
        <v>428</v>
      </c>
      <c r="T18" s="388" t="s">
        <v>411</v>
      </c>
      <c r="U18" s="392" t="str">
        <f t="shared" si="7"/>
        <v>17.03.2020</v>
      </c>
      <c r="V18" s="392" t="str">
        <f t="shared" si="3"/>
        <v>10.04.2020</v>
      </c>
    </row>
    <row r="19" spans="1:25" x14ac:dyDescent="0.25">
      <c r="A19" s="388" t="s">
        <v>412</v>
      </c>
      <c r="B19" s="388">
        <v>543</v>
      </c>
      <c r="C19" s="388" t="s">
        <v>427</v>
      </c>
      <c r="M19" s="394" t="str">
        <f t="shared" si="5"/>
        <v>Z65</v>
      </c>
      <c r="O19" s="407">
        <v>30000002129</v>
      </c>
      <c r="P19" s="389">
        <f>ROUND('Calculo IP ZDF'!E30,2)</f>
        <v>230.3</v>
      </c>
      <c r="Q19" s="388" t="s">
        <v>409</v>
      </c>
      <c r="R19" s="388">
        <v>1</v>
      </c>
      <c r="S19" s="388" t="s">
        <v>428</v>
      </c>
      <c r="T19" s="388" t="s">
        <v>411</v>
      </c>
      <c r="U19" s="392" t="str">
        <f t="shared" si="7"/>
        <v>17.03.2020</v>
      </c>
      <c r="V19" s="392" t="str">
        <f t="shared" si="3"/>
        <v>10.04.2020</v>
      </c>
    </row>
    <row r="20" spans="1:25" x14ac:dyDescent="0.25">
      <c r="A20" s="388" t="s">
        <v>412</v>
      </c>
      <c r="B20" s="388">
        <v>543</v>
      </c>
      <c r="C20" s="388" t="s">
        <v>427</v>
      </c>
      <c r="M20" s="394" t="str">
        <f t="shared" si="5"/>
        <v>Z73</v>
      </c>
      <c r="O20" s="407">
        <v>30000002129</v>
      </c>
      <c r="P20" s="389">
        <f>ROUND('Calculo IP ZDF'!E32,2)</f>
        <v>230.3</v>
      </c>
      <c r="Q20" s="388" t="s">
        <v>409</v>
      </c>
      <c r="R20" s="388">
        <v>1</v>
      </c>
      <c r="S20" s="388" t="s">
        <v>428</v>
      </c>
      <c r="T20" s="388" t="s">
        <v>411</v>
      </c>
      <c r="U20" s="392" t="str">
        <f t="shared" si="7"/>
        <v>17.03.2020</v>
      </c>
      <c r="V20" s="392" t="str">
        <f t="shared" si="3"/>
        <v>10.04.2020</v>
      </c>
    </row>
    <row r="21" spans="1:25" x14ac:dyDescent="0.25">
      <c r="A21" s="388" t="s">
        <v>412</v>
      </c>
      <c r="B21" s="388">
        <v>543</v>
      </c>
      <c r="C21" s="388" t="s">
        <v>427</v>
      </c>
      <c r="M21" s="394" t="str">
        <f t="shared" si="5"/>
        <v>Z62</v>
      </c>
      <c r="O21" s="407">
        <v>30000002129</v>
      </c>
      <c r="P21" s="389">
        <f>ROUND('Calculo IP ZDF'!E33,2)</f>
        <v>230.3</v>
      </c>
      <c r="Q21" s="388" t="s">
        <v>409</v>
      </c>
      <c r="R21" s="388">
        <v>1</v>
      </c>
      <c r="S21" s="388" t="s">
        <v>428</v>
      </c>
      <c r="T21" s="388" t="s">
        <v>411</v>
      </c>
      <c r="U21" s="392" t="str">
        <f t="shared" si="7"/>
        <v>17.03.2020</v>
      </c>
      <c r="V21" s="392" t="str">
        <f t="shared" si="3"/>
        <v>10.04.2020</v>
      </c>
    </row>
    <row r="22" spans="1:25" x14ac:dyDescent="0.25">
      <c r="A22" s="388" t="s">
        <v>413</v>
      </c>
      <c r="B22" s="388">
        <v>549</v>
      </c>
      <c r="C22" s="388" t="s">
        <v>427</v>
      </c>
      <c r="I22" s="388">
        <v>9000014799</v>
      </c>
      <c r="M22" s="394" t="str">
        <f>+M21</f>
        <v>Z62</v>
      </c>
      <c r="O22" s="388">
        <v>30000000003</v>
      </c>
      <c r="P22" s="389">
        <f>ROUND('Calculo IP ZDF'!C33,2)</f>
        <v>4496.3599999999997</v>
      </c>
      <c r="Q22" s="388" t="s">
        <v>409</v>
      </c>
      <c r="R22" s="388">
        <v>1</v>
      </c>
      <c r="S22" s="388" t="s">
        <v>428</v>
      </c>
      <c r="T22" s="388" t="s">
        <v>411</v>
      </c>
      <c r="U22" s="391" t="str">
        <f>+U21</f>
        <v>17.03.2020</v>
      </c>
      <c r="V22" s="391" t="str">
        <f>+V21</f>
        <v>10.04.2020</v>
      </c>
      <c r="W22" s="441" t="s">
        <v>444</v>
      </c>
      <c r="X22" s="442"/>
      <c r="Y22" s="442"/>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10" zoomScale="96" zoomScaleNormal="96" workbookViewId="0">
      <selection activeCell="AA30" sqref="AA30"/>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454</v>
      </c>
      <c r="M1" t="s">
        <v>174</v>
      </c>
    </row>
    <row r="2" spans="1:13" x14ac:dyDescent="0.25">
      <c r="A2" s="478" t="s">
        <v>122</v>
      </c>
      <c r="B2" s="477" t="s">
        <v>121</v>
      </c>
      <c r="C2" s="477"/>
      <c r="G2" t="s">
        <v>174</v>
      </c>
    </row>
    <row r="3" spans="1:13" x14ac:dyDescent="0.25">
      <c r="A3" s="478"/>
      <c r="B3" s="383" t="s">
        <v>120</v>
      </c>
      <c r="C3" s="384" t="s">
        <v>108</v>
      </c>
    </row>
    <row r="4" spans="1:13" x14ac:dyDescent="0.25">
      <c r="A4" s="22" t="s">
        <v>109</v>
      </c>
      <c r="B4" s="24">
        <v>0.995</v>
      </c>
      <c r="C4" s="24">
        <v>0.91410000000000002</v>
      </c>
    </row>
    <row r="5" spans="1:13" x14ac:dyDescent="0.25">
      <c r="A5" s="22" t="s">
        <v>117</v>
      </c>
      <c r="B5" s="24">
        <v>0.995</v>
      </c>
      <c r="C5" s="24">
        <v>0.86750000000000005</v>
      </c>
      <c r="D5" t="s">
        <v>357</v>
      </c>
    </row>
    <row r="6" spans="1:13" x14ac:dyDescent="0.25">
      <c r="A6" s="22" t="s">
        <v>114</v>
      </c>
      <c r="B6" s="24">
        <v>0.995</v>
      </c>
      <c r="C6" s="24">
        <v>0.89370000000000005</v>
      </c>
      <c r="D6" t="s">
        <v>357</v>
      </c>
    </row>
    <row r="7" spans="1:13" x14ac:dyDescent="0.25">
      <c r="A7" s="22" t="s">
        <v>110</v>
      </c>
      <c r="B7" s="24">
        <v>0.995</v>
      </c>
      <c r="C7" s="24">
        <v>0.995</v>
      </c>
      <c r="D7" t="s">
        <v>357</v>
      </c>
    </row>
    <row r="8" spans="1:13" x14ac:dyDescent="0.25">
      <c r="A8" s="22" t="s">
        <v>115</v>
      </c>
      <c r="B8" s="24">
        <v>0.995</v>
      </c>
      <c r="C8" s="24">
        <v>0.86809999999999998</v>
      </c>
      <c r="D8" t="s">
        <v>357</v>
      </c>
    </row>
    <row r="9" spans="1:13" x14ac:dyDescent="0.25">
      <c r="A9" s="22" t="s">
        <v>123</v>
      </c>
      <c r="B9" s="24">
        <v>0.995</v>
      </c>
      <c r="C9" s="24">
        <v>0.995</v>
      </c>
      <c r="D9" t="s">
        <v>357</v>
      </c>
    </row>
    <row r="10" spans="1:13" x14ac:dyDescent="0.25">
      <c r="A10" s="22" t="s">
        <v>118</v>
      </c>
      <c r="B10" s="24">
        <v>0.995</v>
      </c>
      <c r="C10" s="24">
        <v>0.95099999999999996</v>
      </c>
      <c r="D10" t="s">
        <v>357</v>
      </c>
    </row>
    <row r="11" spans="1:13" x14ac:dyDescent="0.25">
      <c r="A11" s="22" t="s">
        <v>113</v>
      </c>
      <c r="B11" s="24">
        <v>0.995</v>
      </c>
      <c r="C11" s="24">
        <v>0.9355</v>
      </c>
      <c r="D11" t="s">
        <v>357</v>
      </c>
    </row>
    <row r="12" spans="1:13" x14ac:dyDescent="0.25">
      <c r="A12" s="22" t="s">
        <v>112</v>
      </c>
      <c r="B12" s="24">
        <v>0.995</v>
      </c>
      <c r="C12" s="24">
        <v>0.94940000000000002</v>
      </c>
      <c r="D12" t="s">
        <v>357</v>
      </c>
      <c r="H12" s="440"/>
    </row>
    <row r="13" spans="1:13" x14ac:dyDescent="0.25">
      <c r="A13" s="22" t="s">
        <v>111</v>
      </c>
      <c r="B13" s="24">
        <v>0.995</v>
      </c>
      <c r="C13" s="24">
        <v>0.93379999999999996</v>
      </c>
      <c r="D13" t="s">
        <v>357</v>
      </c>
    </row>
    <row r="14" spans="1:13" x14ac:dyDescent="0.25">
      <c r="A14" s="22" t="s">
        <v>352</v>
      </c>
      <c r="B14" s="24">
        <v>0.995</v>
      </c>
      <c r="C14" s="24">
        <v>0.94779999999999998</v>
      </c>
      <c r="D14" t="s">
        <v>357</v>
      </c>
    </row>
    <row r="15" spans="1:13" x14ac:dyDescent="0.25">
      <c r="A15" s="22" t="s">
        <v>119</v>
      </c>
      <c r="B15" s="24">
        <v>0.995</v>
      </c>
      <c r="C15" s="24">
        <v>0.995</v>
      </c>
      <c r="D15" t="s">
        <v>357</v>
      </c>
    </row>
    <row r="16" spans="1:13" x14ac:dyDescent="0.25">
      <c r="A16" s="22" t="s">
        <v>116</v>
      </c>
      <c r="B16" s="24">
        <v>0.995</v>
      </c>
      <c r="C16" s="24">
        <v>0.86550000000000005</v>
      </c>
      <c r="D16" t="s">
        <v>357</v>
      </c>
    </row>
    <row r="17" spans="1:14" x14ac:dyDescent="0.25">
      <c r="A17" s="22" t="s">
        <v>367</v>
      </c>
      <c r="B17" s="24">
        <v>0.995</v>
      </c>
      <c r="C17" s="24">
        <v>0.995</v>
      </c>
      <c r="D17" t="s">
        <v>357</v>
      </c>
    </row>
    <row r="20" spans="1:14" x14ac:dyDescent="0.25">
      <c r="A20" s="385" t="s">
        <v>270</v>
      </c>
      <c r="B20" s="385" t="s">
        <v>120</v>
      </c>
      <c r="C20" s="385" t="s">
        <v>269</v>
      </c>
      <c r="D20" s="385" t="s">
        <v>271</v>
      </c>
      <c r="E20" s="385" t="s">
        <v>272</v>
      </c>
      <c r="F20" s="379"/>
    </row>
    <row r="21" spans="1:14" x14ac:dyDescent="0.25">
      <c r="A21" s="22" t="s">
        <v>371</v>
      </c>
      <c r="B21" s="382">
        <f>+COMBUSTIBLES!B7</f>
        <v>4000</v>
      </c>
      <c r="C21" s="435">
        <f>+COMBUSTIBLES!E7</f>
        <v>4736</v>
      </c>
      <c r="D21" s="382">
        <f>+BIODIESEL!B6</f>
        <v>11515.16</v>
      </c>
      <c r="E21" s="382">
        <f>+'GAS CTE'!B6</f>
        <v>8717.01</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445</v>
      </c>
      <c r="I24" s="410" t="s">
        <v>424</v>
      </c>
    </row>
    <row r="25" spans="1:14" x14ac:dyDescent="0.25">
      <c r="A25" s="212" t="s">
        <v>109</v>
      </c>
      <c r="B25" s="450">
        <f t="shared" ref="B25:C38" si="0">+B$21*B4</f>
        <v>3980</v>
      </c>
      <c r="C25" s="212">
        <f t="shared" si="0"/>
        <v>4329.1776</v>
      </c>
      <c r="D25" s="212">
        <f>+C25*0.98</f>
        <v>4242.5940479999999</v>
      </c>
      <c r="E25" s="212">
        <f>+D$21*0.02</f>
        <v>230.3032</v>
      </c>
      <c r="F25" s="450">
        <f>+D25+E25</f>
        <v>4472.8972480000002</v>
      </c>
      <c r="G25" s="232">
        <f>(B25*90%)+('GAS CTE'!D$8)</f>
        <v>4453.7</v>
      </c>
      <c r="H25" s="232">
        <f>(C25*90%)+(BIODIESEL!G$8)</f>
        <v>5047.7798400000001</v>
      </c>
      <c r="I25" s="409" t="s">
        <v>375</v>
      </c>
    </row>
    <row r="26" spans="1:14" x14ac:dyDescent="0.25">
      <c r="A26" s="212" t="s">
        <v>117</v>
      </c>
      <c r="B26" s="450">
        <f t="shared" si="0"/>
        <v>3980</v>
      </c>
      <c r="C26" s="212">
        <f t="shared" si="0"/>
        <v>4108.4800000000005</v>
      </c>
      <c r="D26" s="212">
        <f t="shared" ref="D26:D38" si="1">+C26*0.98</f>
        <v>4026.3104000000003</v>
      </c>
      <c r="E26" s="212">
        <f t="shared" ref="E26:E38" si="2">+D$21*0.02</f>
        <v>230.3032</v>
      </c>
      <c r="F26" s="450">
        <f t="shared" ref="F26:F38" si="3">+D26+E26</f>
        <v>4256.6136000000006</v>
      </c>
      <c r="G26" s="232">
        <f>(B26*90%)+('GAS CTE'!D$8)</f>
        <v>4453.7</v>
      </c>
      <c r="H26" s="232">
        <f>(C26*90%)+(BIODIESEL!G$8)</f>
        <v>4849.152</v>
      </c>
      <c r="I26" s="409" t="s">
        <v>376</v>
      </c>
    </row>
    <row r="27" spans="1:14" x14ac:dyDescent="0.25">
      <c r="A27" s="212" t="s">
        <v>114</v>
      </c>
      <c r="B27" s="450">
        <f t="shared" si="0"/>
        <v>3980</v>
      </c>
      <c r="C27" s="212">
        <f t="shared" si="0"/>
        <v>4232.5632000000005</v>
      </c>
      <c r="D27" s="212">
        <f t="shared" si="1"/>
        <v>4147.9119360000004</v>
      </c>
      <c r="E27" s="212">
        <f t="shared" si="2"/>
        <v>230.3032</v>
      </c>
      <c r="F27" s="450">
        <f t="shared" si="3"/>
        <v>4378.2151360000007</v>
      </c>
      <c r="G27" s="232">
        <f>(B27*90%)+('GAS CTE'!D$8)</f>
        <v>4453.7</v>
      </c>
      <c r="H27" s="232">
        <f>(C27*90%)+(BIODIESEL!G$8)</f>
        <v>4960.8268800000005</v>
      </c>
      <c r="I27" s="409" t="s">
        <v>377</v>
      </c>
    </row>
    <row r="28" spans="1:14" x14ac:dyDescent="0.25">
      <c r="A28" s="212" t="s">
        <v>110</v>
      </c>
      <c r="B28" s="450">
        <f t="shared" si="0"/>
        <v>3980</v>
      </c>
      <c r="C28" s="212">
        <f t="shared" si="0"/>
        <v>4712.32</v>
      </c>
      <c r="D28" s="212">
        <f t="shared" si="1"/>
        <v>4618.0735999999997</v>
      </c>
      <c r="E28" s="212">
        <f t="shared" si="2"/>
        <v>230.3032</v>
      </c>
      <c r="F28" s="450">
        <f t="shared" si="3"/>
        <v>4848.3768</v>
      </c>
      <c r="G28" s="232">
        <f>(B28*90%)+('GAS CTE'!D$8)</f>
        <v>4453.7</v>
      </c>
      <c r="H28" s="232">
        <f>(C28*90%)+(BIODIESEL!G$8)</f>
        <v>5392.6080000000002</v>
      </c>
      <c r="I28" s="409" t="s">
        <v>430</v>
      </c>
    </row>
    <row r="29" spans="1:14" x14ac:dyDescent="0.25">
      <c r="A29" s="212" t="s">
        <v>115</v>
      </c>
      <c r="B29" s="450">
        <f t="shared" si="0"/>
        <v>3980</v>
      </c>
      <c r="C29" s="212">
        <f t="shared" si="0"/>
        <v>4111.3216000000002</v>
      </c>
      <c r="D29" s="212">
        <f t="shared" si="1"/>
        <v>4029.0951680000003</v>
      </c>
      <c r="E29" s="212">
        <f t="shared" si="2"/>
        <v>230.3032</v>
      </c>
      <c r="F29" s="450">
        <f t="shared" si="3"/>
        <v>4259.3983680000001</v>
      </c>
      <c r="G29" s="232">
        <f>(B29*90%)+('GAS CTE'!D$8)</f>
        <v>4453.7</v>
      </c>
      <c r="H29" s="232">
        <f>(C29*90%)+(BIODIESEL!G$8)</f>
        <v>4851.7094400000005</v>
      </c>
      <c r="I29" s="409" t="s">
        <v>450</v>
      </c>
    </row>
    <row r="30" spans="1:14" x14ac:dyDescent="0.25">
      <c r="A30" s="212" t="s">
        <v>123</v>
      </c>
      <c r="B30" s="450">
        <f t="shared" si="0"/>
        <v>3980</v>
      </c>
      <c r="C30" s="212">
        <f t="shared" si="0"/>
        <v>4712.32</v>
      </c>
      <c r="D30" s="212">
        <f t="shared" si="1"/>
        <v>4618.0735999999997</v>
      </c>
      <c r="E30" s="212">
        <f t="shared" si="2"/>
        <v>230.3032</v>
      </c>
      <c r="F30" s="450">
        <f t="shared" si="3"/>
        <v>4848.3768</v>
      </c>
      <c r="G30" s="232">
        <f>(B30*90%)+('GAS CTE'!D$8)</f>
        <v>4453.7</v>
      </c>
      <c r="H30" s="232">
        <f>(C30*90%)+(BIODIESEL!G$8)</f>
        <v>5392.6080000000002</v>
      </c>
      <c r="I30" s="409" t="s">
        <v>378</v>
      </c>
    </row>
    <row r="31" spans="1:14" x14ac:dyDescent="0.25">
      <c r="A31" s="212" t="s">
        <v>118</v>
      </c>
      <c r="B31" s="450">
        <f t="shared" si="0"/>
        <v>3980</v>
      </c>
      <c r="C31" s="212">
        <f t="shared" si="0"/>
        <v>4503.9359999999997</v>
      </c>
      <c r="D31" s="212">
        <f t="shared" si="1"/>
        <v>4413.8572799999993</v>
      </c>
      <c r="E31" s="212">
        <f t="shared" si="2"/>
        <v>230.3032</v>
      </c>
      <c r="F31" s="450">
        <f>+D31+E31</f>
        <v>4644.1604799999996</v>
      </c>
      <c r="G31" s="232">
        <f>(B31*90%)+('GAS CTE'!D$8)</f>
        <v>4453.7</v>
      </c>
      <c r="H31" s="232">
        <f>(C31*90%)+(BIODIESEL!G$8)</f>
        <v>5205.0623999999998</v>
      </c>
      <c r="I31" s="409" t="s">
        <v>379</v>
      </c>
    </row>
    <row r="32" spans="1:14" x14ac:dyDescent="0.25">
      <c r="A32" s="212" t="s">
        <v>113</v>
      </c>
      <c r="B32" s="450">
        <f t="shared" si="0"/>
        <v>3980</v>
      </c>
      <c r="C32" s="212">
        <f t="shared" si="0"/>
        <v>4430.5280000000002</v>
      </c>
      <c r="D32" s="212">
        <f t="shared" si="1"/>
        <v>4341.9174400000002</v>
      </c>
      <c r="E32" s="212">
        <f t="shared" si="2"/>
        <v>230.3032</v>
      </c>
      <c r="F32" s="450">
        <f t="shared" si="3"/>
        <v>4572.2206400000005</v>
      </c>
      <c r="G32" s="232">
        <f>(B32*90%)+('GAS CTE'!D$8)</f>
        <v>4453.7</v>
      </c>
      <c r="H32" s="232">
        <f>(C32*90%)+(BIODIESEL!G$8)</f>
        <v>5138.9952000000003</v>
      </c>
      <c r="I32" s="409" t="s">
        <v>423</v>
      </c>
    </row>
    <row r="33" spans="1:14" x14ac:dyDescent="0.25">
      <c r="A33" s="212" t="s">
        <v>112</v>
      </c>
      <c r="B33" s="450">
        <f t="shared" si="0"/>
        <v>3980</v>
      </c>
      <c r="C33" s="212">
        <f>+C$21*C12</f>
        <v>4496.3584000000001</v>
      </c>
      <c r="D33" s="212">
        <f t="shared" si="1"/>
        <v>4406.4312319999999</v>
      </c>
      <c r="E33" s="212">
        <f t="shared" si="2"/>
        <v>230.3032</v>
      </c>
      <c r="F33" s="450">
        <f t="shared" si="3"/>
        <v>4636.7344320000002</v>
      </c>
      <c r="G33" s="232">
        <f>(B33*90%)+('GAS CTE'!D$8)</f>
        <v>4453.7</v>
      </c>
      <c r="H33" s="232">
        <f>(C33*90%)+(BIODIESEL!G$8)</f>
        <v>5198.2425600000006</v>
      </c>
      <c r="I33" s="409" t="s">
        <v>380</v>
      </c>
    </row>
    <row r="34" spans="1:14" x14ac:dyDescent="0.25">
      <c r="A34" s="212" t="s">
        <v>111</v>
      </c>
      <c r="B34" s="450">
        <f t="shared" si="0"/>
        <v>3980</v>
      </c>
      <c r="C34" s="212">
        <f t="shared" si="0"/>
        <v>4422.4767999999995</v>
      </c>
      <c r="D34" s="212">
        <f t="shared" si="1"/>
        <v>4334.0272639999994</v>
      </c>
      <c r="E34" s="212">
        <f t="shared" si="2"/>
        <v>230.3032</v>
      </c>
      <c r="F34" s="450">
        <f t="shared" si="3"/>
        <v>4564.3304639999997</v>
      </c>
      <c r="G34" s="232">
        <f>(B34*90%)+('GAS CTE'!D$8)</f>
        <v>4453.7</v>
      </c>
      <c r="H34" s="232">
        <f>(C34*90%)+(BIODIESEL!G$8)</f>
        <v>5131.7491199999995</v>
      </c>
      <c r="I34" s="409" t="s">
        <v>381</v>
      </c>
    </row>
    <row r="35" spans="1:14" x14ac:dyDescent="0.25">
      <c r="A35" s="212" t="s">
        <v>352</v>
      </c>
      <c r="B35" s="450">
        <f t="shared" si="0"/>
        <v>3980</v>
      </c>
      <c r="C35" s="212">
        <f t="shared" si="0"/>
        <v>4488.7807999999995</v>
      </c>
      <c r="D35" s="212">
        <f t="shared" si="1"/>
        <v>4399.0051839999996</v>
      </c>
      <c r="E35" s="212">
        <f t="shared" si="2"/>
        <v>230.3032</v>
      </c>
      <c r="F35" s="450">
        <f t="shared" si="3"/>
        <v>4629.3083839999999</v>
      </c>
      <c r="G35" s="232">
        <f>(B35*90%)+('GAS CTE'!D$8)</f>
        <v>4453.7</v>
      </c>
      <c r="H35" s="232">
        <f>(C35*90%)+(BIODIESEL!G$8)</f>
        <v>5191.4227199999996</v>
      </c>
      <c r="I35" s="409" t="s">
        <v>382</v>
      </c>
    </row>
    <row r="36" spans="1:14" x14ac:dyDescent="0.25">
      <c r="A36" s="212" t="s">
        <v>119</v>
      </c>
      <c r="B36" s="450">
        <f t="shared" si="0"/>
        <v>3980</v>
      </c>
      <c r="C36" s="212">
        <f t="shared" si="0"/>
        <v>4712.32</v>
      </c>
      <c r="D36" s="212">
        <f t="shared" si="1"/>
        <v>4618.0735999999997</v>
      </c>
      <c r="E36" s="212">
        <f t="shared" si="2"/>
        <v>230.3032</v>
      </c>
      <c r="F36" s="450">
        <f t="shared" si="3"/>
        <v>4848.3768</v>
      </c>
      <c r="G36" s="232">
        <f>(B36*90%)+('GAS CTE'!D$8)</f>
        <v>4453.7</v>
      </c>
      <c r="H36" s="232">
        <f>(C36*90%)+(BIODIESEL!G$8)</f>
        <v>5392.6080000000002</v>
      </c>
      <c r="I36" s="409" t="s">
        <v>384</v>
      </c>
    </row>
    <row r="37" spans="1:14" ht="15.75" customHeight="1" x14ac:dyDescent="0.25">
      <c r="A37" s="212" t="s">
        <v>433</v>
      </c>
      <c r="B37" s="450">
        <f t="shared" si="0"/>
        <v>3980</v>
      </c>
      <c r="C37" s="212">
        <f t="shared" si="0"/>
        <v>4099.0079999999998</v>
      </c>
      <c r="D37" s="212">
        <f t="shared" si="1"/>
        <v>4017.0278399999997</v>
      </c>
      <c r="E37" s="212">
        <f t="shared" si="2"/>
        <v>230.3032</v>
      </c>
      <c r="F37" s="450">
        <f t="shared" si="3"/>
        <v>4247.33104</v>
      </c>
      <c r="G37" s="232">
        <f>(B37*90%)+('GAS CTE'!D$8)</f>
        <v>4453.7</v>
      </c>
      <c r="H37" s="232">
        <f>(C37*90%)+(BIODIESEL!G$8)</f>
        <v>4840.6271999999999</v>
      </c>
      <c r="I37" s="409" t="s">
        <v>449</v>
      </c>
      <c r="N37" t="s">
        <v>174</v>
      </c>
    </row>
    <row r="38" spans="1:14" ht="15.75" customHeight="1" x14ac:dyDescent="0.25">
      <c r="A38" s="212" t="s">
        <v>432</v>
      </c>
      <c r="B38" s="450">
        <f t="shared" si="0"/>
        <v>3980</v>
      </c>
      <c r="C38" s="212">
        <f t="shared" si="0"/>
        <v>4712.32</v>
      </c>
      <c r="D38" s="212">
        <f t="shared" si="1"/>
        <v>4618.0735999999997</v>
      </c>
      <c r="E38" s="212">
        <f t="shared" si="2"/>
        <v>230.3032</v>
      </c>
      <c r="F38" s="450">
        <f t="shared" si="3"/>
        <v>4848.3768</v>
      </c>
      <c r="G38" s="232">
        <f>(B38*90%)+('GAS CTE'!D$8)</f>
        <v>4453.7</v>
      </c>
      <c r="H38" s="232">
        <f>(C38*90%)+(BIODIESEL!G$8)</f>
        <v>5392.6080000000002</v>
      </c>
      <c r="I38" s="409" t="s">
        <v>383</v>
      </c>
    </row>
    <row r="40" spans="1:14" x14ac:dyDescent="0.25">
      <c r="A40" s="397" t="s">
        <v>419</v>
      </c>
      <c r="B40" s="398" t="s">
        <v>455</v>
      </c>
      <c r="C40" s="398" t="s">
        <v>456</v>
      </c>
    </row>
    <row r="42" spans="1:14" x14ac:dyDescent="0.25">
      <c r="A42" s="411" t="s">
        <v>416</v>
      </c>
      <c r="B42" s="411" t="s">
        <v>414</v>
      </c>
      <c r="C42" s="411" t="s">
        <v>415</v>
      </c>
      <c r="D42" t="s">
        <v>174</v>
      </c>
    </row>
    <row r="43" spans="1:14" x14ac:dyDescent="0.25">
      <c r="A43" s="395" t="s">
        <v>417</v>
      </c>
      <c r="B43" s="396">
        <v>30000002129</v>
      </c>
      <c r="C43" s="22"/>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r:id="rId5">
            <anchor moveWithCells="1" sizeWithCells="1">
              <from>
                <xdr:col>3</xdr:col>
                <xdr:colOff>657225</xdr:colOff>
                <xdr:row>4</xdr:row>
                <xdr:rowOff>85725</xdr:rowOff>
              </from>
              <to>
                <xdr:col>5</xdr:col>
                <xdr:colOff>104775</xdr:colOff>
                <xdr:row>7</xdr:row>
                <xdr:rowOff>142875</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F7" sqref="F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81" t="str">
        <f>CONCATENATE("ESTRUCTURAS DE PRECIOS DE COMBUSTIBLES LIQUIDOS VIGENTES A PARTIR DE ",$A$1)</f>
        <v>ESTRUCTURAS DE PRECIOS DE COMBUSTIBLES LIQUIDOS VIGENTES A PARTIR DE 1 DE JUNIO 2019</v>
      </c>
      <c r="B2" s="482"/>
      <c r="C2" s="482"/>
      <c r="D2" s="482"/>
      <c r="E2" s="482"/>
      <c r="F2" s="483"/>
    </row>
    <row r="3" spans="1:9" s="52" customFormat="1" ht="21.75" customHeight="1" x14ac:dyDescent="0.25">
      <c r="A3" s="53" t="s">
        <v>124</v>
      </c>
      <c r="B3" s="54"/>
      <c r="C3" s="54"/>
      <c r="D3" s="54"/>
      <c r="E3" s="54"/>
      <c r="F3" s="55"/>
    </row>
    <row r="4" spans="1:9" s="57" customFormat="1" ht="24" customHeight="1" x14ac:dyDescent="0.25">
      <c r="A4" s="484" t="s">
        <v>125</v>
      </c>
      <c r="B4" s="486" t="s">
        <v>97</v>
      </c>
      <c r="C4" s="488" t="s">
        <v>126</v>
      </c>
      <c r="D4" s="489"/>
      <c r="E4" s="486" t="s">
        <v>127</v>
      </c>
      <c r="F4" s="56" t="s">
        <v>128</v>
      </c>
    </row>
    <row r="5" spans="1:9" s="57" customFormat="1" ht="24" customHeight="1" x14ac:dyDescent="0.25">
      <c r="A5" s="484"/>
      <c r="B5" s="487"/>
      <c r="C5" s="58" t="s">
        <v>129</v>
      </c>
      <c r="D5" s="58" t="s">
        <v>130</v>
      </c>
      <c r="E5" s="487"/>
      <c r="F5" s="59" t="s">
        <v>131</v>
      </c>
    </row>
    <row r="6" spans="1:9" s="57" customFormat="1" ht="24" customHeight="1" thickBot="1" x14ac:dyDescent="0.3">
      <c r="A6" s="485"/>
      <c r="B6" s="60" t="s">
        <v>434</v>
      </c>
      <c r="C6" s="61" t="s">
        <v>434</v>
      </c>
      <c r="D6" s="60" t="s">
        <v>434</v>
      </c>
      <c r="E6" s="60" t="s">
        <v>434</v>
      </c>
      <c r="F6" s="62" t="s">
        <v>434</v>
      </c>
    </row>
    <row r="7" spans="1:9" ht="22.5" customHeight="1" thickTop="1" x14ac:dyDescent="0.25">
      <c r="A7" s="63" t="s">
        <v>132</v>
      </c>
      <c r="B7" s="64">
        <v>4000</v>
      </c>
      <c r="C7" s="64">
        <v>7270.2889821668068</v>
      </c>
      <c r="D7" s="65">
        <v>7270.2889821668068</v>
      </c>
      <c r="E7" s="434">
        <v>4736</v>
      </c>
      <c r="F7" s="66">
        <v>7350</v>
      </c>
      <c r="G7" s="67">
        <v>7511.92</v>
      </c>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1036.78</v>
      </c>
      <c r="D11" s="74">
        <v>1036.78</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79"/>
      <c r="B22" s="480"/>
      <c r="C22" s="480"/>
      <c r="D22" s="480"/>
      <c r="E22" s="480"/>
      <c r="F22" s="480"/>
    </row>
    <row r="23" spans="1:7" s="87" customFormat="1" ht="30" customHeight="1" x14ac:dyDescent="0.25">
      <c r="A23" s="491" t="s">
        <v>153</v>
      </c>
      <c r="B23" s="491"/>
      <c r="C23" s="491"/>
      <c r="D23" s="491"/>
      <c r="E23" s="491"/>
      <c r="F23" s="491"/>
    </row>
    <row r="24" spans="1:7" s="87" customFormat="1" ht="11.25" customHeight="1" x14ac:dyDescent="0.25">
      <c r="A24" s="88"/>
      <c r="B24" s="88"/>
      <c r="C24" s="88"/>
      <c r="D24" s="88"/>
      <c r="E24" s="88"/>
      <c r="F24" s="88"/>
    </row>
    <row r="25" spans="1:7" s="87" customFormat="1" ht="31.5" customHeight="1" x14ac:dyDescent="0.25">
      <c r="A25" s="491" t="s">
        <v>154</v>
      </c>
      <c r="B25" s="491"/>
      <c r="C25" s="491"/>
      <c r="D25" s="491"/>
      <c r="E25" s="491"/>
      <c r="F25" s="491"/>
    </row>
    <row r="26" spans="1:7" s="87" customFormat="1" ht="7.5" customHeight="1" x14ac:dyDescent="0.25">
      <c r="A26" s="89"/>
      <c r="B26" s="90"/>
      <c r="C26" s="90"/>
      <c r="D26" s="90"/>
      <c r="E26" s="90"/>
      <c r="F26" s="90"/>
    </row>
    <row r="27" spans="1:7" ht="43.5" customHeight="1" x14ac:dyDescent="0.25">
      <c r="A27" s="492" t="s">
        <v>155</v>
      </c>
      <c r="B27" s="492"/>
      <c r="C27" s="492"/>
      <c r="D27" s="492"/>
      <c r="E27" s="492"/>
      <c r="F27" s="492"/>
    </row>
    <row r="28" spans="1:7" s="92" customFormat="1" ht="8.25" customHeight="1" x14ac:dyDescent="0.25">
      <c r="A28" s="91"/>
      <c r="B28" s="91"/>
      <c r="C28" s="91"/>
      <c r="D28" s="91"/>
      <c r="E28" s="91"/>
      <c r="F28" s="91"/>
    </row>
    <row r="29" spans="1:7" ht="18" customHeight="1" x14ac:dyDescent="0.25">
      <c r="A29" s="491" t="s">
        <v>156</v>
      </c>
      <c r="B29" s="491"/>
      <c r="C29" s="491"/>
      <c r="D29" s="491"/>
      <c r="E29" s="491"/>
      <c r="F29" s="491"/>
    </row>
    <row r="30" spans="1:7" ht="7.5" customHeight="1" x14ac:dyDescent="0.25">
      <c r="A30" s="479"/>
      <c r="B30" s="480"/>
      <c r="C30" s="480"/>
      <c r="D30" s="480"/>
      <c r="E30" s="480"/>
      <c r="F30" s="480"/>
    </row>
    <row r="31" spans="1:7" ht="29.25" customHeight="1" x14ac:dyDescent="0.25">
      <c r="A31" s="491" t="s">
        <v>157</v>
      </c>
      <c r="B31" s="491"/>
      <c r="C31" s="491"/>
      <c r="D31" s="491"/>
      <c r="E31" s="491"/>
      <c r="F31" s="491"/>
    </row>
    <row r="32" spans="1:7" s="93" customFormat="1" ht="18" customHeight="1" x14ac:dyDescent="0.25">
      <c r="A32" s="491" t="s">
        <v>158</v>
      </c>
      <c r="B32" s="491"/>
      <c r="C32" s="491"/>
      <c r="D32" s="491"/>
      <c r="E32" s="491"/>
      <c r="F32" s="491"/>
    </row>
    <row r="33" spans="1:6" s="93" customFormat="1" x14ac:dyDescent="0.25">
      <c r="A33" s="491" t="s">
        <v>159</v>
      </c>
      <c r="B33" s="491"/>
      <c r="C33" s="491"/>
      <c r="D33" s="491"/>
      <c r="E33" s="491"/>
      <c r="F33" s="491"/>
    </row>
    <row r="34" spans="1:6" s="93" customFormat="1" x14ac:dyDescent="0.25">
      <c r="A34" s="88"/>
      <c r="B34" s="88"/>
      <c r="C34" s="88"/>
      <c r="D34" s="88"/>
      <c r="E34" s="88"/>
      <c r="F34" s="88"/>
    </row>
    <row r="35" spans="1:6" s="93" customFormat="1" x14ac:dyDescent="0.25">
      <c r="A35" s="491" t="s">
        <v>160</v>
      </c>
      <c r="B35" s="491"/>
      <c r="C35" s="491"/>
      <c r="D35" s="491"/>
      <c r="E35" s="491"/>
      <c r="F35" s="491"/>
    </row>
    <row r="36" spans="1:6" s="93" customFormat="1" ht="14.25" customHeight="1" x14ac:dyDescent="0.25">
      <c r="A36" s="491" t="s">
        <v>161</v>
      </c>
      <c r="B36" s="491"/>
      <c r="C36" s="491"/>
      <c r="D36" s="491"/>
      <c r="E36" s="491"/>
      <c r="F36" s="491"/>
    </row>
    <row r="37" spans="1:6" s="93" customFormat="1" x14ac:dyDescent="0.25">
      <c r="A37" s="491" t="s">
        <v>162</v>
      </c>
      <c r="B37" s="491"/>
      <c r="C37" s="491"/>
      <c r="D37" s="491"/>
      <c r="E37" s="491"/>
      <c r="F37" s="491"/>
    </row>
    <row r="38" spans="1:6" s="93" customFormat="1" ht="90" customHeight="1" x14ac:dyDescent="0.25">
      <c r="A38" s="490" t="s">
        <v>163</v>
      </c>
      <c r="B38" s="490"/>
      <c r="C38" s="490"/>
      <c r="D38" s="490"/>
      <c r="E38" s="490"/>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F7" sqref="F7"/>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96" t="str">
        <f>CONCATENATE("ESTRUCTURAS DE PRECIOS PARA GASOLINA MOTOR CORRIENTE OXIGENADA VIGENTES A PARTIR DE ",'[5]COMBUSTIBLES '!$A$1)</f>
        <v>ESTRUCTURAS DE PRECIOS PARA GASOLINA MOTOR CORRIENTE OXIGENADA VIGENTES A PARTIR DE 1 DE ABRIL 2019</v>
      </c>
      <c r="B1" s="497"/>
      <c r="C1" s="497"/>
      <c r="D1" s="497"/>
      <c r="E1" s="96"/>
    </row>
    <row r="2" spans="1:6" ht="18" x14ac:dyDescent="0.25">
      <c r="A2" s="498" t="s">
        <v>124</v>
      </c>
      <c r="B2" s="499"/>
      <c r="C2" s="499"/>
      <c r="D2" s="499"/>
      <c r="E2" s="96"/>
    </row>
    <row r="3" spans="1:6" ht="45" x14ac:dyDescent="0.25">
      <c r="A3" s="500" t="s">
        <v>125</v>
      </c>
      <c r="B3" s="501" t="s">
        <v>164</v>
      </c>
      <c r="C3" s="501" t="s">
        <v>165</v>
      </c>
      <c r="D3" s="97" t="s">
        <v>166</v>
      </c>
      <c r="E3" s="57"/>
    </row>
    <row r="4" spans="1:6" x14ac:dyDescent="0.25">
      <c r="A4" s="484"/>
      <c r="B4" s="487"/>
      <c r="C4" s="487"/>
      <c r="D4" s="98">
        <v>0.1</v>
      </c>
      <c r="E4" s="57"/>
    </row>
    <row r="5" spans="1:6" ht="15.75" thickBot="1" x14ac:dyDescent="0.3">
      <c r="A5" s="485"/>
      <c r="B5" s="99" t="s">
        <v>434</v>
      </c>
      <c r="C5" s="61" t="s">
        <v>434</v>
      </c>
      <c r="D5" s="61" t="s">
        <v>434</v>
      </c>
      <c r="E5" s="57"/>
    </row>
    <row r="6" spans="1:6" ht="15.75" thickTop="1" x14ac:dyDescent="0.25">
      <c r="A6" s="100" t="s">
        <v>132</v>
      </c>
      <c r="B6" s="101">
        <v>8717.01</v>
      </c>
      <c r="C6" s="102">
        <v>4000</v>
      </c>
      <c r="D6" s="103"/>
      <c r="E6" s="51"/>
    </row>
    <row r="7" spans="1:6" ht="30" x14ac:dyDescent="0.25">
      <c r="A7" s="104" t="s">
        <v>167</v>
      </c>
      <c r="B7" s="105"/>
      <c r="C7" s="106"/>
      <c r="D7" s="71">
        <v>3600</v>
      </c>
      <c r="E7" s="78"/>
    </row>
    <row r="8" spans="1:6" ht="30" x14ac:dyDescent="0.25">
      <c r="A8" s="104" t="s">
        <v>168</v>
      </c>
      <c r="B8" s="105"/>
      <c r="C8" s="106"/>
      <c r="D8" s="71">
        <v>871.7</v>
      </c>
      <c r="E8" s="78">
        <f>+B6*10%</f>
        <v>871.70100000000002</v>
      </c>
      <c r="F8">
        <f>+'Calculo IP ZDF'!B38*0.9</f>
        <v>3582</v>
      </c>
    </row>
    <row r="9" spans="1:6" ht="30" x14ac:dyDescent="0.25">
      <c r="A9" s="104" t="s">
        <v>169</v>
      </c>
      <c r="B9" s="105"/>
      <c r="C9" s="106"/>
      <c r="D9" s="71">
        <v>4471.7</v>
      </c>
      <c r="E9" s="51"/>
      <c r="F9" s="211">
        <f>+F8+E8</f>
        <v>4453.701</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95" t="s">
        <v>180</v>
      </c>
      <c r="B26" s="495"/>
      <c r="C26" s="495"/>
      <c r="D26" s="495"/>
      <c r="E26" s="117"/>
    </row>
    <row r="27" spans="1:5" x14ac:dyDescent="0.25">
      <c r="A27" s="118"/>
      <c r="B27" s="118"/>
      <c r="C27" s="118"/>
      <c r="D27" s="118"/>
      <c r="E27" s="117"/>
    </row>
    <row r="28" spans="1:5" x14ac:dyDescent="0.25">
      <c r="A28" s="493" t="s">
        <v>181</v>
      </c>
      <c r="B28" s="493"/>
      <c r="C28" s="493"/>
      <c r="D28" s="493"/>
      <c r="E28" s="117"/>
    </row>
    <row r="29" spans="1:5" x14ac:dyDescent="0.25">
      <c r="A29" s="119"/>
      <c r="B29" s="119"/>
      <c r="C29" s="120"/>
      <c r="D29" s="120"/>
      <c r="E29" s="117"/>
    </row>
    <row r="30" spans="1:5" x14ac:dyDescent="0.25">
      <c r="A30" s="493" t="s">
        <v>182</v>
      </c>
      <c r="B30" s="493"/>
      <c r="C30" s="493"/>
      <c r="D30" s="493"/>
      <c r="E30" s="117"/>
    </row>
    <row r="31" spans="1:5" x14ac:dyDescent="0.25">
      <c r="A31" s="119"/>
      <c r="B31" s="119"/>
      <c r="C31" s="120"/>
      <c r="D31" s="120"/>
      <c r="E31" s="117"/>
    </row>
    <row r="32" spans="1:5" x14ac:dyDescent="0.25">
      <c r="A32" s="494" t="s">
        <v>183</v>
      </c>
      <c r="B32" s="494"/>
      <c r="C32" s="494"/>
      <c r="D32" s="494"/>
      <c r="E32" s="121"/>
    </row>
    <row r="33" spans="1:5" x14ac:dyDescent="0.25">
      <c r="A33" s="119"/>
      <c r="B33" s="119"/>
      <c r="C33" s="120"/>
      <c r="D33" s="120"/>
      <c r="E33" s="117"/>
    </row>
    <row r="34" spans="1:5" x14ac:dyDescent="0.25">
      <c r="A34" s="493" t="s">
        <v>184</v>
      </c>
      <c r="B34" s="493"/>
      <c r="C34" s="493"/>
      <c r="D34" s="493"/>
      <c r="E34" s="117"/>
    </row>
    <row r="35" spans="1:5" x14ac:dyDescent="0.25">
      <c r="A35" s="122"/>
      <c r="B35" s="122"/>
      <c r="C35" s="122"/>
      <c r="D35" s="122"/>
      <c r="E35" s="117"/>
    </row>
    <row r="36" spans="1:5" x14ac:dyDescent="0.25">
      <c r="A36" s="491" t="s">
        <v>157</v>
      </c>
      <c r="B36" s="491"/>
      <c r="C36" s="491"/>
      <c r="D36" s="491"/>
      <c r="E36" s="491"/>
    </row>
    <row r="37" spans="1:5" x14ac:dyDescent="0.25">
      <c r="A37" s="491" t="s">
        <v>160</v>
      </c>
      <c r="B37" s="491"/>
      <c r="C37" s="491"/>
      <c r="D37" s="491"/>
      <c r="E37" s="88"/>
    </row>
    <row r="38" spans="1:5" x14ac:dyDescent="0.25">
      <c r="A38" s="491" t="s">
        <v>161</v>
      </c>
      <c r="B38" s="491"/>
      <c r="C38" s="491"/>
      <c r="D38" s="491"/>
      <c r="E38" s="88"/>
    </row>
    <row r="39" spans="1:5" x14ac:dyDescent="0.25">
      <c r="A39" s="491" t="s">
        <v>162</v>
      </c>
      <c r="B39" s="491"/>
      <c r="C39" s="491"/>
      <c r="D39" s="491"/>
      <c r="E39" s="114"/>
    </row>
    <row r="40" spans="1:5" x14ac:dyDescent="0.25">
      <c r="A40" s="50"/>
      <c r="B40" s="50"/>
      <c r="C40" s="50"/>
      <c r="D40" s="50"/>
      <c r="E40" s="114"/>
    </row>
    <row r="41" spans="1:5" x14ac:dyDescent="0.25">
      <c r="A41" s="490" t="s">
        <v>163</v>
      </c>
      <c r="B41" s="490"/>
      <c r="C41" s="490"/>
      <c r="D41" s="490"/>
      <c r="E41" s="114"/>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F7" sqref="F7"/>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04" t="str">
        <f>CONCATENATE("ESTRUCTURA DE PRECIOS DE GASOLINA EXTRA OXIGENADA VIGENTE A PARTIR DE ",'[5]COMBUSTIBLES '!$A$1)</f>
        <v>ESTRUCTURA DE PRECIOS DE GASOLINA EXTRA OXIGENADA VIGENTE A PARTIR DE 1 DE ABRIL 2019</v>
      </c>
      <c r="B1" s="505"/>
      <c r="C1" s="505"/>
      <c r="D1" s="505"/>
    </row>
    <row r="2" spans="1:6" ht="16.5" x14ac:dyDescent="0.25">
      <c r="A2" s="506" t="s">
        <v>124</v>
      </c>
      <c r="B2" s="507"/>
      <c r="C2" s="507"/>
      <c r="D2" s="507"/>
    </row>
    <row r="3" spans="1:6" ht="30" customHeight="1" x14ac:dyDescent="0.25">
      <c r="A3" s="500" t="s">
        <v>125</v>
      </c>
      <c r="B3" s="501" t="s">
        <v>164</v>
      </c>
      <c r="C3" s="501" t="s">
        <v>437</v>
      </c>
      <c r="D3" s="414" t="s">
        <v>186</v>
      </c>
      <c r="E3" s="502" t="s">
        <v>438</v>
      </c>
      <c r="F3" s="415" t="s">
        <v>186</v>
      </c>
    </row>
    <row r="4" spans="1:6" x14ac:dyDescent="0.25">
      <c r="A4" s="484"/>
      <c r="B4" s="487"/>
      <c r="C4" s="487"/>
      <c r="D4" s="416">
        <v>0.1</v>
      </c>
      <c r="E4" s="503"/>
      <c r="F4" s="417">
        <v>0.1</v>
      </c>
    </row>
    <row r="5" spans="1:6" ht="43.5" thickBot="1" x14ac:dyDescent="0.3">
      <c r="A5" s="485"/>
      <c r="B5" s="123" t="s">
        <v>439</v>
      </c>
      <c r="C5" s="123" t="s">
        <v>439</v>
      </c>
      <c r="D5" s="418" t="s">
        <v>439</v>
      </c>
      <c r="E5" s="123" t="s">
        <v>439</v>
      </c>
      <c r="F5" s="124" t="s">
        <v>439</v>
      </c>
    </row>
    <row r="6" spans="1:6" ht="15.75" thickTop="1" x14ac:dyDescent="0.25">
      <c r="A6" s="63" t="s">
        <v>132</v>
      </c>
      <c r="B6" s="125">
        <v>8717.01</v>
      </c>
      <c r="C6" s="125">
        <v>7270.2889821668068</v>
      </c>
      <c r="D6" s="419">
        <v>7414.96</v>
      </c>
      <c r="E6" s="420">
        <v>7270.2889821668068</v>
      </c>
      <c r="F6" s="421">
        <v>7414.96</v>
      </c>
    </row>
    <row r="7" spans="1:6" x14ac:dyDescent="0.25">
      <c r="A7" s="68" t="s">
        <v>187</v>
      </c>
      <c r="B7" s="74"/>
      <c r="C7" s="74">
        <v>8.1370000000000005</v>
      </c>
      <c r="D7" s="422">
        <v>8.1370000000000005</v>
      </c>
      <c r="E7" s="422">
        <v>8.1370000000000005</v>
      </c>
      <c r="F7" s="77">
        <v>8.1370000000000005</v>
      </c>
    </row>
    <row r="8" spans="1:6" ht="30" x14ac:dyDescent="0.25">
      <c r="A8" s="68" t="s">
        <v>134</v>
      </c>
      <c r="B8" s="106"/>
      <c r="C8" s="106" t="s">
        <v>135</v>
      </c>
      <c r="D8" s="423" t="s">
        <v>135</v>
      </c>
      <c r="E8" s="423" t="s">
        <v>135</v>
      </c>
      <c r="F8" s="126" t="s">
        <v>135</v>
      </c>
    </row>
    <row r="9" spans="1:6" x14ac:dyDescent="0.25">
      <c r="A9" s="68" t="s">
        <v>273</v>
      </c>
      <c r="B9" s="106"/>
      <c r="C9" s="106">
        <v>71.510000000000005</v>
      </c>
      <c r="D9" s="423">
        <v>71.510000000000005</v>
      </c>
      <c r="E9" s="423">
        <v>71.510000000000005</v>
      </c>
      <c r="F9" s="126">
        <v>71.510000000000005</v>
      </c>
    </row>
    <row r="10" spans="1:6" ht="30" x14ac:dyDescent="0.25">
      <c r="A10" s="264" t="s">
        <v>137</v>
      </c>
      <c r="B10" s="74"/>
      <c r="C10" s="74">
        <v>1036.78</v>
      </c>
      <c r="D10" s="422">
        <v>933.1</v>
      </c>
      <c r="E10" s="74">
        <v>1036.78</v>
      </c>
      <c r="F10" s="424">
        <v>933.1</v>
      </c>
    </row>
    <row r="11" spans="1:6" x14ac:dyDescent="0.25">
      <c r="A11" s="68" t="s">
        <v>138</v>
      </c>
      <c r="B11" s="74"/>
      <c r="C11" s="70" t="s">
        <v>139</v>
      </c>
      <c r="D11" s="425" t="s">
        <v>139</v>
      </c>
      <c r="E11" s="70" t="s">
        <v>139</v>
      </c>
      <c r="F11" s="426" t="s">
        <v>139</v>
      </c>
    </row>
    <row r="12" spans="1:6" x14ac:dyDescent="0.25">
      <c r="A12" s="258" t="s">
        <v>140</v>
      </c>
      <c r="B12" s="74"/>
      <c r="C12" s="74">
        <v>155</v>
      </c>
      <c r="D12" s="422">
        <v>139.5</v>
      </c>
      <c r="E12" s="74">
        <v>155</v>
      </c>
      <c r="F12" s="424">
        <v>139.5</v>
      </c>
    </row>
    <row r="13" spans="1:6" ht="30" x14ac:dyDescent="0.25">
      <c r="A13" s="68" t="s">
        <v>188</v>
      </c>
      <c r="B13" s="106"/>
      <c r="C13" s="106" t="s">
        <v>142</v>
      </c>
      <c r="D13" s="423" t="s">
        <v>142</v>
      </c>
      <c r="E13" s="106" t="s">
        <v>142</v>
      </c>
      <c r="F13" s="427" t="s">
        <v>142</v>
      </c>
    </row>
    <row r="14" spans="1:6" x14ac:dyDescent="0.25">
      <c r="A14" s="68" t="s">
        <v>189</v>
      </c>
      <c r="B14" s="74"/>
      <c r="C14" s="127"/>
      <c r="D14" s="428"/>
      <c r="E14" s="127"/>
      <c r="F14" s="429"/>
    </row>
    <row r="15" spans="1:6" x14ac:dyDescent="0.25">
      <c r="A15" s="68" t="s">
        <v>145</v>
      </c>
      <c r="B15" s="74"/>
      <c r="C15" s="74">
        <v>1776.95</v>
      </c>
      <c r="D15" s="422">
        <v>1599.26</v>
      </c>
      <c r="E15" s="74">
        <v>1776.95</v>
      </c>
      <c r="F15" s="424">
        <v>1599.26</v>
      </c>
    </row>
    <row r="16" spans="1:6" ht="30" x14ac:dyDescent="0.25">
      <c r="A16" s="68" t="s">
        <v>147</v>
      </c>
      <c r="B16" s="129"/>
      <c r="C16" s="129"/>
      <c r="D16" s="430"/>
      <c r="E16" s="129"/>
      <c r="F16" s="431"/>
    </row>
    <row r="17" spans="1:6" x14ac:dyDescent="0.25">
      <c r="A17" s="68" t="s">
        <v>190</v>
      </c>
      <c r="B17" s="74"/>
      <c r="C17" s="127"/>
      <c r="D17" s="428"/>
      <c r="E17" s="127"/>
      <c r="F17" s="128"/>
    </row>
    <row r="18" spans="1:6" x14ac:dyDescent="0.25">
      <c r="A18" s="68" t="s">
        <v>149</v>
      </c>
      <c r="B18" s="74"/>
      <c r="C18" s="74"/>
      <c r="D18" s="422"/>
      <c r="E18" s="74"/>
      <c r="F18" s="77"/>
    </row>
    <row r="19" spans="1:6" ht="30" x14ac:dyDescent="0.25">
      <c r="A19" s="68" t="s">
        <v>151</v>
      </c>
      <c r="B19" s="74"/>
      <c r="C19" s="74"/>
      <c r="D19" s="422"/>
      <c r="E19" s="74"/>
      <c r="F19" s="77"/>
    </row>
    <row r="20" spans="1:6" ht="15.75" thickBot="1" x14ac:dyDescent="0.3">
      <c r="A20" s="84" t="s">
        <v>152</v>
      </c>
      <c r="B20" s="112"/>
      <c r="C20" s="112" t="s">
        <v>142</v>
      </c>
      <c r="D20" s="432"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F7" sqref="F7"/>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08"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09"/>
      <c r="C1" s="509"/>
      <c r="D1" s="509"/>
      <c r="E1" s="509"/>
      <c r="F1" s="509"/>
      <c r="G1" s="509"/>
    </row>
    <row r="2" spans="1:10" x14ac:dyDescent="0.2">
      <c r="A2" s="510" t="s">
        <v>124</v>
      </c>
      <c r="B2" s="511"/>
      <c r="C2" s="511"/>
      <c r="D2" s="511"/>
      <c r="E2" s="511"/>
      <c r="F2" s="511"/>
      <c r="G2" s="511"/>
    </row>
    <row r="3" spans="1:10" ht="51" x14ac:dyDescent="0.2">
      <c r="A3" s="512" t="s">
        <v>125</v>
      </c>
      <c r="B3" s="132" t="s">
        <v>191</v>
      </c>
      <c r="C3" s="515" t="s">
        <v>192</v>
      </c>
      <c r="D3" s="515" t="s">
        <v>193</v>
      </c>
      <c r="E3" s="133" t="s">
        <v>194</v>
      </c>
      <c r="F3" s="133" t="s">
        <v>195</v>
      </c>
      <c r="G3" s="133" t="s">
        <v>436</v>
      </c>
    </row>
    <row r="4" spans="1:10" x14ac:dyDescent="0.2">
      <c r="A4" s="513"/>
      <c r="B4" s="134">
        <v>1</v>
      </c>
      <c r="C4" s="516"/>
      <c r="D4" s="516"/>
      <c r="E4" s="135">
        <v>0.02</v>
      </c>
      <c r="F4" s="135">
        <v>0.04</v>
      </c>
      <c r="G4" s="135">
        <v>0.1</v>
      </c>
    </row>
    <row r="5" spans="1:10" ht="13.5" thickBot="1" x14ac:dyDescent="0.25">
      <c r="A5" s="514"/>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11515.16</v>
      </c>
      <c r="C6" s="139">
        <v>4736</v>
      </c>
      <c r="D6" s="139">
        <v>4736</v>
      </c>
      <c r="E6" s="140"/>
      <c r="F6" s="140"/>
      <c r="G6" s="140"/>
    </row>
    <row r="7" spans="1:10" x14ac:dyDescent="0.2">
      <c r="A7" s="141" t="s">
        <v>196</v>
      </c>
      <c r="B7" s="142"/>
      <c r="C7" s="143"/>
      <c r="D7" s="143"/>
      <c r="E7" s="144">
        <v>4641.28</v>
      </c>
      <c r="F7" s="144">
        <v>4546.5600000000004</v>
      </c>
      <c r="G7" s="144">
        <v>4262.3999999999996</v>
      </c>
    </row>
    <row r="8" spans="1:10" x14ac:dyDescent="0.2">
      <c r="A8" s="141" t="s">
        <v>197</v>
      </c>
      <c r="B8" s="145"/>
      <c r="C8" s="145"/>
      <c r="D8" s="145"/>
      <c r="E8" s="144">
        <v>230.3</v>
      </c>
      <c r="F8" s="144">
        <v>460.61</v>
      </c>
      <c r="G8" s="144">
        <v>1151.52</v>
      </c>
      <c r="I8" s="213"/>
    </row>
    <row r="9" spans="1:10" ht="25.5" x14ac:dyDescent="0.2">
      <c r="A9" s="141" t="s">
        <v>198</v>
      </c>
      <c r="B9" s="145"/>
      <c r="C9" s="145"/>
      <c r="D9" s="145"/>
      <c r="E9" s="268">
        <v>4871.58</v>
      </c>
      <c r="F9" s="268">
        <v>5007.17</v>
      </c>
      <c r="G9" s="268">
        <v>5413.92</v>
      </c>
      <c r="I9" s="213">
        <f>+B6*8%</f>
        <v>921.21280000000002</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B2" sqref="B2"/>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457</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27" t="s">
        <v>203</v>
      </c>
      <c r="D3" s="528"/>
      <c r="E3" s="528"/>
      <c r="F3" s="528"/>
      <c r="G3" s="531" t="s">
        <v>243</v>
      </c>
      <c r="H3" s="532"/>
    </row>
    <row r="4" spans="1:8" x14ac:dyDescent="0.25">
      <c r="A4" s="187"/>
      <c r="B4" s="188" t="s">
        <v>244</v>
      </c>
      <c r="C4" s="529"/>
      <c r="D4" s="530"/>
      <c r="E4" s="530"/>
      <c r="F4" s="530"/>
      <c r="G4" s="533"/>
      <c r="H4" s="534"/>
    </row>
    <row r="5" spans="1:8" ht="25.5" x14ac:dyDescent="0.25">
      <c r="A5" s="521" t="s">
        <v>204</v>
      </c>
      <c r="B5" s="523" t="s">
        <v>205</v>
      </c>
      <c r="C5" s="525" t="s">
        <v>266</v>
      </c>
      <c r="D5" s="189" t="s">
        <v>97</v>
      </c>
      <c r="E5" s="189" t="s">
        <v>441</v>
      </c>
      <c r="F5" s="189" t="s">
        <v>447</v>
      </c>
      <c r="G5" s="189" t="s">
        <v>97</v>
      </c>
      <c r="H5" s="160" t="str">
        <f>+F5</f>
        <v>Biodiesel B10</v>
      </c>
    </row>
    <row r="6" spans="1:8" x14ac:dyDescent="0.25">
      <c r="A6" s="521"/>
      <c r="B6" s="523"/>
      <c r="C6" s="526"/>
      <c r="D6" s="190">
        <v>0.08</v>
      </c>
      <c r="E6" s="208">
        <v>0.02</v>
      </c>
      <c r="F6" s="191">
        <v>0.1</v>
      </c>
      <c r="G6" s="208">
        <v>0.1</v>
      </c>
      <c r="H6" s="191">
        <f>+F6</f>
        <v>0.1</v>
      </c>
    </row>
    <row r="7" spans="1:8" x14ac:dyDescent="0.25">
      <c r="A7" s="522"/>
      <c r="B7" s="524"/>
      <c r="C7" s="159" t="s">
        <v>206</v>
      </c>
      <c r="D7" s="189" t="s">
        <v>206</v>
      </c>
      <c r="E7" s="189" t="s">
        <v>206</v>
      </c>
      <c r="F7" s="189" t="s">
        <v>206</v>
      </c>
      <c r="G7" s="159" t="s">
        <v>206</v>
      </c>
      <c r="H7" s="160" t="s">
        <v>206</v>
      </c>
    </row>
    <row r="8" spans="1:8" x14ac:dyDescent="0.25">
      <c r="A8" s="161" t="s">
        <v>207</v>
      </c>
      <c r="B8" s="167" t="s">
        <v>208</v>
      </c>
      <c r="C8" s="163">
        <f>+'Calculo IP ZDF'!B25</f>
        <v>3980</v>
      </c>
      <c r="D8" s="192">
        <f>+'Calculo IP ZDF'!G25</f>
        <v>4453.7</v>
      </c>
      <c r="E8" s="192">
        <f>+'Calculo IP ZDF'!F25</f>
        <v>4472.8972480000002</v>
      </c>
      <c r="F8" s="192">
        <f>+'Calculo IP ZDF'!H25</f>
        <v>5047.7798400000001</v>
      </c>
      <c r="G8" s="163">
        <f>+'GAS CTE'!D9</f>
        <v>4471.7</v>
      </c>
      <c r="H8" s="164">
        <f>+BIODIESEL!G9</f>
        <v>5413.92</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4085.9783307388502</v>
      </c>
      <c r="D16" s="200">
        <f t="shared" si="0"/>
        <v>4559.6783307388496</v>
      </c>
      <c r="E16" s="200">
        <f t="shared" si="0"/>
        <v>4578.87557873885</v>
      </c>
      <c r="F16" s="200">
        <f t="shared" si="0"/>
        <v>5153.7581707388499</v>
      </c>
      <c r="G16" s="169">
        <f t="shared" si="0"/>
        <v>5069.3123307388496</v>
      </c>
      <c r="H16" s="170">
        <f t="shared" si="0"/>
        <v>5990.4683307388495</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4085.9783307388502</v>
      </c>
      <c r="D21" s="200">
        <f t="shared" si="4"/>
        <v>4559.6783307388496</v>
      </c>
      <c r="E21" s="200">
        <f t="shared" si="4"/>
        <v>4578.87557873885</v>
      </c>
      <c r="F21" s="200">
        <f t="shared" si="4"/>
        <v>5153.7581707388499</v>
      </c>
      <c r="G21" s="169">
        <f t="shared" si="4"/>
        <v>5069.3123307388496</v>
      </c>
      <c r="H21" s="170">
        <f t="shared" si="4"/>
        <v>5990.4683307388495</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19" t="s">
        <v>174</v>
      </c>
      <c r="C28" s="519"/>
      <c r="D28" s="519"/>
      <c r="E28" s="519"/>
      <c r="F28" s="519"/>
      <c r="G28" s="519"/>
      <c r="H28" s="519"/>
    </row>
    <row r="29" spans="1:10" x14ac:dyDescent="0.25">
      <c r="A29" s="205" t="s">
        <v>213</v>
      </c>
      <c r="B29" s="519" t="s">
        <v>453</v>
      </c>
      <c r="C29" s="519"/>
      <c r="D29" s="519"/>
      <c r="E29" s="519"/>
      <c r="F29" s="519"/>
      <c r="G29" s="519"/>
      <c r="H29" s="519"/>
    </row>
    <row r="30" spans="1:10" ht="27.75" customHeight="1" x14ac:dyDescent="0.25">
      <c r="A30" s="206" t="s">
        <v>240</v>
      </c>
      <c r="B30" s="518" t="s">
        <v>297</v>
      </c>
      <c r="C30" s="518"/>
      <c r="D30" s="518"/>
      <c r="E30" s="518"/>
      <c r="F30" s="518"/>
      <c r="G30" s="518"/>
      <c r="H30" s="518"/>
      <c r="I30" s="518"/>
      <c r="J30" s="518"/>
    </row>
    <row r="31" spans="1:10" ht="58.5" customHeight="1" x14ac:dyDescent="0.25">
      <c r="A31" s="206" t="s">
        <v>139</v>
      </c>
      <c r="B31" s="518" t="s">
        <v>366</v>
      </c>
      <c r="C31" s="518"/>
      <c r="D31" s="518"/>
      <c r="E31" s="518"/>
      <c r="F31" s="518"/>
      <c r="G31" s="518"/>
      <c r="H31" s="518"/>
    </row>
    <row r="32" spans="1:10" ht="61.5" customHeight="1" x14ac:dyDescent="0.25">
      <c r="A32" s="206" t="s">
        <v>241</v>
      </c>
      <c r="B32" s="535" t="s">
        <v>448</v>
      </c>
      <c r="C32" s="536"/>
      <c r="D32" s="536"/>
      <c r="E32" s="536"/>
      <c r="F32" s="536"/>
      <c r="G32" s="536"/>
      <c r="H32" s="536"/>
    </row>
    <row r="33" spans="1:8" x14ac:dyDescent="0.25">
      <c r="A33" s="180"/>
      <c r="B33" s="209"/>
      <c r="C33" s="209"/>
      <c r="D33" s="209"/>
      <c r="E33" s="209"/>
      <c r="F33" s="209"/>
      <c r="G33" s="209"/>
      <c r="H33" s="209"/>
    </row>
    <row r="34" spans="1:8" x14ac:dyDescent="0.25">
      <c r="A34" s="180" t="s">
        <v>104</v>
      </c>
      <c r="B34" s="519" t="s">
        <v>252</v>
      </c>
      <c r="C34" s="519"/>
      <c r="D34" s="519"/>
      <c r="E34" s="519"/>
      <c r="F34" s="519"/>
      <c r="G34" s="519"/>
      <c r="H34" s="519"/>
    </row>
    <row r="35" spans="1:8" ht="29.25" customHeight="1" x14ac:dyDescent="0.25">
      <c r="A35" s="180" t="s">
        <v>253</v>
      </c>
      <c r="B35" s="518" t="s">
        <v>254</v>
      </c>
      <c r="C35" s="518"/>
      <c r="D35" s="518"/>
      <c r="E35" s="518"/>
      <c r="F35" s="518"/>
      <c r="G35" s="518"/>
      <c r="H35" s="518"/>
    </row>
    <row r="36" spans="1:8" x14ac:dyDescent="0.25">
      <c r="A36" s="180" t="s">
        <v>255</v>
      </c>
      <c r="B36" s="519" t="s">
        <v>256</v>
      </c>
      <c r="C36" s="519"/>
      <c r="D36" s="519"/>
      <c r="E36" s="519"/>
      <c r="F36" s="519"/>
      <c r="G36" s="519"/>
      <c r="H36" s="519"/>
    </row>
    <row r="37" spans="1:8" ht="43.5" customHeight="1" x14ac:dyDescent="0.25">
      <c r="A37" s="204" t="s">
        <v>257</v>
      </c>
      <c r="B37" s="518" t="s">
        <v>258</v>
      </c>
      <c r="C37" s="518"/>
      <c r="D37" s="518"/>
      <c r="E37" s="518"/>
      <c r="F37" s="518"/>
      <c r="G37" s="518"/>
      <c r="H37" s="518"/>
    </row>
    <row r="38" spans="1:8" x14ac:dyDescent="0.25">
      <c r="A38" s="204" t="s">
        <v>259</v>
      </c>
      <c r="B38" s="519" t="s">
        <v>260</v>
      </c>
      <c r="C38" s="519"/>
      <c r="D38" s="519"/>
      <c r="E38" s="519"/>
      <c r="F38" s="519"/>
      <c r="G38" s="519"/>
      <c r="H38" s="519"/>
    </row>
    <row r="39" spans="1:8" x14ac:dyDescent="0.25">
      <c r="A39" s="180" t="s">
        <v>261</v>
      </c>
      <c r="B39" s="519" t="s">
        <v>262</v>
      </c>
      <c r="C39" s="519"/>
      <c r="D39" s="519"/>
      <c r="E39" s="519"/>
      <c r="F39" s="519"/>
      <c r="G39" s="519"/>
      <c r="H39" s="519"/>
    </row>
    <row r="40" spans="1:8" ht="30" customHeight="1" x14ac:dyDescent="0.25">
      <c r="A40" s="180" t="s">
        <v>263</v>
      </c>
      <c r="B40" s="518" t="s">
        <v>264</v>
      </c>
      <c r="C40" s="518"/>
      <c r="D40" s="518"/>
      <c r="E40" s="518"/>
      <c r="F40" s="518"/>
      <c r="G40" s="518"/>
      <c r="H40" s="518"/>
    </row>
    <row r="41" spans="1:8" x14ac:dyDescent="0.25">
      <c r="A41" s="156"/>
      <c r="B41" s="157"/>
      <c r="C41" s="157"/>
      <c r="D41" s="157"/>
      <c r="E41" s="157"/>
      <c r="F41" s="157"/>
      <c r="G41" s="157"/>
      <c r="H41" s="157"/>
    </row>
    <row r="42" spans="1:8" x14ac:dyDescent="0.25">
      <c r="A42" s="205" t="s">
        <v>213</v>
      </c>
      <c r="B42" s="517" t="s">
        <v>265</v>
      </c>
      <c r="C42" s="517"/>
      <c r="D42" s="517"/>
      <c r="E42" s="517"/>
      <c r="F42" s="517"/>
      <c r="G42" s="517"/>
      <c r="H42" s="517"/>
    </row>
    <row r="43" spans="1:8" x14ac:dyDescent="0.25">
      <c r="A43" s="206" t="s">
        <v>139</v>
      </c>
      <c r="B43" s="207" t="s">
        <v>239</v>
      </c>
      <c r="C43" s="157"/>
      <c r="D43" s="157"/>
      <c r="E43" s="157"/>
      <c r="F43" s="157"/>
      <c r="G43" s="157"/>
      <c r="H43" s="157"/>
    </row>
    <row r="44" spans="1:8" ht="39.75" customHeight="1" x14ac:dyDescent="0.25">
      <c r="A44" s="206" t="s">
        <v>241</v>
      </c>
      <c r="B44" s="518" t="s">
        <v>267</v>
      </c>
      <c r="C44" s="518"/>
      <c r="D44" s="518"/>
      <c r="E44" s="518"/>
      <c r="F44" s="518"/>
      <c r="G44" s="518"/>
      <c r="H44" s="518"/>
    </row>
    <row r="45" spans="1:8" x14ac:dyDescent="0.25">
      <c r="A45" s="206"/>
      <c r="B45" s="519" t="s">
        <v>174</v>
      </c>
      <c r="C45" s="519"/>
      <c r="D45" s="519"/>
      <c r="E45" s="519"/>
      <c r="F45" s="519"/>
      <c r="G45" s="519"/>
      <c r="H45" s="519"/>
    </row>
    <row r="46" spans="1:8" ht="100.5" customHeight="1" x14ac:dyDescent="0.25">
      <c r="A46" s="520" t="s">
        <v>163</v>
      </c>
      <c r="B46" s="520"/>
      <c r="C46" s="520"/>
      <c r="D46" s="520"/>
      <c r="E46" s="520"/>
      <c r="F46" s="520"/>
      <c r="G46" s="520"/>
      <c r="H46" s="520"/>
    </row>
  </sheetData>
  <sheetProtection algorithmName="SHA-512" hashValue="2t7MgKQtxSqB1n0YvAr2+OqASGylUJTigw2bcCHn5Y30c5r2gfDHp7CJlL4J7anLPuXV46ahnUC7fESZzMTtcw==" saltValue="tkfSixt0TF4io9IeVH+a9Q==" spinCount="100000"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L19" sqref="L19:M1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mayo de 2020; 00:00 horas</v>
      </c>
    </row>
    <row r="2" spans="1:8" ht="15.75" thickBot="1" x14ac:dyDescent="0.3">
      <c r="A2" s="183" t="s">
        <v>202</v>
      </c>
      <c r="B2" s="183"/>
    </row>
    <row r="3" spans="1:8" ht="15.75" customHeight="1" thickTop="1" x14ac:dyDescent="0.25">
      <c r="A3" s="215"/>
      <c r="B3" s="216" t="s">
        <v>274</v>
      </c>
      <c r="C3" s="537" t="s">
        <v>203</v>
      </c>
      <c r="D3" s="538"/>
      <c r="E3" s="538"/>
      <c r="F3" s="539"/>
      <c r="G3" s="543" t="s">
        <v>275</v>
      </c>
      <c r="H3" s="544"/>
    </row>
    <row r="4" spans="1:8" x14ac:dyDescent="0.25">
      <c r="A4" s="158"/>
      <c r="B4" s="217" t="s">
        <v>350</v>
      </c>
      <c r="C4" s="540"/>
      <c r="D4" s="541"/>
      <c r="E4" s="541"/>
      <c r="F4" s="542"/>
      <c r="G4" s="545"/>
      <c r="H4" s="546"/>
    </row>
    <row r="5" spans="1:8" ht="38.25" customHeight="1" x14ac:dyDescent="0.25">
      <c r="A5" s="521" t="s">
        <v>204</v>
      </c>
      <c r="B5" s="523" t="s">
        <v>205</v>
      </c>
      <c r="C5" s="525" t="s">
        <v>266</v>
      </c>
      <c r="D5" s="189" t="s">
        <v>97</v>
      </c>
      <c r="E5" s="189" t="s">
        <v>194</v>
      </c>
      <c r="F5" s="189" t="str">
        <f>+AMAZONAS!F5</f>
        <v>Biodiesel B10</v>
      </c>
      <c r="G5" s="189" t="s">
        <v>97</v>
      </c>
      <c r="H5" s="160" t="str">
        <f>+F5</f>
        <v>Biodiesel B10</v>
      </c>
    </row>
    <row r="6" spans="1:8" x14ac:dyDescent="0.25">
      <c r="A6" s="521"/>
      <c r="B6" s="523"/>
      <c r="C6" s="526"/>
      <c r="D6" s="190">
        <v>0.08</v>
      </c>
      <c r="E6" s="208">
        <v>0.02</v>
      </c>
      <c r="F6" s="437">
        <f>+AMAZONAS!F6</f>
        <v>0.1</v>
      </c>
      <c r="G6" s="208">
        <v>0.1</v>
      </c>
      <c r="H6" s="191">
        <f>+F6</f>
        <v>0.1</v>
      </c>
    </row>
    <row r="7" spans="1:8" x14ac:dyDescent="0.25">
      <c r="A7" s="522"/>
      <c r="B7" s="524"/>
      <c r="C7" s="159" t="s">
        <v>206</v>
      </c>
      <c r="D7" s="189" t="s">
        <v>206</v>
      </c>
      <c r="E7" s="189" t="s">
        <v>206</v>
      </c>
      <c r="F7" s="189" t="s">
        <v>206</v>
      </c>
      <c r="G7" s="159" t="s">
        <v>206</v>
      </c>
      <c r="H7" s="160" t="s">
        <v>206</v>
      </c>
    </row>
    <row r="8" spans="1:8" x14ac:dyDescent="0.25">
      <c r="A8" s="161" t="s">
        <v>207</v>
      </c>
      <c r="B8" s="167" t="s">
        <v>208</v>
      </c>
      <c r="C8" s="233">
        <f>+'Calculo IP ZDF'!B26</f>
        <v>3980</v>
      </c>
      <c r="D8" s="239">
        <f>+'Calculo IP ZDF'!G26</f>
        <v>4453.7</v>
      </c>
      <c r="E8" s="241">
        <f>+'Calculo IP ZDF'!F26</f>
        <v>4256.6136000000006</v>
      </c>
      <c r="F8" s="240">
        <f>+'Calculo IP ZDF'!H26</f>
        <v>4849.152</v>
      </c>
      <c r="G8" s="218">
        <f>+'GAS CTE'!D9</f>
        <v>4471.7</v>
      </c>
      <c r="H8" s="243">
        <f>+BIODIESEL!G9</f>
        <v>5413.92</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4334.100796517253</v>
      </c>
      <c r="D17" s="367">
        <f t="shared" si="1"/>
        <v>4792.3007965172528</v>
      </c>
      <c r="E17" s="225">
        <f t="shared" si="1"/>
        <v>4626.234396517254</v>
      </c>
      <c r="F17" s="226">
        <f t="shared" si="1"/>
        <v>5204.8527965172534</v>
      </c>
      <c r="G17" s="227">
        <f t="shared" si="1"/>
        <v>5313.7062640416834</v>
      </c>
      <c r="H17" s="246">
        <f t="shared" si="1"/>
        <v>6251.9622640416837</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4334.100796517253</v>
      </c>
      <c r="D21" s="369">
        <f t="shared" si="2"/>
        <v>4792.3007965172528</v>
      </c>
      <c r="E21" s="224">
        <f t="shared" si="2"/>
        <v>4626.234396517254</v>
      </c>
      <c r="F21" s="242">
        <f t="shared" si="2"/>
        <v>5204.8527965172534</v>
      </c>
      <c r="G21" s="224">
        <f t="shared" si="2"/>
        <v>5313.7062640416834</v>
      </c>
      <c r="H21" s="242">
        <f t="shared" si="2"/>
        <v>6251.9622640416837</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+AMAZONAS!B29</f>
        <v>De acuerdo con lo establecido en la Resolución MME 91349 de 2014</v>
      </c>
      <c r="C29" s="536"/>
      <c r="D29" s="536"/>
      <c r="E29" s="536"/>
      <c r="F29" s="536"/>
      <c r="G29" s="536"/>
      <c r="H29" s="536"/>
      <c r="I29" s="536"/>
      <c r="J29" s="536"/>
      <c r="K29" s="236"/>
      <c r="L29" s="236"/>
      <c r="M29" s="236"/>
      <c r="N29" s="236"/>
      <c r="O29" s="236"/>
      <c r="P29" s="236"/>
    </row>
    <row r="30" spans="1:16" ht="25.5" customHeight="1" x14ac:dyDescent="0.25">
      <c r="A30" s="180" t="s">
        <v>240</v>
      </c>
      <c r="B30" s="536" t="s">
        <v>297</v>
      </c>
      <c r="C30" s="536"/>
      <c r="D30" s="536"/>
      <c r="E30" s="536"/>
      <c r="F30" s="536"/>
      <c r="G30" s="536"/>
      <c r="H30" s="536"/>
      <c r="I30" s="536"/>
      <c r="J30" s="536"/>
      <c r="K30" s="214"/>
      <c r="L30" s="214"/>
      <c r="M30" s="214"/>
      <c r="N30" s="214"/>
      <c r="O30" s="214"/>
      <c r="P30" s="214"/>
    </row>
    <row r="31" spans="1:16" ht="51.75" customHeight="1" x14ac:dyDescent="0.25">
      <c r="A31" s="180" t="s">
        <v>139</v>
      </c>
      <c r="B31" s="536" t="s">
        <v>366</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9" t="s">
        <v>252</v>
      </c>
      <c r="C33" s="519"/>
      <c r="D33" s="519"/>
      <c r="E33" s="519"/>
      <c r="F33" s="519"/>
      <c r="G33" s="519"/>
      <c r="H33" s="519"/>
      <c r="I33" s="519"/>
      <c r="J33" s="519"/>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19"/>
      <c r="K35" s="519"/>
      <c r="L35" s="519"/>
      <c r="M35" s="519"/>
      <c r="N35" s="519"/>
      <c r="O35" s="519"/>
      <c r="P35" s="519"/>
    </row>
    <row r="36" spans="1:16" ht="15" customHeight="1" x14ac:dyDescent="0.25">
      <c r="A36" s="180" t="s">
        <v>257</v>
      </c>
      <c r="B36" s="519" t="s">
        <v>260</v>
      </c>
      <c r="C36" s="519"/>
      <c r="D36" s="519"/>
      <c r="E36" s="519"/>
      <c r="F36" s="519"/>
      <c r="G36" s="519"/>
      <c r="H36" s="519"/>
      <c r="I36" s="180"/>
      <c r="J36" s="181"/>
      <c r="K36" s="181"/>
      <c r="L36" s="181"/>
      <c r="M36" s="181"/>
      <c r="N36" s="181"/>
      <c r="O36" s="181"/>
      <c r="P36" s="181"/>
    </row>
    <row r="37" spans="1:16" ht="24" customHeight="1" x14ac:dyDescent="0.25">
      <c r="A37" s="204" t="s">
        <v>259</v>
      </c>
      <c r="B37" s="536" t="s">
        <v>262</v>
      </c>
      <c r="C37" s="536"/>
      <c r="D37" s="536"/>
      <c r="E37" s="536"/>
      <c r="F37" s="536"/>
      <c r="G37" s="536"/>
      <c r="H37" s="536"/>
      <c r="I37" s="536"/>
      <c r="J37" s="536"/>
      <c r="K37" s="214"/>
      <c r="L37" s="214"/>
      <c r="M37" s="214"/>
      <c r="N37" s="214"/>
      <c r="O37" s="214"/>
      <c r="P37" s="214"/>
    </row>
    <row r="38" spans="1:16" ht="26.25" customHeight="1" x14ac:dyDescent="0.25">
      <c r="A38" s="204" t="s">
        <v>261</v>
      </c>
      <c r="B38" s="536" t="s">
        <v>281</v>
      </c>
      <c r="C38" s="536"/>
      <c r="D38" s="536"/>
      <c r="E38" s="536"/>
      <c r="F38" s="536"/>
      <c r="G38" s="536"/>
      <c r="H38" s="536"/>
      <c r="I38" s="536"/>
      <c r="J38" s="536"/>
      <c r="K38" s="214"/>
      <c r="L38" s="214"/>
      <c r="M38" s="214"/>
      <c r="N38" s="214"/>
      <c r="O38" s="214"/>
      <c r="P38" s="214"/>
    </row>
    <row r="40" spans="1:16" ht="87.75" customHeight="1" x14ac:dyDescent="0.25">
      <c r="A40" s="520" t="s">
        <v>163</v>
      </c>
      <c r="B40" s="520"/>
      <c r="C40" s="520"/>
      <c r="D40" s="520"/>
      <c r="E40" s="520"/>
      <c r="F40" s="520"/>
      <c r="G40" s="520"/>
      <c r="H40" s="520"/>
      <c r="I40" s="520"/>
      <c r="J40" s="520"/>
    </row>
  </sheetData>
  <sheetProtection password="C712" sheet="1" objects="1" scenarios="1"/>
  <mergeCells count="16">
    <mergeCell ref="B31:J31"/>
    <mergeCell ref="B29:J29"/>
    <mergeCell ref="B36:H36"/>
    <mergeCell ref="A40:J40"/>
    <mergeCell ref="B33:J33"/>
    <mergeCell ref="B34:J34"/>
    <mergeCell ref="B37:J37"/>
    <mergeCell ref="B38:J38"/>
    <mergeCell ref="B35:H35"/>
    <mergeCell ref="J35:P35"/>
    <mergeCell ref="B30:J30"/>
    <mergeCell ref="C3:F4"/>
    <mergeCell ref="G3:H4"/>
    <mergeCell ref="A5:A7"/>
    <mergeCell ref="B5:B7"/>
    <mergeCell ref="C5:C6"/>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User</cp:lastModifiedBy>
  <dcterms:created xsi:type="dcterms:W3CDTF">2019-03-31T15:51:33Z</dcterms:created>
  <dcterms:modified xsi:type="dcterms:W3CDTF">2020-04-30T22:14:53Z</dcterms:modified>
</cp:coreProperties>
</file>