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rp1-a\apps\Teusaca\Precios PME\GESTIÓN\GRE_GPI PRECIOS\COMBUSTIBLES\2020\06 20 Junio\Publicación\"/>
    </mc:Choice>
  </mc:AlternateContent>
  <workbookProtection workbookPassword="C752" lockStructure="1"/>
  <bookViews>
    <workbookView xWindow="0" yWindow="0" windowWidth="19200" windowHeight="7320" tabRatio="838"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1 A 14 DE MAYO" sheetId="91" state="hidden" r:id="rId11"/>
    <sheet name="DIESEL MARINO 01 A 21 DE JUNIO" sheetId="118" r:id="rId12"/>
    <sheet name="DIESEL MARINO 22 A 30 DE JUNIO" sheetId="117" r:id="rId13"/>
    <sheet name="GCINI" sheetId="70" r:id="rId14"/>
    <sheet name="Hoja2" sheetId="110" state="hidden" r:id="rId15"/>
    <sheet name="Hoja3" sheetId="111" state="hidden" r:id="rId16"/>
    <sheet name="Hoja4" sheetId="112"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7">#REF!</definedName>
    <definedName name="\A" localSheetId="3">#REF!</definedName>
    <definedName name="\A" localSheetId="11">#REF!</definedName>
    <definedName name="\A" localSheetId="12">#REF!</definedName>
    <definedName name="\A" localSheetId="4">#REF!</definedName>
    <definedName name="\A" localSheetId="8">#REF!</definedName>
    <definedName name="\A">#REF!</definedName>
    <definedName name="\L" localSheetId="7">#REF!</definedName>
    <definedName name="\L" localSheetId="3">#REF!</definedName>
    <definedName name="\L" localSheetId="11">#REF!</definedName>
    <definedName name="\L" localSheetId="12">#REF!</definedName>
    <definedName name="\L" localSheetId="4">#REF!</definedName>
    <definedName name="\L" localSheetId="8">#REF!</definedName>
    <definedName name="\L">#REF!</definedName>
    <definedName name="\P" localSheetId="7">#REF!</definedName>
    <definedName name="\P" localSheetId="3">#REF!</definedName>
    <definedName name="\P" localSheetId="11">#REF!</definedName>
    <definedName name="\P" localSheetId="12">#REF!</definedName>
    <definedName name="\P" localSheetId="4">#REF!</definedName>
    <definedName name="\P" localSheetId="8">#REF!</definedName>
    <definedName name="\P">#REF!</definedName>
    <definedName name="_xlnm._FilterDatabase" localSheetId="13" hidden="1">GCINI!$A$1:$A$9</definedName>
    <definedName name="_xlnm._FilterDatabase" localSheetId="2" hidden="1">SP!$D$14:$L$87</definedName>
    <definedName name="_xlnm._FilterDatabase" localSheetId="1" hidden="1">'TARIFAS DE TRANSPORTE'!$A$1:$B$9</definedName>
    <definedName name="A_IMPRESIÓN_IM" localSheetId="7">#REF!</definedName>
    <definedName name="A_IMPRESIÓN_IM" localSheetId="3">#REF!</definedName>
    <definedName name="A_IMPRESIÓN_IM" localSheetId="11">#REF!</definedName>
    <definedName name="A_IMPRESIÓN_IM" localSheetId="12">#REF!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1">#REF!</definedName>
    <definedName name="ADI" localSheetId="12">#REF!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1">'DIESEL MARINO 01 A 21 DE JUNIO'!$C$25:$H$44</definedName>
    <definedName name="_xlnm.Print_Area" localSheetId="10">'DIESEL MARINO 1 A 14 DE MAYO'!$C$25:$H$44</definedName>
    <definedName name="_xlnm.Print_Area" localSheetId="12">'DIESEL MARINO 22 A 30 DE JUNIO'!$C$25:$H$44</definedName>
    <definedName name="_xlnm.Print_Area" localSheetId="4">'GASOLINA CORRIENTE OXIGENADA'!$A$2:$D$25</definedName>
    <definedName name="_xlnm.Print_Area" localSheetId="13">GCINI!$A$1:$H$18</definedName>
    <definedName name="_xlnm.Print_Area" localSheetId="9">'SAN-ANDRES + GENERACION'!$B$1:$F$34</definedName>
    <definedName name="_xlnm.Print_Area" localSheetId="1">'TARIFAS DE TRANSPORTE'!$A$1:$C$34</definedName>
    <definedName name="base" localSheetId="11">#REF!</definedName>
    <definedName name="base" localSheetId="12">#REF!</definedName>
    <definedName name="base" localSheetId="8">#REF!</definedName>
    <definedName name="base">#REF!</definedName>
    <definedName name="base_VaR" localSheetId="11">#REF!</definedName>
    <definedName name="base_VaR" localSheetId="12">#REF!</definedName>
    <definedName name="base_VaR" localSheetId="8">#REF!</definedName>
    <definedName name="base_VaR">#REF!</definedName>
    <definedName name="CONTADO" localSheetId="11">#REF!</definedName>
    <definedName name="CONTADO" localSheetId="12">#REF!</definedName>
    <definedName name="CONTADO" localSheetId="8">#REF!</definedName>
    <definedName name="CONTADO">#REF!</definedName>
    <definedName name="CREDITO" localSheetId="11">#REF!</definedName>
    <definedName name="CREDITO" localSheetId="12">#REF!</definedName>
    <definedName name="CREDITO" localSheetId="8">#REF!</definedName>
    <definedName name="CREDITO">#REF!</definedName>
    <definedName name="DAT" localSheetId="7">#REF!</definedName>
    <definedName name="DAT" localSheetId="3">#REF!</definedName>
    <definedName name="DAT" localSheetId="11">#REF!</definedName>
    <definedName name="DAT" localSheetId="12">#REF!</definedName>
    <definedName name="DAT" localSheetId="4">#REF!</definedName>
    <definedName name="DAT" localSheetId="8">#REF!</definedName>
    <definedName name="DAT">#REF!</definedName>
    <definedName name="E_03" localSheetId="11">#REF!</definedName>
    <definedName name="E_03" localSheetId="12">#REF!</definedName>
    <definedName name="E_03" localSheetId="8">#REF!</definedName>
    <definedName name="E_03">#REF!</definedName>
    <definedName name="ERR" localSheetId="7">[1]TARIF2002!#REF!</definedName>
    <definedName name="ERR" localSheetId="11">[2]TARIF2002!#REF!</definedName>
    <definedName name="ERR" localSheetId="12">[2]TARIF2002!#REF!</definedName>
    <definedName name="ERR" localSheetId="4">[1]TARIF2002!#REF!</definedName>
    <definedName name="ERR" localSheetId="8">[2]TARIF2002!#REF!</definedName>
    <definedName name="ERR">[2]TARIF2002!#REF!</definedName>
    <definedName name="ERROR" localSheetId="7">#REF!</definedName>
    <definedName name="ERROR" localSheetId="11">#REF!</definedName>
    <definedName name="ERROR" localSheetId="12">#REF!</definedName>
    <definedName name="ERROR" localSheetId="4">#REF!</definedName>
    <definedName name="ERROR" localSheetId="8">#REF!</definedName>
    <definedName name="ERROR">#REF!</definedName>
    <definedName name="ERROR1" localSheetId="7">#REF!</definedName>
    <definedName name="ERROR1" localSheetId="11">#REF!</definedName>
    <definedName name="ERROR1" localSheetId="12">#REF!</definedName>
    <definedName name="ERROR1" localSheetId="4">#REF!</definedName>
    <definedName name="ERROR1" localSheetId="8">#REF!</definedName>
    <definedName name="ERROR1">#REF!</definedName>
    <definedName name="ERROR2" localSheetId="7">#REF!</definedName>
    <definedName name="ERROR2" localSheetId="11">#REF!</definedName>
    <definedName name="ERROR2" localSheetId="12">#REF!</definedName>
    <definedName name="ERROR2" localSheetId="4">#REF!</definedName>
    <definedName name="ERROR2" localSheetId="8">#REF!</definedName>
    <definedName name="ERROR2">#REF!</definedName>
    <definedName name="ERROR3" localSheetId="7">[1]TARIF2002!#REF!</definedName>
    <definedName name="ERROR3" localSheetId="11">[2]TARIF2002!#REF!</definedName>
    <definedName name="ERROR3" localSheetId="12">[2]TARIF2002!#REF!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1">[2]TARIF2002!#REF!</definedName>
    <definedName name="ERROR5" localSheetId="12">[2]TARIF2002!#REF!</definedName>
    <definedName name="ERROR5" localSheetId="4">[1]TARIF2002!#REF!</definedName>
    <definedName name="ERROR5" localSheetId="8">[2]TARIF2002!#REF!</definedName>
    <definedName name="ERROR5">[2]TARIF2002!#REF!</definedName>
    <definedName name="j" localSheetId="7">#REF!</definedName>
    <definedName name="j" localSheetId="11">#REF!</definedName>
    <definedName name="j" localSheetId="12">#REF!</definedName>
    <definedName name="j" localSheetId="4">#REF!</definedName>
    <definedName name="j" localSheetId="8">#REF!</definedName>
    <definedName name="j">#REF!</definedName>
    <definedName name="JA" localSheetId="11">#REF!</definedName>
    <definedName name="JA" localSheetId="12">#REF!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1">#REF!</definedName>
    <definedName name="MES" localSheetId="12">#REF!</definedName>
    <definedName name="MES" localSheetId="4">#REF!</definedName>
    <definedName name="MES" localSheetId="8">#REF!</definedName>
    <definedName name="MES">#REF!</definedName>
    <definedName name="Q" localSheetId="7">[5]TARIF2002!#REF!</definedName>
    <definedName name="Q" localSheetId="11">[6]TARIF2002!#REF!</definedName>
    <definedName name="Q" localSheetId="12">[6]TARIF2002!#REF!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1">[2]TARIF2002!#REF!</definedName>
    <definedName name="QE" localSheetId="12">[2]TARIF2002!#REF!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1">[2]TARIF2002!#REF!</definedName>
    <definedName name="QE_TE" localSheetId="12">[2]TARIF2002!#REF!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1">[2]TARIF2002!#REF!</definedName>
    <definedName name="QI" localSheetId="12">[2]TARIF2002!#REF!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1">[2]TARIF2002!#REF!</definedName>
    <definedName name="QI_TI" localSheetId="12">[2]TARIF2002!#REF!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1">[2]TARIF2002!#REF!</definedName>
    <definedName name="QN" localSheetId="12">[2]TARIF2002!#REF!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1">[2]TARIF2002!#REF!</definedName>
    <definedName name="QN_QI" localSheetId="12">[2]TARIF2002!#REF!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1">[6]TARIF2002!#REF!</definedName>
    <definedName name="QNS" localSheetId="12">[6]TARIF2002!#REF!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1">#REF!</definedName>
    <definedName name="REG" localSheetId="12">#REF!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1">#REF!</definedName>
    <definedName name="REGULAR" localSheetId="12">#REF!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1">#REF!</definedName>
    <definedName name="SOL" localSheetId="12">#REF!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1">[2]TARIF2002!#REF!</definedName>
    <definedName name="TE" localSheetId="12">[2]TARIF2002!#REF!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1">[2]TARIF2002!#REF!</definedName>
    <definedName name="TI" localSheetId="12">[2]TARIF2002!#REF!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1">#REF!</definedName>
    <definedName name="TITU" localSheetId="12">#REF!</definedName>
    <definedName name="TITU" localSheetId="4">#REF!</definedName>
    <definedName name="TITU" localSheetId="8">#REF!</definedName>
    <definedName name="TITU">#REF!</definedName>
    <definedName name="TOT" localSheetId="7">#REF!</definedName>
    <definedName name="TOT" localSheetId="3">#REF!</definedName>
    <definedName name="TOT" localSheetId="11">#REF!</definedName>
    <definedName name="TOT" localSheetId="12">#REF!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H9" i="70" l="1"/>
  <c r="D110" i="118" l="1"/>
  <c r="D108" i="118"/>
  <c r="D93" i="118"/>
  <c r="D92" i="118"/>
  <c r="D90" i="118"/>
  <c r="E78" i="118"/>
  <c r="F78" i="118" s="1"/>
  <c r="D78" i="118"/>
  <c r="D75" i="118"/>
  <c r="E75" i="118" s="1"/>
  <c r="F75" i="118" s="1"/>
  <c r="E58" i="118"/>
  <c r="F58" i="118" s="1"/>
  <c r="D58" i="118"/>
  <c r="E57" i="118"/>
  <c r="F57" i="118" s="1"/>
  <c r="F55" i="118"/>
  <c r="E55" i="118"/>
  <c r="D55" i="118"/>
  <c r="F53" i="118"/>
  <c r="E53" i="118"/>
  <c r="E60" i="118" s="1"/>
  <c r="E61" i="118" s="1"/>
  <c r="D53" i="118"/>
  <c r="D40" i="118"/>
  <c r="D62" i="118" s="1"/>
  <c r="E38" i="118"/>
  <c r="F38" i="118" s="1"/>
  <c r="G38" i="118" s="1"/>
  <c r="H38" i="118" s="1"/>
  <c r="E37" i="118"/>
  <c r="F37" i="118" s="1"/>
  <c r="D35" i="118"/>
  <c r="D59" i="118" s="1"/>
  <c r="D77" i="118" s="1"/>
  <c r="J34" i="118"/>
  <c r="F33" i="118"/>
  <c r="J33" i="118" s="1"/>
  <c r="C32" i="118"/>
  <c r="C55" i="118" s="1"/>
  <c r="F31" i="118"/>
  <c r="J31" i="118" s="1"/>
  <c r="E31" i="118"/>
  <c r="D31" i="118"/>
  <c r="G31" i="118" s="1"/>
  <c r="J30" i="118"/>
  <c r="F30" i="118"/>
  <c r="E111" i="118" s="1"/>
  <c r="E30" i="118"/>
  <c r="D30" i="118"/>
  <c r="F29" i="118"/>
  <c r="E29" i="118"/>
  <c r="D29" i="118"/>
  <c r="D13" i="118"/>
  <c r="F11" i="118"/>
  <c r="F35" i="118" s="1"/>
  <c r="F59" i="118" s="1"/>
  <c r="F77" i="118" s="1"/>
  <c r="E11" i="118"/>
  <c r="E35" i="118" s="1"/>
  <c r="E59" i="118" s="1"/>
  <c r="E77" i="118" s="1"/>
  <c r="D11" i="118"/>
  <c r="J10" i="118"/>
  <c r="F10" i="118"/>
  <c r="E10" i="118"/>
  <c r="D10" i="118"/>
  <c r="D34" i="118" s="1"/>
  <c r="E34" i="118" s="1"/>
  <c r="F34" i="118" s="1"/>
  <c r="G34" i="118" s="1"/>
  <c r="H34" i="118" s="1"/>
  <c r="I9" i="118"/>
  <c r="F9" i="118"/>
  <c r="E9" i="118"/>
  <c r="E33" i="118" s="1"/>
  <c r="E56" i="118" s="1"/>
  <c r="F56" i="118" s="1"/>
  <c r="D9" i="118"/>
  <c r="D56" i="118" s="1"/>
  <c r="C9" i="118"/>
  <c r="C33" i="118" s="1"/>
  <c r="C56" i="118" s="1"/>
  <c r="E8" i="118"/>
  <c r="F8" i="118" s="1"/>
  <c r="I8" i="118" s="1"/>
  <c r="J8" i="118" s="1"/>
  <c r="D8" i="118"/>
  <c r="C8" i="118"/>
  <c r="I7" i="118"/>
  <c r="F7" i="118"/>
  <c r="E7" i="118"/>
  <c r="J7" i="118" s="1"/>
  <c r="E54" i="118" s="1"/>
  <c r="F54" i="118" s="1"/>
  <c r="D7" i="118"/>
  <c r="D76" i="118" s="1"/>
  <c r="D91" i="118" s="1"/>
  <c r="C7" i="118"/>
  <c r="C31" i="118" s="1"/>
  <c r="C54" i="118" s="1"/>
  <c r="E6" i="118"/>
  <c r="E12" i="118" s="1"/>
  <c r="D6" i="118"/>
  <c r="D12" i="118" s="1"/>
  <c r="C28" i="118"/>
  <c r="C51" i="118" s="1"/>
  <c r="C72" i="118" s="1"/>
  <c r="C87" i="118" s="1"/>
  <c r="F60" i="118" l="1"/>
  <c r="F61" i="118" s="1"/>
  <c r="G37" i="118"/>
  <c r="H37" i="118" s="1"/>
  <c r="J37" i="118"/>
  <c r="J38" i="118"/>
  <c r="E36" i="118"/>
  <c r="E39" i="118" s="1"/>
  <c r="D81" i="118"/>
  <c r="D109" i="118"/>
  <c r="F6" i="118"/>
  <c r="J9" i="118"/>
  <c r="I11" i="118"/>
  <c r="D74" i="118"/>
  <c r="E110" i="118"/>
  <c r="F110" i="118" s="1"/>
  <c r="L110" i="118" s="1"/>
  <c r="O110" i="118" s="1"/>
  <c r="D111" i="118"/>
  <c r="F111" i="118" s="1"/>
  <c r="L111" i="118" s="1"/>
  <c r="F36" i="118"/>
  <c r="F39" i="118" s="1"/>
  <c r="D107" i="118"/>
  <c r="H31" i="118"/>
  <c r="D33" i="118"/>
  <c r="D36" i="118" s="1"/>
  <c r="D39" i="118" s="1"/>
  <c r="D54" i="118"/>
  <c r="D60" i="118" s="1"/>
  <c r="D61" i="118" s="1"/>
  <c r="D89" i="118"/>
  <c r="D94" i="118" s="1"/>
  <c r="D109" i="117"/>
  <c r="E109" i="117"/>
  <c r="G35" i="118" l="1"/>
  <c r="G36" i="118" s="1"/>
  <c r="G39" i="118" s="1"/>
  <c r="J11" i="118"/>
  <c r="J6" i="118"/>
  <c r="I6" i="118"/>
  <c r="I12" i="118" s="1"/>
  <c r="E107" i="118"/>
  <c r="F12" i="118"/>
  <c r="F107" i="118"/>
  <c r="L107" i="118" s="1"/>
  <c r="F74" i="118"/>
  <c r="F79" i="118" s="1"/>
  <c r="F80" i="118" s="1"/>
  <c r="D79" i="118"/>
  <c r="D80" i="118" s="1"/>
  <c r="E74" i="118"/>
  <c r="E79" i="118" s="1"/>
  <c r="E80" i="118" s="1"/>
  <c r="E109" i="118"/>
  <c r="F109" i="118" s="1"/>
  <c r="L109" i="118" s="1"/>
  <c r="F53" i="117"/>
  <c r="J12" i="118" l="1"/>
  <c r="E108" i="118"/>
  <c r="F108" i="118" s="1"/>
  <c r="L108" i="118" s="1"/>
  <c r="H35" i="118"/>
  <c r="H36" i="118" s="1"/>
  <c r="H39" i="118" s="1"/>
  <c r="J35" i="118"/>
  <c r="J36" i="118" s="1"/>
  <c r="J39" i="118" s="1"/>
  <c r="E9" i="70"/>
  <c r="E110" i="117" l="1"/>
  <c r="D110" i="117" l="1"/>
  <c r="D108" i="117"/>
  <c r="D93" i="117"/>
  <c r="D92" i="117"/>
  <c r="D90" i="117"/>
  <c r="E78" i="117"/>
  <c r="F78" i="117" s="1"/>
  <c r="D78" i="117"/>
  <c r="D75" i="117"/>
  <c r="E75" i="117" s="1"/>
  <c r="F75" i="117" s="1"/>
  <c r="D58" i="117"/>
  <c r="E58" i="117" s="1"/>
  <c r="F58" i="117" s="1"/>
  <c r="E57" i="117"/>
  <c r="F57" i="117" s="1"/>
  <c r="F55" i="117"/>
  <c r="E55" i="117"/>
  <c r="D55" i="117"/>
  <c r="E53" i="117"/>
  <c r="D53" i="117"/>
  <c r="D40" i="117"/>
  <c r="D62" i="117" s="1"/>
  <c r="E38" i="117"/>
  <c r="F38" i="117" s="1"/>
  <c r="G38" i="117" s="1"/>
  <c r="H38" i="117" s="1"/>
  <c r="E37" i="117"/>
  <c r="F37" i="117" s="1"/>
  <c r="D35" i="117"/>
  <c r="D59" i="117" s="1"/>
  <c r="D77" i="117" s="1"/>
  <c r="J34" i="117"/>
  <c r="F33" i="117"/>
  <c r="J33" i="117" s="1"/>
  <c r="C32" i="117"/>
  <c r="C55" i="117" s="1"/>
  <c r="F31" i="117"/>
  <c r="J31" i="117" s="1"/>
  <c r="E31" i="117"/>
  <c r="D31" i="117"/>
  <c r="G31" i="117" s="1"/>
  <c r="J30" i="117"/>
  <c r="F30" i="117"/>
  <c r="E111" i="117" s="1"/>
  <c r="D30" i="117"/>
  <c r="F29" i="117"/>
  <c r="E29" i="117"/>
  <c r="D29" i="117"/>
  <c r="D13" i="117"/>
  <c r="F11" i="117"/>
  <c r="F35" i="117" s="1"/>
  <c r="F59" i="117" s="1"/>
  <c r="F77" i="117" s="1"/>
  <c r="E11" i="117"/>
  <c r="E35" i="117" s="1"/>
  <c r="E59" i="117" s="1"/>
  <c r="E77" i="117" s="1"/>
  <c r="D11" i="117"/>
  <c r="J10" i="117"/>
  <c r="F10" i="117"/>
  <c r="E10" i="117"/>
  <c r="D10" i="117"/>
  <c r="D34" i="117" s="1"/>
  <c r="E34" i="117" s="1"/>
  <c r="F34" i="117" s="1"/>
  <c r="G34" i="117" s="1"/>
  <c r="H34" i="117" s="1"/>
  <c r="I9" i="117"/>
  <c r="F9" i="117"/>
  <c r="E9" i="117"/>
  <c r="E33" i="117" s="1"/>
  <c r="E56" i="117" s="1"/>
  <c r="F56" i="117" s="1"/>
  <c r="D9" i="117"/>
  <c r="D56" i="117" s="1"/>
  <c r="C9" i="117"/>
  <c r="C33" i="117" s="1"/>
  <c r="C56" i="117" s="1"/>
  <c r="E8" i="117"/>
  <c r="F8" i="117" s="1"/>
  <c r="I8" i="117" s="1"/>
  <c r="J8" i="117" s="1"/>
  <c r="D8" i="117"/>
  <c r="C8" i="117"/>
  <c r="I7" i="117"/>
  <c r="F7" i="117"/>
  <c r="E7" i="117"/>
  <c r="J7" i="117" s="1"/>
  <c r="E54" i="117" s="1"/>
  <c r="F54" i="117" s="1"/>
  <c r="D7" i="117"/>
  <c r="D76" i="117" s="1"/>
  <c r="D91" i="117" s="1"/>
  <c r="C7" i="117"/>
  <c r="C31" i="117" s="1"/>
  <c r="C54" i="117" s="1"/>
  <c r="E6" i="117"/>
  <c r="E12" i="117" s="1"/>
  <c r="D6" i="117"/>
  <c r="D12" i="117" s="1"/>
  <c r="C28" i="117"/>
  <c r="C51" i="117" s="1"/>
  <c r="C72" i="117" s="1"/>
  <c r="C87" i="117" s="1"/>
  <c r="C4" i="91"/>
  <c r="E60" i="117" l="1"/>
  <c r="E61" i="117" s="1"/>
  <c r="F60" i="117"/>
  <c r="F61" i="117" s="1"/>
  <c r="G37" i="117"/>
  <c r="H37" i="117" s="1"/>
  <c r="J37" i="117"/>
  <c r="J38" i="117"/>
  <c r="F36" i="117"/>
  <c r="F39" i="117" s="1"/>
  <c r="D107" i="117"/>
  <c r="F6" i="117"/>
  <c r="J9" i="117"/>
  <c r="I11" i="117"/>
  <c r="D74" i="117"/>
  <c r="F110" i="117"/>
  <c r="L110" i="117" s="1"/>
  <c r="D111" i="117"/>
  <c r="F111" i="117" s="1"/>
  <c r="L111" i="117" s="1"/>
  <c r="D81" i="117"/>
  <c r="E30" i="117"/>
  <c r="E36" i="117" s="1"/>
  <c r="E39" i="117" s="1"/>
  <c r="H31" i="117"/>
  <c r="D33" i="117"/>
  <c r="D36" i="117" s="1"/>
  <c r="D39" i="117" s="1"/>
  <c r="D54" i="117"/>
  <c r="D60" i="117" s="1"/>
  <c r="D61" i="117" s="1"/>
  <c r="D89" i="117"/>
  <c r="D94" i="117" s="1"/>
  <c r="H6" i="1"/>
  <c r="J6" i="117" l="1"/>
  <c r="I6" i="117"/>
  <c r="I12" i="117" s="1"/>
  <c r="E107" i="117"/>
  <c r="F12" i="117"/>
  <c r="F74" i="117"/>
  <c r="F79" i="117" s="1"/>
  <c r="F80" i="117" s="1"/>
  <c r="D79" i="117"/>
  <c r="D80" i="117" s="1"/>
  <c r="E74" i="117"/>
  <c r="E79" i="117" s="1"/>
  <c r="E80" i="117" s="1"/>
  <c r="F109" i="117"/>
  <c r="L109" i="117" s="1"/>
  <c r="G35" i="117"/>
  <c r="G36" i="117" s="1"/>
  <c r="G39" i="117" s="1"/>
  <c r="J11" i="117"/>
  <c r="F107" i="117"/>
  <c r="L107" i="117" s="1"/>
  <c r="F53" i="91"/>
  <c r="H35" i="117" l="1"/>
  <c r="H36" i="117" s="1"/>
  <c r="H39" i="117" s="1"/>
  <c r="J35" i="117"/>
  <c r="J36" i="117" s="1"/>
  <c r="J39" i="117" s="1"/>
  <c r="J12" i="117"/>
  <c r="E108" i="117"/>
  <c r="F108" i="117" s="1"/>
  <c r="L108" i="117" s="1"/>
  <c r="K217" i="114"/>
  <c r="K85" i="114" l="1"/>
  <c r="C9" i="70" l="1"/>
  <c r="K80" i="114" l="1"/>
  <c r="E8" i="4" l="1"/>
  <c r="C8" i="4"/>
  <c r="E7" i="91" l="1"/>
  <c r="J7" i="91" s="1"/>
  <c r="U11" i="70" l="1"/>
  <c r="T11" i="70"/>
  <c r="S11" i="70"/>
  <c r="R11" i="70"/>
  <c r="Q11" i="70"/>
  <c r="P11" i="70"/>
  <c r="O11" i="70"/>
  <c r="N11" i="70"/>
  <c r="I7" i="70"/>
  <c r="J7" i="70" s="1"/>
  <c r="J9" i="70" s="1"/>
  <c r="I9" i="70" l="1"/>
  <c r="E11" i="1" l="1"/>
  <c r="C11" i="1"/>
  <c r="B11" i="1"/>
  <c r="C32" i="106"/>
  <c r="C21" i="106"/>
  <c r="D7" i="1" l="1"/>
  <c r="K75" i="114" l="1"/>
  <c r="K73" i="114"/>
  <c r="H11" i="4"/>
  <c r="K78" i="114" s="1"/>
  <c r="K74" i="114"/>
  <c r="D58" i="91" l="1"/>
  <c r="B8" i="1" l="1"/>
  <c r="B6" i="95" l="1"/>
  <c r="G6" i="1" l="1"/>
  <c r="D6" i="1"/>
  <c r="J34" i="91" l="1"/>
  <c r="A2" i="116" l="1"/>
  <c r="E13" i="116"/>
  <c r="F13" i="116" s="1"/>
  <c r="E7" i="116"/>
  <c r="C13" i="116"/>
  <c r="D13" i="116" s="1"/>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G16" i="95"/>
  <c r="F16" i="95"/>
  <c r="G15" i="95"/>
  <c r="F15" i="95"/>
  <c r="E15" i="95"/>
  <c r="D15" i="95"/>
  <c r="A13" i="95"/>
  <c r="C12" i="95"/>
  <c r="D12" i="95" s="1"/>
  <c r="E12" i="95" s="1"/>
  <c r="A12" i="95"/>
  <c r="A11" i="95"/>
  <c r="G9" i="95"/>
  <c r="F9" i="95"/>
  <c r="K197" i="114" s="1"/>
  <c r="E9" i="95"/>
  <c r="F8" i="4" s="1"/>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8"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B12" i="70" l="1"/>
  <c r="C12" i="70" s="1"/>
  <c r="D12" i="70" s="1"/>
  <c r="J12" i="70" s="1"/>
  <c r="D8" i="107"/>
  <c r="F8" i="107" s="1"/>
  <c r="H8" i="107" s="1"/>
  <c r="J8" i="107" s="1"/>
  <c r="L8" i="107" s="1"/>
  <c r="N8" i="107" s="1"/>
  <c r="D16" i="1"/>
  <c r="E16" i="116" s="1"/>
  <c r="F16" i="116" s="1"/>
  <c r="C16" i="116"/>
  <c r="D16" i="116" s="1"/>
  <c r="G17" i="95"/>
  <c r="F15" i="108" s="1"/>
  <c r="L15" i="108" s="1"/>
  <c r="K84" i="114"/>
  <c r="D76" i="9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K20" i="114" s="1"/>
  <c r="F6" i="1"/>
  <c r="C6" i="1"/>
  <c r="K67" i="114"/>
  <c r="K62" i="114"/>
  <c r="K45" i="114"/>
  <c r="B9" i="108"/>
  <c r="B10" i="108" s="1"/>
  <c r="K189"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E109" i="91" s="1"/>
  <c r="G13" i="95"/>
  <c r="E13" i="95"/>
  <c r="F14" i="4" s="1"/>
  <c r="D7" i="95"/>
  <c r="D17" i="95"/>
  <c r="F17" i="95" s="1"/>
  <c r="C15" i="108" s="1"/>
  <c r="I15" i="108" s="1"/>
  <c r="O15" i="108" s="1"/>
  <c r="E8" i="95"/>
  <c r="K86" i="114" s="1"/>
  <c r="F14" i="70"/>
  <c r="H14" i="70" s="1"/>
  <c r="J14" i="70" s="1"/>
  <c r="F12" i="95"/>
  <c r="G12" i="95"/>
  <c r="F8" i="95"/>
  <c r="F13" i="95"/>
  <c r="B15" i="108"/>
  <c r="M15" i="108"/>
  <c r="I11" i="70"/>
  <c r="E110" i="91"/>
  <c r="G21" i="108"/>
  <c r="K21" i="108" s="1"/>
  <c r="O21" i="108" s="1"/>
  <c r="E21" i="108"/>
  <c r="H21" i="108" s="1"/>
  <c r="L21" i="108" s="1"/>
  <c r="F21" i="108"/>
  <c r="E12" i="70"/>
  <c r="F12" i="70" s="1"/>
  <c r="I12" i="70"/>
  <c r="E8" i="70"/>
  <c r="D10" i="108" l="1"/>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44" i="114"/>
  <c r="F10" i="95"/>
  <c r="K196" i="114"/>
  <c r="K37" i="114"/>
  <c r="D15" i="108"/>
  <c r="H15" i="108"/>
  <c r="N15" i="108" s="1"/>
  <c r="H8" i="70"/>
  <c r="G12" i="70"/>
  <c r="H12" i="70"/>
  <c r="I21" i="108"/>
  <c r="M21" i="108" s="1"/>
  <c r="J21" i="108"/>
  <c r="K69" i="114" l="1"/>
  <c r="K26" i="114"/>
  <c r="K82" i="114"/>
  <c r="K222" i="114"/>
  <c r="L109" i="91"/>
  <c r="C11" i="95"/>
  <c r="I31" i="106"/>
  <c r="E123" i="114"/>
  <c r="E115" i="114"/>
  <c r="E114" i="114"/>
  <c r="G14" i="95"/>
  <c r="D14" i="95"/>
  <c r="E14" i="95" s="1"/>
  <c r="K71" i="114"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H35" i="91" l="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<sst xmlns="http://schemas.openxmlformats.org/spreadsheetml/2006/main" count="1684" uniqueCount="711">
  <si>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</si>
  <si>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</si>
  <si>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</si>
  <si>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</si>
  <si>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</si>
  <si>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</si>
  <si>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</si>
  <si>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</si>
  <si>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</si>
  <si>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</si>
  <si>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</si>
  <si>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</si>
  <si>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</si>
  <si>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</si>
  <si>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</si>
  <si>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</si>
  <si>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</si>
  <si>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</si>
  <si>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</si>
  <si>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</si>
  <si>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</si>
  <si>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</si>
  <si>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</si>
  <si>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</si>
  <si>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</si>
  <si>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</si>
  <si>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</si>
  <si>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</si>
  <si>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</si>
  <si>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</si>
  <si>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</si>
  <si>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</si>
  <si>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</si>
  <si>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</si>
  <si>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</si>
  <si>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</si>
  <si>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</si>
  <si>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</si>
  <si>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</si>
  <si>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</si>
  <si>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</si>
  <si>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</si>
  <si>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</si>
  <si>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</si>
  <si>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</si>
  <si>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</si>
  <si>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</si>
  <si>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</si>
  <si>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</si>
  <si>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</si>
  <si>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</si>
  <si>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</si>
  <si>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</si>
  <si>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</si>
  <si>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</si>
  <si>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</si>
  <si>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</si>
  <si>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</si>
  <si>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</si>
  <si>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</si>
  <si>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</si>
  <si>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</si>
  <si>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</si>
  <si>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</si>
  <si>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</si>
  <si>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</si>
  <si>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</si>
  <si>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</si>
  <si>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</si>
  <si>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</si>
  <si>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</si>
  <si>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</si>
  <si>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</si>
  <si>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</si>
  <si>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</si>
  <si>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</si>
  <si>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</si>
  <si>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</si>
  <si>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</si>
  <si>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</si>
  <si>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</si>
  <si>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</si>
  <si>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</si>
  <si>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</si>
  <si>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</si>
  <si>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</si>
  <si>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</si>
  <si>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</si>
  <si>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</si>
  <si>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</si>
  <si>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</si>
  <si>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</si>
  <si>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</si>
  <si>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</si>
  <si>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</si>
  <si>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</si>
  <si>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</si>
  <si>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</si>
  <si>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</si>
  <si>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</si>
  <si>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</si>
  <si>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</si>
  <si>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</si>
  <si>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</si>
  <si>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</si>
  <si>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</si>
  <si>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</si>
  <si>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</si>
  <si>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</si>
  <si>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</si>
  <si>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</si>
  <si>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</si>
  <si>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</si>
  <si>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</si>
  <si>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</si>
  <si>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</si>
  <si>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</si>
  <si>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</si>
  <si>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</si>
  <si>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</si>
  <si>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</si>
  <si>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</si>
  <si>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</si>
  <si>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</si>
  <si>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</si>
  <si>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</si>
  <si>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</si>
  <si>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</si>
  <si>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</si>
  <si>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</si>
  <si>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</si>
  <si>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</si>
  <si>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</si>
  <si>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</si>
  <si>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</si>
  <si>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</si>
  <si>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</si>
  <si>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</si>
  <si>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</si>
  <si>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</si>
  <si>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</si>
  <si>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</si>
  <si>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</si>
  <si>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</si>
  <si>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</si>
  <si>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</si>
  <si>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</si>
  <si>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</si>
  <si>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</si>
  <si>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</si>
  <si>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</si>
  <si>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</si>
  <si>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</si>
  <si>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</si>
  <si>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</si>
  <si>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</si>
  <si>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</si>
  <si>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</si>
  <si>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</si>
  <si>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</si>
  <si>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</si>
  <si>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</si>
  <si>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</si>
  <si>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</si>
  <si>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</si>
  <si>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</si>
  <si>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</si>
  <si>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</si>
  <si>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</si>
  <si>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</si>
  <si>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</si>
  <si>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</si>
  <si>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</si>
  <si>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</si>
  <si>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</si>
  <si>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</si>
  <si>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</si>
  <si>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</si>
  <si>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</si>
  <si>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</si>
  <si>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</si>
  <si>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</si>
  <si>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</si>
  <si>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</si>
  <si>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</si>
  <si>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</si>
  <si>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</si>
  <si>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</si>
  <si>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</si>
  <si>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</si>
  <si>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</si>
  <si>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</si>
  <si>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</si>
  <si>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</si>
  <si>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</si>
  <si>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</si>
  <si>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</si>
  <si>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</si>
  <si>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</si>
  <si>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</si>
  <si>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</si>
  <si>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</si>
  <si>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</si>
  <si>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</si>
  <si>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</si>
  <si>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</si>
  <si>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</si>
  <si>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</si>
  <si>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</si>
  <si>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</si>
  <si>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</si>
  <si>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</si>
  <si>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</si>
  <si>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</si>
  <si>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</si>
  <si>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</si>
  <si>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</si>
  <si>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</si>
  <si>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</si>
  <si>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</si>
  <si>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</si>
  <si>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</si>
  <si>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</si>
  <si>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</si>
  <si>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</si>
  <si>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</si>
  <si>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</si>
  <si>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</si>
  <si>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</si>
  <si>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</si>
  <si>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</si>
  <si>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</si>
  <si>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</si>
  <si>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</si>
  <si>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</si>
  <si>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</si>
  <si>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</si>
  <si>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</si>
  <si>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</si>
  <si>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</si>
  <si>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</si>
  <si>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</si>
  <si>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</si>
  <si>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</si>
  <si>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</si>
  <si>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</si>
  <si>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</si>
  <si>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</si>
  <si>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</si>
  <si>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</si>
  <si>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</si>
  <si>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</si>
  <si>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</si>
  <si>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</si>
  <si>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</si>
  <si>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</si>
  <si>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</si>
  <si>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</si>
  <si>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</si>
  <si>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</si>
  <si>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</si>
  <si>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</si>
  <si>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</si>
  <si>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</si>
  <si>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</si>
  <si>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</si>
  <si>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</si>
  <si>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</si>
  <si>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</si>
  <si>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</si>
  <si>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</si>
  <si>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</si>
  <si>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</si>
  <si>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</si>
  <si>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</si>
  <si>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</si>
  <si>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</si>
  <si>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</si>
  <si>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</si>
  <si>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</si>
  <si>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</si>
  <si>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</si>
  <si>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</si>
  <si>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</si>
  <si>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</si>
  <si>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</si>
  <si>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</si>
  <si>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</si>
  <si>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</si>
  <si>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</si>
  <si>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</si>
  <si>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</si>
  <si>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</si>
  <si>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</si>
  <si>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</si>
  <si>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</si>
  <si>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</si>
  <si>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</si>
  <si>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</si>
  <si>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</si>
  <si>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</si>
  <si>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</si>
  <si>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</si>
  <si>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</si>
  <si>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</si>
  <si>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</si>
  <si>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</si>
  <si>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</si>
  <si>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</si>
  <si>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</si>
  <si>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</si>
  <si>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</si>
  <si>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</si>
  <si>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</si>
  <si>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</si>
  <si>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</si>
  <si>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</si>
  <si>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</si>
  <si>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</si>
  <si>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</si>
  <si>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</si>
  <si>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</si>
  <si>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</si>
  <si>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</si>
  <si>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</si>
  <si>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</si>
  <si>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</si>
  <si>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</si>
  <si>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</si>
  <si>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</si>
  <si>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</si>
  <si>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</si>
  <si>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</si>
  <si>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</si>
  <si>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</si>
  <si>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</si>
  <si>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</si>
  <si>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</si>
  <si>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</si>
  <si>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</si>
  <si>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</si>
  <si>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</si>
  <si>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</si>
  <si>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</si>
  <si>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</si>
  <si>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</si>
  <si>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</si>
  <si>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</si>
  <si>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</si>
  <si>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</si>
  <si>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</si>
  <si>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</si>
  <si>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</si>
  <si>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</si>
  <si>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</si>
  <si>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</si>
  <si>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</si>
  <si>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</si>
  <si>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</si>
  <si>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</si>
  <si>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</si>
  <si>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</si>
  <si>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</si>
  <si>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</si>
  <si>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</si>
  <si>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</si>
  <si>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</si>
  <si>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</si>
  <si>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</si>
  <si>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</si>
  <si>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</si>
  <si>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</si>
  <si>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</si>
  <si>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</si>
  <si>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</si>
  <si>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</si>
  <si>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</si>
  <si>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</si>
  <si>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</si>
  <si>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</si>
  <si>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</si>
  <si>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</si>
  <si>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</si>
  <si>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</si>
  <si>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</si>
  <si>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</si>
  <si>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</si>
  <si>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</si>
  <si>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</si>
  <si>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</si>
  <si>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</si>
  <si>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</si>
  <si>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</si>
  <si>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</si>
  <si>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</si>
  <si>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</si>
  <si>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</si>
  <si>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</si>
  <si>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</si>
  <si>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</si>
  <si>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</si>
  <si>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</si>
  <si>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</si>
  <si>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</si>
  <si>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</si>
  <si>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</si>
  <si>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</si>
  <si>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</si>
  <si>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</si>
  <si>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</si>
  <si>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</si>
  <si>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</si>
  <si>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</si>
  <si>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</si>
  <si>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</si>
  <si>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</si>
  <si>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</si>
  <si>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</si>
  <si>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</si>
  <si>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</si>
  <si>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</si>
  <si>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</si>
  <si>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</si>
  <si>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</si>
  <si>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</si>
  <si>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</si>
  <si>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</si>
  <si>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</si>
  <si>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</si>
  <si>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</si>
  <si>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</si>
  <si>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</si>
  <si>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</si>
  <si>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</si>
  <si>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</si>
  <si>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</si>
  <si>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</si>
  <si>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</si>
  <si>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</si>
  <si>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</si>
  <si>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</si>
  <si>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</si>
  <si>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</si>
  <si>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</si>
  <si>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</si>
  <si>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</si>
  <si>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</si>
  <si>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</si>
  <si>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</si>
  <si>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</si>
  <si>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</si>
  <si>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</si>
  <si>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</si>
  <si>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</si>
  <si>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</si>
  <si>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</si>
  <si>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</si>
  <si>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</si>
  <si>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</si>
  <si>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</si>
  <si>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</si>
  <si>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</si>
  <si>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</si>
  <si>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</si>
  <si>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</si>
  <si>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</si>
  <si>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</si>
  <si>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</si>
  <si>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</si>
  <si>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</si>
  <si>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</si>
  <si>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</si>
  <si>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</si>
  <si>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</si>
  <si>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</si>
  <si>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</si>
  <si>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</si>
  <si>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</si>
  <si>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</si>
  <si>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</si>
  <si>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</si>
  <si>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</si>
  <si>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</si>
  <si>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</si>
  <si>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</si>
  <si>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</si>
  <si>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</si>
  <si>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</si>
  <si>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</si>
  <si>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</si>
  <si>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</si>
  <si>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</si>
  <si>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</si>
  <si>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</si>
  <si>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</si>
  <si>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</si>
  <si>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</si>
  <si>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</si>
  <si>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</si>
  <si>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</si>
  <si>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</si>
  <si>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</si>
  <si>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</si>
  <si>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</si>
  <si>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</si>
  <si>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</si>
  <si>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</si>
  <si>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</si>
  <si>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</si>
  <si>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</si>
  <si>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</si>
  <si>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</si>
  <si>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</si>
  <si>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</si>
  <si>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</si>
  <si>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</si>
  <si>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</si>
  <si>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</si>
  <si>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</si>
  <si>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</si>
  <si>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</si>
  <si>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</si>
  <si>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</si>
  <si>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</si>
  <si>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</si>
  <si>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</si>
  <si>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</si>
  <si>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</si>
  <si>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</si>
  <si>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</si>
  <si>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</si>
  <si>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</si>
  <si>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</si>
  <si>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</si>
  <si>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</si>
  <si>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</si>
  <si>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</si>
  <si>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</si>
  <si>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</si>
  <si>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</si>
  <si>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</si>
  <si>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</si>
  <si>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</si>
  <si>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</si>
  <si>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</si>
  <si>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</si>
  <si>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</si>
  <si>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</si>
  <si>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</si>
  <si>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</si>
  <si>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</si>
  <si>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</si>
  <si>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</si>
  <si>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</si>
  <si>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</si>
  <si>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</si>
  <si>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</si>
  <si>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</si>
  <si>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</si>
  <si>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</si>
  <si>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</si>
  <si>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</si>
  <si>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</si>
  <si>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</si>
  <si>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</si>
  <si>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</si>
  <si>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</si>
  <si>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</si>
  <si>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</si>
  <si>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</si>
  <si>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</si>
  <si>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</si>
  <si>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</si>
  <si>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</si>
  <si>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</si>
  <si>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</si>
  <si>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</si>
  <si>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</si>
  <si>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</si>
  <si>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</si>
  <si>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</si>
  <si>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</si>
  <si>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</si>
  <si>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</si>
  <si>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</si>
  <si>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</si>
  <si>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</si>
  <si>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</si>
  <si>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</si>
  <si>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</si>
  <si>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</si>
  <si>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</si>
  <si>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</si>
  <si>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</si>
  <si>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</si>
  <si>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</si>
  <si>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</si>
  <si>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</si>
  <si>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</si>
  <si>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</si>
  <si>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</si>
  <si>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</si>
  <si>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</si>
  <si>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</si>
  <si>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</si>
  <si>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</si>
  <si>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</si>
  <si>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</si>
  <si>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</si>
  <si>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</si>
  <si>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</si>
  <si>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</si>
  <si>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</si>
  <si>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</si>
  <si>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</si>
  <si>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</si>
  <si>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</si>
  <si>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</si>
  <si>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</si>
  <si>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</si>
  <si>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</si>
  <si>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</si>
  <si>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</si>
  <si>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</si>
  <si>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</si>
  <si>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</si>
  <si>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</si>
  <si>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</si>
  <si>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</si>
  <si>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</si>
  <si>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</si>
  <si>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</si>
  <si>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</si>
  <si>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</si>
  <si>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</si>
  <si>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</si>
  <si>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</si>
  <si>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</si>
  <si>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</si>
  <si>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</si>
  <si>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</si>
  <si>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</si>
  <si>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</si>
  <si>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</si>
  <si>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</si>
  <si>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</si>
  <si>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</si>
  <si>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</si>
  <si>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</si>
  <si>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</si>
  <si>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</si>
  <si>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</si>
  <si>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</si>
  <si>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</si>
  <si>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</si>
  <si>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</si>
  <si>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</si>
  <si>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</si>
  <si>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</si>
  <si>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</si>
  <si>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</si>
  <si>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</si>
  <si>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</si>
  <si>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</si>
  <si>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</si>
  <si>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</si>
  <si>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</si>
  <si>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</si>
  <si>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</si>
  <si>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</si>
  <si>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</si>
  <si>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</si>
  <si>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</si>
  <si>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</si>
  <si>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</si>
  <si>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</si>
  <si>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</si>
  <si>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</si>
  <si>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</si>
  <si>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</si>
  <si>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</si>
  <si>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</si>
  <si>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</si>
  <si>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</si>
  <si>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</si>
  <si>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</si>
  <si>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</si>
  <si>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</si>
  <si>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</si>
  <si>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</si>
  <si>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</si>
  <si>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</si>
  <si>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</si>
  <si>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</si>
  <si>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</si>
  <si>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</si>
  <si>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</si>
  <si>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</si>
  <si>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</si>
  <si>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</si>
  <si>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</si>
  <si>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Barranca Nacional</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</si>
  <si>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</si>
  <si>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Avigás</t>
  </si>
  <si>
    <r>
      <t>Importado</t>
    </r>
    <r>
      <rPr>
        <b/>
        <sz val="8"/>
        <color theme="0"/>
        <rFont val="Arial"/>
        <family val="2"/>
      </rPr>
      <t xml:space="preserve"> (4)</t>
    </r>
  </si>
  <si>
    <t>01 DE JUNIO DE 2020</t>
  </si>
  <si>
    <t>22 DE JUNIO 2020</t>
  </si>
  <si>
    <t>(3*)</t>
  </si>
  <si>
    <t xml:space="preserve">(4) Precio sujeto a variación, a la fecha se encuentra en verificación de aspectos tributarios concernientes a la importación en virtud a lo establecido en el decreto 575 del 15 de abril de 2020. Se encuentra en verificación el IVA aplicable para importación del Avgas conforme al Concepto DIAN 100208221-624 de la Subdirección de Gestión Normativa y Doctrina.
 </t>
  </si>
  <si>
    <t>(3*)Es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 
Aplicación de IVA de acuerdo a Concepto DIAN 100208221-624 de la Subdirección de Gestión Normativa y Doctrina, el Avgas de origen importado está gravado con un IVA del 19%.</t>
  </si>
  <si>
    <t>1 DE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</si>
</sst>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
      <sz val="11"/>
      <color theme="5" tint="0.39997558519241921"/>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793">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43"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43" fontId="25" fillId="0" borderId="52" xfId="17" applyFont="1" applyFill="1" applyBorder="1" applyAlignment="1" applyProtection="1">
      <alignment horizontal="right" vertical="center" wrapText="1"/>
      <protection hidden="1"/>
    </xf>
    <xf numFmtId="43"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43" fontId="24" fillId="0" borderId="41" xfId="17" applyFont="1" applyFill="1" applyBorder="1" applyAlignment="1" applyProtection="1">
      <alignment horizontal="right" vertical="center"/>
      <protection hidden="1"/>
    </xf>
    <xf numFmtId="43" fontId="47" fillId="0" borderId="0" xfId="17"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9" fontId="24" fillId="0" borderId="0" xfId="0" applyNumberFormat="1" applyFont="1" applyAlignment="1" applyProtection="1">
      <alignment vertical="center"/>
      <protection hidden="1"/>
    </xf>
    <xf numFmtId="0" fontId="101" fillId="0" borderId="0" xfId="0" applyFont="1" applyAlignment="1" applyProtection="1">
      <alignment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62" fillId="0" borderId="0" xfId="21" applyFont="1" applyAlignment="1">
      <alignment horizontal="justify" wrapText="1"/>
    </xf>
    <xf numFmtId="0" fontId="39" fillId="12" borderId="13"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0" fontId="63" fillId="0" borderId="0" xfId="21" applyFont="1" applyAlignment="1">
      <alignment horizontal="left"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8" xfId="30" applyFont="1" applyBorder="1" applyAlignment="1">
      <alignment horizontal="left"/>
    </xf>
    <xf numFmtId="0" fontId="12" fillId="0" borderId="2"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7" fillId="0" borderId="95" xfId="30" applyFont="1" applyBorder="1" applyAlignment="1">
      <alignment horizontal="center"/>
    </xf>
    <xf numFmtId="0" fontId="7" fillId="0" borderId="96" xfId="30" applyFont="1" applyBorder="1" applyAlignment="1">
      <alignment horizontal="center"/>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Border="1" applyAlignment="1" applyProtection="1">
      <alignment horizontal="left" vertical="top" wrapText="1"/>
      <protection hidden="1"/>
    </xf>
    <xf numFmtId="0" fontId="51" fillId="6" borderId="0" xfId="0" applyFont="1" applyFill="1" applyBorder="1" applyAlignment="1" applyProtection="1">
      <alignment horizontal="center" vertical="center"/>
      <protection hidden="1"/>
    </xf>
    <xf numFmtId="0" fontId="51" fillId="6" borderId="63" xfId="0" applyFont="1" applyFill="1" applyBorder="1" applyAlignment="1" applyProtection="1">
      <alignment horizontal="center" vertical="center"/>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166" fontId="49" fillId="2" borderId="0" xfId="24" applyFont="1" applyFill="1" applyAlignment="1" applyProtection="1">
      <alignment horizontal="center" vertical="center"/>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5" t="s">
        <v>364</v>
      </c>
      <c r="C1" s="466">
        <v>490</v>
      </c>
    </row>
    <row r="2" spans="2:4">
      <c r="B2" s="465" t="s">
        <v>365</v>
      </c>
      <c r="C2" s="466">
        <v>469</v>
      </c>
    </row>
    <row r="3" spans="2:4">
      <c r="B3" s="465" t="s">
        <v>347</v>
      </c>
      <c r="C3" s="466">
        <v>930</v>
      </c>
    </row>
    <row r="4" spans="2:4" hidden="1" outlineLevel="1">
      <c r="B4" s="465" t="s">
        <v>348</v>
      </c>
      <c r="C4" s="466">
        <v>1109.5455419999998</v>
      </c>
    </row>
    <row r="5" spans="2:4" hidden="1" outlineLevel="1">
      <c r="B5" s="465" t="s">
        <v>349</v>
      </c>
      <c r="C5" s="466">
        <v>529.41173003999995</v>
      </c>
    </row>
    <row r="6" spans="2:4" collapsed="1">
      <c r="B6" s="465" t="s">
        <v>353</v>
      </c>
      <c r="C6" s="466">
        <v>965.24</v>
      </c>
    </row>
    <row r="7" spans="2:4">
      <c r="B7" s="465" t="s">
        <v>355</v>
      </c>
      <c r="C7" s="466">
        <v>1021.31</v>
      </c>
    </row>
    <row r="8" spans="2:4">
      <c r="B8" s="465" t="s">
        <v>354</v>
      </c>
      <c r="C8" s="466">
        <v>639.51</v>
      </c>
    </row>
    <row r="9" spans="2:4">
      <c r="B9" s="465" t="s">
        <v>379</v>
      </c>
      <c r="C9" s="466">
        <v>597.75187500000004</v>
      </c>
    </row>
    <row r="10" spans="2:4">
      <c r="B10" s="465" t="s">
        <v>367</v>
      </c>
      <c r="C10" s="466">
        <v>135</v>
      </c>
    </row>
    <row r="11" spans="2:4">
      <c r="B11" s="465" t="s">
        <v>368</v>
      </c>
      <c r="C11" s="466">
        <v>152</v>
      </c>
    </row>
    <row r="12" spans="2:4">
      <c r="B12" s="465" t="s">
        <v>369</v>
      </c>
      <c r="C12" s="466">
        <v>148</v>
      </c>
    </row>
    <row r="13" spans="2:4">
      <c r="B13" s="465" t="s">
        <v>370</v>
      </c>
      <c r="C13" s="466">
        <v>177</v>
      </c>
    </row>
    <row r="14" spans="2:4">
      <c r="B14" s="464" t="s">
        <v>380</v>
      </c>
      <c r="C14" s="472">
        <v>5.7500000000000002E-2</v>
      </c>
    </row>
    <row r="15" spans="2:4">
      <c r="B15" s="464" t="s">
        <v>620</v>
      </c>
      <c r="C15" s="472">
        <v>4.0899999999999999E-2</v>
      </c>
      <c r="D15" s="473"/>
    </row>
    <row r="16" spans="2:4">
      <c r="B16" s="464" t="s">
        <v>630</v>
      </c>
      <c r="C16" s="472">
        <v>3.1800000000000002E-2</v>
      </c>
      <c r="D16" s="473"/>
    </row>
    <row r="17" spans="2:12" s="138" customFormat="1">
      <c r="B17" s="654" t="str">
        <f>+'COMBUSTIBLES '!A1</f>
        <v>1 DE JUNIO 2020</v>
      </c>
      <c r="C17" s="145" t="s">
        <v>268</v>
      </c>
      <c r="E17" s="654" t="s">
        <v>8</v>
      </c>
      <c r="F17" s="654"/>
      <c r="G17" s="654"/>
    </row>
    <row r="18" spans="2:12" s="138" customFormat="1">
      <c r="B18" s="654"/>
      <c r="C18" s="146" t="s">
        <v>175</v>
      </c>
      <c r="D18" s="147"/>
      <c r="E18" s="655" t="s">
        <v>175</v>
      </c>
      <c r="F18" s="655"/>
      <c r="G18" s="655"/>
    </row>
    <row r="19" spans="2:12" s="138" customFormat="1">
      <c r="B19" s="654"/>
      <c r="C19" s="148" t="s">
        <v>179</v>
      </c>
      <c r="D19" s="147"/>
      <c r="E19" s="148" t="s">
        <v>176</v>
      </c>
      <c r="F19" s="148" t="s">
        <v>177</v>
      </c>
      <c r="G19" s="148" t="s">
        <v>178</v>
      </c>
      <c r="I19" s="138">
        <f>1555*1.0244</f>
        <v>1592.942</v>
      </c>
    </row>
    <row r="20" spans="2:12" ht="15">
      <c r="B20" s="142" t="s">
        <v>25</v>
      </c>
      <c r="C20" s="458">
        <v>546.26</v>
      </c>
      <c r="D20" s="140"/>
      <c r="E20" s="143">
        <v>5078.7700000000004</v>
      </c>
      <c r="F20" s="143">
        <v>1900</v>
      </c>
      <c r="G20" s="143">
        <v>1900</v>
      </c>
      <c r="H20" s="300"/>
      <c r="I20" s="295"/>
      <c r="J20" s="295"/>
      <c r="K20" s="295"/>
      <c r="L20" s="295"/>
    </row>
    <row r="21" spans="2:12" ht="15">
      <c r="B21" s="142" t="s">
        <v>186</v>
      </c>
      <c r="C21" s="458">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187</v>
      </c>
      <c r="C22" s="458">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58">
        <v>1036.78</v>
      </c>
      <c r="D23" s="140"/>
      <c r="E23" s="143">
        <v>7107.81</v>
      </c>
      <c r="F23" s="143" t="s">
        <v>158</v>
      </c>
      <c r="G23" s="143" t="s">
        <v>158</v>
      </c>
      <c r="H23" s="300">
        <f>+C23*90%</f>
        <v>933.10199999999998</v>
      </c>
      <c r="I23" s="295">
        <f>+C23*92%</f>
        <v>953.83760000000007</v>
      </c>
      <c r="J23" s="295"/>
      <c r="K23" s="295"/>
      <c r="L23" s="295"/>
    </row>
    <row r="24" spans="2:12" ht="15">
      <c r="B24" s="142" t="s">
        <v>351</v>
      </c>
      <c r="C24" s="458">
        <v>1076.06</v>
      </c>
      <c r="D24" s="140"/>
      <c r="E24" s="467"/>
      <c r="F24" s="467"/>
      <c r="G24" s="467"/>
      <c r="H24" s="300"/>
      <c r="I24" s="295"/>
      <c r="J24" s="295"/>
      <c r="K24" s="295"/>
      <c r="L24" s="295"/>
    </row>
    <row r="25" spans="2:12" ht="15">
      <c r="B25" s="142" t="s">
        <v>356</v>
      </c>
      <c r="C25" s="458">
        <v>1138.57</v>
      </c>
      <c r="D25" s="520" t="s">
        <v>622</v>
      </c>
      <c r="E25" s="467"/>
      <c r="F25" s="467"/>
      <c r="G25" s="467"/>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58">
        <v>522.85</v>
      </c>
      <c r="D27" s="140"/>
      <c r="E27" s="143">
        <v>5024.59</v>
      </c>
      <c r="F27" s="143">
        <v>1900</v>
      </c>
      <c r="G27" s="143">
        <v>3400</v>
      </c>
      <c r="H27" s="300"/>
      <c r="I27" s="295"/>
      <c r="J27" s="295"/>
      <c r="K27" s="295"/>
      <c r="L27" s="295"/>
    </row>
    <row r="28" spans="2:12">
      <c r="B28" s="142" t="s">
        <v>171</v>
      </c>
      <c r="C28" s="459">
        <f>+C27</f>
        <v>522.85</v>
      </c>
      <c r="D28" s="140"/>
      <c r="E28" s="143">
        <f t="shared" ref="E28:G31" si="1">+E27</f>
        <v>5024.59</v>
      </c>
      <c r="F28" s="143">
        <f t="shared" si="1"/>
        <v>1900</v>
      </c>
      <c r="G28" s="143">
        <f t="shared" si="1"/>
        <v>3400</v>
      </c>
      <c r="H28" s="295"/>
      <c r="I28" s="295"/>
      <c r="J28" s="295"/>
      <c r="K28" s="295"/>
      <c r="L28" s="295"/>
    </row>
    <row r="29" spans="2:12">
      <c r="B29" s="142" t="s">
        <v>172</v>
      </c>
      <c r="C29" s="459">
        <f>+C28</f>
        <v>522.85</v>
      </c>
      <c r="D29" s="140"/>
      <c r="E29" s="143">
        <f t="shared" si="1"/>
        <v>5024.59</v>
      </c>
      <c r="F29" s="143">
        <f t="shared" si="1"/>
        <v>1900</v>
      </c>
      <c r="G29" s="143">
        <f t="shared" si="1"/>
        <v>3400</v>
      </c>
      <c r="J29" s="295"/>
      <c r="K29" s="295"/>
      <c r="L29" s="295"/>
    </row>
    <row r="30" spans="2:12">
      <c r="B30" s="142" t="s">
        <v>173</v>
      </c>
      <c r="C30" s="459">
        <f>+C29</f>
        <v>522.85</v>
      </c>
      <c r="D30" s="140"/>
      <c r="E30" s="143">
        <f t="shared" si="1"/>
        <v>5024.59</v>
      </c>
      <c r="F30" s="143">
        <f t="shared" si="1"/>
        <v>1900</v>
      </c>
      <c r="G30" s="143">
        <f t="shared" si="1"/>
        <v>3400</v>
      </c>
      <c r="H30" s="295">
        <f>+C30*98%</f>
        <v>512.39300000000003</v>
      </c>
      <c r="I30" s="295">
        <f>+C30*92%</f>
        <v>481.02200000000005</v>
      </c>
    </row>
    <row r="31" spans="2:12">
      <c r="B31" s="142" t="s">
        <v>174</v>
      </c>
      <c r="C31" s="459">
        <f>+C30</f>
        <v>522.85</v>
      </c>
      <c r="D31" s="140"/>
      <c r="E31" s="143">
        <f t="shared" si="1"/>
        <v>5024.59</v>
      </c>
      <c r="F31" s="143">
        <f t="shared" si="1"/>
        <v>1900</v>
      </c>
      <c r="G31" s="143">
        <f t="shared" si="1"/>
        <v>3400</v>
      </c>
      <c r="H31" s="295">
        <f>+C29*0.96</f>
        <v>501.93599999999998</v>
      </c>
      <c r="I31" s="295">
        <f>+C31*90%</f>
        <v>470.56500000000005</v>
      </c>
    </row>
    <row r="32" spans="2:12">
      <c r="B32" s="142" t="s">
        <v>299</v>
      </c>
      <c r="C32" s="459">
        <f>C27</f>
        <v>522.85</v>
      </c>
    </row>
    <row r="33" spans="2:7">
      <c r="B33" s="142" t="s">
        <v>350</v>
      </c>
      <c r="C33" s="459">
        <v>666.38</v>
      </c>
    </row>
    <row r="34" spans="2:7">
      <c r="B34" s="142" t="s">
        <v>352</v>
      </c>
      <c r="C34" s="458">
        <v>712.94</v>
      </c>
    </row>
    <row r="36" spans="2:7">
      <c r="B36" s="142" t="s">
        <v>188</v>
      </c>
      <c r="C36" s="144" t="s">
        <v>11</v>
      </c>
      <c r="D36" s="140"/>
      <c r="E36" s="143"/>
      <c r="F36" s="143"/>
      <c r="G36" s="143"/>
    </row>
    <row r="37" spans="2:7">
      <c r="B37" s="142" t="s">
        <v>189</v>
      </c>
      <c r="C37" s="144" t="s">
        <v>11</v>
      </c>
      <c r="D37" s="140"/>
      <c r="E37" s="143"/>
      <c r="F37" s="143"/>
      <c r="G37" s="143"/>
    </row>
    <row r="39" spans="2:7">
      <c r="B39" s="142" t="s">
        <v>269</v>
      </c>
      <c r="C39" s="143">
        <v>0.19</v>
      </c>
    </row>
    <row r="40" spans="2:7">
      <c r="C40" s="296"/>
    </row>
    <row r="41" spans="2:7">
      <c r="B41" s="464" t="s">
        <v>685</v>
      </c>
      <c r="C41" s="472" t="s">
        <v>159</v>
      </c>
    </row>
    <row r="42" spans="2:7">
      <c r="B42" s="464"/>
      <c r="C42" s="472" t="s">
        <v>159</v>
      </c>
    </row>
    <row r="43" spans="2:7">
      <c r="B43" s="654" t="str">
        <f>B17</f>
        <v>1 DE JUNIO 2020</v>
      </c>
      <c r="C43" s="470" t="s">
        <v>366</v>
      </c>
    </row>
    <row r="44" spans="2:7">
      <c r="B44" s="654"/>
      <c r="C44" s="471" t="s">
        <v>175</v>
      </c>
    </row>
    <row r="45" spans="2:7">
      <c r="B45" s="654"/>
      <c r="C45" s="148" t="s">
        <v>179</v>
      </c>
    </row>
    <row r="46" spans="2:7">
      <c r="B46" s="142" t="s">
        <v>371</v>
      </c>
      <c r="C46" s="519">
        <v>155</v>
      </c>
    </row>
    <row r="47" spans="2:7">
      <c r="B47" s="142" t="s">
        <v>18</v>
      </c>
      <c r="C47" s="519">
        <v>174</v>
      </c>
    </row>
    <row r="48" spans="2:7">
      <c r="B48" s="142" t="s">
        <v>372</v>
      </c>
      <c r="C48" s="519">
        <v>170</v>
      </c>
    </row>
    <row r="49" spans="2:3">
      <c r="B49" s="142" t="s">
        <v>373</v>
      </c>
      <c r="C49" s="519">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8" sqref="C8"/>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78" t="s">
        <v>13</v>
      </c>
      <c r="C1" s="778"/>
      <c r="D1" s="778"/>
      <c r="E1" s="778"/>
      <c r="F1" s="778"/>
      <c r="H1" s="777" t="s">
        <v>691</v>
      </c>
      <c r="I1" s="777"/>
      <c r="J1" s="777"/>
      <c r="K1" s="777"/>
      <c r="L1" s="777"/>
      <c r="M1" s="634"/>
    </row>
    <row r="2" spans="2:13" s="59" customFormat="1" ht="20.25" customHeight="1">
      <c r="B2" s="778" t="s">
        <v>212</v>
      </c>
      <c r="C2" s="778"/>
      <c r="D2" s="778"/>
      <c r="E2" s="778"/>
      <c r="F2" s="778"/>
      <c r="H2" s="777"/>
      <c r="I2" s="777"/>
      <c r="J2" s="777"/>
      <c r="K2" s="777"/>
      <c r="L2" s="777"/>
      <c r="M2" s="634"/>
    </row>
    <row r="3" spans="2:13" s="59" customFormat="1" ht="20.25">
      <c r="B3" s="778" t="s">
        <v>14</v>
      </c>
      <c r="C3" s="778"/>
      <c r="D3" s="778"/>
      <c r="E3" s="778"/>
      <c r="F3" s="778"/>
      <c r="H3" s="634"/>
      <c r="I3" s="634"/>
      <c r="J3" s="634"/>
      <c r="K3" s="634"/>
      <c r="L3" s="634"/>
      <c r="M3" s="634"/>
    </row>
    <row r="4" spans="2:13" ht="15">
      <c r="B4" s="27"/>
      <c r="C4" s="27"/>
      <c r="D4" s="27"/>
      <c r="E4" s="27"/>
      <c r="H4" s="635">
        <v>0</v>
      </c>
      <c r="I4" s="636" t="s">
        <v>689</v>
      </c>
      <c r="J4" s="636"/>
      <c r="K4" s="636"/>
      <c r="L4" s="636"/>
    </row>
    <row r="5" spans="2:13" ht="15.75" thickBot="1">
      <c r="B5" s="49"/>
      <c r="H5" s="635">
        <v>0</v>
      </c>
      <c r="I5" s="636" t="s">
        <v>690</v>
      </c>
      <c r="J5" s="636"/>
      <c r="K5" s="636"/>
      <c r="L5" s="636"/>
    </row>
    <row r="6" spans="2:13" ht="45" customHeight="1" thickTop="1">
      <c r="B6" s="98" t="s">
        <v>15</v>
      </c>
      <c r="C6" s="99" t="s">
        <v>16</v>
      </c>
      <c r="D6" s="99" t="s">
        <v>17</v>
      </c>
      <c r="E6" s="99" t="s">
        <v>18</v>
      </c>
      <c r="F6" s="100" t="s">
        <v>389</v>
      </c>
    </row>
    <row r="7" spans="2:13" ht="30" customHeight="1" thickBot="1">
      <c r="B7" s="118"/>
      <c r="C7" s="74" t="str">
        <f>+'COMBUSTIBLES '!B6</f>
        <v>1 DE JUNIO 2020</v>
      </c>
      <c r="D7" s="74" t="str">
        <f>+C7</f>
        <v>1 DE JUNIO 2020</v>
      </c>
      <c r="E7" s="74" t="str">
        <f>+D7</f>
        <v>1 DE JUNIO 2020</v>
      </c>
      <c r="F7" s="75" t="str">
        <f>+E7</f>
        <v>1 DE JUNIO 2020</v>
      </c>
    </row>
    <row r="8" spans="2:13" ht="27" customHeight="1" thickTop="1">
      <c r="B8" s="115" t="s">
        <v>19</v>
      </c>
      <c r="C8" s="116">
        <f>'COMBUSTIBLES '!B7-H4</f>
        <v>4000</v>
      </c>
      <c r="D8" s="116">
        <f>'COMBUSTIBLES '!D7</f>
        <v>5700</v>
      </c>
      <c r="E8" s="116">
        <f>'COMBUSTIBLES '!E7-H5</f>
        <v>4736</v>
      </c>
      <c r="F8" s="117">
        <f>+(E8*98%)+BIODIESEL!E9</f>
        <v>4871.58</v>
      </c>
    </row>
    <row r="9" spans="2:13" ht="27" customHeight="1">
      <c r="B9" s="368" t="s">
        <v>239</v>
      </c>
      <c r="C9" s="102" t="s">
        <v>59</v>
      </c>
      <c r="D9" s="102" t="str">
        <f>+C9</f>
        <v>(*****)</v>
      </c>
      <c r="E9" s="102" t="str">
        <f>+C9</f>
        <v>(*****)</v>
      </c>
      <c r="F9" s="103" t="str">
        <f>+D9</f>
        <v>(*****)</v>
      </c>
    </row>
    <row r="10" spans="2:13" ht="27" customHeight="1">
      <c r="B10" s="101" t="s">
        <v>296</v>
      </c>
      <c r="C10" s="102">
        <f>+'COMBUSTIBLES '!B8</f>
        <v>8.1370000000000005</v>
      </c>
      <c r="D10" s="102">
        <f>+C10</f>
        <v>8.1370000000000005</v>
      </c>
      <c r="E10" s="102">
        <f>+'COMBUSTIBLES '!E8</f>
        <v>8.1370000000000005</v>
      </c>
      <c r="F10" s="103">
        <f>+BIODIESEL!F14</f>
        <v>8.1370000000000005</v>
      </c>
    </row>
    <row r="11" spans="2:13" ht="27" customHeight="1">
      <c r="B11" s="104" t="s">
        <v>240</v>
      </c>
      <c r="C11" s="102">
        <f>'COMBUSTIBLES '!B10</f>
        <v>71.510000000000005</v>
      </c>
      <c r="D11" s="102">
        <f>'COMBUSTIBLES '!B10</f>
        <v>71.510000000000005</v>
      </c>
      <c r="E11" s="102">
        <f>'COMBUSTIBLES '!E10</f>
        <v>71.510000000000005</v>
      </c>
      <c r="F11" s="103">
        <f>+E11</f>
        <v>71.510000000000005</v>
      </c>
      <c r="H11" s="369">
        <f>+E8*0.98</f>
        <v>4641.28</v>
      </c>
    </row>
    <row r="12" spans="2:13" ht="27" customHeight="1">
      <c r="B12" s="101" t="s">
        <v>377</v>
      </c>
      <c r="C12" s="102">
        <f>Variables!C24</f>
        <v>1076.06</v>
      </c>
      <c r="D12" s="102">
        <f>Variables!C25</f>
        <v>1138.57</v>
      </c>
      <c r="E12" s="102">
        <f>Variables!C34</f>
        <v>712.94</v>
      </c>
      <c r="F12" s="103">
        <f>E12*98%</f>
        <v>698.68119999999999</v>
      </c>
      <c r="H12" s="623">
        <f>+BIODIESEL!E9</f>
        <v>230.3</v>
      </c>
    </row>
    <row r="13" spans="2:13" s="305" customFormat="1" ht="27" customHeight="1">
      <c r="B13" s="101" t="s">
        <v>272</v>
      </c>
      <c r="C13" s="105"/>
      <c r="D13" s="105"/>
      <c r="E13" s="105"/>
      <c r="F13" s="106"/>
      <c r="H13" s="623">
        <f>+H11+H12</f>
        <v>4871.58</v>
      </c>
    </row>
    <row r="14" spans="2:13" s="305" customFormat="1" ht="27" customHeight="1">
      <c r="B14" s="101" t="s">
        <v>363</v>
      </c>
      <c r="C14" s="105">
        <f>'COMBUSTIBLES '!B13</f>
        <v>155</v>
      </c>
      <c r="D14" s="105">
        <f>'COMBUSTIBLES '!C13</f>
        <v>155</v>
      </c>
      <c r="E14" s="105">
        <f>'COMBUSTIBLES '!E13</f>
        <v>174</v>
      </c>
      <c r="F14" s="106">
        <f>+BIODIESEL!E13</f>
        <v>170.52</v>
      </c>
      <c r="G14" s="305" t="s">
        <v>159</v>
      </c>
    </row>
    <row r="15" spans="2:13" ht="44.25" customHeight="1">
      <c r="B15" s="107" t="s">
        <v>23</v>
      </c>
      <c r="C15" s="108">
        <f>SUM(C8:C14)</f>
        <v>5310.7070000000003</v>
      </c>
      <c r="D15" s="108">
        <f>SUM(D8:D14)</f>
        <v>7073.2169999999996</v>
      </c>
      <c r="E15" s="108">
        <f>SUM(E8:E14)</f>
        <v>5702.5869999999995</v>
      </c>
      <c r="F15" s="109">
        <f>SUM(F8:F14)</f>
        <v>5820.4282000000003</v>
      </c>
    </row>
    <row r="16" spans="2:13" ht="32.25" customHeight="1">
      <c r="B16" s="101" t="s">
        <v>4</v>
      </c>
      <c r="C16" s="110" t="s">
        <v>12</v>
      </c>
      <c r="D16" s="102"/>
      <c r="E16" s="110" t="str">
        <f>+C16</f>
        <v>(**)</v>
      </c>
      <c r="F16" s="111" t="str">
        <f>+E16</f>
        <v>(**)</v>
      </c>
    </row>
    <row r="17" spans="2:7" s="50" customFormat="1" ht="29.25" customHeight="1">
      <c r="B17" s="136" t="s">
        <v>244</v>
      </c>
      <c r="C17" s="110" t="s">
        <v>22</v>
      </c>
      <c r="D17" s="110" t="str">
        <f>+C17</f>
        <v>(***)</v>
      </c>
      <c r="E17" s="110" t="str">
        <f>+D17</f>
        <v>(***)</v>
      </c>
      <c r="F17" s="111" t="str">
        <f>+E17</f>
        <v>(***)</v>
      </c>
    </row>
    <row r="18" spans="2:7" s="305" customFormat="1" ht="30" customHeight="1" thickBot="1">
      <c r="B18" s="112" t="s">
        <v>211</v>
      </c>
      <c r="C18" s="113" t="s">
        <v>226</v>
      </c>
      <c r="D18" s="113" t="str">
        <f>+C18</f>
        <v>(****)</v>
      </c>
      <c r="E18" s="113" t="str">
        <f>+D18</f>
        <v>(****)</v>
      </c>
      <c r="F18" s="114" t="str">
        <f>+E18</f>
        <v>(****)</v>
      </c>
    </row>
    <row r="19" spans="2:7" ht="15" thickTop="1"/>
    <row r="20" spans="2:7" s="97" customFormat="1" ht="40.5" customHeight="1">
      <c r="B20" s="779" t="s">
        <v>238</v>
      </c>
      <c r="C20" s="779"/>
      <c r="D20" s="779"/>
      <c r="E20" s="779"/>
    </row>
    <row r="21" spans="2:7" s="97" customFormat="1" ht="30.75" customHeight="1">
      <c r="B21" s="743" t="s">
        <v>281</v>
      </c>
      <c r="C21" s="743"/>
      <c r="D21" s="743"/>
      <c r="E21" s="743"/>
    </row>
    <row r="22" spans="2:7" s="97" customFormat="1" ht="5.25" customHeight="1">
      <c r="B22" s="329"/>
      <c r="C22" s="329"/>
      <c r="D22" s="329"/>
      <c r="E22" s="329"/>
    </row>
    <row r="23" spans="2:7" s="97" customFormat="1" ht="17.25" customHeight="1">
      <c r="B23" s="779" t="s">
        <v>241</v>
      </c>
      <c r="C23" s="779"/>
      <c r="D23" s="779"/>
      <c r="E23" s="779"/>
    </row>
    <row r="24" spans="2:7" s="97" customFormat="1" ht="3.75" customHeight="1">
      <c r="B24" s="306"/>
      <c r="C24" s="306"/>
      <c r="D24" s="306"/>
      <c r="E24" s="306"/>
    </row>
    <row r="25" spans="2:7" s="97" customFormat="1" ht="17.25" customHeight="1">
      <c r="B25" s="779" t="s">
        <v>259</v>
      </c>
      <c r="C25" s="779"/>
      <c r="D25" s="779"/>
      <c r="E25" s="779"/>
    </row>
    <row r="26" spans="2:7" s="97" customFormat="1" ht="8.25" customHeight="1">
      <c r="B26" s="306"/>
      <c r="C26" s="306"/>
      <c r="D26" s="306"/>
      <c r="E26" s="306"/>
    </row>
    <row r="27" spans="2:7" s="97" customFormat="1" ht="25.5" customHeight="1">
      <c r="B27" s="779" t="s">
        <v>242</v>
      </c>
      <c r="C27" s="779"/>
      <c r="D27" s="779"/>
      <c r="E27" s="779"/>
    </row>
    <row r="28" spans="2:7" ht="7.5" customHeight="1">
      <c r="B28" s="308"/>
      <c r="C28" s="308"/>
      <c r="D28" s="308"/>
      <c r="E28" s="308"/>
    </row>
    <row r="29" spans="2:7" s="305" customFormat="1" ht="45.75" customHeight="1">
      <c r="B29" s="736" t="s">
        <v>342</v>
      </c>
      <c r="C29" s="736"/>
      <c r="D29" s="736"/>
      <c r="E29" s="736"/>
    </row>
    <row r="30" spans="2:7" s="305" customFormat="1" ht="8.25" customHeight="1">
      <c r="B30" s="308"/>
      <c r="C30" s="308"/>
      <c r="D30" s="308"/>
      <c r="E30" s="308"/>
    </row>
    <row r="31" spans="2:7" ht="39.75" customHeight="1">
      <c r="B31" s="736" t="s">
        <v>298</v>
      </c>
      <c r="C31" s="736"/>
      <c r="D31" s="736"/>
      <c r="E31" s="736"/>
      <c r="F31" s="736"/>
      <c r="G31" s="736"/>
    </row>
    <row r="32" spans="2:7" ht="9.75" customHeight="1"/>
    <row r="33" spans="2:6">
      <c r="B33" s="743" t="s">
        <v>297</v>
      </c>
      <c r="C33" s="743"/>
      <c r="D33" s="743"/>
      <c r="E33" s="743"/>
    </row>
    <row r="35" spans="2:6">
      <c r="B35" s="743" t="s">
        <v>378</v>
      </c>
      <c r="C35" s="743"/>
      <c r="D35" s="743"/>
      <c r="E35" s="743"/>
    </row>
    <row r="36" spans="2:6" s="305" customFormat="1">
      <c r="B36" s="477"/>
      <c r="C36" s="477"/>
      <c r="D36" s="477"/>
      <c r="E36" s="477"/>
    </row>
    <row r="37" spans="2:6" ht="86.25" customHeight="1">
      <c r="B37" s="733" t="s">
        <v>338</v>
      </c>
      <c r="C37" s="733"/>
      <c r="D37" s="733"/>
      <c r="E37" s="733"/>
      <c r="F37" s="733"/>
    </row>
    <row r="42" spans="2:6">
      <c r="B42" s="736"/>
      <c r="C42" s="736"/>
      <c r="D42" s="736"/>
      <c r="E42" s="736"/>
    </row>
  </sheetData>
  <sheetProtection algorithmName="SHA-512" hashValue="iakZiHbpbcrFdKZS/pJP6A+FhMXeSxOHOYPq7npl1VyuU0qaO3/XdABbx31fGdMUEVwOc6GAbmXmcU61sKRwTw==" saltValue="OJj/k9blkARNFTwoovWhxA==" spinCount="100000"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zoomScale="70" zoomScaleNormal="70" workbookViewId="0"/>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1" t="s">
        <v>208</v>
      </c>
      <c r="D1" s="781"/>
      <c r="E1" s="781"/>
      <c r="F1" s="781"/>
      <c r="G1" s="781"/>
      <c r="H1" s="781"/>
    </row>
    <row r="2" spans="3:12" ht="15">
      <c r="C2" s="781" t="s">
        <v>33</v>
      </c>
      <c r="D2" s="781"/>
      <c r="E2" s="781"/>
      <c r="F2" s="781"/>
      <c r="G2" s="781"/>
      <c r="H2" s="781"/>
    </row>
    <row r="3" spans="3:12" ht="15">
      <c r="C3" s="781" t="s">
        <v>14</v>
      </c>
      <c r="D3" s="781"/>
      <c r="E3" s="781"/>
      <c r="F3" s="781"/>
      <c r="G3" s="781"/>
      <c r="H3" s="781"/>
    </row>
    <row r="4" spans="3:12" ht="24.75" customHeight="1" thickBot="1">
      <c r="C4" s="303" t="str">
        <f>+'COMBUSTIBLES '!A1</f>
        <v>1 DE JUNIO 2020</v>
      </c>
      <c r="D4" s="31"/>
      <c r="E4" s="32"/>
      <c r="F4" s="784"/>
      <c r="G4" s="784"/>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2" t="s">
        <v>260</v>
      </c>
      <c r="D15" s="782"/>
      <c r="E15" s="782"/>
      <c r="F15" s="782"/>
      <c r="G15" s="782"/>
      <c r="H15" s="782"/>
    </row>
    <row r="16" spans="3:12" ht="49.5" customHeight="1">
      <c r="C16" s="783" t="s">
        <v>262</v>
      </c>
      <c r="D16" s="783"/>
      <c r="E16" s="783"/>
      <c r="F16" s="783"/>
      <c r="G16" s="783"/>
      <c r="H16" s="783"/>
    </row>
    <row r="17" spans="3:11" ht="34.5" customHeight="1">
      <c r="C17" s="736" t="s">
        <v>298</v>
      </c>
      <c r="D17" s="736"/>
      <c r="E17" s="736"/>
      <c r="F17" s="736"/>
      <c r="G17" s="736"/>
      <c r="H17" s="736"/>
    </row>
    <row r="18" spans="3:11">
      <c r="C18" s="736" t="s">
        <v>340</v>
      </c>
      <c r="D18" s="736"/>
      <c r="E18" s="736"/>
      <c r="F18" s="736"/>
      <c r="G18" s="736"/>
      <c r="H18" s="736"/>
    </row>
    <row r="19" spans="3:11" ht="28.5" customHeight="1">
      <c r="C19" s="350"/>
      <c r="D19" s="350"/>
      <c r="E19" s="350"/>
      <c r="F19" s="350"/>
      <c r="G19" s="350"/>
      <c r="H19" s="350"/>
    </row>
    <row r="20" spans="3:11">
      <c r="C20" s="723" t="s">
        <v>383</v>
      </c>
      <c r="D20" s="723"/>
      <c r="E20" s="723"/>
      <c r="F20" s="723"/>
      <c r="G20" s="723"/>
      <c r="H20" s="723"/>
      <c r="I20" s="723"/>
      <c r="J20" s="3" t="s">
        <v>159</v>
      </c>
    </row>
    <row r="21" spans="3:11">
      <c r="C21" s="723" t="s">
        <v>381</v>
      </c>
      <c r="D21" s="723"/>
      <c r="E21" s="723"/>
      <c r="F21" s="723"/>
      <c r="G21" s="723"/>
      <c r="H21" s="723"/>
      <c r="I21" s="723"/>
    </row>
    <row r="22" spans="3:11">
      <c r="C22" s="723" t="s">
        <v>382</v>
      </c>
      <c r="D22" s="723"/>
      <c r="E22" s="723"/>
      <c r="F22" s="723"/>
      <c r="G22" s="723"/>
      <c r="H22" s="723"/>
      <c r="I22" s="723"/>
    </row>
    <row r="23" spans="3:11">
      <c r="C23" s="476"/>
      <c r="D23" s="476"/>
      <c r="E23" s="476"/>
      <c r="F23" s="476"/>
      <c r="G23" s="476"/>
      <c r="H23" s="476"/>
      <c r="I23" s="476"/>
    </row>
    <row r="24" spans="3:11">
      <c r="C24" s="476"/>
      <c r="D24" s="476"/>
      <c r="E24" s="476"/>
      <c r="F24" s="476"/>
      <c r="G24" s="476"/>
      <c r="H24" s="476"/>
      <c r="I24" s="476"/>
    </row>
    <row r="25" spans="3:11" ht="15">
      <c r="C25" s="781" t="s">
        <v>45</v>
      </c>
      <c r="D25" s="781"/>
      <c r="E25" s="781"/>
      <c r="F25" s="781"/>
      <c r="G25" s="781"/>
      <c r="H25" s="781"/>
      <c r="J25" s="3" t="s">
        <v>159</v>
      </c>
    </row>
    <row r="26" spans="3:11" ht="15">
      <c r="C26" s="781" t="s">
        <v>37</v>
      </c>
      <c r="D26" s="781"/>
      <c r="E26" s="781"/>
      <c r="F26" s="781"/>
      <c r="G26" s="781"/>
      <c r="H26" s="781"/>
    </row>
    <row r="27" spans="3:11" ht="15">
      <c r="C27" s="781" t="s">
        <v>14</v>
      </c>
      <c r="D27" s="781"/>
      <c r="E27" s="781"/>
      <c r="F27" s="781"/>
      <c r="G27" s="781"/>
      <c r="H27" s="781"/>
    </row>
    <row r="28" spans="3:11" ht="15.75" thickBot="1">
      <c r="C28" s="303" t="str">
        <f>+C4</f>
        <v>1 DE JUNIO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9" t="s">
        <v>261</v>
      </c>
      <c r="D42" s="779"/>
      <c r="E42" s="779"/>
      <c r="F42" s="779"/>
      <c r="G42" s="779"/>
      <c r="H42" s="779"/>
      <c r="I42" s="779"/>
      <c r="J42" s="779"/>
    </row>
    <row r="43" spans="1:10" ht="18" customHeight="1">
      <c r="C43" s="779" t="s">
        <v>245</v>
      </c>
      <c r="D43" s="779"/>
      <c r="E43" s="779"/>
      <c r="F43" s="779"/>
      <c r="G43" s="779"/>
      <c r="H43" s="779"/>
      <c r="I43" s="779"/>
      <c r="J43" s="779"/>
    </row>
    <row r="44" spans="1:10" ht="65.25" customHeight="1">
      <c r="C44" s="743" t="s">
        <v>304</v>
      </c>
      <c r="D44" s="743"/>
      <c r="E44" s="743"/>
      <c r="F44" s="743"/>
      <c r="G44" s="743"/>
      <c r="H44" s="743"/>
      <c r="I44" s="743"/>
      <c r="J44" s="743"/>
    </row>
    <row r="45" spans="1:10" ht="15" customHeight="1">
      <c r="C45" s="736" t="s">
        <v>340</v>
      </c>
      <c r="D45" s="736"/>
      <c r="E45" s="736"/>
      <c r="F45" s="736"/>
      <c r="G45" s="736"/>
      <c r="H45" s="736"/>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JUNIO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'!E7*50%)*98%</f>
        <v>2550.9431999999997</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3469.3081269732102</v>
      </c>
      <c r="I60" s="35"/>
    </row>
    <row r="61" spans="3:10" ht="36.950000000000003" customHeight="1">
      <c r="C61" s="345" t="s">
        <v>43</v>
      </c>
      <c r="D61" s="354">
        <f>SUM(D60:D60)</f>
        <v>5649.2879269732102</v>
      </c>
      <c r="E61" s="354">
        <f>SUM(E60:E60)</f>
        <v>5789.9449269732104</v>
      </c>
      <c r="F61" s="355">
        <f>SUM(F60:F60)</f>
        <v>3469.3081269732102</v>
      </c>
    </row>
    <row r="62" spans="3:10" ht="36.950000000000003" customHeight="1" thickBot="1">
      <c r="C62" s="347" t="s">
        <v>55</v>
      </c>
      <c r="D62" s="348">
        <f>D40</f>
        <v>301.48</v>
      </c>
      <c r="E62" s="348"/>
      <c r="F62" s="349"/>
    </row>
    <row r="63" spans="3:10" ht="18.75" customHeight="1" thickTop="1">
      <c r="C63" s="785" t="s">
        <v>159</v>
      </c>
      <c r="D63" s="786"/>
      <c r="E63" s="786"/>
      <c r="F63" s="83"/>
    </row>
    <row r="64" spans="3:10" ht="18.75" customHeight="1">
      <c r="C64" s="780" t="s">
        <v>672</v>
      </c>
      <c r="D64" s="780"/>
      <c r="E64" s="780"/>
      <c r="F64" s="780"/>
    </row>
    <row r="65" spans="3:9" ht="18.75" customHeight="1">
      <c r="C65" s="780" t="s">
        <v>374</v>
      </c>
      <c r="D65" s="780"/>
      <c r="E65" s="780"/>
      <c r="F65" s="780"/>
    </row>
    <row r="66" spans="3:9" ht="18.75" customHeight="1">
      <c r="C66" s="478"/>
      <c r="D66" s="478"/>
      <c r="E66" s="478"/>
      <c r="F66" s="478"/>
    </row>
    <row r="67" spans="3:9" ht="40.5" customHeight="1">
      <c r="C67" s="723" t="s">
        <v>661</v>
      </c>
      <c r="D67" s="723"/>
      <c r="E67" s="723"/>
      <c r="F67" s="723"/>
      <c r="G67" s="723"/>
      <c r="H67" s="723"/>
      <c r="I67" s="723"/>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JUNIO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8" t="s">
        <v>190</v>
      </c>
      <c r="D82" s="788"/>
      <c r="E82" s="788"/>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JUNIO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5" ht="40.5" hidden="1" customHeight="1">
      <c r="C97" s="787" t="s">
        <v>58</v>
      </c>
      <c r="D97" s="787"/>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643">
        <f>+D109*50%</f>
        <v>2368</v>
      </c>
      <c r="F109" s="509">
        <f t="shared" si="1"/>
        <v>2368</v>
      </c>
      <c r="I109" s="553" t="s">
        <v>631</v>
      </c>
      <c r="J109" s="3" t="s">
        <v>633</v>
      </c>
      <c r="K109" s="644">
        <v>1089.2799999999997</v>
      </c>
      <c r="L109" s="35">
        <f t="shared" si="2"/>
        <v>1278.7200000000003</v>
      </c>
    </row>
    <row r="110" spans="3:15" ht="19.5" hidden="1" customHeight="1" outlineLevel="1">
      <c r="C110" s="507" t="s">
        <v>615</v>
      </c>
      <c r="D110" s="508">
        <f>D53</f>
        <v>4871.58</v>
      </c>
      <c r="E110" s="508">
        <f>F53</f>
        <v>2550.9431999999997</v>
      </c>
      <c r="F110" s="509">
        <f t="shared" si="1"/>
        <v>2320.6368000000002</v>
      </c>
      <c r="I110" s="553"/>
      <c r="J110" s="3" t="s">
        <v>697</v>
      </c>
      <c r="K110" s="644">
        <v>1067.4911999999999</v>
      </c>
      <c r="L110" s="35">
        <f t="shared" si="2"/>
        <v>1253.1456000000003</v>
      </c>
      <c r="N110" s="3">
        <v>2320.64</v>
      </c>
      <c r="O110" s="35">
        <f>+N110-L110</f>
        <v>1067.4943999999996</v>
      </c>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33" t="s">
        <v>338</v>
      </c>
      <c r="D114" s="733"/>
      <c r="E114" s="733"/>
      <c r="F114" s="733"/>
      <c r="G114" s="733"/>
    </row>
  </sheetData>
  <sheetProtection password="C712" sheet="1" objects="1" scenarios="1"/>
  <mergeCells count="25">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 ref="C64:F64"/>
    <mergeCell ref="C42:J42"/>
    <mergeCell ref="C43:J43"/>
    <mergeCell ref="C22:I22"/>
    <mergeCell ref="C1:H1"/>
    <mergeCell ref="C2:H2"/>
    <mergeCell ref="C3:H3"/>
    <mergeCell ref="C15:H15"/>
    <mergeCell ref="C16:H16"/>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C5" sqref="C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1" t="s">
        <v>208</v>
      </c>
      <c r="D1" s="781"/>
      <c r="E1" s="781"/>
      <c r="F1" s="781"/>
      <c r="G1" s="781"/>
      <c r="H1" s="781"/>
    </row>
    <row r="2" spans="3:12" ht="15">
      <c r="C2" s="781" t="s">
        <v>33</v>
      </c>
      <c r="D2" s="781"/>
      <c r="E2" s="781"/>
      <c r="F2" s="781"/>
      <c r="G2" s="781"/>
      <c r="H2" s="781"/>
    </row>
    <row r="3" spans="3:12" ht="15">
      <c r="C3" s="781" t="s">
        <v>14</v>
      </c>
      <c r="D3" s="781"/>
      <c r="E3" s="781"/>
      <c r="F3" s="781"/>
      <c r="G3" s="781"/>
      <c r="H3" s="781"/>
    </row>
    <row r="4" spans="3:12" ht="24.75" customHeight="1" thickBot="1">
      <c r="C4" s="303" t="s">
        <v>705</v>
      </c>
      <c r="D4" s="31"/>
      <c r="E4" s="32"/>
      <c r="F4" s="784"/>
      <c r="G4" s="784"/>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2" t="s">
        <v>260</v>
      </c>
      <c r="D15" s="782"/>
      <c r="E15" s="782"/>
      <c r="F15" s="782"/>
      <c r="G15" s="782"/>
      <c r="H15" s="782"/>
    </row>
    <row r="16" spans="3:12" ht="49.5" customHeight="1">
      <c r="C16" s="783" t="s">
        <v>262</v>
      </c>
      <c r="D16" s="783"/>
      <c r="E16" s="783"/>
      <c r="F16" s="783"/>
      <c r="G16" s="783"/>
      <c r="H16" s="783"/>
    </row>
    <row r="17" spans="3:11" ht="34.5" customHeight="1">
      <c r="C17" s="736" t="s">
        <v>298</v>
      </c>
      <c r="D17" s="736"/>
      <c r="E17" s="736"/>
      <c r="F17" s="736"/>
      <c r="G17" s="736"/>
      <c r="H17" s="736"/>
    </row>
    <row r="18" spans="3:11">
      <c r="C18" s="736" t="s">
        <v>340</v>
      </c>
      <c r="D18" s="736"/>
      <c r="E18" s="736"/>
      <c r="F18" s="736"/>
      <c r="G18" s="736"/>
      <c r="H18" s="736"/>
    </row>
    <row r="19" spans="3:11" ht="28.5" customHeight="1">
      <c r="C19" s="350"/>
      <c r="D19" s="350"/>
      <c r="E19" s="350"/>
      <c r="F19" s="350"/>
      <c r="G19" s="350"/>
      <c r="H19" s="350"/>
    </row>
    <row r="20" spans="3:11">
      <c r="C20" s="723" t="s">
        <v>383</v>
      </c>
      <c r="D20" s="723"/>
      <c r="E20" s="723"/>
      <c r="F20" s="723"/>
      <c r="G20" s="723"/>
      <c r="H20" s="723"/>
      <c r="I20" s="723"/>
      <c r="J20" s="3" t="s">
        <v>159</v>
      </c>
    </row>
    <row r="21" spans="3:11">
      <c r="C21" s="723" t="s">
        <v>381</v>
      </c>
      <c r="D21" s="723"/>
      <c r="E21" s="723"/>
      <c r="F21" s="723"/>
      <c r="G21" s="723"/>
      <c r="H21" s="723"/>
      <c r="I21" s="723"/>
    </row>
    <row r="22" spans="3:11">
      <c r="C22" s="723" t="s">
        <v>382</v>
      </c>
      <c r="D22" s="723"/>
      <c r="E22" s="723"/>
      <c r="F22" s="723"/>
      <c r="G22" s="723"/>
      <c r="H22" s="723"/>
      <c r="I22" s="723"/>
    </row>
    <row r="23" spans="3:11">
      <c r="C23" s="650"/>
      <c r="D23" s="650"/>
      <c r="E23" s="650"/>
      <c r="F23" s="650"/>
      <c r="G23" s="650"/>
      <c r="H23" s="650"/>
      <c r="I23" s="650"/>
    </row>
    <row r="24" spans="3:11">
      <c r="C24" s="650"/>
      <c r="D24" s="650"/>
      <c r="E24" s="650"/>
      <c r="F24" s="650"/>
      <c r="G24" s="650"/>
      <c r="H24" s="650"/>
      <c r="I24" s="650"/>
    </row>
    <row r="25" spans="3:11" ht="15">
      <c r="C25" s="781" t="s">
        <v>45</v>
      </c>
      <c r="D25" s="781"/>
      <c r="E25" s="781"/>
      <c r="F25" s="781"/>
      <c r="G25" s="781"/>
      <c r="H25" s="781"/>
      <c r="J25" s="3" t="s">
        <v>159</v>
      </c>
    </row>
    <row r="26" spans="3:11" ht="15">
      <c r="C26" s="781" t="s">
        <v>37</v>
      </c>
      <c r="D26" s="781"/>
      <c r="E26" s="781"/>
      <c r="F26" s="781"/>
      <c r="G26" s="781"/>
      <c r="H26" s="781"/>
    </row>
    <row r="27" spans="3:11" ht="15">
      <c r="C27" s="781" t="s">
        <v>14</v>
      </c>
      <c r="D27" s="781"/>
      <c r="E27" s="781"/>
      <c r="F27" s="781"/>
      <c r="G27" s="781"/>
      <c r="H27" s="781"/>
    </row>
    <row r="28" spans="3:11" ht="15.75" thickBot="1">
      <c r="C28" s="303" t="str">
        <f>+C4</f>
        <v>01 DE JUNIO DE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9" t="s">
        <v>261</v>
      </c>
      <c r="D42" s="779"/>
      <c r="E42" s="779"/>
      <c r="F42" s="779"/>
      <c r="G42" s="779"/>
      <c r="H42" s="779"/>
      <c r="I42" s="779"/>
      <c r="J42" s="779"/>
    </row>
    <row r="43" spans="1:10" ht="18" customHeight="1">
      <c r="C43" s="779" t="s">
        <v>245</v>
      </c>
      <c r="D43" s="779"/>
      <c r="E43" s="779"/>
      <c r="F43" s="779"/>
      <c r="G43" s="779"/>
      <c r="H43" s="779"/>
      <c r="I43" s="779"/>
      <c r="J43" s="779"/>
    </row>
    <row r="44" spans="1:10" ht="65.25" customHeight="1">
      <c r="C44" s="743" t="s">
        <v>304</v>
      </c>
      <c r="D44" s="743"/>
      <c r="E44" s="743"/>
      <c r="F44" s="743"/>
      <c r="G44" s="743"/>
      <c r="H44" s="743"/>
      <c r="I44" s="743"/>
      <c r="J44" s="743"/>
    </row>
    <row r="45" spans="1:10" ht="15" customHeight="1">
      <c r="C45" s="736" t="s">
        <v>340</v>
      </c>
      <c r="D45" s="736"/>
      <c r="E45" s="736"/>
      <c r="F45" s="736"/>
      <c r="G45" s="736"/>
      <c r="H45" s="736"/>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01 DE JUNIO DE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'!E7*50%)*98%</f>
        <v>2550.9431999999997</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3469.3081269732102</v>
      </c>
      <c r="I60" s="35"/>
    </row>
    <row r="61" spans="3:10" ht="36.950000000000003" customHeight="1">
      <c r="C61" s="345" t="s">
        <v>43</v>
      </c>
      <c r="D61" s="354">
        <f>SUM(D60:D60)</f>
        <v>5649.2879269732102</v>
      </c>
      <c r="E61" s="354">
        <f>SUM(E60:E60)</f>
        <v>5789.9449269732104</v>
      </c>
      <c r="F61" s="355">
        <f>SUM(F60:F60)</f>
        <v>3469.3081269732102</v>
      </c>
    </row>
    <row r="62" spans="3:10" ht="36.950000000000003" customHeight="1" thickBot="1">
      <c r="C62" s="347" t="s">
        <v>55</v>
      </c>
      <c r="D62" s="348">
        <f>D40</f>
        <v>301.48</v>
      </c>
      <c r="E62" s="348"/>
      <c r="F62" s="349"/>
    </row>
    <row r="63" spans="3:10" ht="18.75" customHeight="1" thickTop="1">
      <c r="C63" s="785" t="s">
        <v>159</v>
      </c>
      <c r="D63" s="786"/>
      <c r="E63" s="786"/>
      <c r="F63" s="83"/>
    </row>
    <row r="64" spans="3:10" ht="18.75" customHeight="1">
      <c r="C64" s="780" t="s">
        <v>672</v>
      </c>
      <c r="D64" s="780"/>
      <c r="E64" s="780"/>
      <c r="F64" s="780"/>
    </row>
    <row r="65" spans="3:9" ht="18.75" customHeight="1">
      <c r="C65" s="780" t="s">
        <v>374</v>
      </c>
      <c r="D65" s="780"/>
      <c r="E65" s="780"/>
      <c r="F65" s="780"/>
    </row>
    <row r="66" spans="3:9" ht="18.75" customHeight="1">
      <c r="C66" s="651"/>
      <c r="D66" s="651"/>
      <c r="E66" s="651"/>
      <c r="F66" s="651"/>
    </row>
    <row r="67" spans="3:9" ht="40.5" customHeight="1">
      <c r="C67" s="723" t="s">
        <v>661</v>
      </c>
      <c r="D67" s="723"/>
      <c r="E67" s="723"/>
      <c r="F67" s="723"/>
      <c r="G67" s="723"/>
      <c r="H67" s="723"/>
      <c r="I67" s="723"/>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01 DE JUNIO DE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8" t="s">
        <v>190</v>
      </c>
      <c r="D82" s="788"/>
      <c r="E82" s="788"/>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01 DE JUNIO DE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idden="1"/>
    <row r="96" spans="1:7" hidden="1"/>
    <row r="97" spans="3:15" ht="40.5" hidden="1" customHeight="1">
      <c r="C97" s="787" t="s">
        <v>58</v>
      </c>
      <c r="D97" s="787"/>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643">
        <f>+D109*50%</f>
        <v>2368</v>
      </c>
      <c r="F109" s="509">
        <f t="shared" si="1"/>
        <v>2368</v>
      </c>
      <c r="I109" s="553" t="s">
        <v>631</v>
      </c>
      <c r="J109" s="3" t="s">
        <v>633</v>
      </c>
      <c r="K109" s="644">
        <v>1089.2799999999997</v>
      </c>
      <c r="L109" s="35">
        <f t="shared" si="2"/>
        <v>1278.7200000000003</v>
      </c>
    </row>
    <row r="110" spans="3:15" ht="19.5" hidden="1" customHeight="1" outlineLevel="1">
      <c r="C110" s="507" t="s">
        <v>615</v>
      </c>
      <c r="D110" s="508">
        <f>D53</f>
        <v>4871.58</v>
      </c>
      <c r="E110" s="508">
        <f>F53</f>
        <v>2550.9431999999997</v>
      </c>
      <c r="F110" s="509">
        <f t="shared" si="1"/>
        <v>2320.6368000000002</v>
      </c>
      <c r="I110" s="553"/>
      <c r="J110" s="3" t="s">
        <v>697</v>
      </c>
      <c r="K110" s="644">
        <v>1067.4911999999999</v>
      </c>
      <c r="L110" s="35">
        <f t="shared" si="2"/>
        <v>1253.1456000000003</v>
      </c>
      <c r="N110" s="3">
        <v>2320.64</v>
      </c>
      <c r="O110" s="35">
        <f>+N110-L110</f>
        <v>1067.4943999999996</v>
      </c>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33" t="s">
        <v>338</v>
      </c>
      <c r="D114" s="733"/>
      <c r="E114" s="733"/>
      <c r="F114" s="733"/>
      <c r="G114" s="733"/>
    </row>
  </sheetData>
  <sheetProtection password="C752" sheet="1" objects="1" scenarios="1"/>
  <mergeCells count="25">
    <mergeCell ref="C114:G114"/>
    <mergeCell ref="C63:E63"/>
    <mergeCell ref="C64:F64"/>
    <mergeCell ref="C65:F65"/>
    <mergeCell ref="C67:I67"/>
    <mergeCell ref="C82:E82"/>
    <mergeCell ref="C97:D97"/>
    <mergeCell ref="C45:H45"/>
    <mergeCell ref="C17:H17"/>
    <mergeCell ref="C18:H18"/>
    <mergeCell ref="C20:I20"/>
    <mergeCell ref="C21:I21"/>
    <mergeCell ref="C22:I22"/>
    <mergeCell ref="C25:H25"/>
    <mergeCell ref="C26:H26"/>
    <mergeCell ref="C27:H27"/>
    <mergeCell ref="C42:J42"/>
    <mergeCell ref="C43:J43"/>
    <mergeCell ref="C44:J44"/>
    <mergeCell ref="C16:H16"/>
    <mergeCell ref="C1:H1"/>
    <mergeCell ref="C2:H2"/>
    <mergeCell ref="C3:H3"/>
    <mergeCell ref="F4:G4"/>
    <mergeCell ref="C15:H15"/>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C5" sqref="C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1" t="s">
        <v>208</v>
      </c>
      <c r="D1" s="781"/>
      <c r="E1" s="781"/>
      <c r="F1" s="781"/>
      <c r="G1" s="781"/>
      <c r="H1" s="781"/>
    </row>
    <row r="2" spans="3:12" ht="15">
      <c r="C2" s="781" t="s">
        <v>33</v>
      </c>
      <c r="D2" s="781"/>
      <c r="E2" s="781"/>
      <c r="F2" s="781"/>
      <c r="G2" s="781"/>
      <c r="H2" s="781"/>
    </row>
    <row r="3" spans="3:12" ht="15">
      <c r="C3" s="781" t="s">
        <v>14</v>
      </c>
      <c r="D3" s="781"/>
      <c r="E3" s="781"/>
      <c r="F3" s="781"/>
      <c r="G3" s="781"/>
      <c r="H3" s="781"/>
    </row>
    <row r="4" spans="3:12" ht="24.75" customHeight="1" thickBot="1">
      <c r="C4" s="303" t="s">
        <v>706</v>
      </c>
      <c r="D4" s="31"/>
      <c r="E4" s="32"/>
      <c r="F4" s="784"/>
      <c r="G4" s="784"/>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2" t="s">
        <v>260</v>
      </c>
      <c r="D15" s="782"/>
      <c r="E15" s="782"/>
      <c r="F15" s="782"/>
      <c r="G15" s="782"/>
      <c r="H15" s="782"/>
    </row>
    <row r="16" spans="3:12" ht="49.5" customHeight="1">
      <c r="C16" s="783" t="s">
        <v>262</v>
      </c>
      <c r="D16" s="783"/>
      <c r="E16" s="783"/>
      <c r="F16" s="783"/>
      <c r="G16" s="783"/>
      <c r="H16" s="783"/>
    </row>
    <row r="17" spans="3:11" ht="34.5" customHeight="1">
      <c r="C17" s="736" t="s">
        <v>298</v>
      </c>
      <c r="D17" s="736"/>
      <c r="E17" s="736"/>
      <c r="F17" s="736"/>
      <c r="G17" s="736"/>
      <c r="H17" s="736"/>
    </row>
    <row r="18" spans="3:11">
      <c r="C18" s="736" t="s">
        <v>340</v>
      </c>
      <c r="D18" s="736"/>
      <c r="E18" s="736"/>
      <c r="F18" s="736"/>
      <c r="G18" s="736"/>
      <c r="H18" s="736"/>
    </row>
    <row r="19" spans="3:11" ht="28.5" customHeight="1">
      <c r="C19" s="350"/>
      <c r="D19" s="350"/>
      <c r="E19" s="350"/>
      <c r="F19" s="350"/>
      <c r="G19" s="350"/>
      <c r="H19" s="350"/>
    </row>
    <row r="20" spans="3:11">
      <c r="C20" s="723" t="s">
        <v>383</v>
      </c>
      <c r="D20" s="723"/>
      <c r="E20" s="723"/>
      <c r="F20" s="723"/>
      <c r="G20" s="723"/>
      <c r="H20" s="723"/>
      <c r="I20" s="723"/>
      <c r="J20" s="3" t="s">
        <v>159</v>
      </c>
    </row>
    <row r="21" spans="3:11">
      <c r="C21" s="723" t="s">
        <v>381</v>
      </c>
      <c r="D21" s="723"/>
      <c r="E21" s="723"/>
      <c r="F21" s="723"/>
      <c r="G21" s="723"/>
      <c r="H21" s="723"/>
      <c r="I21" s="723"/>
    </row>
    <row r="22" spans="3:11">
      <c r="C22" s="723" t="s">
        <v>382</v>
      </c>
      <c r="D22" s="723"/>
      <c r="E22" s="723"/>
      <c r="F22" s="723"/>
      <c r="G22" s="723"/>
      <c r="H22" s="723"/>
      <c r="I22" s="723"/>
    </row>
    <row r="23" spans="3:11">
      <c r="C23" s="645"/>
      <c r="D23" s="645"/>
      <c r="E23" s="645"/>
      <c r="F23" s="645"/>
      <c r="G23" s="645"/>
      <c r="H23" s="645"/>
      <c r="I23" s="645"/>
    </row>
    <row r="24" spans="3:11">
      <c r="C24" s="645"/>
      <c r="D24" s="645"/>
      <c r="E24" s="645"/>
      <c r="F24" s="645"/>
      <c r="G24" s="645"/>
      <c r="H24" s="645"/>
      <c r="I24" s="645"/>
    </row>
    <row r="25" spans="3:11" ht="15">
      <c r="C25" s="781" t="s">
        <v>45</v>
      </c>
      <c r="D25" s="781"/>
      <c r="E25" s="781"/>
      <c r="F25" s="781"/>
      <c r="G25" s="781"/>
      <c r="H25" s="781"/>
      <c r="J25" s="3" t="s">
        <v>159</v>
      </c>
    </row>
    <row r="26" spans="3:11" ht="15">
      <c r="C26" s="781" t="s">
        <v>37</v>
      </c>
      <c r="D26" s="781"/>
      <c r="E26" s="781"/>
      <c r="F26" s="781"/>
      <c r="G26" s="781"/>
      <c r="H26" s="781"/>
    </row>
    <row r="27" spans="3:11" ht="15">
      <c r="C27" s="781" t="s">
        <v>14</v>
      </c>
      <c r="D27" s="781"/>
      <c r="E27" s="781"/>
      <c r="F27" s="781"/>
      <c r="G27" s="781"/>
      <c r="H27" s="781"/>
    </row>
    <row r="28" spans="3:11" ht="15.75" thickBot="1">
      <c r="C28" s="303" t="str">
        <f>+C4</f>
        <v>22 DE JUNIO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9" t="s">
        <v>261</v>
      </c>
      <c r="D42" s="779"/>
      <c r="E42" s="779"/>
      <c r="F42" s="779"/>
      <c r="G42" s="779"/>
      <c r="H42" s="779"/>
      <c r="I42" s="779"/>
      <c r="J42" s="779"/>
    </row>
    <row r="43" spans="1:10" ht="18" customHeight="1">
      <c r="C43" s="779" t="s">
        <v>245</v>
      </c>
      <c r="D43" s="779"/>
      <c r="E43" s="779"/>
      <c r="F43" s="779"/>
      <c r="G43" s="779"/>
      <c r="H43" s="779"/>
      <c r="I43" s="779"/>
      <c r="J43" s="779"/>
    </row>
    <row r="44" spans="1:10" ht="65.25" customHeight="1">
      <c r="C44" s="743" t="s">
        <v>304</v>
      </c>
      <c r="D44" s="743"/>
      <c r="E44" s="743"/>
      <c r="F44" s="743"/>
      <c r="G44" s="743"/>
      <c r="H44" s="743"/>
      <c r="I44" s="743"/>
      <c r="J44" s="743"/>
    </row>
    <row r="45" spans="1:10" ht="15" customHeight="1">
      <c r="C45" s="736" t="s">
        <v>340</v>
      </c>
      <c r="D45" s="736"/>
      <c r="E45" s="736"/>
      <c r="F45" s="736"/>
      <c r="G45" s="736"/>
      <c r="H45" s="736"/>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22 DE JUNIO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'!E7*77%)*98%</f>
        <v>3804.0888</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4722.45372697321</v>
      </c>
      <c r="I60" s="35"/>
    </row>
    <row r="61" spans="3:10" ht="36.950000000000003" customHeight="1">
      <c r="C61" s="345" t="s">
        <v>43</v>
      </c>
      <c r="D61" s="354">
        <f>SUM(D60:D60)</f>
        <v>5649.2879269732102</v>
      </c>
      <c r="E61" s="354">
        <f>SUM(E60:E60)</f>
        <v>5789.9449269732104</v>
      </c>
      <c r="F61" s="355">
        <f>SUM(F60:F60)</f>
        <v>4722.45372697321</v>
      </c>
    </row>
    <row r="62" spans="3:10" ht="36.950000000000003" customHeight="1" thickBot="1">
      <c r="C62" s="347" t="s">
        <v>55</v>
      </c>
      <c r="D62" s="348">
        <f>D40</f>
        <v>301.48</v>
      </c>
      <c r="E62" s="348"/>
      <c r="F62" s="349"/>
    </row>
    <row r="63" spans="3:10" ht="18.75" customHeight="1" thickTop="1">
      <c r="C63" s="785" t="s">
        <v>159</v>
      </c>
      <c r="D63" s="786"/>
      <c r="E63" s="786"/>
      <c r="F63" s="83"/>
    </row>
    <row r="64" spans="3:10" ht="18.75" customHeight="1">
      <c r="C64" s="780" t="s">
        <v>672</v>
      </c>
      <c r="D64" s="780"/>
      <c r="E64" s="780"/>
      <c r="F64" s="780"/>
    </row>
    <row r="65" spans="3:9" ht="18.75" customHeight="1">
      <c r="C65" s="780" t="s">
        <v>374</v>
      </c>
      <c r="D65" s="780"/>
      <c r="E65" s="780"/>
      <c r="F65" s="780"/>
    </row>
    <row r="66" spans="3:9" ht="18.75" customHeight="1">
      <c r="C66" s="646"/>
      <c r="D66" s="646"/>
      <c r="E66" s="646"/>
      <c r="F66" s="646"/>
    </row>
    <row r="67" spans="3:9" ht="40.5" customHeight="1">
      <c r="C67" s="723" t="s">
        <v>661</v>
      </c>
      <c r="D67" s="723"/>
      <c r="E67" s="723"/>
      <c r="F67" s="723"/>
      <c r="G67" s="723"/>
      <c r="H67" s="723"/>
      <c r="I67" s="723"/>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22 DE JUNIO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8" t="s">
        <v>190</v>
      </c>
      <c r="D82" s="788"/>
      <c r="E82" s="788"/>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22 DE JUNIO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idden="1"/>
    <row r="96" spans="1:7" hidden="1"/>
    <row r="97" spans="3:15" ht="40.5" hidden="1" customHeight="1">
      <c r="C97" s="787" t="s">
        <v>58</v>
      </c>
      <c r="D97" s="787"/>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298">
        <f>+D109*77%</f>
        <v>3646.7200000000003</v>
      </c>
      <c r="F109" s="509">
        <f t="shared" si="1"/>
        <v>1089.2799999999997</v>
      </c>
      <c r="I109" s="553" t="s">
        <v>631</v>
      </c>
      <c r="J109" s="3" t="s">
        <v>633</v>
      </c>
      <c r="K109" s="644">
        <v>1089.2799999999997</v>
      </c>
      <c r="L109" s="35">
        <f t="shared" si="2"/>
        <v>0</v>
      </c>
    </row>
    <row r="110" spans="3:15" ht="19.5" hidden="1" customHeight="1" outlineLevel="1">
      <c r="C110" s="507" t="s">
        <v>615</v>
      </c>
      <c r="D110" s="508">
        <f>D53</f>
        <v>4871.58</v>
      </c>
      <c r="E110" s="508">
        <f>F53</f>
        <v>3804.0888</v>
      </c>
      <c r="F110" s="509">
        <f t="shared" si="1"/>
        <v>1067.4911999999999</v>
      </c>
      <c r="I110" s="553"/>
      <c r="J110" s="3" t="s">
        <v>697</v>
      </c>
      <c r="K110" s="644">
        <v>1067.4911999999999</v>
      </c>
      <c r="L110" s="35">
        <f t="shared" si="2"/>
        <v>0</v>
      </c>
      <c r="O110" s="35"/>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33" t="s">
        <v>338</v>
      </c>
      <c r="D114" s="733"/>
      <c r="E114" s="733"/>
      <c r="F114" s="733"/>
      <c r="G114" s="733"/>
    </row>
  </sheetData>
  <sheetProtection password="C752" sheet="1" objects="1" scenarios="1"/>
  <mergeCells count="25">
    <mergeCell ref="C114:G114"/>
    <mergeCell ref="C63:E63"/>
    <mergeCell ref="C64:F64"/>
    <mergeCell ref="C65:F65"/>
    <mergeCell ref="C67:I67"/>
    <mergeCell ref="C82:E82"/>
    <mergeCell ref="C97:D97"/>
    <mergeCell ref="C45:H45"/>
    <mergeCell ref="C17:H17"/>
    <mergeCell ref="C18:H18"/>
    <mergeCell ref="C20:I20"/>
    <mergeCell ref="C21:I21"/>
    <mergeCell ref="C22:I22"/>
    <mergeCell ref="C25:H25"/>
    <mergeCell ref="C26:H26"/>
    <mergeCell ref="C27:H27"/>
    <mergeCell ref="C42:J42"/>
    <mergeCell ref="C43:J43"/>
    <mergeCell ref="C44:J44"/>
    <mergeCell ref="C16:H16"/>
    <mergeCell ref="C1:H1"/>
    <mergeCell ref="C2:H2"/>
    <mergeCell ref="C3:H3"/>
    <mergeCell ref="F4:G4"/>
    <mergeCell ref="C15:H15"/>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zoomScale="80" zoomScaleNormal="80" workbookViewId="0">
      <selection activeCell="AF8" sqref="AF8"/>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89" t="s">
        <v>31</v>
      </c>
      <c r="B1" s="789"/>
      <c r="C1" s="789"/>
      <c r="D1" s="789"/>
      <c r="E1" s="789"/>
      <c r="F1" s="789"/>
      <c r="G1" s="789"/>
      <c r="H1" s="789"/>
      <c r="I1" s="789"/>
      <c r="J1" s="789"/>
    </row>
    <row r="2" spans="1:25" s="16" customFormat="1" ht="56.25" customHeight="1">
      <c r="A2" s="790" t="s">
        <v>359</v>
      </c>
      <c r="B2" s="790"/>
      <c r="C2" s="790"/>
      <c r="D2" s="790"/>
      <c r="E2" s="790"/>
      <c r="F2" s="790"/>
      <c r="G2" s="790"/>
      <c r="H2" s="790"/>
      <c r="I2" s="790"/>
      <c r="J2" s="790"/>
      <c r="M2" s="463"/>
    </row>
    <row r="3" spans="1:25" ht="24.75" customHeight="1">
      <c r="A3" s="781" t="s">
        <v>24</v>
      </c>
      <c r="B3" s="781"/>
      <c r="C3" s="781"/>
      <c r="D3" s="781"/>
      <c r="E3" s="781"/>
      <c r="F3" s="781"/>
      <c r="G3" s="469"/>
      <c r="I3" s="546"/>
      <c r="J3" s="546"/>
      <c r="K3" s="546"/>
      <c r="L3" s="546"/>
      <c r="M3" s="546"/>
      <c r="N3" s="546"/>
      <c r="O3" s="546"/>
    </row>
    <row r="4" spans="1:25" ht="15">
      <c r="A4" s="27"/>
    </row>
    <row r="5" spans="1:25" ht="15.75" thickBot="1">
      <c r="A5" s="24" t="str">
        <f>+'COMBUSTIBLES '!A1</f>
        <v>1 DE JUNIO 2020</v>
      </c>
      <c r="B5" s="186">
        <v>0</v>
      </c>
      <c r="C5" s="186">
        <v>0.02</v>
      </c>
      <c r="D5" s="186">
        <v>0</v>
      </c>
      <c r="E5" s="187">
        <v>0.02</v>
      </c>
      <c r="F5" s="186">
        <v>0</v>
      </c>
      <c r="G5" s="186">
        <v>0</v>
      </c>
      <c r="H5" s="187">
        <v>0.02</v>
      </c>
      <c r="I5" s="186">
        <v>0</v>
      </c>
      <c r="J5" s="187">
        <v>0</v>
      </c>
    </row>
    <row r="6" spans="1:25" ht="47.25" customHeight="1" thickTop="1">
      <c r="A6" s="356" t="s">
        <v>15</v>
      </c>
      <c r="B6" s="357" t="s">
        <v>66</v>
      </c>
      <c r="C6" s="357" t="s">
        <v>667</v>
      </c>
      <c r="D6" s="357" t="s">
        <v>161</v>
      </c>
      <c r="E6" s="357" t="s">
        <v>668</v>
      </c>
      <c r="F6" s="357" t="s">
        <v>162</v>
      </c>
      <c r="G6" s="357" t="s">
        <v>346</v>
      </c>
      <c r="H6" s="357" t="s">
        <v>669</v>
      </c>
      <c r="I6" s="357" t="s">
        <v>301</v>
      </c>
      <c r="J6" s="358" t="s">
        <v>300</v>
      </c>
    </row>
    <row r="7" spans="1:25" ht="27.75" customHeight="1">
      <c r="A7" s="119" t="s">
        <v>251</v>
      </c>
      <c r="B7" s="336">
        <v>3694.53</v>
      </c>
      <c r="C7" s="336">
        <v>3694.53</v>
      </c>
      <c r="D7" s="336">
        <v>6875.1811988924737</v>
      </c>
      <c r="E7" s="336">
        <v>3770.96</v>
      </c>
      <c r="F7" s="336">
        <v>6794.4669776671717</v>
      </c>
      <c r="G7" s="336">
        <v>6537.1057563440854</v>
      </c>
      <c r="H7" s="336">
        <v>3694.53</v>
      </c>
      <c r="I7" s="587">
        <f>+C7</f>
        <v>3694.53</v>
      </c>
      <c r="J7" s="410">
        <f>+I7</f>
        <v>3694.53</v>
      </c>
      <c r="M7" s="652"/>
    </row>
    <row r="8" spans="1:25" ht="27.75" customHeight="1">
      <c r="A8" s="344" t="s">
        <v>67</v>
      </c>
      <c r="B8" s="359">
        <v>0</v>
      </c>
      <c r="C8" s="336">
        <f>+BIODIESEL!B7</f>
        <v>11515.16</v>
      </c>
      <c r="D8" s="648">
        <v>0</v>
      </c>
      <c r="E8" s="648">
        <f>+C8</f>
        <v>11515.16</v>
      </c>
      <c r="F8" s="648">
        <v>0</v>
      </c>
      <c r="G8" s="648">
        <v>0</v>
      </c>
      <c r="H8" s="648">
        <f>+E8</f>
        <v>11515.16</v>
      </c>
      <c r="I8" s="587">
        <f>+D8</f>
        <v>0</v>
      </c>
      <c r="J8" s="410">
        <f>+D8</f>
        <v>0</v>
      </c>
      <c r="M8" s="649"/>
      <c r="N8" s="369"/>
      <c r="O8" s="369"/>
      <c r="P8" s="369"/>
      <c r="Q8" s="369"/>
      <c r="R8" s="369"/>
      <c r="S8" s="369"/>
      <c r="T8" s="369"/>
      <c r="U8" s="369"/>
      <c r="V8" s="369"/>
      <c r="W8" s="369"/>
      <c r="X8" s="369"/>
      <c r="Y8" s="369"/>
    </row>
    <row r="9" spans="1:25" ht="35.25" customHeight="1">
      <c r="A9" s="361" t="s">
        <v>160</v>
      </c>
      <c r="B9" s="362">
        <f t="shared" ref="B9:G9" si="0">+B8*B5+B7*(1-B5)</f>
        <v>3694.53</v>
      </c>
      <c r="C9" s="433">
        <f>+C8*C5+C7*(1-C5)</f>
        <v>3850.9425999999999</v>
      </c>
      <c r="D9" s="433">
        <f>+D8*D5+D7*(1-D5)</f>
        <v>6875.1811988924737</v>
      </c>
      <c r="E9" s="433">
        <f>(E8*E5)+E7*(1-E5)</f>
        <v>3925.8439999999996</v>
      </c>
      <c r="F9" s="433">
        <f t="shared" si="0"/>
        <v>6794.4669776671717</v>
      </c>
      <c r="G9" s="433">
        <f t="shared" si="0"/>
        <v>6537.1057563440854</v>
      </c>
      <c r="H9" s="433">
        <f>+H8*H5+H7*(1-H5)</f>
        <v>3850.9425999999999</v>
      </c>
      <c r="I9" s="588">
        <f>+I7</f>
        <v>3694.53</v>
      </c>
      <c r="J9" s="434">
        <f>+J7</f>
        <v>3694.53</v>
      </c>
      <c r="L9" s="625" t="s">
        <v>159</v>
      </c>
      <c r="M9" s="653"/>
      <c r="N9" s="369">
        <v>6978.4077749146245</v>
      </c>
      <c r="O9" s="369">
        <v>6875.1811988924737</v>
      </c>
      <c r="P9" s="369">
        <v>7272.6860170874797</v>
      </c>
      <c r="Q9" s="369">
        <v>6794.4669776671717</v>
      </c>
      <c r="R9" s="369">
        <v>6537.1057563440854</v>
      </c>
      <c r="S9" s="369">
        <v>7022.1892934113339</v>
      </c>
      <c r="T9" s="369">
        <v>6875.1811988924737</v>
      </c>
      <c r="U9" s="369">
        <v>6875.1811988924737</v>
      </c>
      <c r="V9" s="369"/>
      <c r="W9" s="369"/>
      <c r="X9" s="369"/>
      <c r="Y9" s="369"/>
    </row>
    <row r="10" spans="1:25" ht="27.75" customHeight="1">
      <c r="A10" s="344" t="s">
        <v>65</v>
      </c>
      <c r="B10" s="360">
        <f>+'COMBUSTIBLES '!E8</f>
        <v>8.1370000000000005</v>
      </c>
      <c r="C10" s="336">
        <f>+BIODIESEL!F14</f>
        <v>8.1370000000000005</v>
      </c>
      <c r="D10" s="336">
        <f>+'COMBUSTIBLES '!E8</f>
        <v>8.1370000000000005</v>
      </c>
      <c r="E10" s="336">
        <f>+BIODIESEL!E14</f>
        <v>8.1370000000000005</v>
      </c>
      <c r="F10" s="336">
        <f>'COMBUSTIBLES '!E8</f>
        <v>8.1370000000000005</v>
      </c>
      <c r="G10" s="336">
        <f>E10</f>
        <v>8.1370000000000005</v>
      </c>
      <c r="H10" s="336">
        <f>+BIODIESEL!E14</f>
        <v>8.1370000000000005</v>
      </c>
      <c r="I10" s="587">
        <v>0</v>
      </c>
      <c r="J10" s="410">
        <v>0</v>
      </c>
      <c r="M10" s="369">
        <v>6474.0480291453787</v>
      </c>
      <c r="N10" s="369">
        <v>6414.6173003313961</v>
      </c>
      <c r="O10" s="369">
        <v>6875.1811988924737</v>
      </c>
      <c r="P10" s="369">
        <v>6660.1986685624715</v>
      </c>
      <c r="Q10" s="369">
        <v>6794.4669776671717</v>
      </c>
      <c r="R10" s="369">
        <v>6537.1057563440854</v>
      </c>
      <c r="S10" s="369">
        <v>6414.6173003313961</v>
      </c>
      <c r="T10" s="369">
        <v>6875.1811988924737</v>
      </c>
      <c r="U10" s="369">
        <v>6875.1811988924737</v>
      </c>
      <c r="V10" s="369"/>
      <c r="W10" s="369"/>
      <c r="X10" s="369"/>
      <c r="Y10" s="369"/>
    </row>
    <row r="11" spans="1:25" ht="27.75" customHeight="1">
      <c r="A11" s="344" t="s">
        <v>192</v>
      </c>
      <c r="B11" s="336">
        <v>21.91</v>
      </c>
      <c r="C11" s="360">
        <f>+B11</f>
        <v>21.91</v>
      </c>
      <c r="D11" s="360">
        <f>+B11</f>
        <v>21.91</v>
      </c>
      <c r="E11" s="360">
        <f>+B11</f>
        <v>21.91</v>
      </c>
      <c r="F11" s="360">
        <f>+B11</f>
        <v>21.91</v>
      </c>
      <c r="G11" s="360">
        <f>+C11</f>
        <v>21.91</v>
      </c>
      <c r="H11" s="360">
        <f>+B11</f>
        <v>21.91</v>
      </c>
      <c r="I11" s="587">
        <f>+D11</f>
        <v>21.91</v>
      </c>
      <c r="J11" s="410">
        <f>+D11</f>
        <v>21.91</v>
      </c>
      <c r="M11" s="626"/>
      <c r="N11" s="626">
        <f t="shared" ref="N11:U11" si="1">+(N10-N9)/N9</f>
        <v>-8.0790703663075336E-2</v>
      </c>
      <c r="O11" s="626">
        <f t="shared" si="1"/>
        <v>0</v>
      </c>
      <c r="P11" s="626">
        <f t="shared" si="1"/>
        <v>-8.4217488158562545E-2</v>
      </c>
      <c r="Q11" s="626">
        <f t="shared" si="1"/>
        <v>0</v>
      </c>
      <c r="R11" s="626">
        <f t="shared" si="1"/>
        <v>0</v>
      </c>
      <c r="S11" s="626">
        <f t="shared" si="1"/>
        <v>-8.6521733848730145E-2</v>
      </c>
      <c r="T11" s="626">
        <f t="shared" si="1"/>
        <v>0</v>
      </c>
      <c r="U11" s="626">
        <f t="shared" si="1"/>
        <v>0</v>
      </c>
      <c r="V11" s="369"/>
      <c r="W11" s="369"/>
      <c r="X11" s="369"/>
      <c r="Y11" s="369"/>
    </row>
    <row r="12" spans="1:25" ht="27.75" customHeight="1">
      <c r="A12" s="104" t="s">
        <v>240</v>
      </c>
      <c r="B12" s="360">
        <f>+'COMBUSTIBLES '!E10</f>
        <v>71.510000000000005</v>
      </c>
      <c r="C12" s="360">
        <f>+B12</f>
        <v>71.510000000000005</v>
      </c>
      <c r="D12" s="360">
        <f>+C12</f>
        <v>71.510000000000005</v>
      </c>
      <c r="E12" s="360">
        <f>+D12</f>
        <v>71.510000000000005</v>
      </c>
      <c r="F12" s="360">
        <f>+E12</f>
        <v>71.510000000000005</v>
      </c>
      <c r="G12" s="360">
        <f>+F12</f>
        <v>71.510000000000005</v>
      </c>
      <c r="H12" s="360">
        <f>+F12</f>
        <v>71.510000000000005</v>
      </c>
      <c r="I12" s="587">
        <f>+D12</f>
        <v>71.510000000000005</v>
      </c>
      <c r="J12" s="410">
        <f>+D12</f>
        <v>71.510000000000005</v>
      </c>
      <c r="M12" s="369"/>
      <c r="N12" s="369"/>
      <c r="O12" s="369"/>
      <c r="P12" s="369"/>
      <c r="Q12" s="369"/>
      <c r="R12" s="369"/>
      <c r="S12" s="369"/>
      <c r="T12" s="369"/>
      <c r="U12" s="369"/>
      <c r="V12" s="369"/>
      <c r="W12" s="369"/>
      <c r="X12" s="369"/>
      <c r="Y12" s="369"/>
    </row>
    <row r="13" spans="1:25" ht="27.75" customHeight="1">
      <c r="A13" s="344" t="str">
        <f>+'COMBUSTIBLES '!A11</f>
        <v>Impuesto Nacional a la Gasolina y al ACPM</v>
      </c>
      <c r="B13" s="360">
        <f>+'COMBUSTIBLES '!E11</f>
        <v>522.85</v>
      </c>
      <c r="C13" s="360">
        <f>+BIODIESEL!E11</f>
        <v>512.39</v>
      </c>
      <c r="D13" s="360">
        <f>+'COMBUSTIBLES '!E11</f>
        <v>522.85</v>
      </c>
      <c r="E13" s="360">
        <f>+BIODIESEL!E11</f>
        <v>512.39</v>
      </c>
      <c r="F13" s="360">
        <f>+'COMBUSTIBLES '!E11</f>
        <v>522.85</v>
      </c>
      <c r="G13" s="360">
        <f>+F13</f>
        <v>522.85</v>
      </c>
      <c r="H13" s="360">
        <f>+BIODIESEL!E11</f>
        <v>512.39</v>
      </c>
      <c r="I13" s="587">
        <f>'DIESEL MARINO 1 A 14 DE MAYO'!D7</f>
        <v>522.85</v>
      </c>
      <c r="J13" s="410">
        <f>+'DIESEL MARINO 1 A 14 DE MAYO'!F7</f>
        <v>666.38</v>
      </c>
    </row>
    <row r="14" spans="1:25" ht="27.75" customHeight="1">
      <c r="A14" s="344" t="s">
        <v>272</v>
      </c>
      <c r="B14" s="480" t="str">
        <f>+'COMBUSTIBLES '!C12</f>
        <v>(3)</v>
      </c>
      <c r="C14" s="480" t="str">
        <f>+'COMBUSTIBLES '!D12</f>
        <v>(3)</v>
      </c>
      <c r="D14" s="480" t="str">
        <f>+B14</f>
        <v>(3)</v>
      </c>
      <c r="E14" s="480" t="str">
        <f>+D14</f>
        <v>(3)</v>
      </c>
      <c r="F14" s="480" t="str">
        <f>+D14</f>
        <v>(3)</v>
      </c>
      <c r="G14" s="480" t="str">
        <f>+E14</f>
        <v>(3)</v>
      </c>
      <c r="H14" s="480" t="str">
        <f>+F14</f>
        <v>(3)</v>
      </c>
      <c r="I14" s="589" t="str">
        <f>+G14</f>
        <v>(3)</v>
      </c>
      <c r="J14" s="103" t="str">
        <f>+H14</f>
        <v>(3)</v>
      </c>
    </row>
    <row r="15" spans="1:25" ht="27.75" customHeight="1">
      <c r="A15" s="305" t="s">
        <v>363</v>
      </c>
      <c r="B15" s="360">
        <f>+'COMBUSTIBLES '!E13</f>
        <v>174</v>
      </c>
      <c r="C15" s="360">
        <f>+BIODIESEL!E13</f>
        <v>170.52</v>
      </c>
      <c r="D15" s="360">
        <f>+B15</f>
        <v>174</v>
      </c>
      <c r="E15" s="360">
        <f>+BIODIESEL!E13</f>
        <v>170.52</v>
      </c>
      <c r="F15" s="360">
        <f>+'COMBUSTIBLES '!E13</f>
        <v>174</v>
      </c>
      <c r="G15" s="360"/>
      <c r="H15" s="360">
        <f>+E15</f>
        <v>170.52</v>
      </c>
      <c r="I15" s="587">
        <f>+D15</f>
        <v>174</v>
      </c>
      <c r="J15" s="410">
        <f>+I15</f>
        <v>174</v>
      </c>
      <c r="L15" s="475"/>
    </row>
    <row r="16" spans="1:25" ht="27.75" customHeight="1">
      <c r="A16" s="344" t="s">
        <v>253</v>
      </c>
      <c r="B16" s="363" t="s">
        <v>22</v>
      </c>
      <c r="C16" s="360" t="s">
        <v>22</v>
      </c>
      <c r="D16" s="360" t="str">
        <f t="shared" ref="D16:G17" si="2">+C16</f>
        <v>(***)</v>
      </c>
      <c r="E16" s="360" t="str">
        <f t="shared" si="2"/>
        <v>(***)</v>
      </c>
      <c r="F16" s="360" t="str">
        <f t="shared" si="2"/>
        <v>(***)</v>
      </c>
      <c r="G16" s="360" t="str">
        <f t="shared" si="2"/>
        <v>(***)</v>
      </c>
      <c r="H16" s="360" t="str">
        <f>+F16</f>
        <v>(***)</v>
      </c>
      <c r="I16" s="587" t="str">
        <f>+D16</f>
        <v>(***)</v>
      </c>
      <c r="J16" s="410" t="s">
        <v>22</v>
      </c>
    </row>
    <row r="17" spans="1:11" ht="27.75" customHeight="1">
      <c r="A17" s="344" t="s">
        <v>252</v>
      </c>
      <c r="B17" s="360" t="s">
        <v>226</v>
      </c>
      <c r="C17" s="360" t="str">
        <f>+B17</f>
        <v>(****)</v>
      </c>
      <c r="D17" s="360" t="str">
        <f t="shared" si="2"/>
        <v>(****)</v>
      </c>
      <c r="E17" s="360" t="str">
        <f t="shared" si="2"/>
        <v>(****)</v>
      </c>
      <c r="F17" s="360" t="str">
        <f t="shared" si="2"/>
        <v>(****)</v>
      </c>
      <c r="G17" s="360" t="str">
        <f t="shared" si="2"/>
        <v>(****)</v>
      </c>
      <c r="H17" s="360" t="str">
        <f>+F17</f>
        <v>(****)</v>
      </c>
      <c r="I17" s="587" t="str">
        <f>+D17</f>
        <v>(****)</v>
      </c>
      <c r="J17" s="410" t="s">
        <v>226</v>
      </c>
    </row>
    <row r="18" spans="1:11" ht="27.75" customHeight="1" thickBot="1">
      <c r="A18" s="364" t="s">
        <v>55</v>
      </c>
      <c r="B18" s="348">
        <f>+'COMBUSTIBLES '!E16</f>
        <v>301.48</v>
      </c>
      <c r="C18" s="348">
        <f>+B18</f>
        <v>301.48</v>
      </c>
      <c r="D18" s="348">
        <f>+B18</f>
        <v>301.48</v>
      </c>
      <c r="E18" s="348">
        <f>+B18</f>
        <v>301.48</v>
      </c>
      <c r="F18" s="348">
        <f>+D18</f>
        <v>301.48</v>
      </c>
      <c r="G18" s="348">
        <f>+E18</f>
        <v>301.48</v>
      </c>
      <c r="H18" s="348">
        <f>+F18</f>
        <v>301.48</v>
      </c>
      <c r="I18" s="590">
        <f>+D18</f>
        <v>301.48</v>
      </c>
      <c r="J18" s="349"/>
    </row>
    <row r="19" spans="1:11" s="369" customFormat="1" ht="15.75" customHeight="1" thickTop="1">
      <c r="A19" s="25"/>
      <c r="B19" s="26"/>
      <c r="C19" s="26"/>
      <c r="D19" s="26"/>
      <c r="I19" s="26"/>
    </row>
    <row r="20" spans="1:11" s="369" customFormat="1" ht="15.75" customHeight="1">
      <c r="A20" s="468" t="s">
        <v>360</v>
      </c>
      <c r="B20" s="26"/>
      <c r="C20" s="26"/>
      <c r="D20" s="26"/>
      <c r="I20" s="26"/>
    </row>
    <row r="21" spans="1:11" s="369" customFormat="1" ht="15.75" customHeight="1">
      <c r="A21" s="25"/>
      <c r="B21" s="26"/>
      <c r="C21" s="26"/>
      <c r="D21" s="26"/>
      <c r="I21" s="26"/>
    </row>
    <row r="22" spans="1:11" s="369" customFormat="1" ht="15.75" customHeight="1">
      <c r="A22" s="366" t="s">
        <v>30</v>
      </c>
      <c r="B22" s="26"/>
      <c r="C22" s="26"/>
      <c r="D22" s="26"/>
      <c r="I22" s="26"/>
    </row>
    <row r="23" spans="1:11" s="369" customFormat="1" ht="3.75" customHeight="1">
      <c r="A23" s="25"/>
      <c r="B23" s="26"/>
      <c r="C23" s="26"/>
      <c r="D23" s="26"/>
      <c r="I23" s="26"/>
    </row>
    <row r="24" spans="1:11" s="19" customFormat="1" ht="15">
      <c r="A24" s="365" t="s">
        <v>165</v>
      </c>
      <c r="B24" s="18"/>
      <c r="C24" s="18"/>
    </row>
    <row r="25" spans="1:11" s="19" customFormat="1" ht="5.25" customHeight="1">
      <c r="A25" s="17"/>
      <c r="B25" s="18"/>
      <c r="C25" s="18"/>
    </row>
    <row r="26" spans="1:11" s="19" customFormat="1" ht="15">
      <c r="A26" s="365" t="s">
        <v>166</v>
      </c>
      <c r="B26" s="18"/>
      <c r="C26" s="18"/>
      <c r="K26" s="19" t="s">
        <v>159</v>
      </c>
    </row>
    <row r="27" spans="1:11" s="19" customFormat="1" ht="11.25" customHeight="1">
      <c r="A27" s="17"/>
      <c r="B27" s="18"/>
      <c r="C27" s="18"/>
    </row>
    <row r="28" spans="1:11" s="19" customFormat="1" ht="32.25" customHeight="1">
      <c r="A28" s="791" t="s">
        <v>250</v>
      </c>
      <c r="B28" s="791"/>
      <c r="C28" s="791"/>
      <c r="D28" s="791"/>
      <c r="E28" s="791"/>
      <c r="F28" s="791"/>
      <c r="G28" s="791"/>
      <c r="H28" s="791"/>
      <c r="I28" s="791"/>
      <c r="J28" s="791"/>
    </row>
    <row r="29" spans="1:11" s="19" customFormat="1" ht="8.25" customHeight="1">
      <c r="A29" s="17"/>
      <c r="B29" s="18"/>
      <c r="C29" s="18"/>
    </row>
    <row r="30" spans="1:11" s="19" customFormat="1" ht="30.75" customHeight="1">
      <c r="A30" s="791" t="s">
        <v>255</v>
      </c>
      <c r="B30" s="791"/>
      <c r="C30" s="791"/>
      <c r="D30" s="791"/>
      <c r="E30" s="791"/>
      <c r="F30" s="791"/>
      <c r="G30" s="791"/>
      <c r="H30" s="791"/>
      <c r="I30" s="791"/>
      <c r="J30" s="791"/>
    </row>
    <row r="31" spans="1:11" s="19" customFormat="1" ht="5.25" customHeight="1">
      <c r="A31" s="17"/>
      <c r="B31" s="18"/>
      <c r="C31" s="18"/>
    </row>
    <row r="32" spans="1:11" s="19" customFormat="1" ht="38.25" customHeight="1">
      <c r="A32" s="791" t="s">
        <v>221</v>
      </c>
      <c r="B32" s="791"/>
      <c r="C32" s="791"/>
      <c r="D32" s="791"/>
      <c r="E32" s="791"/>
      <c r="F32" s="791"/>
      <c r="G32" s="791"/>
      <c r="H32" s="791"/>
      <c r="I32" s="791"/>
      <c r="J32" s="791"/>
    </row>
    <row r="33" spans="1:10" s="19" customFormat="1" ht="15">
      <c r="A33" s="17" t="s">
        <v>159</v>
      </c>
      <c r="B33" s="18"/>
      <c r="C33" s="18"/>
    </row>
    <row r="34" spans="1:10" s="19" customFormat="1" ht="14.25" customHeight="1">
      <c r="A34" s="792" t="s">
        <v>653</v>
      </c>
      <c r="B34" s="792"/>
      <c r="C34" s="792"/>
      <c r="D34" s="792"/>
      <c r="E34" s="792"/>
      <c r="F34" s="792"/>
      <c r="G34" s="792"/>
      <c r="H34" s="792"/>
      <c r="I34" s="792"/>
      <c r="J34" s="792"/>
    </row>
    <row r="35" spans="1:10" ht="54" customHeight="1">
      <c r="A35" s="792"/>
      <c r="B35" s="792"/>
      <c r="C35" s="792"/>
      <c r="D35" s="792"/>
      <c r="E35" s="792"/>
      <c r="F35" s="792"/>
      <c r="G35" s="792"/>
      <c r="H35" s="792"/>
      <c r="I35" s="792"/>
      <c r="J35" s="792"/>
    </row>
    <row r="36" spans="1:10">
      <c r="A36" s="723" t="s">
        <v>159</v>
      </c>
      <c r="B36" s="723"/>
      <c r="C36" s="723"/>
      <c r="D36" s="723"/>
      <c r="E36" s="723"/>
      <c r="F36" s="723"/>
      <c r="G36" s="723"/>
    </row>
    <row r="51" spans="4:12">
      <c r="D51" s="546"/>
      <c r="E51" s="546"/>
      <c r="F51" s="546"/>
      <c r="G51" s="546"/>
      <c r="H51" s="546"/>
      <c r="I51" s="546"/>
      <c r="J51" s="546"/>
      <c r="K51" s="546"/>
      <c r="L51" s="546"/>
    </row>
    <row r="52" spans="4:12">
      <c r="D52" s="546"/>
      <c r="E52" s="546"/>
      <c r="F52" s="546"/>
      <c r="G52" s="546"/>
      <c r="H52" s="546"/>
      <c r="I52" s="546"/>
      <c r="J52" s="546"/>
      <c r="K52" s="546"/>
      <c r="L52" s="546"/>
    </row>
  </sheetData>
  <sheetProtection password="C75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8" t="s">
        <v>68</v>
      </c>
      <c r="AB1" s="688"/>
      <c r="AC1" s="688"/>
      <c r="AD1" s="688" t="s">
        <v>69</v>
      </c>
      <c r="AE1" s="688"/>
      <c r="AF1" s="688"/>
      <c r="AG1" s="688" t="s">
        <v>167</v>
      </c>
      <c r="AH1" s="688"/>
      <c r="AI1" s="688"/>
      <c r="AJ1" s="688" t="s">
        <v>193</v>
      </c>
      <c r="AK1" s="688"/>
      <c r="AL1" s="688"/>
      <c r="AM1" s="189"/>
      <c r="AN1" s="680" t="s">
        <v>276</v>
      </c>
      <c r="AO1" s="680"/>
      <c r="AP1" s="680"/>
      <c r="AQ1" s="189"/>
      <c r="AR1" s="669" t="s">
        <v>341</v>
      </c>
      <c r="AS1" s="670"/>
      <c r="AT1" s="671"/>
      <c r="AU1" s="669" t="s">
        <v>343</v>
      </c>
      <c r="AV1" s="670"/>
      <c r="AW1" s="671"/>
      <c r="AX1" s="669" t="s">
        <v>357</v>
      </c>
      <c r="AY1" s="670"/>
      <c r="AZ1" s="671"/>
      <c r="BA1" s="669" t="s">
        <v>375</v>
      </c>
      <c r="BB1" s="670"/>
      <c r="BC1" s="671"/>
      <c r="BD1" s="669" t="s">
        <v>621</v>
      </c>
      <c r="BE1" s="670"/>
      <c r="BF1" s="671"/>
      <c r="BG1" s="669" t="s">
        <v>628</v>
      </c>
      <c r="BH1" s="670"/>
      <c r="BI1" s="671"/>
    </row>
    <row r="2" spans="1:61" ht="15" customHeight="1">
      <c r="A2" s="693" t="s">
        <v>70</v>
      </c>
      <c r="B2" s="694"/>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6"/>
      <c r="AN2" s="681" t="s">
        <v>73</v>
      </c>
      <c r="AO2" s="682"/>
      <c r="AP2" s="685">
        <v>0.03</v>
      </c>
      <c r="AQ2" s="454"/>
      <c r="AR2" s="672" t="s">
        <v>73</v>
      </c>
      <c r="AS2" s="673"/>
      <c r="AT2" s="676">
        <v>0.03</v>
      </c>
      <c r="AU2" s="672" t="s">
        <v>73</v>
      </c>
      <c r="AV2" s="673"/>
      <c r="AW2" s="676">
        <v>0.03</v>
      </c>
      <c r="AX2" s="672" t="s">
        <v>73</v>
      </c>
      <c r="AY2" s="673"/>
      <c r="AZ2" s="676">
        <v>0.03</v>
      </c>
      <c r="BA2" s="672" t="s">
        <v>73</v>
      </c>
      <c r="BB2" s="673"/>
      <c r="BC2" s="676">
        <v>0.03</v>
      </c>
      <c r="BD2" s="672" t="s">
        <v>73</v>
      </c>
      <c r="BE2" s="673"/>
      <c r="BF2" s="676">
        <v>0.03</v>
      </c>
      <c r="BG2" s="672" t="s">
        <v>73</v>
      </c>
      <c r="BH2" s="673"/>
      <c r="BI2" s="676">
        <v>0.03</v>
      </c>
    </row>
    <row r="3" spans="1:61" ht="55.5" customHeight="1" thickBot="1">
      <c r="A3" s="695"/>
      <c r="B3" s="696"/>
      <c r="C3" s="689" t="s">
        <v>74</v>
      </c>
      <c r="D3" s="690"/>
      <c r="E3" s="691"/>
      <c r="F3" s="689" t="s">
        <v>75</v>
      </c>
      <c r="G3" s="690"/>
      <c r="H3" s="691"/>
      <c r="I3" s="689" t="s">
        <v>76</v>
      </c>
      <c r="J3" s="690"/>
      <c r="K3" s="691"/>
      <c r="L3" s="689" t="s">
        <v>77</v>
      </c>
      <c r="M3" s="690"/>
      <c r="N3" s="691"/>
      <c r="O3" s="689" t="s">
        <v>78</v>
      </c>
      <c r="P3" s="690"/>
      <c r="Q3" s="691"/>
      <c r="R3" s="689" t="s">
        <v>79</v>
      </c>
      <c r="S3" s="690"/>
      <c r="T3" s="691"/>
      <c r="U3" s="689" t="s">
        <v>80</v>
      </c>
      <c r="V3" s="690"/>
      <c r="W3" s="691"/>
      <c r="X3" s="689" t="s">
        <v>81</v>
      </c>
      <c r="Y3" s="690"/>
      <c r="Z3" s="691"/>
      <c r="AA3" s="689"/>
      <c r="AB3" s="690"/>
      <c r="AC3" s="691"/>
      <c r="AD3" s="689"/>
      <c r="AE3" s="690"/>
      <c r="AF3" s="691"/>
      <c r="AG3" s="689"/>
      <c r="AH3" s="690"/>
      <c r="AI3" s="691"/>
      <c r="AJ3" s="689"/>
      <c r="AK3" s="690"/>
      <c r="AL3" s="691"/>
      <c r="AM3" s="387"/>
      <c r="AN3" s="683"/>
      <c r="AO3" s="684"/>
      <c r="AP3" s="686"/>
      <c r="AQ3" s="455"/>
      <c r="AR3" s="674"/>
      <c r="AS3" s="675"/>
      <c r="AT3" s="677"/>
      <c r="AU3" s="674"/>
      <c r="AV3" s="675"/>
      <c r="AW3" s="677"/>
      <c r="AX3" s="674"/>
      <c r="AY3" s="675"/>
      <c r="AZ3" s="677"/>
      <c r="BA3" s="674"/>
      <c r="BB3" s="675"/>
      <c r="BC3" s="677"/>
      <c r="BD3" s="674"/>
      <c r="BE3" s="675"/>
      <c r="BF3" s="677"/>
      <c r="BG3" s="674"/>
      <c r="BH3" s="675"/>
      <c r="BI3" s="677"/>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194</v>
      </c>
      <c r="AH4" s="203" t="s">
        <v>83</v>
      </c>
      <c r="AI4" s="202" t="s">
        <v>84</v>
      </c>
      <c r="AJ4" s="202" t="s">
        <v>207</v>
      </c>
      <c r="AK4" s="203" t="s">
        <v>83</v>
      </c>
      <c r="AL4" s="202" t="s">
        <v>84</v>
      </c>
      <c r="AM4" s="388"/>
      <c r="AN4" s="389" t="s">
        <v>277</v>
      </c>
      <c r="AO4" s="389" t="s">
        <v>83</v>
      </c>
      <c r="AP4" s="389" t="s">
        <v>84</v>
      </c>
      <c r="AQ4" s="456"/>
      <c r="AR4" s="457" t="s">
        <v>277</v>
      </c>
      <c r="AS4" s="457" t="s">
        <v>83</v>
      </c>
      <c r="AT4" s="457" t="s">
        <v>84</v>
      </c>
      <c r="AU4" s="457" t="s">
        <v>277</v>
      </c>
      <c r="AV4" s="457" t="s">
        <v>83</v>
      </c>
      <c r="AW4" s="457" t="s">
        <v>84</v>
      </c>
      <c r="AX4" s="457" t="s">
        <v>277</v>
      </c>
      <c r="AY4" s="457" t="s">
        <v>83</v>
      </c>
      <c r="AZ4" s="457" t="s">
        <v>84</v>
      </c>
      <c r="BA4" s="457" t="s">
        <v>277</v>
      </c>
      <c r="BB4" s="457" t="s">
        <v>83</v>
      </c>
      <c r="BC4" s="457" t="s">
        <v>84</v>
      </c>
      <c r="BD4" s="457" t="s">
        <v>277</v>
      </c>
      <c r="BE4" s="457" t="s">
        <v>83</v>
      </c>
      <c r="BF4" s="457" t="s">
        <v>84</v>
      </c>
      <c r="BG4" s="457" t="s">
        <v>277</v>
      </c>
      <c r="BH4" s="457" t="s">
        <v>83</v>
      </c>
      <c r="BI4" s="457"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2" t="s">
        <v>92</v>
      </c>
      <c r="AN7" s="390">
        <v>69.694128060000011</v>
      </c>
      <c r="AO7" s="391">
        <v>69.694128060000011</v>
      </c>
      <c r="AP7" s="392">
        <v>2927.1533785200004</v>
      </c>
      <c r="AQ7" s="372" t="s">
        <v>92</v>
      </c>
      <c r="AR7" s="390">
        <f>AN7*(1+$AT$2)</f>
        <v>71.784951901800014</v>
      </c>
      <c r="AS7" s="391">
        <f>AO7*(1+$AT$2)</f>
        <v>71.784951901800014</v>
      </c>
      <c r="AT7" s="392">
        <f>AP7*(1+$AT$2)</f>
        <v>3014.9679798756006</v>
      </c>
      <c r="AU7" s="390">
        <f>AR7*(1+$AW$2)</f>
        <v>73.938500458854023</v>
      </c>
      <c r="AV7" s="391">
        <f>AS7*(1+$AW$2)</f>
        <v>73.938500458854023</v>
      </c>
      <c r="AW7" s="392">
        <f>AT7*(1+$AW$2)</f>
        <v>3105.4170192718689</v>
      </c>
      <c r="AX7" s="390">
        <f>AU7*(1+$AZ$2)</f>
        <v>76.156655472619647</v>
      </c>
      <c r="AY7" s="391">
        <f>AV7*(1+$AZ$2)</f>
        <v>76.156655472619647</v>
      </c>
      <c r="AZ7" s="392">
        <f>AW7*(1+$AZ$2)</f>
        <v>3198.5795298500252</v>
      </c>
      <c r="BA7" s="390">
        <f>AX7*(1+$BC$2)</f>
        <v>78.441355136798236</v>
      </c>
      <c r="BB7" s="391">
        <f t="shared" ref="BB7:BB38" si="0">AY7*(1+$BC$2)</f>
        <v>78.441355136798236</v>
      </c>
      <c r="BC7" s="392">
        <f t="shared" ref="BC7:BC38" si="1">AZ7*(1+$BC$2)</f>
        <v>3294.5369157455261</v>
      </c>
      <c r="BD7" s="390">
        <f t="shared" ref="BD7:BD38" si="2">BA7*(1+$BF$2)</f>
        <v>80.794595790902179</v>
      </c>
      <c r="BE7" s="391">
        <f t="shared" ref="BE7:BE38" si="3">BB7*(1+$BF$2)</f>
        <v>80.794595790902179</v>
      </c>
      <c r="BF7" s="392">
        <f t="shared" ref="BF7:BF38" si="4">BC7*(1+$BF$2)</f>
        <v>3393.3730232178918</v>
      </c>
      <c r="BG7" s="390">
        <f t="shared" ref="BG7:BG61" si="5">BD7*(1+$BF$2)</f>
        <v>83.218433664629245</v>
      </c>
      <c r="BH7" s="391">
        <f t="shared" ref="BH7:BH61" si="6">BE7*(1+$BF$2)</f>
        <v>83.218433664629245</v>
      </c>
      <c r="BI7" s="392">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3" t="s">
        <v>93</v>
      </c>
      <c r="AN8" s="393">
        <v>69.694128060000011</v>
      </c>
      <c r="AO8" s="394">
        <v>69.694128060000011</v>
      </c>
      <c r="AP8" s="395">
        <v>2927.1533785200004</v>
      </c>
      <c r="AQ8" s="373" t="s">
        <v>93</v>
      </c>
      <c r="AR8" s="393">
        <f t="shared" ref="AR8:AR61" si="10">AN8*(1+$AT$2)</f>
        <v>71.784951901800014</v>
      </c>
      <c r="AS8" s="394">
        <f t="shared" ref="AS8:AS61" si="11">AO8*(1+$AT$2)</f>
        <v>71.784951901800014</v>
      </c>
      <c r="AT8" s="395">
        <f t="shared" ref="AT8:AT61" si="12">AP8*(1+$AT$2)</f>
        <v>3014.9679798756006</v>
      </c>
      <c r="AU8" s="393">
        <f t="shared" ref="AU8:AU61" si="13">AR8*(1+$AW$2)</f>
        <v>73.938500458854023</v>
      </c>
      <c r="AV8" s="394">
        <f t="shared" ref="AV8:AV61" si="14">AS8*(1+$AW$2)</f>
        <v>73.938500458854023</v>
      </c>
      <c r="AW8" s="395">
        <f t="shared" ref="AW8:AW61" si="15">AT8*(1+$AW$2)</f>
        <v>3105.4170192718689</v>
      </c>
      <c r="AX8" s="393">
        <f t="shared" ref="AX8:AX61" si="16">AU8*(1+$AZ$2)</f>
        <v>76.156655472619647</v>
      </c>
      <c r="AY8" s="394">
        <f t="shared" ref="AY8:AY61" si="17">AV8*(1+$AZ$2)</f>
        <v>76.156655472619647</v>
      </c>
      <c r="AZ8" s="395">
        <f t="shared" ref="AZ8:AZ61" si="18">AW8*(1+$AZ$2)</f>
        <v>3198.5795298500252</v>
      </c>
      <c r="BA8" s="393">
        <f t="shared" ref="BA8:BA38" si="19">AX8*(1+$BC$2)</f>
        <v>78.441355136798236</v>
      </c>
      <c r="BB8" s="394">
        <f t="shared" si="0"/>
        <v>78.441355136798236</v>
      </c>
      <c r="BC8" s="395">
        <f t="shared" si="1"/>
        <v>3294.5369157455261</v>
      </c>
      <c r="BD8" s="393">
        <f t="shared" si="2"/>
        <v>80.794595790902179</v>
      </c>
      <c r="BE8" s="394">
        <f t="shared" si="3"/>
        <v>80.794595790902179</v>
      </c>
      <c r="BF8" s="395">
        <f t="shared" si="4"/>
        <v>3393.3730232178918</v>
      </c>
      <c r="BG8" s="393">
        <f t="shared" si="5"/>
        <v>83.218433664629245</v>
      </c>
      <c r="BH8" s="394">
        <f t="shared" si="6"/>
        <v>83.218433664629245</v>
      </c>
      <c r="BI8" s="395">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4" t="s">
        <v>94</v>
      </c>
      <c r="AN9" s="396">
        <v>102.10441088000003</v>
      </c>
      <c r="AO9" s="397">
        <v>102.10441088000003</v>
      </c>
      <c r="AP9" s="398">
        <v>4288.3852569600012</v>
      </c>
      <c r="AQ9" s="374" t="s">
        <v>94</v>
      </c>
      <c r="AR9" s="396">
        <f t="shared" si="10"/>
        <v>105.16754320640004</v>
      </c>
      <c r="AS9" s="397">
        <f t="shared" si="11"/>
        <v>105.16754320640004</v>
      </c>
      <c r="AT9" s="398">
        <f t="shared" si="12"/>
        <v>4417.0368146688015</v>
      </c>
      <c r="AU9" s="396">
        <f t="shared" si="13"/>
        <v>108.32256950259205</v>
      </c>
      <c r="AV9" s="397">
        <f t="shared" si="14"/>
        <v>108.32256950259205</v>
      </c>
      <c r="AW9" s="398">
        <f t="shared" si="15"/>
        <v>4549.5479191088652</v>
      </c>
      <c r="AX9" s="396">
        <f t="shared" si="16"/>
        <v>111.57224658766981</v>
      </c>
      <c r="AY9" s="397">
        <f t="shared" si="17"/>
        <v>111.57224658766981</v>
      </c>
      <c r="AZ9" s="398">
        <f t="shared" si="18"/>
        <v>4686.0343566821311</v>
      </c>
      <c r="BA9" s="396">
        <f t="shared" si="19"/>
        <v>114.91941398529991</v>
      </c>
      <c r="BB9" s="397">
        <f t="shared" si="0"/>
        <v>114.91941398529991</v>
      </c>
      <c r="BC9" s="398">
        <f t="shared" si="1"/>
        <v>4826.6153873825951</v>
      </c>
      <c r="BD9" s="396">
        <f t="shared" si="2"/>
        <v>118.36699640485891</v>
      </c>
      <c r="BE9" s="397">
        <f t="shared" si="3"/>
        <v>118.36699640485891</v>
      </c>
      <c r="BF9" s="398">
        <f t="shared" si="4"/>
        <v>4971.4138490040732</v>
      </c>
      <c r="BG9" s="396">
        <f t="shared" si="5"/>
        <v>121.91800629700468</v>
      </c>
      <c r="BH9" s="397">
        <f t="shared" si="6"/>
        <v>121.91800629700468</v>
      </c>
      <c r="BI9" s="398">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5" t="s">
        <v>95</v>
      </c>
      <c r="AN10" s="393">
        <v>62.143384490000003</v>
      </c>
      <c r="AO10" s="394">
        <v>62.143384490000003</v>
      </c>
      <c r="AP10" s="395">
        <v>2610.0221485800002</v>
      </c>
      <c r="AQ10" s="375" t="s">
        <v>95</v>
      </c>
      <c r="AR10" s="393">
        <f t="shared" si="10"/>
        <v>64.007686024700007</v>
      </c>
      <c r="AS10" s="394">
        <f t="shared" si="11"/>
        <v>64.007686024700007</v>
      </c>
      <c r="AT10" s="395">
        <f t="shared" si="12"/>
        <v>2688.3228130374005</v>
      </c>
      <c r="AU10" s="393">
        <f t="shared" si="13"/>
        <v>65.927916605441013</v>
      </c>
      <c r="AV10" s="394">
        <f t="shared" si="14"/>
        <v>65.927916605441013</v>
      </c>
      <c r="AW10" s="395">
        <f t="shared" si="15"/>
        <v>2768.9724974285227</v>
      </c>
      <c r="AX10" s="393">
        <f t="shared" si="16"/>
        <v>67.905754103604238</v>
      </c>
      <c r="AY10" s="394">
        <f t="shared" si="17"/>
        <v>67.905754103604238</v>
      </c>
      <c r="AZ10" s="395">
        <f t="shared" si="18"/>
        <v>2852.0416723513786</v>
      </c>
      <c r="BA10" s="393">
        <f t="shared" si="19"/>
        <v>69.942926726712372</v>
      </c>
      <c r="BB10" s="394">
        <f t="shared" si="0"/>
        <v>69.942926726712372</v>
      </c>
      <c r="BC10" s="395">
        <f t="shared" si="1"/>
        <v>2937.6029225219199</v>
      </c>
      <c r="BD10" s="393">
        <f t="shared" si="2"/>
        <v>72.041214528513748</v>
      </c>
      <c r="BE10" s="394">
        <f t="shared" si="3"/>
        <v>72.041214528513748</v>
      </c>
      <c r="BF10" s="395">
        <f t="shared" si="4"/>
        <v>3025.7310101975777</v>
      </c>
      <c r="BG10" s="393">
        <f t="shared" si="5"/>
        <v>74.202450964369163</v>
      </c>
      <c r="BH10" s="394">
        <f t="shared" si="6"/>
        <v>74.202450964369163</v>
      </c>
      <c r="BI10" s="395">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4" t="s">
        <v>96</v>
      </c>
      <c r="AN11" s="396">
        <v>62.143384490000003</v>
      </c>
      <c r="AO11" s="397">
        <v>62.143384490000003</v>
      </c>
      <c r="AP11" s="398">
        <v>2610.0221485800002</v>
      </c>
      <c r="AQ11" s="374" t="s">
        <v>96</v>
      </c>
      <c r="AR11" s="396">
        <f t="shared" si="10"/>
        <v>64.007686024700007</v>
      </c>
      <c r="AS11" s="397">
        <f t="shared" si="11"/>
        <v>64.007686024700007</v>
      </c>
      <c r="AT11" s="398">
        <f t="shared" si="12"/>
        <v>2688.3228130374005</v>
      </c>
      <c r="AU11" s="396">
        <f t="shared" si="13"/>
        <v>65.927916605441013</v>
      </c>
      <c r="AV11" s="397">
        <f t="shared" si="14"/>
        <v>65.927916605441013</v>
      </c>
      <c r="AW11" s="398">
        <f t="shared" si="15"/>
        <v>2768.9724974285227</v>
      </c>
      <c r="AX11" s="396">
        <f t="shared" si="16"/>
        <v>67.905754103604238</v>
      </c>
      <c r="AY11" s="397">
        <f t="shared" si="17"/>
        <v>67.905754103604238</v>
      </c>
      <c r="AZ11" s="398">
        <f t="shared" si="18"/>
        <v>2852.0416723513786</v>
      </c>
      <c r="BA11" s="396">
        <f t="shared" si="19"/>
        <v>69.942926726712372</v>
      </c>
      <c r="BB11" s="397">
        <f t="shared" si="0"/>
        <v>69.942926726712372</v>
      </c>
      <c r="BC11" s="398">
        <f t="shared" si="1"/>
        <v>2937.6029225219199</v>
      </c>
      <c r="BD11" s="396">
        <f t="shared" si="2"/>
        <v>72.041214528513748</v>
      </c>
      <c r="BE11" s="397">
        <f t="shared" si="3"/>
        <v>72.041214528513748</v>
      </c>
      <c r="BF11" s="398">
        <f t="shared" si="4"/>
        <v>3025.7310101975777</v>
      </c>
      <c r="BG11" s="396">
        <f t="shared" si="5"/>
        <v>74.202450964369163</v>
      </c>
      <c r="BH11" s="397">
        <f t="shared" si="6"/>
        <v>74.202450964369163</v>
      </c>
      <c r="BI11" s="398">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5" t="s">
        <v>97</v>
      </c>
      <c r="AN12" s="393">
        <v>81.211470640000002</v>
      </c>
      <c r="AO12" s="394">
        <v>81.211470640000002</v>
      </c>
      <c r="AP12" s="395">
        <v>3410.8817668800002</v>
      </c>
      <c r="AQ12" s="375" t="s">
        <v>97</v>
      </c>
      <c r="AR12" s="393">
        <f t="shared" si="10"/>
        <v>83.647814759200003</v>
      </c>
      <c r="AS12" s="394">
        <f t="shared" si="11"/>
        <v>83.647814759200003</v>
      </c>
      <c r="AT12" s="395">
        <f t="shared" si="12"/>
        <v>3513.2082198864005</v>
      </c>
      <c r="AU12" s="393">
        <f t="shared" si="13"/>
        <v>86.157249201976001</v>
      </c>
      <c r="AV12" s="394">
        <f t="shared" si="14"/>
        <v>86.157249201976001</v>
      </c>
      <c r="AW12" s="395">
        <f t="shared" si="15"/>
        <v>3618.6044664829924</v>
      </c>
      <c r="AX12" s="393">
        <f t="shared" si="16"/>
        <v>88.741966678035283</v>
      </c>
      <c r="AY12" s="394">
        <f t="shared" si="17"/>
        <v>88.741966678035283</v>
      </c>
      <c r="AZ12" s="395">
        <f t="shared" si="18"/>
        <v>3727.1626004774821</v>
      </c>
      <c r="BA12" s="393">
        <f t="shared" si="19"/>
        <v>91.404225678376349</v>
      </c>
      <c r="BB12" s="394">
        <f t="shared" si="0"/>
        <v>91.404225678376349</v>
      </c>
      <c r="BC12" s="395">
        <f t="shared" si="1"/>
        <v>3838.9774784918068</v>
      </c>
      <c r="BD12" s="393">
        <f t="shared" si="2"/>
        <v>94.14635244872764</v>
      </c>
      <c r="BE12" s="394">
        <f t="shared" si="3"/>
        <v>94.14635244872764</v>
      </c>
      <c r="BF12" s="395">
        <f t="shared" si="4"/>
        <v>3954.1468028465611</v>
      </c>
      <c r="BG12" s="393">
        <f t="shared" si="5"/>
        <v>96.970743022189467</v>
      </c>
      <c r="BH12" s="394">
        <f t="shared" si="6"/>
        <v>96.970743022189467</v>
      </c>
      <c r="BI12" s="395">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5" t="s">
        <v>98</v>
      </c>
      <c r="AN13" s="393">
        <v>139.10414710000001</v>
      </c>
      <c r="AO13" s="394">
        <v>139.10414710000001</v>
      </c>
      <c r="AP13" s="395">
        <v>5842.3741782000006</v>
      </c>
      <c r="AQ13" s="375" t="s">
        <v>98</v>
      </c>
      <c r="AR13" s="393">
        <f t="shared" si="10"/>
        <v>143.27727151300002</v>
      </c>
      <c r="AS13" s="394">
        <f t="shared" si="11"/>
        <v>143.27727151300002</v>
      </c>
      <c r="AT13" s="395">
        <f t="shared" si="12"/>
        <v>6017.645403546001</v>
      </c>
      <c r="AU13" s="393">
        <f t="shared" si="13"/>
        <v>147.57558965839002</v>
      </c>
      <c r="AV13" s="394">
        <f t="shared" si="14"/>
        <v>147.57558965839002</v>
      </c>
      <c r="AW13" s="395">
        <f t="shared" si="15"/>
        <v>6198.1747656523812</v>
      </c>
      <c r="AX13" s="393">
        <f t="shared" si="16"/>
        <v>152.00285734814173</v>
      </c>
      <c r="AY13" s="394">
        <f t="shared" si="17"/>
        <v>152.00285734814173</v>
      </c>
      <c r="AZ13" s="395">
        <f t="shared" si="18"/>
        <v>6384.1200086219524</v>
      </c>
      <c r="BA13" s="393">
        <f t="shared" si="19"/>
        <v>156.56294306858598</v>
      </c>
      <c r="BB13" s="394">
        <f t="shared" si="0"/>
        <v>156.56294306858598</v>
      </c>
      <c r="BC13" s="395">
        <f t="shared" si="1"/>
        <v>6575.6436088806113</v>
      </c>
      <c r="BD13" s="393">
        <f t="shared" si="2"/>
        <v>161.25983136064357</v>
      </c>
      <c r="BE13" s="394">
        <f t="shared" si="3"/>
        <v>161.25983136064357</v>
      </c>
      <c r="BF13" s="395">
        <f t="shared" si="4"/>
        <v>6772.9129171470295</v>
      </c>
      <c r="BG13" s="393">
        <f t="shared" si="5"/>
        <v>166.0976263014629</v>
      </c>
      <c r="BH13" s="394">
        <f t="shared" si="6"/>
        <v>166.0976263014629</v>
      </c>
      <c r="BI13" s="395">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5" t="s">
        <v>99</v>
      </c>
      <c r="AN14" s="393">
        <v>103.59051960000001</v>
      </c>
      <c r="AO14" s="394">
        <v>103.59051960000001</v>
      </c>
      <c r="AP14" s="395">
        <v>4350.8018232000004</v>
      </c>
      <c r="AQ14" s="375" t="s">
        <v>99</v>
      </c>
      <c r="AR14" s="393">
        <f t="shared" si="10"/>
        <v>106.69823518800001</v>
      </c>
      <c r="AS14" s="394">
        <f t="shared" si="11"/>
        <v>106.69823518800001</v>
      </c>
      <c r="AT14" s="395">
        <f t="shared" si="12"/>
        <v>4481.3258778960007</v>
      </c>
      <c r="AU14" s="393">
        <f t="shared" si="13"/>
        <v>109.89918224364001</v>
      </c>
      <c r="AV14" s="394">
        <f t="shared" si="14"/>
        <v>109.89918224364001</v>
      </c>
      <c r="AW14" s="395">
        <f t="shared" si="15"/>
        <v>4615.7656542328805</v>
      </c>
      <c r="AX14" s="393">
        <f t="shared" si="16"/>
        <v>113.19615771094922</v>
      </c>
      <c r="AY14" s="394">
        <f t="shared" si="17"/>
        <v>113.19615771094922</v>
      </c>
      <c r="AZ14" s="395">
        <f t="shared" si="18"/>
        <v>4754.2386238598674</v>
      </c>
      <c r="BA14" s="393">
        <f t="shared" si="19"/>
        <v>116.5920424422777</v>
      </c>
      <c r="BB14" s="394">
        <f t="shared" si="0"/>
        <v>116.5920424422777</v>
      </c>
      <c r="BC14" s="395">
        <f t="shared" si="1"/>
        <v>4896.8657825756636</v>
      </c>
      <c r="BD14" s="393">
        <f t="shared" si="2"/>
        <v>120.08980371554604</v>
      </c>
      <c r="BE14" s="394">
        <f t="shared" si="3"/>
        <v>120.08980371554604</v>
      </c>
      <c r="BF14" s="395">
        <f t="shared" si="4"/>
        <v>5043.7717560529336</v>
      </c>
      <c r="BG14" s="393">
        <f t="shared" si="5"/>
        <v>123.69249782701243</v>
      </c>
      <c r="BH14" s="394">
        <f t="shared" si="6"/>
        <v>123.69249782701243</v>
      </c>
      <c r="BI14" s="395">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6" t="s">
        <v>273</v>
      </c>
      <c r="AN15" s="396">
        <v>0.45629000000000003</v>
      </c>
      <c r="AO15" s="397">
        <v>104.04680960000002</v>
      </c>
      <c r="AP15" s="398">
        <v>4369.9660032000002</v>
      </c>
      <c r="AQ15" s="376" t="s">
        <v>273</v>
      </c>
      <c r="AR15" s="396">
        <f t="shared" si="10"/>
        <v>0.46997870000000003</v>
      </c>
      <c r="AS15" s="397">
        <f t="shared" si="11"/>
        <v>107.16821388800003</v>
      </c>
      <c r="AT15" s="398">
        <f t="shared" si="12"/>
        <v>4501.0649832960007</v>
      </c>
      <c r="AU15" s="396">
        <f t="shared" si="13"/>
        <v>0.48407806100000006</v>
      </c>
      <c r="AV15" s="397">
        <f t="shared" si="14"/>
        <v>110.38326030464003</v>
      </c>
      <c r="AW15" s="398">
        <f t="shared" si="15"/>
        <v>4636.0969327948806</v>
      </c>
      <c r="AX15" s="396">
        <f t="shared" si="16"/>
        <v>0.49860040283000007</v>
      </c>
      <c r="AY15" s="397">
        <f t="shared" si="17"/>
        <v>113.69475811377923</v>
      </c>
      <c r="AZ15" s="398">
        <f t="shared" si="18"/>
        <v>4775.1798407787273</v>
      </c>
      <c r="BA15" s="396">
        <f t="shared" si="19"/>
        <v>0.51355841491490006</v>
      </c>
      <c r="BB15" s="397">
        <f t="shared" si="0"/>
        <v>117.10560085719261</v>
      </c>
      <c r="BC15" s="398">
        <f t="shared" si="1"/>
        <v>4918.4352360020894</v>
      </c>
      <c r="BD15" s="396">
        <f t="shared" si="2"/>
        <v>0.52896516736234711</v>
      </c>
      <c r="BE15" s="397">
        <f t="shared" si="3"/>
        <v>120.6187688829084</v>
      </c>
      <c r="BF15" s="398">
        <f t="shared" si="4"/>
        <v>5065.9882930821523</v>
      </c>
      <c r="BG15" s="396">
        <f t="shared" si="5"/>
        <v>0.54483412238321749</v>
      </c>
      <c r="BH15" s="397">
        <f t="shared" si="6"/>
        <v>124.23733194939565</v>
      </c>
      <c r="BI15" s="398">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5" t="s">
        <v>97</v>
      </c>
      <c r="AN16" s="393">
        <v>81.211470640000002</v>
      </c>
      <c r="AO16" s="394">
        <v>81.211470640000002</v>
      </c>
      <c r="AP16" s="395">
        <v>3410.8817668800002</v>
      </c>
      <c r="AQ16" s="375" t="s">
        <v>97</v>
      </c>
      <c r="AR16" s="393">
        <f t="shared" si="10"/>
        <v>83.647814759200003</v>
      </c>
      <c r="AS16" s="394">
        <f t="shared" si="11"/>
        <v>83.647814759200003</v>
      </c>
      <c r="AT16" s="395">
        <f t="shared" si="12"/>
        <v>3513.2082198864005</v>
      </c>
      <c r="AU16" s="393">
        <f t="shared" si="13"/>
        <v>86.157249201976001</v>
      </c>
      <c r="AV16" s="394">
        <f t="shared" si="14"/>
        <v>86.157249201976001</v>
      </c>
      <c r="AW16" s="395">
        <f t="shared" si="15"/>
        <v>3618.6044664829924</v>
      </c>
      <c r="AX16" s="393">
        <f t="shared" si="16"/>
        <v>88.741966678035283</v>
      </c>
      <c r="AY16" s="394">
        <f t="shared" si="17"/>
        <v>88.741966678035283</v>
      </c>
      <c r="AZ16" s="395">
        <f t="shared" si="18"/>
        <v>3727.1626004774821</v>
      </c>
      <c r="BA16" s="393">
        <f t="shared" si="19"/>
        <v>91.404225678376349</v>
      </c>
      <c r="BB16" s="394">
        <f t="shared" si="0"/>
        <v>91.404225678376349</v>
      </c>
      <c r="BC16" s="395">
        <f t="shared" si="1"/>
        <v>3838.9774784918068</v>
      </c>
      <c r="BD16" s="393">
        <f t="shared" si="2"/>
        <v>94.14635244872764</v>
      </c>
      <c r="BE16" s="394">
        <f t="shared" si="3"/>
        <v>94.14635244872764</v>
      </c>
      <c r="BF16" s="395">
        <f t="shared" si="4"/>
        <v>3954.1468028465611</v>
      </c>
      <c r="BG16" s="393">
        <f t="shared" si="5"/>
        <v>96.970743022189467</v>
      </c>
      <c r="BH16" s="394">
        <f t="shared" si="6"/>
        <v>96.970743022189467</v>
      </c>
      <c r="BI16" s="395">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5" t="s">
        <v>100</v>
      </c>
      <c r="AN17" s="393">
        <v>157.31990619000001</v>
      </c>
      <c r="AO17" s="394">
        <v>157.31990619000001</v>
      </c>
      <c r="AP17" s="395">
        <v>6607.4360599800002</v>
      </c>
      <c r="AQ17" s="375" t="s">
        <v>100</v>
      </c>
      <c r="AR17" s="393">
        <f t="shared" si="10"/>
        <v>162.03950337570001</v>
      </c>
      <c r="AS17" s="394">
        <f t="shared" si="11"/>
        <v>162.03950337570001</v>
      </c>
      <c r="AT17" s="395">
        <f t="shared" si="12"/>
        <v>6805.6591417794007</v>
      </c>
      <c r="AU17" s="393">
        <f t="shared" si="13"/>
        <v>166.900688476971</v>
      </c>
      <c r="AV17" s="394">
        <f t="shared" si="14"/>
        <v>166.900688476971</v>
      </c>
      <c r="AW17" s="395">
        <f t="shared" si="15"/>
        <v>7009.8289160327831</v>
      </c>
      <c r="AX17" s="393">
        <f t="shared" si="16"/>
        <v>171.90770913128014</v>
      </c>
      <c r="AY17" s="394">
        <f t="shared" si="17"/>
        <v>171.90770913128014</v>
      </c>
      <c r="AZ17" s="395">
        <f t="shared" si="18"/>
        <v>7220.1237835137672</v>
      </c>
      <c r="BA17" s="393">
        <f t="shared" si="19"/>
        <v>177.06494040521855</v>
      </c>
      <c r="BB17" s="394">
        <f t="shared" si="0"/>
        <v>177.06494040521855</v>
      </c>
      <c r="BC17" s="395">
        <f t="shared" si="1"/>
        <v>7436.7274970191802</v>
      </c>
      <c r="BD17" s="393">
        <f t="shared" si="2"/>
        <v>182.3768886173751</v>
      </c>
      <c r="BE17" s="394">
        <f t="shared" si="3"/>
        <v>182.3768886173751</v>
      </c>
      <c r="BF17" s="395">
        <f t="shared" si="4"/>
        <v>7659.8293219297557</v>
      </c>
      <c r="BG17" s="393">
        <f t="shared" si="5"/>
        <v>187.84819527589636</v>
      </c>
      <c r="BH17" s="394">
        <f t="shared" si="6"/>
        <v>187.84819527589636</v>
      </c>
      <c r="BI17" s="395">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7" t="s">
        <v>101</v>
      </c>
      <c r="AN18" s="396">
        <v>190.86662508999999</v>
      </c>
      <c r="AO18" s="397">
        <v>348.18653128000005</v>
      </c>
      <c r="AP18" s="398">
        <v>14623.83431376</v>
      </c>
      <c r="AQ18" s="377" t="s">
        <v>101</v>
      </c>
      <c r="AR18" s="396">
        <f t="shared" si="10"/>
        <v>196.59262384269999</v>
      </c>
      <c r="AS18" s="397">
        <f t="shared" si="11"/>
        <v>358.63212721840006</v>
      </c>
      <c r="AT18" s="398">
        <f t="shared" si="12"/>
        <v>15062.549343172801</v>
      </c>
      <c r="AU18" s="396">
        <f t="shared" si="13"/>
        <v>202.49040255798099</v>
      </c>
      <c r="AV18" s="397">
        <f t="shared" si="14"/>
        <v>369.39109103495207</v>
      </c>
      <c r="AW18" s="398">
        <f t="shared" si="15"/>
        <v>15514.425823467986</v>
      </c>
      <c r="AX18" s="396">
        <f t="shared" si="16"/>
        <v>208.56511463472043</v>
      </c>
      <c r="AY18" s="397">
        <f t="shared" si="17"/>
        <v>380.47282376600066</v>
      </c>
      <c r="AZ18" s="398">
        <f t="shared" si="18"/>
        <v>15979.858598172026</v>
      </c>
      <c r="BA18" s="396">
        <f t="shared" si="19"/>
        <v>214.82206807376204</v>
      </c>
      <c r="BB18" s="397">
        <f t="shared" si="0"/>
        <v>391.8870084789807</v>
      </c>
      <c r="BC18" s="398">
        <f t="shared" si="1"/>
        <v>16459.254356117188</v>
      </c>
      <c r="BD18" s="396">
        <f t="shared" si="2"/>
        <v>221.26673011597489</v>
      </c>
      <c r="BE18" s="397">
        <f t="shared" si="3"/>
        <v>403.64361873335014</v>
      </c>
      <c r="BF18" s="398">
        <f t="shared" si="4"/>
        <v>16953.031986800703</v>
      </c>
      <c r="BG18" s="396">
        <f t="shared" si="5"/>
        <v>227.90473201945414</v>
      </c>
      <c r="BH18" s="397">
        <f t="shared" si="6"/>
        <v>415.75292729535067</v>
      </c>
      <c r="BI18" s="398">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5" t="s">
        <v>97</v>
      </c>
      <c r="AN19" s="393">
        <v>81.211470640000002</v>
      </c>
      <c r="AO19" s="394">
        <v>81.211470640000002</v>
      </c>
      <c r="AP19" s="395">
        <v>3410.8817668800002</v>
      </c>
      <c r="AQ19" s="375" t="s">
        <v>97</v>
      </c>
      <c r="AR19" s="393">
        <f t="shared" si="10"/>
        <v>83.647814759200003</v>
      </c>
      <c r="AS19" s="394">
        <f t="shared" si="11"/>
        <v>83.647814759200003</v>
      </c>
      <c r="AT19" s="395">
        <f t="shared" si="12"/>
        <v>3513.2082198864005</v>
      </c>
      <c r="AU19" s="393">
        <f t="shared" si="13"/>
        <v>86.157249201976001</v>
      </c>
      <c r="AV19" s="394">
        <f t="shared" si="14"/>
        <v>86.157249201976001</v>
      </c>
      <c r="AW19" s="395">
        <f t="shared" si="15"/>
        <v>3618.6044664829924</v>
      </c>
      <c r="AX19" s="393">
        <f t="shared" si="16"/>
        <v>88.741966678035283</v>
      </c>
      <c r="AY19" s="394">
        <f t="shared" si="17"/>
        <v>88.741966678035283</v>
      </c>
      <c r="AZ19" s="395">
        <f t="shared" si="18"/>
        <v>3727.1626004774821</v>
      </c>
      <c r="BA19" s="393">
        <f t="shared" si="19"/>
        <v>91.404225678376349</v>
      </c>
      <c r="BB19" s="394">
        <f t="shared" si="0"/>
        <v>91.404225678376349</v>
      </c>
      <c r="BC19" s="395">
        <f t="shared" si="1"/>
        <v>3838.9774784918068</v>
      </c>
      <c r="BD19" s="393">
        <f t="shared" si="2"/>
        <v>94.14635244872764</v>
      </c>
      <c r="BE19" s="394">
        <f t="shared" si="3"/>
        <v>94.14635244872764</v>
      </c>
      <c r="BF19" s="395">
        <f t="shared" si="4"/>
        <v>3954.1468028465611</v>
      </c>
      <c r="BG19" s="393">
        <f t="shared" si="5"/>
        <v>96.970743022189467</v>
      </c>
      <c r="BH19" s="394">
        <f t="shared" si="6"/>
        <v>96.970743022189467</v>
      </c>
      <c r="BI19" s="395">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5" t="s">
        <v>100</v>
      </c>
      <c r="AN20" s="393">
        <v>157.31990619000001</v>
      </c>
      <c r="AO20" s="394">
        <v>157.31990619000001</v>
      </c>
      <c r="AP20" s="395">
        <v>6607.4360599800002</v>
      </c>
      <c r="AQ20" s="375" t="s">
        <v>100</v>
      </c>
      <c r="AR20" s="393">
        <f t="shared" si="10"/>
        <v>162.03950337570001</v>
      </c>
      <c r="AS20" s="394">
        <f t="shared" si="11"/>
        <v>162.03950337570001</v>
      </c>
      <c r="AT20" s="395">
        <f t="shared" si="12"/>
        <v>6805.6591417794007</v>
      </c>
      <c r="AU20" s="393">
        <f t="shared" si="13"/>
        <v>166.900688476971</v>
      </c>
      <c r="AV20" s="394">
        <f t="shared" si="14"/>
        <v>166.900688476971</v>
      </c>
      <c r="AW20" s="395">
        <f t="shared" si="15"/>
        <v>7009.8289160327831</v>
      </c>
      <c r="AX20" s="393">
        <f t="shared" si="16"/>
        <v>171.90770913128014</v>
      </c>
      <c r="AY20" s="394">
        <f t="shared" si="17"/>
        <v>171.90770913128014</v>
      </c>
      <c r="AZ20" s="395">
        <f t="shared" si="18"/>
        <v>7220.1237835137672</v>
      </c>
      <c r="BA20" s="393">
        <f t="shared" si="19"/>
        <v>177.06494040521855</v>
      </c>
      <c r="BB20" s="394">
        <f t="shared" si="0"/>
        <v>177.06494040521855</v>
      </c>
      <c r="BC20" s="395">
        <f t="shared" si="1"/>
        <v>7436.7274970191802</v>
      </c>
      <c r="BD20" s="393">
        <f t="shared" si="2"/>
        <v>182.3768886173751</v>
      </c>
      <c r="BE20" s="394">
        <f t="shared" si="3"/>
        <v>182.3768886173751</v>
      </c>
      <c r="BF20" s="395">
        <f t="shared" si="4"/>
        <v>7659.8293219297557</v>
      </c>
      <c r="BG20" s="393">
        <f t="shared" si="5"/>
        <v>187.84819527589636</v>
      </c>
      <c r="BH20" s="394">
        <f t="shared" si="6"/>
        <v>187.84819527589636</v>
      </c>
      <c r="BI20" s="395">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5" t="s">
        <v>102</v>
      </c>
      <c r="AN21" s="393">
        <v>32.672537300000002</v>
      </c>
      <c r="AO21" s="394">
        <v>189.99244349</v>
      </c>
      <c r="AP21" s="395">
        <v>7979.6826265800009</v>
      </c>
      <c r="AQ21" s="375" t="s">
        <v>102</v>
      </c>
      <c r="AR21" s="393">
        <f t="shared" si="10"/>
        <v>33.652713419000001</v>
      </c>
      <c r="AS21" s="394">
        <f t="shared" si="11"/>
        <v>195.69221679470002</v>
      </c>
      <c r="AT21" s="395">
        <f t="shared" si="12"/>
        <v>8219.0731053774016</v>
      </c>
      <c r="AU21" s="393">
        <f t="shared" si="13"/>
        <v>34.662294821570001</v>
      </c>
      <c r="AV21" s="394">
        <f t="shared" si="14"/>
        <v>201.56298329854101</v>
      </c>
      <c r="AW21" s="395">
        <f t="shared" si="15"/>
        <v>8465.6452985387241</v>
      </c>
      <c r="AX21" s="393">
        <f t="shared" si="16"/>
        <v>35.702163666217103</v>
      </c>
      <c r="AY21" s="394">
        <f t="shared" si="17"/>
        <v>207.60987279749725</v>
      </c>
      <c r="AZ21" s="395">
        <f t="shared" si="18"/>
        <v>8719.6146574948853</v>
      </c>
      <c r="BA21" s="393">
        <f t="shared" si="19"/>
        <v>36.773228576203614</v>
      </c>
      <c r="BB21" s="394">
        <f t="shared" si="0"/>
        <v>213.83816898142217</v>
      </c>
      <c r="BC21" s="395">
        <f t="shared" si="1"/>
        <v>8981.2030972197317</v>
      </c>
      <c r="BD21" s="393">
        <f t="shared" si="2"/>
        <v>37.876425433489722</v>
      </c>
      <c r="BE21" s="394">
        <f t="shared" si="3"/>
        <v>220.25331405086484</v>
      </c>
      <c r="BF21" s="395">
        <f t="shared" si="4"/>
        <v>9250.639190136324</v>
      </c>
      <c r="BG21" s="393">
        <f t="shared" si="5"/>
        <v>39.012718196494411</v>
      </c>
      <c r="BH21" s="394">
        <f t="shared" si="6"/>
        <v>226.86091347239079</v>
      </c>
      <c r="BI21" s="395">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5" t="s">
        <v>103</v>
      </c>
      <c r="AN22" s="393">
        <v>59.172112590000012</v>
      </c>
      <c r="AO22" s="394">
        <v>216.49232777999998</v>
      </c>
      <c r="AP22" s="395">
        <v>9092.6777667599981</v>
      </c>
      <c r="AQ22" s="375" t="s">
        <v>103</v>
      </c>
      <c r="AR22" s="393">
        <f t="shared" si="10"/>
        <v>60.947275967700016</v>
      </c>
      <c r="AS22" s="394">
        <f t="shared" si="11"/>
        <v>222.98709761339998</v>
      </c>
      <c r="AT22" s="395">
        <f t="shared" si="12"/>
        <v>9365.4580997627982</v>
      </c>
      <c r="AU22" s="393">
        <f t="shared" si="13"/>
        <v>62.775694246731021</v>
      </c>
      <c r="AV22" s="394">
        <f t="shared" si="14"/>
        <v>229.67671054180198</v>
      </c>
      <c r="AW22" s="395">
        <f t="shared" si="15"/>
        <v>9646.4218427556825</v>
      </c>
      <c r="AX22" s="393">
        <f t="shared" si="16"/>
        <v>64.658965074132951</v>
      </c>
      <c r="AY22" s="394">
        <f t="shared" si="17"/>
        <v>236.56701185805605</v>
      </c>
      <c r="AZ22" s="395">
        <f t="shared" si="18"/>
        <v>9935.8144980383531</v>
      </c>
      <c r="BA22" s="393">
        <f t="shared" si="19"/>
        <v>66.598734026356937</v>
      </c>
      <c r="BB22" s="394">
        <f t="shared" si="0"/>
        <v>243.66402221379775</v>
      </c>
      <c r="BC22" s="395">
        <f t="shared" si="1"/>
        <v>10233.888932979504</v>
      </c>
      <c r="BD22" s="393">
        <f t="shared" si="2"/>
        <v>68.596696047147645</v>
      </c>
      <c r="BE22" s="394">
        <f t="shared" si="3"/>
        <v>250.97394288021169</v>
      </c>
      <c r="BF22" s="395">
        <f t="shared" si="4"/>
        <v>10540.905600968888</v>
      </c>
      <c r="BG22" s="393">
        <f t="shared" si="5"/>
        <v>70.654596928562071</v>
      </c>
      <c r="BH22" s="394">
        <f t="shared" si="6"/>
        <v>258.50316116661804</v>
      </c>
      <c r="BI22" s="395">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5" t="s">
        <v>104</v>
      </c>
      <c r="AN23" s="393">
        <v>109.49124540000001</v>
      </c>
      <c r="AO23" s="394">
        <v>325.98357318000001</v>
      </c>
      <c r="AP23" s="395">
        <v>13691.31007356</v>
      </c>
      <c r="AQ23" s="375" t="s">
        <v>104</v>
      </c>
      <c r="AR23" s="393">
        <f t="shared" si="10"/>
        <v>112.77598276200001</v>
      </c>
      <c r="AS23" s="394">
        <f t="shared" si="11"/>
        <v>335.76308037540002</v>
      </c>
      <c r="AT23" s="395">
        <f t="shared" si="12"/>
        <v>14102.049375766801</v>
      </c>
      <c r="AU23" s="393">
        <f t="shared" si="13"/>
        <v>116.15926224486002</v>
      </c>
      <c r="AV23" s="394">
        <f t="shared" si="14"/>
        <v>345.83597278666201</v>
      </c>
      <c r="AW23" s="395">
        <f t="shared" si="15"/>
        <v>14525.110857039805</v>
      </c>
      <c r="AX23" s="393">
        <f t="shared" si="16"/>
        <v>119.64404011220581</v>
      </c>
      <c r="AY23" s="394">
        <f t="shared" si="17"/>
        <v>356.21105197026191</v>
      </c>
      <c r="AZ23" s="395">
        <f t="shared" si="18"/>
        <v>14960.864182751</v>
      </c>
      <c r="BA23" s="393">
        <f t="shared" si="19"/>
        <v>123.233361315572</v>
      </c>
      <c r="BB23" s="394">
        <f t="shared" si="0"/>
        <v>366.89738352936979</v>
      </c>
      <c r="BC23" s="395">
        <f t="shared" si="1"/>
        <v>15409.69010823353</v>
      </c>
      <c r="BD23" s="393">
        <f t="shared" si="2"/>
        <v>126.93036215503916</v>
      </c>
      <c r="BE23" s="394">
        <f t="shared" si="3"/>
        <v>377.9043050352509</v>
      </c>
      <c r="BF23" s="395">
        <f t="shared" si="4"/>
        <v>15871.980811480536</v>
      </c>
      <c r="BG23" s="393">
        <f t="shared" si="5"/>
        <v>130.73827301969035</v>
      </c>
      <c r="BH23" s="394">
        <f t="shared" si="6"/>
        <v>389.24143418630842</v>
      </c>
      <c r="BI23" s="395">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5" t="s">
        <v>105</v>
      </c>
      <c r="AN24" s="393">
        <v>22.213258100000004</v>
      </c>
      <c r="AO24" s="394">
        <v>348.18653128000005</v>
      </c>
      <c r="AP24" s="395">
        <v>14623.83431376</v>
      </c>
      <c r="AQ24" s="375" t="s">
        <v>105</v>
      </c>
      <c r="AR24" s="393">
        <f t="shared" si="10"/>
        <v>22.879655843000005</v>
      </c>
      <c r="AS24" s="394">
        <f t="shared" si="11"/>
        <v>358.63212721840006</v>
      </c>
      <c r="AT24" s="395">
        <f t="shared" si="12"/>
        <v>15062.549343172801</v>
      </c>
      <c r="AU24" s="393">
        <f t="shared" si="13"/>
        <v>23.566045518290007</v>
      </c>
      <c r="AV24" s="394">
        <f t="shared" si="14"/>
        <v>369.39109103495207</v>
      </c>
      <c r="AW24" s="395">
        <f t="shared" si="15"/>
        <v>15514.425823467986</v>
      </c>
      <c r="AX24" s="393">
        <f t="shared" si="16"/>
        <v>24.273026883838707</v>
      </c>
      <c r="AY24" s="394">
        <f t="shared" si="17"/>
        <v>380.47282376600066</v>
      </c>
      <c r="AZ24" s="395">
        <f t="shared" si="18"/>
        <v>15979.858598172026</v>
      </c>
      <c r="BA24" s="393">
        <f t="shared" si="19"/>
        <v>25.001217690353869</v>
      </c>
      <c r="BB24" s="394">
        <f t="shared" si="0"/>
        <v>391.8870084789807</v>
      </c>
      <c r="BC24" s="395">
        <f t="shared" si="1"/>
        <v>16459.254356117188</v>
      </c>
      <c r="BD24" s="393">
        <f t="shared" si="2"/>
        <v>25.751254221064485</v>
      </c>
      <c r="BE24" s="394">
        <f t="shared" si="3"/>
        <v>403.64361873335014</v>
      </c>
      <c r="BF24" s="395">
        <f t="shared" si="4"/>
        <v>16953.031986800703</v>
      </c>
      <c r="BG24" s="393">
        <f t="shared" si="5"/>
        <v>26.523791847696419</v>
      </c>
      <c r="BH24" s="394">
        <f t="shared" si="6"/>
        <v>415.75292729535067</v>
      </c>
      <c r="BI24" s="395">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7" t="s">
        <v>106</v>
      </c>
      <c r="AN25" s="396">
        <v>0</v>
      </c>
      <c r="AO25" s="397">
        <v>0</v>
      </c>
      <c r="AP25" s="398">
        <v>0</v>
      </c>
      <c r="AQ25" s="377" t="s">
        <v>106</v>
      </c>
      <c r="AR25" s="396">
        <f t="shared" si="10"/>
        <v>0</v>
      </c>
      <c r="AS25" s="397">
        <f t="shared" si="11"/>
        <v>0</v>
      </c>
      <c r="AT25" s="398">
        <f t="shared" si="12"/>
        <v>0</v>
      </c>
      <c r="AU25" s="396">
        <f t="shared" si="13"/>
        <v>0</v>
      </c>
      <c r="AV25" s="397">
        <f t="shared" si="14"/>
        <v>0</v>
      </c>
      <c r="AW25" s="398">
        <f t="shared" si="15"/>
        <v>0</v>
      </c>
      <c r="AX25" s="396">
        <f t="shared" si="16"/>
        <v>0</v>
      </c>
      <c r="AY25" s="397">
        <f t="shared" si="17"/>
        <v>0</v>
      </c>
      <c r="AZ25" s="398">
        <f t="shared" si="18"/>
        <v>0</v>
      </c>
      <c r="BA25" s="396">
        <f t="shared" si="19"/>
        <v>0</v>
      </c>
      <c r="BB25" s="397">
        <f t="shared" si="0"/>
        <v>0</v>
      </c>
      <c r="BC25" s="398">
        <f t="shared" si="1"/>
        <v>0</v>
      </c>
      <c r="BD25" s="396">
        <f t="shared" si="2"/>
        <v>0</v>
      </c>
      <c r="BE25" s="397">
        <f t="shared" si="3"/>
        <v>0</v>
      </c>
      <c r="BF25" s="398">
        <f t="shared" si="4"/>
        <v>0</v>
      </c>
      <c r="BG25" s="396">
        <f t="shared" si="5"/>
        <v>0</v>
      </c>
      <c r="BH25" s="397">
        <f t="shared" si="6"/>
        <v>0</v>
      </c>
      <c r="BI25" s="398">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5" t="s">
        <v>97</v>
      </c>
      <c r="AN26" s="393">
        <v>81.211470640000002</v>
      </c>
      <c r="AO26" s="394">
        <v>81.211470640000002</v>
      </c>
      <c r="AP26" s="395">
        <v>3410.8817668800002</v>
      </c>
      <c r="AQ26" s="375" t="s">
        <v>97</v>
      </c>
      <c r="AR26" s="393">
        <f t="shared" si="10"/>
        <v>83.647814759200003</v>
      </c>
      <c r="AS26" s="394">
        <f t="shared" si="11"/>
        <v>83.647814759200003</v>
      </c>
      <c r="AT26" s="395">
        <f t="shared" si="12"/>
        <v>3513.2082198864005</v>
      </c>
      <c r="AU26" s="393">
        <f t="shared" si="13"/>
        <v>86.157249201976001</v>
      </c>
      <c r="AV26" s="394">
        <f t="shared" si="14"/>
        <v>86.157249201976001</v>
      </c>
      <c r="AW26" s="395">
        <f t="shared" si="15"/>
        <v>3618.6044664829924</v>
      </c>
      <c r="AX26" s="393">
        <f t="shared" si="16"/>
        <v>88.741966678035283</v>
      </c>
      <c r="AY26" s="394">
        <f t="shared" si="17"/>
        <v>88.741966678035283</v>
      </c>
      <c r="AZ26" s="395">
        <f t="shared" si="18"/>
        <v>3727.1626004774821</v>
      </c>
      <c r="BA26" s="393">
        <f t="shared" si="19"/>
        <v>91.404225678376349</v>
      </c>
      <c r="BB26" s="394">
        <f t="shared" si="0"/>
        <v>91.404225678376349</v>
      </c>
      <c r="BC26" s="395">
        <f t="shared" si="1"/>
        <v>3838.9774784918068</v>
      </c>
      <c r="BD26" s="393">
        <f t="shared" si="2"/>
        <v>94.14635244872764</v>
      </c>
      <c r="BE26" s="394">
        <f t="shared" si="3"/>
        <v>94.14635244872764</v>
      </c>
      <c r="BF26" s="395">
        <f t="shared" si="4"/>
        <v>3954.1468028465611</v>
      </c>
      <c r="BG26" s="393">
        <f t="shared" si="5"/>
        <v>96.970743022189467</v>
      </c>
      <c r="BH26" s="394">
        <f t="shared" si="6"/>
        <v>96.970743022189467</v>
      </c>
      <c r="BI26" s="395">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5" t="s">
        <v>100</v>
      </c>
      <c r="AN27" s="393">
        <v>157.31990619000001</v>
      </c>
      <c r="AO27" s="394">
        <v>157.31990619000001</v>
      </c>
      <c r="AP27" s="395">
        <v>6607.4360599800002</v>
      </c>
      <c r="AQ27" s="375" t="s">
        <v>100</v>
      </c>
      <c r="AR27" s="393">
        <f t="shared" si="10"/>
        <v>162.03950337570001</v>
      </c>
      <c r="AS27" s="394">
        <f t="shared" si="11"/>
        <v>162.03950337570001</v>
      </c>
      <c r="AT27" s="395">
        <f t="shared" si="12"/>
        <v>6805.6591417794007</v>
      </c>
      <c r="AU27" s="393">
        <f t="shared" si="13"/>
        <v>166.900688476971</v>
      </c>
      <c r="AV27" s="394">
        <f t="shared" si="14"/>
        <v>166.900688476971</v>
      </c>
      <c r="AW27" s="395">
        <f t="shared" si="15"/>
        <v>7009.8289160327831</v>
      </c>
      <c r="AX27" s="393">
        <f t="shared" si="16"/>
        <v>171.90770913128014</v>
      </c>
      <c r="AY27" s="394">
        <f t="shared" si="17"/>
        <v>171.90770913128014</v>
      </c>
      <c r="AZ27" s="395">
        <f t="shared" si="18"/>
        <v>7220.1237835137672</v>
      </c>
      <c r="BA27" s="393">
        <f t="shared" si="19"/>
        <v>177.06494040521855</v>
      </c>
      <c r="BB27" s="394">
        <f t="shared" si="0"/>
        <v>177.06494040521855</v>
      </c>
      <c r="BC27" s="395">
        <f t="shared" si="1"/>
        <v>7436.7274970191802</v>
      </c>
      <c r="BD27" s="393">
        <f t="shared" si="2"/>
        <v>182.3768886173751</v>
      </c>
      <c r="BE27" s="394">
        <f t="shared" si="3"/>
        <v>182.3768886173751</v>
      </c>
      <c r="BF27" s="395">
        <f t="shared" si="4"/>
        <v>7659.8293219297557</v>
      </c>
      <c r="BG27" s="393">
        <f t="shared" si="5"/>
        <v>187.84819527589636</v>
      </c>
      <c r="BH27" s="394">
        <f t="shared" si="6"/>
        <v>187.84819527589636</v>
      </c>
      <c r="BI27" s="395">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5" t="s">
        <v>102</v>
      </c>
      <c r="AN28" s="393">
        <v>32.672537300000002</v>
      </c>
      <c r="AO28" s="394">
        <v>189.99244349</v>
      </c>
      <c r="AP28" s="395">
        <v>7979.6826265800009</v>
      </c>
      <c r="AQ28" s="375" t="s">
        <v>102</v>
      </c>
      <c r="AR28" s="393">
        <f t="shared" si="10"/>
        <v>33.652713419000001</v>
      </c>
      <c r="AS28" s="394">
        <f t="shared" si="11"/>
        <v>195.69221679470002</v>
      </c>
      <c r="AT28" s="395">
        <f t="shared" si="12"/>
        <v>8219.0731053774016</v>
      </c>
      <c r="AU28" s="393">
        <f t="shared" si="13"/>
        <v>34.662294821570001</v>
      </c>
      <c r="AV28" s="394">
        <f t="shared" si="14"/>
        <v>201.56298329854101</v>
      </c>
      <c r="AW28" s="395">
        <f t="shared" si="15"/>
        <v>8465.6452985387241</v>
      </c>
      <c r="AX28" s="393">
        <f t="shared" si="16"/>
        <v>35.702163666217103</v>
      </c>
      <c r="AY28" s="394">
        <f t="shared" si="17"/>
        <v>207.60987279749725</v>
      </c>
      <c r="AZ28" s="395">
        <f t="shared" si="18"/>
        <v>8719.6146574948853</v>
      </c>
      <c r="BA28" s="393">
        <f t="shared" si="19"/>
        <v>36.773228576203614</v>
      </c>
      <c r="BB28" s="394">
        <f t="shared" si="0"/>
        <v>213.83816898142217</v>
      </c>
      <c r="BC28" s="395">
        <f t="shared" si="1"/>
        <v>8981.2030972197317</v>
      </c>
      <c r="BD28" s="393">
        <f t="shared" si="2"/>
        <v>37.876425433489722</v>
      </c>
      <c r="BE28" s="394">
        <f t="shared" si="3"/>
        <v>220.25331405086484</v>
      </c>
      <c r="BF28" s="395">
        <f t="shared" si="4"/>
        <v>9250.639190136324</v>
      </c>
      <c r="BG28" s="393">
        <f t="shared" si="5"/>
        <v>39.012718196494411</v>
      </c>
      <c r="BH28" s="394">
        <f t="shared" si="6"/>
        <v>226.86091347239079</v>
      </c>
      <c r="BI28" s="395">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5" t="s">
        <v>103</v>
      </c>
      <c r="AN29" s="393">
        <v>59.172112590000012</v>
      </c>
      <c r="AO29" s="394">
        <v>216.49232777999998</v>
      </c>
      <c r="AP29" s="395">
        <v>9092.6777667599981</v>
      </c>
      <c r="AQ29" s="375" t="s">
        <v>103</v>
      </c>
      <c r="AR29" s="393">
        <f t="shared" si="10"/>
        <v>60.947275967700016</v>
      </c>
      <c r="AS29" s="394">
        <f t="shared" si="11"/>
        <v>222.98709761339998</v>
      </c>
      <c r="AT29" s="395">
        <f t="shared" si="12"/>
        <v>9365.4580997627982</v>
      </c>
      <c r="AU29" s="393">
        <f t="shared" si="13"/>
        <v>62.775694246731021</v>
      </c>
      <c r="AV29" s="394">
        <f t="shared" si="14"/>
        <v>229.67671054180198</v>
      </c>
      <c r="AW29" s="395">
        <f t="shared" si="15"/>
        <v>9646.4218427556825</v>
      </c>
      <c r="AX29" s="393">
        <f t="shared" si="16"/>
        <v>64.658965074132951</v>
      </c>
      <c r="AY29" s="394">
        <f t="shared" si="17"/>
        <v>236.56701185805605</v>
      </c>
      <c r="AZ29" s="395">
        <f t="shared" si="18"/>
        <v>9935.8144980383531</v>
      </c>
      <c r="BA29" s="393">
        <f t="shared" si="19"/>
        <v>66.598734026356937</v>
      </c>
      <c r="BB29" s="394">
        <f t="shared" si="0"/>
        <v>243.66402221379775</v>
      </c>
      <c r="BC29" s="395">
        <f t="shared" si="1"/>
        <v>10233.888932979504</v>
      </c>
      <c r="BD29" s="393">
        <f t="shared" si="2"/>
        <v>68.596696047147645</v>
      </c>
      <c r="BE29" s="394">
        <f t="shared" si="3"/>
        <v>250.97394288021169</v>
      </c>
      <c r="BF29" s="395">
        <f t="shared" si="4"/>
        <v>10540.905600968888</v>
      </c>
      <c r="BG29" s="393">
        <f t="shared" si="5"/>
        <v>70.654596928562071</v>
      </c>
      <c r="BH29" s="394">
        <f t="shared" si="6"/>
        <v>258.50316116661804</v>
      </c>
      <c r="BI29" s="395">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5" t="s">
        <v>107</v>
      </c>
      <c r="AN30" s="393">
        <v>24.093684810000006</v>
      </c>
      <c r="AO30" s="394">
        <v>240.58570359000001</v>
      </c>
      <c r="AP30" s="395">
        <v>10104.59955078</v>
      </c>
      <c r="AQ30" s="375" t="s">
        <v>107</v>
      </c>
      <c r="AR30" s="393">
        <f t="shared" si="10"/>
        <v>24.816495354300006</v>
      </c>
      <c r="AS30" s="394">
        <f t="shared" si="11"/>
        <v>247.8032746977</v>
      </c>
      <c r="AT30" s="395">
        <f t="shared" si="12"/>
        <v>10407.737537303399</v>
      </c>
      <c r="AU30" s="393">
        <f t="shared" si="13"/>
        <v>25.560990214929006</v>
      </c>
      <c r="AV30" s="394">
        <f t="shared" si="14"/>
        <v>255.23737293863101</v>
      </c>
      <c r="AW30" s="395">
        <f t="shared" si="15"/>
        <v>10719.969663422502</v>
      </c>
      <c r="AX30" s="393">
        <f t="shared" si="16"/>
        <v>26.327819921376879</v>
      </c>
      <c r="AY30" s="394">
        <f t="shared" si="17"/>
        <v>262.89449412678994</v>
      </c>
      <c r="AZ30" s="395">
        <f t="shared" si="18"/>
        <v>11041.568753325177</v>
      </c>
      <c r="BA30" s="393">
        <f t="shared" si="19"/>
        <v>27.117654519018185</v>
      </c>
      <c r="BB30" s="394">
        <f t="shared" si="0"/>
        <v>270.78132895059366</v>
      </c>
      <c r="BC30" s="395">
        <f t="shared" si="1"/>
        <v>11372.815815924932</v>
      </c>
      <c r="BD30" s="393">
        <f t="shared" si="2"/>
        <v>27.931184154588731</v>
      </c>
      <c r="BE30" s="394">
        <f t="shared" si="3"/>
        <v>278.9047688191115</v>
      </c>
      <c r="BF30" s="395">
        <f t="shared" si="4"/>
        <v>11714.000290402681</v>
      </c>
      <c r="BG30" s="393">
        <f t="shared" si="5"/>
        <v>28.769119679226392</v>
      </c>
      <c r="BH30" s="394">
        <f t="shared" si="6"/>
        <v>287.27191188368482</v>
      </c>
      <c r="BI30" s="395">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5" t="s">
        <v>108</v>
      </c>
      <c r="AN31" s="393">
        <v>81.396915960000015</v>
      </c>
      <c r="AO31" s="394">
        <v>297.88893474000008</v>
      </c>
      <c r="AP31" s="395">
        <v>12511.335259080002</v>
      </c>
      <c r="AQ31" s="375" t="s">
        <v>108</v>
      </c>
      <c r="AR31" s="393">
        <f t="shared" si="10"/>
        <v>83.83882343880002</v>
      </c>
      <c r="AS31" s="394">
        <f t="shared" si="11"/>
        <v>306.82560278220006</v>
      </c>
      <c r="AT31" s="395">
        <f t="shared" si="12"/>
        <v>12886.675316852403</v>
      </c>
      <c r="AU31" s="393">
        <f t="shared" si="13"/>
        <v>86.353988141964024</v>
      </c>
      <c r="AV31" s="394">
        <f t="shared" si="14"/>
        <v>316.0303708656661</v>
      </c>
      <c r="AW31" s="395">
        <f t="shared" si="15"/>
        <v>13273.275576357975</v>
      </c>
      <c r="AX31" s="393">
        <f t="shared" si="16"/>
        <v>88.944607786222946</v>
      </c>
      <c r="AY31" s="394">
        <f t="shared" si="17"/>
        <v>325.51128199163611</v>
      </c>
      <c r="AZ31" s="395">
        <f t="shared" si="18"/>
        <v>13671.473843648715</v>
      </c>
      <c r="BA31" s="393">
        <f t="shared" si="19"/>
        <v>91.612946019809641</v>
      </c>
      <c r="BB31" s="394">
        <f t="shared" si="0"/>
        <v>335.27662045138521</v>
      </c>
      <c r="BC31" s="395">
        <f t="shared" si="1"/>
        <v>14081.618058958176</v>
      </c>
      <c r="BD31" s="393">
        <f t="shared" si="2"/>
        <v>94.361334400403933</v>
      </c>
      <c r="BE31" s="394">
        <f t="shared" si="3"/>
        <v>345.33491906492679</v>
      </c>
      <c r="BF31" s="395">
        <f t="shared" si="4"/>
        <v>14504.066600726923</v>
      </c>
      <c r="BG31" s="393">
        <f t="shared" si="5"/>
        <v>97.192174432416053</v>
      </c>
      <c r="BH31" s="394">
        <f t="shared" si="6"/>
        <v>355.6949666368746</v>
      </c>
      <c r="BI31" s="395">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4" t="s">
        <v>109</v>
      </c>
      <c r="AN32" s="396">
        <v>76.938908069999997</v>
      </c>
      <c r="AO32" s="397">
        <v>374.82784280999999</v>
      </c>
      <c r="AP32" s="398">
        <v>15742.76939802</v>
      </c>
      <c r="AQ32" s="374" t="s">
        <v>109</v>
      </c>
      <c r="AR32" s="396">
        <f t="shared" si="10"/>
        <v>79.247075312099994</v>
      </c>
      <c r="AS32" s="397">
        <f t="shared" si="11"/>
        <v>386.07267809429999</v>
      </c>
      <c r="AT32" s="398">
        <f t="shared" si="12"/>
        <v>16215.052479960601</v>
      </c>
      <c r="AU32" s="396">
        <f t="shared" si="13"/>
        <v>81.624487571462993</v>
      </c>
      <c r="AV32" s="397">
        <f t="shared" si="14"/>
        <v>397.65485843712901</v>
      </c>
      <c r="AW32" s="398">
        <f t="shared" si="15"/>
        <v>16701.504054359419</v>
      </c>
      <c r="AX32" s="396">
        <f t="shared" si="16"/>
        <v>84.073222198606885</v>
      </c>
      <c r="AY32" s="397">
        <f t="shared" si="17"/>
        <v>409.58450419024291</v>
      </c>
      <c r="AZ32" s="398">
        <f t="shared" si="18"/>
        <v>17202.549175990203</v>
      </c>
      <c r="BA32" s="396">
        <f t="shared" si="19"/>
        <v>86.59541886456509</v>
      </c>
      <c r="BB32" s="397">
        <f t="shared" si="0"/>
        <v>421.87203931595019</v>
      </c>
      <c r="BC32" s="398">
        <f t="shared" si="1"/>
        <v>17718.625651269911</v>
      </c>
      <c r="BD32" s="396">
        <f t="shared" si="2"/>
        <v>89.19328143050204</v>
      </c>
      <c r="BE32" s="397">
        <f t="shared" si="3"/>
        <v>434.52820049542873</v>
      </c>
      <c r="BF32" s="398">
        <f t="shared" si="4"/>
        <v>18250.184420808007</v>
      </c>
      <c r="BG32" s="396">
        <f t="shared" si="5"/>
        <v>91.869079873417107</v>
      </c>
      <c r="BH32" s="397">
        <f t="shared" si="6"/>
        <v>447.56404651029163</v>
      </c>
      <c r="BI32" s="398">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78" t="s">
        <v>97</v>
      </c>
      <c r="AN33" s="390">
        <v>81.211470640000002</v>
      </c>
      <c r="AO33" s="391">
        <v>81.211470640000002</v>
      </c>
      <c r="AP33" s="392">
        <v>3410.8817668800002</v>
      </c>
      <c r="AQ33" s="378" t="s">
        <v>97</v>
      </c>
      <c r="AR33" s="390">
        <f t="shared" si="10"/>
        <v>83.647814759200003</v>
      </c>
      <c r="AS33" s="391">
        <f t="shared" si="11"/>
        <v>83.647814759200003</v>
      </c>
      <c r="AT33" s="392">
        <f t="shared" si="12"/>
        <v>3513.2082198864005</v>
      </c>
      <c r="AU33" s="390">
        <f t="shared" si="13"/>
        <v>86.157249201976001</v>
      </c>
      <c r="AV33" s="391">
        <f t="shared" si="14"/>
        <v>86.157249201976001</v>
      </c>
      <c r="AW33" s="392">
        <f t="shared" si="15"/>
        <v>3618.6044664829924</v>
      </c>
      <c r="AX33" s="390">
        <f t="shared" si="16"/>
        <v>88.741966678035283</v>
      </c>
      <c r="AY33" s="391">
        <f t="shared" si="17"/>
        <v>88.741966678035283</v>
      </c>
      <c r="AZ33" s="392">
        <f t="shared" si="18"/>
        <v>3727.1626004774821</v>
      </c>
      <c r="BA33" s="390">
        <f t="shared" si="19"/>
        <v>91.404225678376349</v>
      </c>
      <c r="BB33" s="391">
        <f t="shared" si="0"/>
        <v>91.404225678376349</v>
      </c>
      <c r="BC33" s="392">
        <f t="shared" si="1"/>
        <v>3838.9774784918068</v>
      </c>
      <c r="BD33" s="390">
        <f t="shared" si="2"/>
        <v>94.14635244872764</v>
      </c>
      <c r="BE33" s="391">
        <f t="shared" si="3"/>
        <v>94.14635244872764</v>
      </c>
      <c r="BF33" s="392">
        <f t="shared" si="4"/>
        <v>3954.1468028465611</v>
      </c>
      <c r="BG33" s="390">
        <f t="shared" si="5"/>
        <v>96.970743022189467</v>
      </c>
      <c r="BH33" s="391">
        <f t="shared" si="6"/>
        <v>96.970743022189467</v>
      </c>
      <c r="BI33" s="392">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5" t="s">
        <v>100</v>
      </c>
      <c r="AN34" s="393">
        <v>157.31990619000001</v>
      </c>
      <c r="AO34" s="394">
        <v>157.31990619000001</v>
      </c>
      <c r="AP34" s="395">
        <v>6607.4360599800002</v>
      </c>
      <c r="AQ34" s="375" t="s">
        <v>100</v>
      </c>
      <c r="AR34" s="393">
        <f t="shared" si="10"/>
        <v>162.03950337570001</v>
      </c>
      <c r="AS34" s="394">
        <f t="shared" si="11"/>
        <v>162.03950337570001</v>
      </c>
      <c r="AT34" s="395">
        <f t="shared" si="12"/>
        <v>6805.6591417794007</v>
      </c>
      <c r="AU34" s="393">
        <f t="shared" si="13"/>
        <v>166.900688476971</v>
      </c>
      <c r="AV34" s="394">
        <f t="shared" si="14"/>
        <v>166.900688476971</v>
      </c>
      <c r="AW34" s="395">
        <f t="shared" si="15"/>
        <v>7009.8289160327831</v>
      </c>
      <c r="AX34" s="393">
        <f t="shared" si="16"/>
        <v>171.90770913128014</v>
      </c>
      <c r="AY34" s="394">
        <f t="shared" si="17"/>
        <v>171.90770913128014</v>
      </c>
      <c r="AZ34" s="395">
        <f t="shared" si="18"/>
        <v>7220.1237835137672</v>
      </c>
      <c r="BA34" s="393">
        <f t="shared" si="19"/>
        <v>177.06494040521855</v>
      </c>
      <c r="BB34" s="394">
        <f t="shared" si="0"/>
        <v>177.06494040521855</v>
      </c>
      <c r="BC34" s="395">
        <f t="shared" si="1"/>
        <v>7436.7274970191802</v>
      </c>
      <c r="BD34" s="393">
        <f t="shared" si="2"/>
        <v>182.3768886173751</v>
      </c>
      <c r="BE34" s="394">
        <f t="shared" si="3"/>
        <v>182.3768886173751</v>
      </c>
      <c r="BF34" s="395">
        <f t="shared" si="4"/>
        <v>7659.8293219297557</v>
      </c>
      <c r="BG34" s="393">
        <f t="shared" si="5"/>
        <v>187.84819527589636</v>
      </c>
      <c r="BH34" s="394">
        <f t="shared" si="6"/>
        <v>187.84819527589636</v>
      </c>
      <c r="BI34" s="395">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5" t="s">
        <v>110</v>
      </c>
      <c r="AN35" s="393">
        <v>16.500177700000002</v>
      </c>
      <c r="AO35" s="394">
        <v>315.85273934999998</v>
      </c>
      <c r="AP35" s="395">
        <v>13265.8150527</v>
      </c>
      <c r="AQ35" s="375" t="s">
        <v>110</v>
      </c>
      <c r="AR35" s="393">
        <f t="shared" si="10"/>
        <v>16.995183031000003</v>
      </c>
      <c r="AS35" s="394">
        <f t="shared" si="11"/>
        <v>325.32832153049998</v>
      </c>
      <c r="AT35" s="395">
        <f t="shared" si="12"/>
        <v>13663.789504281</v>
      </c>
      <c r="AU35" s="393">
        <f t="shared" si="13"/>
        <v>17.505038521930004</v>
      </c>
      <c r="AV35" s="394">
        <f t="shared" si="14"/>
        <v>335.08817117641496</v>
      </c>
      <c r="AW35" s="395">
        <f t="shared" si="15"/>
        <v>14073.703189409431</v>
      </c>
      <c r="AX35" s="393">
        <f t="shared" si="16"/>
        <v>18.030189677587906</v>
      </c>
      <c r="AY35" s="394">
        <f t="shared" si="17"/>
        <v>345.1408163117074</v>
      </c>
      <c r="AZ35" s="395">
        <f t="shared" si="18"/>
        <v>14495.914285091714</v>
      </c>
      <c r="BA35" s="393">
        <f t="shared" si="19"/>
        <v>18.571095367915543</v>
      </c>
      <c r="BB35" s="394">
        <f t="shared" si="0"/>
        <v>355.49504080105862</v>
      </c>
      <c r="BC35" s="395">
        <f t="shared" si="1"/>
        <v>14930.791713644467</v>
      </c>
      <c r="BD35" s="393">
        <f t="shared" si="2"/>
        <v>19.128228228953009</v>
      </c>
      <c r="BE35" s="394">
        <f t="shared" si="3"/>
        <v>366.15989202509041</v>
      </c>
      <c r="BF35" s="395">
        <f t="shared" si="4"/>
        <v>15378.715465053801</v>
      </c>
      <c r="BG35" s="393">
        <f t="shared" si="5"/>
        <v>19.7020750758216</v>
      </c>
      <c r="BH35" s="394">
        <f t="shared" si="6"/>
        <v>377.14468878584313</v>
      </c>
      <c r="BI35" s="395">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5" t="s">
        <v>111</v>
      </c>
      <c r="AN36" s="393">
        <v>142.03265546</v>
      </c>
      <c r="AO36" s="394">
        <v>299.35256164999998</v>
      </c>
      <c r="AP36" s="395">
        <v>12572.8075893</v>
      </c>
      <c r="AQ36" s="375" t="s">
        <v>111</v>
      </c>
      <c r="AR36" s="393">
        <f t="shared" si="10"/>
        <v>146.29363512380002</v>
      </c>
      <c r="AS36" s="394">
        <f t="shared" si="11"/>
        <v>308.33313849949997</v>
      </c>
      <c r="AT36" s="395">
        <f t="shared" si="12"/>
        <v>12949.991816979002</v>
      </c>
      <c r="AU36" s="393">
        <f t="shared" si="13"/>
        <v>150.68244417751401</v>
      </c>
      <c r="AV36" s="394">
        <f t="shared" si="14"/>
        <v>317.58313265448498</v>
      </c>
      <c r="AW36" s="395">
        <f t="shared" si="15"/>
        <v>13338.491571488372</v>
      </c>
      <c r="AX36" s="393">
        <f t="shared" si="16"/>
        <v>155.20291750283943</v>
      </c>
      <c r="AY36" s="394">
        <f t="shared" si="17"/>
        <v>327.11062663411957</v>
      </c>
      <c r="AZ36" s="395">
        <f t="shared" si="18"/>
        <v>13738.646318633024</v>
      </c>
      <c r="BA36" s="393">
        <f t="shared" si="19"/>
        <v>159.85900502792461</v>
      </c>
      <c r="BB36" s="394">
        <f t="shared" si="0"/>
        <v>336.92394543314316</v>
      </c>
      <c r="BC36" s="395">
        <f t="shared" si="1"/>
        <v>14150.805708192014</v>
      </c>
      <c r="BD36" s="393">
        <f t="shared" si="2"/>
        <v>164.65477517876235</v>
      </c>
      <c r="BE36" s="394">
        <f t="shared" si="3"/>
        <v>347.03166379613748</v>
      </c>
      <c r="BF36" s="395">
        <f t="shared" si="4"/>
        <v>14575.329879437775</v>
      </c>
      <c r="BG36" s="393">
        <f t="shared" si="5"/>
        <v>169.59441843412523</v>
      </c>
      <c r="BH36" s="394">
        <f t="shared" si="6"/>
        <v>357.44261371002159</v>
      </c>
      <c r="BI36" s="395">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5" t="s">
        <v>112</v>
      </c>
      <c r="AN37" s="393">
        <v>118.91149768000001</v>
      </c>
      <c r="AO37" s="394">
        <v>276.23171287000002</v>
      </c>
      <c r="AP37" s="395">
        <v>11601.731940540001</v>
      </c>
      <c r="AQ37" s="375" t="s">
        <v>112</v>
      </c>
      <c r="AR37" s="393">
        <f t="shared" si="10"/>
        <v>122.47884261040001</v>
      </c>
      <c r="AS37" s="394">
        <f t="shared" si="11"/>
        <v>284.51866425610001</v>
      </c>
      <c r="AT37" s="395">
        <f t="shared" si="12"/>
        <v>11949.783898756201</v>
      </c>
      <c r="AU37" s="393">
        <f t="shared" si="13"/>
        <v>126.15320788871202</v>
      </c>
      <c r="AV37" s="394">
        <f t="shared" si="14"/>
        <v>293.05422418378299</v>
      </c>
      <c r="AW37" s="395">
        <f t="shared" si="15"/>
        <v>12308.277415718887</v>
      </c>
      <c r="AX37" s="393">
        <f t="shared" si="16"/>
        <v>129.93780412537339</v>
      </c>
      <c r="AY37" s="394">
        <f t="shared" si="17"/>
        <v>301.84585090929647</v>
      </c>
      <c r="AZ37" s="395">
        <f t="shared" si="18"/>
        <v>12677.525738190454</v>
      </c>
      <c r="BA37" s="393">
        <f t="shared" si="19"/>
        <v>133.83593824913459</v>
      </c>
      <c r="BB37" s="394">
        <f t="shared" si="0"/>
        <v>310.90122643657537</v>
      </c>
      <c r="BC37" s="395">
        <f t="shared" si="1"/>
        <v>13057.851510336168</v>
      </c>
      <c r="BD37" s="393">
        <f t="shared" si="2"/>
        <v>137.85101639660863</v>
      </c>
      <c r="BE37" s="394">
        <f t="shared" si="3"/>
        <v>320.22826322967262</v>
      </c>
      <c r="BF37" s="395">
        <f t="shared" si="4"/>
        <v>13449.587055646252</v>
      </c>
      <c r="BG37" s="393">
        <f t="shared" si="5"/>
        <v>141.98654688850689</v>
      </c>
      <c r="BH37" s="394">
        <f t="shared" si="6"/>
        <v>329.83511112656282</v>
      </c>
      <c r="BI37" s="395">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5" t="s">
        <v>113</v>
      </c>
      <c r="AN38" s="393">
        <v>41.435889570000022</v>
      </c>
      <c r="AO38" s="394">
        <v>340.78845122000001</v>
      </c>
      <c r="AP38" s="395">
        <v>14313.114951240001</v>
      </c>
      <c r="AQ38" s="375" t="s">
        <v>113</v>
      </c>
      <c r="AR38" s="393">
        <f t="shared" si="10"/>
        <v>42.678966257100022</v>
      </c>
      <c r="AS38" s="394">
        <f t="shared" si="11"/>
        <v>351.01210475660002</v>
      </c>
      <c r="AT38" s="395">
        <f t="shared" si="12"/>
        <v>14742.508399777202</v>
      </c>
      <c r="AU38" s="393">
        <f t="shared" si="13"/>
        <v>43.959335244813026</v>
      </c>
      <c r="AV38" s="394">
        <f t="shared" si="14"/>
        <v>361.54246789929806</v>
      </c>
      <c r="AW38" s="395">
        <f t="shared" si="15"/>
        <v>15184.783651770518</v>
      </c>
      <c r="AX38" s="393">
        <f t="shared" si="16"/>
        <v>45.278115302157417</v>
      </c>
      <c r="AY38" s="394">
        <f t="shared" si="17"/>
        <v>372.38874193627703</v>
      </c>
      <c r="AZ38" s="395">
        <f t="shared" si="18"/>
        <v>15640.327161323634</v>
      </c>
      <c r="BA38" s="393">
        <f t="shared" si="19"/>
        <v>46.636458761222144</v>
      </c>
      <c r="BB38" s="394">
        <f t="shared" si="0"/>
        <v>383.56040419436533</v>
      </c>
      <c r="BC38" s="395">
        <f t="shared" si="1"/>
        <v>16109.536976163343</v>
      </c>
      <c r="BD38" s="393">
        <f t="shared" si="2"/>
        <v>48.035552524058808</v>
      </c>
      <c r="BE38" s="394">
        <f t="shared" si="3"/>
        <v>395.06721632019628</v>
      </c>
      <c r="BF38" s="395">
        <f t="shared" si="4"/>
        <v>16592.823085448243</v>
      </c>
      <c r="BG38" s="393">
        <f t="shared" si="5"/>
        <v>49.476619099780571</v>
      </c>
      <c r="BH38" s="394">
        <f t="shared" si="6"/>
        <v>406.91923280980217</v>
      </c>
      <c r="BI38" s="395">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5" t="s">
        <v>114</v>
      </c>
      <c r="AN39" s="393">
        <v>27.012211440000002</v>
      </c>
      <c r="AO39" s="394">
        <v>367.80098093000004</v>
      </c>
      <c r="AP39" s="395">
        <v>15447.641199060003</v>
      </c>
      <c r="AQ39" s="375" t="s">
        <v>114</v>
      </c>
      <c r="AR39" s="393">
        <f t="shared" si="10"/>
        <v>27.822577783200003</v>
      </c>
      <c r="AS39" s="394">
        <f t="shared" si="11"/>
        <v>378.83501035790005</v>
      </c>
      <c r="AT39" s="395">
        <f t="shared" si="12"/>
        <v>15911.070435031803</v>
      </c>
      <c r="AU39" s="393">
        <f t="shared" si="13"/>
        <v>28.657255116696003</v>
      </c>
      <c r="AV39" s="394">
        <f t="shared" si="14"/>
        <v>390.20006066863704</v>
      </c>
      <c r="AW39" s="395">
        <f t="shared" si="15"/>
        <v>16388.402548082759</v>
      </c>
      <c r="AX39" s="393">
        <f t="shared" si="16"/>
        <v>29.516972770196883</v>
      </c>
      <c r="AY39" s="394">
        <f t="shared" si="17"/>
        <v>401.90606248869614</v>
      </c>
      <c r="AZ39" s="395">
        <f t="shared" si="18"/>
        <v>16880.054624525241</v>
      </c>
      <c r="BA39" s="393">
        <f t="shared" ref="BA39:BA61" si="26">AX39*(1+$BC$2)</f>
        <v>30.402481953302789</v>
      </c>
      <c r="BB39" s="394">
        <f t="shared" ref="BB39:BB61" si="27">AY39*(1+$BC$2)</f>
        <v>413.96324436335703</v>
      </c>
      <c r="BC39" s="395">
        <f t="shared" ref="BC39:BC61" si="28">AZ39*(1+$BC$2)</f>
        <v>17386.456263261</v>
      </c>
      <c r="BD39" s="393">
        <f t="shared" ref="BD39:BD61" si="29">BA39*(1+$BF$2)</f>
        <v>31.314556411901872</v>
      </c>
      <c r="BE39" s="394">
        <f t="shared" ref="BE39:BE61" si="30">BB39*(1+$BF$2)</f>
        <v>426.38214169425777</v>
      </c>
      <c r="BF39" s="395">
        <f t="shared" ref="BF39:BF61" si="31">BC39*(1+$BF$2)</f>
        <v>17908.049951158831</v>
      </c>
      <c r="BG39" s="393">
        <f t="shared" si="5"/>
        <v>32.253993104258932</v>
      </c>
      <c r="BH39" s="394">
        <f t="shared" si="6"/>
        <v>439.17360594508551</v>
      </c>
      <c r="BI39" s="395">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7">
        <f t="shared" si="25"/>
        <v>371.08160199999998</v>
      </c>
      <c r="AL40" s="162">
        <f t="shared" si="22"/>
        <v>15585.427283999999</v>
      </c>
      <c r="AM40" s="375" t="s">
        <v>115</v>
      </c>
      <c r="AN40" s="393">
        <v>13.123651270000002</v>
      </c>
      <c r="AO40" s="394">
        <v>380.92463220000008</v>
      </c>
      <c r="AP40" s="395">
        <v>15998.834552400003</v>
      </c>
      <c r="AQ40" s="375" t="s">
        <v>115</v>
      </c>
      <c r="AR40" s="393">
        <f t="shared" si="10"/>
        <v>13.517360808100001</v>
      </c>
      <c r="AS40" s="394">
        <f t="shared" si="11"/>
        <v>392.35237116600007</v>
      </c>
      <c r="AT40" s="395">
        <f t="shared" si="12"/>
        <v>16478.799588972004</v>
      </c>
      <c r="AU40" s="393">
        <f t="shared" si="13"/>
        <v>13.922881632343001</v>
      </c>
      <c r="AV40" s="394">
        <f t="shared" si="14"/>
        <v>404.12294230098007</v>
      </c>
      <c r="AW40" s="395">
        <f t="shared" si="15"/>
        <v>16973.163576641164</v>
      </c>
      <c r="AX40" s="393">
        <f t="shared" si="16"/>
        <v>14.340568081313291</v>
      </c>
      <c r="AY40" s="394">
        <f t="shared" si="17"/>
        <v>416.24663057000947</v>
      </c>
      <c r="AZ40" s="395">
        <f t="shared" si="18"/>
        <v>17482.358483940399</v>
      </c>
      <c r="BA40" s="393">
        <f t="shared" si="26"/>
        <v>14.77078512375269</v>
      </c>
      <c r="BB40" s="394">
        <f t="shared" si="27"/>
        <v>428.73402948710975</v>
      </c>
      <c r="BC40" s="395">
        <f t="shared" si="28"/>
        <v>18006.829238458613</v>
      </c>
      <c r="BD40" s="393">
        <f t="shared" si="29"/>
        <v>15.213908677465271</v>
      </c>
      <c r="BE40" s="394">
        <f t="shared" si="30"/>
        <v>441.59605037172304</v>
      </c>
      <c r="BF40" s="395">
        <f t="shared" si="31"/>
        <v>18547.034115612372</v>
      </c>
      <c r="BG40" s="393">
        <f t="shared" si="5"/>
        <v>15.670325937789229</v>
      </c>
      <c r="BH40" s="394">
        <f t="shared" si="6"/>
        <v>454.84393188287476</v>
      </c>
      <c r="BI40" s="395">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5" t="s">
        <v>116</v>
      </c>
      <c r="AN41" s="393">
        <v>41.425280569999998</v>
      </c>
      <c r="AO41" s="407">
        <v>382.21405005999998</v>
      </c>
      <c r="AP41" s="395">
        <v>16052.99010252</v>
      </c>
      <c r="AQ41" s="375" t="s">
        <v>116</v>
      </c>
      <c r="AR41" s="393">
        <f t="shared" si="10"/>
        <v>42.668038987099997</v>
      </c>
      <c r="AS41" s="407">
        <f t="shared" si="11"/>
        <v>393.6804715618</v>
      </c>
      <c r="AT41" s="395">
        <f t="shared" si="12"/>
        <v>16534.5798055956</v>
      </c>
      <c r="AU41" s="393">
        <f t="shared" si="13"/>
        <v>43.948080156712997</v>
      </c>
      <c r="AV41" s="407">
        <f t="shared" si="14"/>
        <v>405.49088570865399</v>
      </c>
      <c r="AW41" s="395">
        <f t="shared" si="15"/>
        <v>17030.61719976347</v>
      </c>
      <c r="AX41" s="393">
        <f t="shared" si="16"/>
        <v>45.266522561414391</v>
      </c>
      <c r="AY41" s="407">
        <f>AV41*(1+$AZ$2)</f>
        <v>417.65561227991361</v>
      </c>
      <c r="AZ41" s="395">
        <f t="shared" si="18"/>
        <v>17541.535715756374</v>
      </c>
      <c r="BA41" s="393">
        <f t="shared" si="26"/>
        <v>46.624518238256826</v>
      </c>
      <c r="BB41" s="407">
        <f t="shared" si="27"/>
        <v>430.18528064831105</v>
      </c>
      <c r="BC41" s="395">
        <f t="shared" si="28"/>
        <v>18067.781787229065</v>
      </c>
      <c r="BD41" s="393">
        <f t="shared" si="29"/>
        <v>48.023253785404535</v>
      </c>
      <c r="BE41" s="407">
        <f t="shared" si="30"/>
        <v>443.09083906776038</v>
      </c>
      <c r="BF41" s="395">
        <f t="shared" si="31"/>
        <v>18609.815240845939</v>
      </c>
      <c r="BG41" s="393">
        <f t="shared" si="5"/>
        <v>49.463951398966671</v>
      </c>
      <c r="BH41" s="407">
        <f t="shared" si="6"/>
        <v>456.3835642397932</v>
      </c>
      <c r="BI41" s="395">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5" t="s">
        <v>117</v>
      </c>
      <c r="AN42" s="393">
        <v>0</v>
      </c>
      <c r="AO42" s="394">
        <v>0</v>
      </c>
      <c r="AP42" s="395">
        <v>0</v>
      </c>
      <c r="AQ42" s="375" t="s">
        <v>117</v>
      </c>
      <c r="AR42" s="393">
        <f t="shared" si="10"/>
        <v>0</v>
      </c>
      <c r="AS42" s="394">
        <f t="shared" si="11"/>
        <v>0</v>
      </c>
      <c r="AT42" s="395">
        <f t="shared" si="12"/>
        <v>0</v>
      </c>
      <c r="AU42" s="393">
        <f t="shared" si="13"/>
        <v>0</v>
      </c>
      <c r="AV42" s="394">
        <f t="shared" si="14"/>
        <v>0</v>
      </c>
      <c r="AW42" s="395">
        <f t="shared" si="15"/>
        <v>0</v>
      </c>
      <c r="AX42" s="393">
        <f t="shared" si="16"/>
        <v>0</v>
      </c>
      <c r="AY42" s="394">
        <f t="shared" si="17"/>
        <v>0</v>
      </c>
      <c r="AZ42" s="395">
        <f t="shared" si="18"/>
        <v>0</v>
      </c>
      <c r="BA42" s="393">
        <f t="shared" si="26"/>
        <v>0</v>
      </c>
      <c r="BB42" s="394">
        <f t="shared" si="27"/>
        <v>0</v>
      </c>
      <c r="BC42" s="395">
        <f t="shared" si="28"/>
        <v>0</v>
      </c>
      <c r="BD42" s="393">
        <f t="shared" si="29"/>
        <v>0</v>
      </c>
      <c r="BE42" s="394">
        <f t="shared" si="30"/>
        <v>0</v>
      </c>
      <c r="BF42" s="395">
        <f t="shared" si="31"/>
        <v>0</v>
      </c>
      <c r="BG42" s="393">
        <f t="shared" si="5"/>
        <v>0</v>
      </c>
      <c r="BH42" s="394">
        <f t="shared" si="6"/>
        <v>0</v>
      </c>
      <c r="BI42" s="395">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5" t="s">
        <v>118</v>
      </c>
      <c r="AN43" s="393">
        <v>54.766849970000003</v>
      </c>
      <c r="AO43" s="394">
        <v>436.98090003000004</v>
      </c>
      <c r="AP43" s="395">
        <v>18353.197801260001</v>
      </c>
      <c r="AQ43" s="375" t="s">
        <v>118</v>
      </c>
      <c r="AR43" s="393">
        <f t="shared" si="10"/>
        <v>56.409855469100002</v>
      </c>
      <c r="AS43" s="394">
        <f t="shared" si="11"/>
        <v>450.09032703090008</v>
      </c>
      <c r="AT43" s="395">
        <f t="shared" si="12"/>
        <v>18903.793735297801</v>
      </c>
      <c r="AU43" s="393">
        <f t="shared" si="13"/>
        <v>58.102151133173003</v>
      </c>
      <c r="AV43" s="394">
        <f t="shared" si="14"/>
        <v>463.59303684182709</v>
      </c>
      <c r="AW43" s="395">
        <f t="shared" si="15"/>
        <v>19470.907547356735</v>
      </c>
      <c r="AX43" s="393">
        <f t="shared" si="16"/>
        <v>59.845215667168198</v>
      </c>
      <c r="AY43" s="394">
        <f t="shared" si="17"/>
        <v>477.50082794708192</v>
      </c>
      <c r="AZ43" s="395">
        <f t="shared" si="18"/>
        <v>20055.034773777439</v>
      </c>
      <c r="BA43" s="393">
        <f t="shared" si="26"/>
        <v>61.640572137183248</v>
      </c>
      <c r="BB43" s="394">
        <f t="shared" si="27"/>
        <v>491.82585278549436</v>
      </c>
      <c r="BC43" s="395">
        <f t="shared" si="28"/>
        <v>20656.685816990765</v>
      </c>
      <c r="BD43" s="393">
        <f t="shared" si="29"/>
        <v>63.48978930129875</v>
      </c>
      <c r="BE43" s="394">
        <f t="shared" si="30"/>
        <v>506.58062836905918</v>
      </c>
      <c r="BF43" s="395">
        <f t="shared" si="31"/>
        <v>21276.386391500488</v>
      </c>
      <c r="BG43" s="393">
        <f t="shared" si="5"/>
        <v>65.394482980337713</v>
      </c>
      <c r="BH43" s="394">
        <f t="shared" si="6"/>
        <v>521.77804722013093</v>
      </c>
      <c r="BI43" s="395">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5" t="s">
        <v>119</v>
      </c>
      <c r="AN44" s="393">
        <v>54.766849970000003</v>
      </c>
      <c r="AO44" s="394">
        <v>491.74900454000004</v>
      </c>
      <c r="AP44" s="395">
        <v>20653.458190680001</v>
      </c>
      <c r="AQ44" s="375" t="s">
        <v>119</v>
      </c>
      <c r="AR44" s="393">
        <f t="shared" si="10"/>
        <v>56.409855469100002</v>
      </c>
      <c r="AS44" s="394">
        <f t="shared" si="11"/>
        <v>506.50147467620008</v>
      </c>
      <c r="AT44" s="395">
        <f t="shared" si="12"/>
        <v>21273.061936400401</v>
      </c>
      <c r="AU44" s="393">
        <f t="shared" si="13"/>
        <v>58.102151133173003</v>
      </c>
      <c r="AV44" s="394">
        <f t="shared" si="14"/>
        <v>521.69651891648607</v>
      </c>
      <c r="AW44" s="395">
        <f t="shared" si="15"/>
        <v>21911.253794492415</v>
      </c>
      <c r="AX44" s="393">
        <f t="shared" si="16"/>
        <v>59.845215667168198</v>
      </c>
      <c r="AY44" s="394">
        <f t="shared" si="17"/>
        <v>537.34741448398063</v>
      </c>
      <c r="AZ44" s="395">
        <f t="shared" si="18"/>
        <v>22568.591408327189</v>
      </c>
      <c r="BA44" s="393">
        <f t="shared" si="26"/>
        <v>61.640572137183248</v>
      </c>
      <c r="BB44" s="394">
        <f t="shared" si="27"/>
        <v>553.4678369185001</v>
      </c>
      <c r="BC44" s="395">
        <f t="shared" si="28"/>
        <v>23245.649150577006</v>
      </c>
      <c r="BD44" s="393">
        <f t="shared" si="29"/>
        <v>63.48978930129875</v>
      </c>
      <c r="BE44" s="394">
        <f t="shared" si="30"/>
        <v>570.07187202605508</v>
      </c>
      <c r="BF44" s="395">
        <f t="shared" si="31"/>
        <v>23943.018625094319</v>
      </c>
      <c r="BG44" s="393">
        <f t="shared" si="5"/>
        <v>65.394482980337713</v>
      </c>
      <c r="BH44" s="394">
        <f t="shared" si="6"/>
        <v>587.17402818683672</v>
      </c>
      <c r="BI44" s="395">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4" t="s">
        <v>120</v>
      </c>
      <c r="AN45" s="396">
        <v>436.99245457000001</v>
      </c>
      <c r="AO45" s="397">
        <v>436.99245457000001</v>
      </c>
      <c r="AP45" s="398">
        <v>18353.683091940002</v>
      </c>
      <c r="AQ45" s="374" t="s">
        <v>120</v>
      </c>
      <c r="AR45" s="396">
        <f t="shared" si="10"/>
        <v>450.10222820710004</v>
      </c>
      <c r="AS45" s="397">
        <f t="shared" si="11"/>
        <v>450.10222820710004</v>
      </c>
      <c r="AT45" s="398">
        <f t="shared" si="12"/>
        <v>18904.293584698204</v>
      </c>
      <c r="AU45" s="396">
        <f t="shared" si="13"/>
        <v>463.60529505331306</v>
      </c>
      <c r="AV45" s="397">
        <f t="shared" si="14"/>
        <v>463.60529505331306</v>
      </c>
      <c r="AW45" s="398">
        <f t="shared" si="15"/>
        <v>19471.42239223915</v>
      </c>
      <c r="AX45" s="396">
        <f t="shared" si="16"/>
        <v>477.51345390491247</v>
      </c>
      <c r="AY45" s="397">
        <f t="shared" si="17"/>
        <v>477.51345390491247</v>
      </c>
      <c r="AZ45" s="398">
        <f t="shared" si="18"/>
        <v>20055.565064006325</v>
      </c>
      <c r="BA45" s="396">
        <f t="shared" si="26"/>
        <v>491.83885752205987</v>
      </c>
      <c r="BB45" s="397">
        <f t="shared" si="27"/>
        <v>491.83885752205987</v>
      </c>
      <c r="BC45" s="398">
        <f t="shared" si="28"/>
        <v>20657.232015926515</v>
      </c>
      <c r="BD45" s="396">
        <f t="shared" si="29"/>
        <v>506.59402324772168</v>
      </c>
      <c r="BE45" s="397">
        <f t="shared" si="30"/>
        <v>506.59402324772168</v>
      </c>
      <c r="BF45" s="398">
        <f t="shared" si="31"/>
        <v>21276.94897640431</v>
      </c>
      <c r="BG45" s="396">
        <f t="shared" si="5"/>
        <v>521.79184394515335</v>
      </c>
      <c r="BH45" s="397">
        <f t="shared" si="6"/>
        <v>521.79184394515335</v>
      </c>
      <c r="BI45" s="398">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5" t="s">
        <v>97</v>
      </c>
      <c r="AN46" s="390">
        <v>81.211470640000002</v>
      </c>
      <c r="AO46" s="391">
        <v>81.211470640000002</v>
      </c>
      <c r="AP46" s="392">
        <v>3410.8817668800002</v>
      </c>
      <c r="AQ46" s="375" t="s">
        <v>97</v>
      </c>
      <c r="AR46" s="390">
        <f t="shared" si="10"/>
        <v>83.647814759200003</v>
      </c>
      <c r="AS46" s="391">
        <f t="shared" si="11"/>
        <v>83.647814759200003</v>
      </c>
      <c r="AT46" s="392">
        <f t="shared" si="12"/>
        <v>3513.2082198864005</v>
      </c>
      <c r="AU46" s="390">
        <f t="shared" si="13"/>
        <v>86.157249201976001</v>
      </c>
      <c r="AV46" s="391">
        <f t="shared" si="14"/>
        <v>86.157249201976001</v>
      </c>
      <c r="AW46" s="392">
        <f t="shared" si="15"/>
        <v>3618.6044664829924</v>
      </c>
      <c r="AX46" s="390">
        <f t="shared" si="16"/>
        <v>88.741966678035283</v>
      </c>
      <c r="AY46" s="391">
        <f t="shared" si="17"/>
        <v>88.741966678035283</v>
      </c>
      <c r="AZ46" s="392">
        <f t="shared" si="18"/>
        <v>3727.1626004774821</v>
      </c>
      <c r="BA46" s="390">
        <f t="shared" si="26"/>
        <v>91.404225678376349</v>
      </c>
      <c r="BB46" s="391">
        <f t="shared" si="27"/>
        <v>91.404225678376349</v>
      </c>
      <c r="BC46" s="392">
        <f t="shared" si="28"/>
        <v>3838.9774784918068</v>
      </c>
      <c r="BD46" s="390">
        <f t="shared" si="29"/>
        <v>94.14635244872764</v>
      </c>
      <c r="BE46" s="391">
        <f t="shared" si="30"/>
        <v>94.14635244872764</v>
      </c>
      <c r="BF46" s="392">
        <f t="shared" si="31"/>
        <v>3954.1468028465611</v>
      </c>
      <c r="BG46" s="390">
        <f t="shared" si="5"/>
        <v>96.970743022189467</v>
      </c>
      <c r="BH46" s="391">
        <f t="shared" si="6"/>
        <v>96.970743022189467</v>
      </c>
      <c r="BI46" s="392">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5" t="s">
        <v>100</v>
      </c>
      <c r="AN47" s="393">
        <v>157.31990619000001</v>
      </c>
      <c r="AO47" s="394">
        <v>157.31990619000001</v>
      </c>
      <c r="AP47" s="395">
        <v>6607.4360599800002</v>
      </c>
      <c r="AQ47" s="375" t="s">
        <v>100</v>
      </c>
      <c r="AR47" s="393">
        <f t="shared" si="10"/>
        <v>162.03950337570001</v>
      </c>
      <c r="AS47" s="394">
        <f t="shared" si="11"/>
        <v>162.03950337570001</v>
      </c>
      <c r="AT47" s="395">
        <f t="shared" si="12"/>
        <v>6805.6591417794007</v>
      </c>
      <c r="AU47" s="393">
        <f t="shared" si="13"/>
        <v>166.900688476971</v>
      </c>
      <c r="AV47" s="394">
        <f t="shared" si="14"/>
        <v>166.900688476971</v>
      </c>
      <c r="AW47" s="395">
        <f t="shared" si="15"/>
        <v>7009.8289160327831</v>
      </c>
      <c r="AX47" s="393">
        <f t="shared" si="16"/>
        <v>171.90770913128014</v>
      </c>
      <c r="AY47" s="394">
        <f t="shared" si="17"/>
        <v>171.90770913128014</v>
      </c>
      <c r="AZ47" s="395">
        <f t="shared" si="18"/>
        <v>7220.1237835137672</v>
      </c>
      <c r="BA47" s="393">
        <f t="shared" si="26"/>
        <v>177.06494040521855</v>
      </c>
      <c r="BB47" s="394">
        <f t="shared" si="27"/>
        <v>177.06494040521855</v>
      </c>
      <c r="BC47" s="395">
        <f t="shared" si="28"/>
        <v>7436.7274970191802</v>
      </c>
      <c r="BD47" s="393">
        <f t="shared" si="29"/>
        <v>182.3768886173751</v>
      </c>
      <c r="BE47" s="394">
        <f t="shared" si="30"/>
        <v>182.3768886173751</v>
      </c>
      <c r="BF47" s="395">
        <f t="shared" si="31"/>
        <v>7659.8293219297557</v>
      </c>
      <c r="BG47" s="393">
        <f t="shared" si="5"/>
        <v>187.84819527589636</v>
      </c>
      <c r="BH47" s="394">
        <f t="shared" si="6"/>
        <v>187.84819527589636</v>
      </c>
      <c r="BI47" s="395">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5" t="s">
        <v>102</v>
      </c>
      <c r="AN48" s="393">
        <v>32.672537300000002</v>
      </c>
      <c r="AO48" s="394">
        <v>189.99244349</v>
      </c>
      <c r="AP48" s="395">
        <v>7979.6826265800009</v>
      </c>
      <c r="AQ48" s="375" t="s">
        <v>102</v>
      </c>
      <c r="AR48" s="393">
        <f t="shared" si="10"/>
        <v>33.652713419000001</v>
      </c>
      <c r="AS48" s="394">
        <f t="shared" si="11"/>
        <v>195.69221679470002</v>
      </c>
      <c r="AT48" s="395">
        <f t="shared" si="12"/>
        <v>8219.0731053774016</v>
      </c>
      <c r="AU48" s="393">
        <f t="shared" si="13"/>
        <v>34.662294821570001</v>
      </c>
      <c r="AV48" s="394">
        <f t="shared" si="14"/>
        <v>201.56298329854101</v>
      </c>
      <c r="AW48" s="395">
        <f t="shared" si="15"/>
        <v>8465.6452985387241</v>
      </c>
      <c r="AX48" s="393">
        <f t="shared" si="16"/>
        <v>35.702163666217103</v>
      </c>
      <c r="AY48" s="394">
        <f t="shared" si="17"/>
        <v>207.60987279749725</v>
      </c>
      <c r="AZ48" s="395">
        <f t="shared" si="18"/>
        <v>8719.6146574948853</v>
      </c>
      <c r="BA48" s="393">
        <f t="shared" si="26"/>
        <v>36.773228576203614</v>
      </c>
      <c r="BB48" s="394">
        <f t="shared" si="27"/>
        <v>213.83816898142217</v>
      </c>
      <c r="BC48" s="395">
        <f t="shared" si="28"/>
        <v>8981.2030972197317</v>
      </c>
      <c r="BD48" s="393">
        <f t="shared" si="29"/>
        <v>37.876425433489722</v>
      </c>
      <c r="BE48" s="394">
        <f t="shared" si="30"/>
        <v>220.25331405086484</v>
      </c>
      <c r="BF48" s="395">
        <f t="shared" si="31"/>
        <v>9250.639190136324</v>
      </c>
      <c r="BG48" s="393">
        <f t="shared" si="5"/>
        <v>39.012718196494411</v>
      </c>
      <c r="BH48" s="394">
        <f t="shared" si="6"/>
        <v>226.86091347239079</v>
      </c>
      <c r="BI48" s="395">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5" t="s">
        <v>103</v>
      </c>
      <c r="AN49" s="393">
        <v>59.172112590000012</v>
      </c>
      <c r="AO49" s="394">
        <v>216.49232777999998</v>
      </c>
      <c r="AP49" s="395">
        <v>9092.6777667599981</v>
      </c>
      <c r="AQ49" s="375" t="s">
        <v>103</v>
      </c>
      <c r="AR49" s="393">
        <f t="shared" si="10"/>
        <v>60.947275967700016</v>
      </c>
      <c r="AS49" s="394">
        <f t="shared" si="11"/>
        <v>222.98709761339998</v>
      </c>
      <c r="AT49" s="395">
        <f t="shared" si="12"/>
        <v>9365.4580997627982</v>
      </c>
      <c r="AU49" s="393">
        <f t="shared" si="13"/>
        <v>62.775694246731021</v>
      </c>
      <c r="AV49" s="394">
        <f t="shared" si="14"/>
        <v>229.67671054180198</v>
      </c>
      <c r="AW49" s="395">
        <f t="shared" si="15"/>
        <v>9646.4218427556825</v>
      </c>
      <c r="AX49" s="393">
        <f t="shared" si="16"/>
        <v>64.658965074132951</v>
      </c>
      <c r="AY49" s="394">
        <f t="shared" si="17"/>
        <v>236.56701185805605</v>
      </c>
      <c r="AZ49" s="395">
        <f t="shared" si="18"/>
        <v>9935.8144980383531</v>
      </c>
      <c r="BA49" s="393">
        <f t="shared" si="26"/>
        <v>66.598734026356937</v>
      </c>
      <c r="BB49" s="394">
        <f t="shared" si="27"/>
        <v>243.66402221379775</v>
      </c>
      <c r="BC49" s="395">
        <f t="shared" si="28"/>
        <v>10233.888932979504</v>
      </c>
      <c r="BD49" s="393">
        <f t="shared" si="29"/>
        <v>68.596696047147645</v>
      </c>
      <c r="BE49" s="394">
        <f t="shared" si="30"/>
        <v>250.97394288021169</v>
      </c>
      <c r="BF49" s="395">
        <f t="shared" si="31"/>
        <v>10540.905600968888</v>
      </c>
      <c r="BG49" s="393">
        <f t="shared" si="5"/>
        <v>70.654596928562071</v>
      </c>
      <c r="BH49" s="394">
        <f t="shared" si="6"/>
        <v>258.50316116661804</v>
      </c>
      <c r="BI49" s="395">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5" t="s">
        <v>121</v>
      </c>
      <c r="AN50" s="393">
        <v>124.29612344000002</v>
      </c>
      <c r="AO50" s="394">
        <v>340.78845122000001</v>
      </c>
      <c r="AP50" s="395">
        <v>14313.114951239999</v>
      </c>
      <c r="AQ50" s="375" t="s">
        <v>121</v>
      </c>
      <c r="AR50" s="393">
        <f t="shared" si="10"/>
        <v>128.02500714320001</v>
      </c>
      <c r="AS50" s="394">
        <f t="shared" si="11"/>
        <v>351.01210475660002</v>
      </c>
      <c r="AT50" s="395">
        <f t="shared" si="12"/>
        <v>14742.5083997772</v>
      </c>
      <c r="AU50" s="393">
        <f t="shared" si="13"/>
        <v>131.86575735749602</v>
      </c>
      <c r="AV50" s="394">
        <f t="shared" si="14"/>
        <v>361.54246789929806</v>
      </c>
      <c r="AW50" s="395">
        <f t="shared" si="15"/>
        <v>15184.783651770516</v>
      </c>
      <c r="AX50" s="393">
        <f t="shared" si="16"/>
        <v>135.8217300782209</v>
      </c>
      <c r="AY50" s="394">
        <f t="shared" si="17"/>
        <v>372.38874193627703</v>
      </c>
      <c r="AZ50" s="395">
        <f t="shared" si="18"/>
        <v>15640.327161323632</v>
      </c>
      <c r="BA50" s="393">
        <f t="shared" si="26"/>
        <v>139.89638198056753</v>
      </c>
      <c r="BB50" s="394">
        <f t="shared" si="27"/>
        <v>383.56040419436533</v>
      </c>
      <c r="BC50" s="395">
        <f t="shared" si="28"/>
        <v>16109.536976163341</v>
      </c>
      <c r="BD50" s="393">
        <f t="shared" si="29"/>
        <v>144.09327343998456</v>
      </c>
      <c r="BE50" s="394">
        <f t="shared" si="30"/>
        <v>395.06721632019628</v>
      </c>
      <c r="BF50" s="395">
        <f t="shared" si="31"/>
        <v>16592.823085448243</v>
      </c>
      <c r="BG50" s="393">
        <f t="shared" si="5"/>
        <v>148.4160716431841</v>
      </c>
      <c r="BH50" s="394">
        <f t="shared" si="6"/>
        <v>406.91923280980217</v>
      </c>
      <c r="BI50" s="395">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4" t="s">
        <v>122</v>
      </c>
      <c r="AN51" s="396">
        <v>124.29612344000002</v>
      </c>
      <c r="AO51" s="399">
        <v>340.78845122000001</v>
      </c>
      <c r="AP51" s="398">
        <v>14313.114951239999</v>
      </c>
      <c r="AQ51" s="374" t="s">
        <v>122</v>
      </c>
      <c r="AR51" s="396">
        <f t="shared" si="10"/>
        <v>128.02500714320001</v>
      </c>
      <c r="AS51" s="399">
        <f t="shared" si="11"/>
        <v>351.01210475660002</v>
      </c>
      <c r="AT51" s="398">
        <f t="shared" si="12"/>
        <v>14742.5083997772</v>
      </c>
      <c r="AU51" s="396">
        <f t="shared" si="13"/>
        <v>131.86575735749602</v>
      </c>
      <c r="AV51" s="399">
        <f t="shared" si="14"/>
        <v>361.54246789929806</v>
      </c>
      <c r="AW51" s="398">
        <f t="shared" si="15"/>
        <v>15184.783651770516</v>
      </c>
      <c r="AX51" s="396">
        <f t="shared" si="16"/>
        <v>135.8217300782209</v>
      </c>
      <c r="AY51" s="399">
        <f t="shared" si="17"/>
        <v>372.38874193627703</v>
      </c>
      <c r="AZ51" s="398">
        <f t="shared" si="18"/>
        <v>15640.327161323632</v>
      </c>
      <c r="BA51" s="396">
        <f t="shared" si="26"/>
        <v>139.89638198056753</v>
      </c>
      <c r="BB51" s="399">
        <f t="shared" si="27"/>
        <v>383.56040419436533</v>
      </c>
      <c r="BC51" s="398">
        <f t="shared" si="28"/>
        <v>16109.536976163341</v>
      </c>
      <c r="BD51" s="396">
        <f t="shared" si="29"/>
        <v>144.09327343998456</v>
      </c>
      <c r="BE51" s="399">
        <f t="shared" si="30"/>
        <v>395.06721632019628</v>
      </c>
      <c r="BF51" s="398">
        <f t="shared" si="31"/>
        <v>16592.823085448243</v>
      </c>
      <c r="BG51" s="396">
        <f t="shared" si="5"/>
        <v>148.4160716431841</v>
      </c>
      <c r="BH51" s="399">
        <f t="shared" si="6"/>
        <v>406.91923280980217</v>
      </c>
      <c r="BI51" s="398">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78" t="s">
        <v>97</v>
      </c>
      <c r="AN52" s="390">
        <v>81.211470640000002</v>
      </c>
      <c r="AO52" s="391">
        <v>81.211470640000002</v>
      </c>
      <c r="AP52" s="392">
        <v>3410.8817668800002</v>
      </c>
      <c r="AQ52" s="378" t="s">
        <v>97</v>
      </c>
      <c r="AR52" s="390">
        <f t="shared" si="10"/>
        <v>83.647814759200003</v>
      </c>
      <c r="AS52" s="391">
        <f t="shared" si="11"/>
        <v>83.647814759200003</v>
      </c>
      <c r="AT52" s="392">
        <f t="shared" si="12"/>
        <v>3513.2082198864005</v>
      </c>
      <c r="AU52" s="390">
        <f t="shared" si="13"/>
        <v>86.157249201976001</v>
      </c>
      <c r="AV52" s="391">
        <f t="shared" si="14"/>
        <v>86.157249201976001</v>
      </c>
      <c r="AW52" s="392">
        <f t="shared" si="15"/>
        <v>3618.6044664829924</v>
      </c>
      <c r="AX52" s="390">
        <f t="shared" si="16"/>
        <v>88.741966678035283</v>
      </c>
      <c r="AY52" s="391">
        <f t="shared" si="17"/>
        <v>88.741966678035283</v>
      </c>
      <c r="AZ52" s="392">
        <f t="shared" si="18"/>
        <v>3727.1626004774821</v>
      </c>
      <c r="BA52" s="390">
        <f t="shared" si="26"/>
        <v>91.404225678376349</v>
      </c>
      <c r="BB52" s="391">
        <f t="shared" si="27"/>
        <v>91.404225678376349</v>
      </c>
      <c r="BC52" s="392">
        <f t="shared" si="28"/>
        <v>3838.9774784918068</v>
      </c>
      <c r="BD52" s="390">
        <f t="shared" si="29"/>
        <v>94.14635244872764</v>
      </c>
      <c r="BE52" s="391">
        <f t="shared" si="30"/>
        <v>94.14635244872764</v>
      </c>
      <c r="BF52" s="392">
        <f t="shared" si="31"/>
        <v>3954.1468028465611</v>
      </c>
      <c r="BG52" s="390">
        <f t="shared" si="5"/>
        <v>96.970743022189467</v>
      </c>
      <c r="BH52" s="391">
        <f t="shared" si="6"/>
        <v>96.970743022189467</v>
      </c>
      <c r="BI52" s="392">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5" t="s">
        <v>100</v>
      </c>
      <c r="AN53" s="393">
        <v>157.31990619000001</v>
      </c>
      <c r="AO53" s="394">
        <v>157.31990619000001</v>
      </c>
      <c r="AP53" s="395">
        <v>6607.4360599800002</v>
      </c>
      <c r="AQ53" s="375" t="s">
        <v>100</v>
      </c>
      <c r="AR53" s="393">
        <f t="shared" si="10"/>
        <v>162.03950337570001</v>
      </c>
      <c r="AS53" s="394">
        <f t="shared" si="11"/>
        <v>162.03950337570001</v>
      </c>
      <c r="AT53" s="395">
        <f t="shared" si="12"/>
        <v>6805.6591417794007</v>
      </c>
      <c r="AU53" s="393">
        <f t="shared" si="13"/>
        <v>166.900688476971</v>
      </c>
      <c r="AV53" s="394">
        <f t="shared" si="14"/>
        <v>166.900688476971</v>
      </c>
      <c r="AW53" s="395">
        <f t="shared" si="15"/>
        <v>7009.8289160327831</v>
      </c>
      <c r="AX53" s="393">
        <f t="shared" si="16"/>
        <v>171.90770913128014</v>
      </c>
      <c r="AY53" s="394">
        <f t="shared" si="17"/>
        <v>171.90770913128014</v>
      </c>
      <c r="AZ53" s="395">
        <f t="shared" si="18"/>
        <v>7220.1237835137672</v>
      </c>
      <c r="BA53" s="393">
        <f t="shared" si="26"/>
        <v>177.06494040521855</v>
      </c>
      <c r="BB53" s="394">
        <f t="shared" si="27"/>
        <v>177.06494040521855</v>
      </c>
      <c r="BC53" s="395">
        <f t="shared" si="28"/>
        <v>7436.7274970191802</v>
      </c>
      <c r="BD53" s="393">
        <f t="shared" si="29"/>
        <v>182.3768886173751</v>
      </c>
      <c r="BE53" s="394">
        <f t="shared" si="30"/>
        <v>182.3768886173751</v>
      </c>
      <c r="BF53" s="395">
        <f t="shared" si="31"/>
        <v>7659.8293219297557</v>
      </c>
      <c r="BG53" s="393">
        <f t="shared" si="5"/>
        <v>187.84819527589636</v>
      </c>
      <c r="BH53" s="394">
        <f t="shared" si="6"/>
        <v>187.84819527589636</v>
      </c>
      <c r="BI53" s="395">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5" t="s">
        <v>102</v>
      </c>
      <c r="AN54" s="393">
        <v>32.672537300000002</v>
      </c>
      <c r="AO54" s="394">
        <v>189.99244349</v>
      </c>
      <c r="AP54" s="395">
        <v>7979.6826265800009</v>
      </c>
      <c r="AQ54" s="375" t="s">
        <v>102</v>
      </c>
      <c r="AR54" s="393">
        <f t="shared" si="10"/>
        <v>33.652713419000001</v>
      </c>
      <c r="AS54" s="394">
        <f t="shared" si="11"/>
        <v>195.69221679470002</v>
      </c>
      <c r="AT54" s="395">
        <f t="shared" si="12"/>
        <v>8219.0731053774016</v>
      </c>
      <c r="AU54" s="393">
        <f t="shared" si="13"/>
        <v>34.662294821570001</v>
      </c>
      <c r="AV54" s="394">
        <f t="shared" si="14"/>
        <v>201.56298329854101</v>
      </c>
      <c r="AW54" s="395">
        <f t="shared" si="15"/>
        <v>8465.6452985387241</v>
      </c>
      <c r="AX54" s="393">
        <f t="shared" si="16"/>
        <v>35.702163666217103</v>
      </c>
      <c r="AY54" s="394">
        <f t="shared" si="17"/>
        <v>207.60987279749725</v>
      </c>
      <c r="AZ54" s="395">
        <f t="shared" si="18"/>
        <v>8719.6146574948853</v>
      </c>
      <c r="BA54" s="393">
        <f t="shared" si="26"/>
        <v>36.773228576203614</v>
      </c>
      <c r="BB54" s="394">
        <f t="shared" si="27"/>
        <v>213.83816898142217</v>
      </c>
      <c r="BC54" s="395">
        <f t="shared" si="28"/>
        <v>8981.2030972197317</v>
      </c>
      <c r="BD54" s="393">
        <f t="shared" si="29"/>
        <v>37.876425433489722</v>
      </c>
      <c r="BE54" s="394">
        <f t="shared" si="30"/>
        <v>220.25331405086484</v>
      </c>
      <c r="BF54" s="395">
        <f t="shared" si="31"/>
        <v>9250.639190136324</v>
      </c>
      <c r="BG54" s="393">
        <f t="shared" si="5"/>
        <v>39.012718196494411</v>
      </c>
      <c r="BH54" s="394">
        <f t="shared" si="6"/>
        <v>226.86091347239079</v>
      </c>
      <c r="BI54" s="395">
        <f t="shared" si="7"/>
        <v>9528.1583658404143</v>
      </c>
    </row>
    <row r="55" spans="1:61" ht="15" thickBot="1">
      <c r="A55" s="159"/>
      <c r="B55" s="150" t="s">
        <v>180</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5" t="s">
        <v>103</v>
      </c>
      <c r="AN55" s="393">
        <v>59.172112590000012</v>
      </c>
      <c r="AO55" s="394">
        <v>216.49232777999998</v>
      </c>
      <c r="AP55" s="395">
        <v>9092.6777667599981</v>
      </c>
      <c r="AQ55" s="375" t="s">
        <v>103</v>
      </c>
      <c r="AR55" s="393">
        <f t="shared" si="10"/>
        <v>60.947275967700016</v>
      </c>
      <c r="AS55" s="394">
        <f t="shared" si="11"/>
        <v>222.98709761339998</v>
      </c>
      <c r="AT55" s="395">
        <f t="shared" si="12"/>
        <v>9365.4580997627982</v>
      </c>
      <c r="AU55" s="393">
        <f t="shared" si="13"/>
        <v>62.775694246731021</v>
      </c>
      <c r="AV55" s="394">
        <f t="shared" si="14"/>
        <v>229.67671054180198</v>
      </c>
      <c r="AW55" s="395">
        <f t="shared" si="15"/>
        <v>9646.4218427556825</v>
      </c>
      <c r="AX55" s="393">
        <f t="shared" si="16"/>
        <v>64.658965074132951</v>
      </c>
      <c r="AY55" s="394">
        <f t="shared" si="17"/>
        <v>236.56701185805605</v>
      </c>
      <c r="AZ55" s="395">
        <f t="shared" si="18"/>
        <v>9935.8144980383531</v>
      </c>
      <c r="BA55" s="393">
        <f t="shared" si="26"/>
        <v>66.598734026356937</v>
      </c>
      <c r="BB55" s="394">
        <f t="shared" si="27"/>
        <v>243.66402221379775</v>
      </c>
      <c r="BC55" s="395">
        <f t="shared" si="28"/>
        <v>10233.888932979504</v>
      </c>
      <c r="BD55" s="393">
        <f t="shared" si="29"/>
        <v>68.596696047147645</v>
      </c>
      <c r="BE55" s="394">
        <f t="shared" si="30"/>
        <v>250.97394288021169</v>
      </c>
      <c r="BF55" s="395">
        <f t="shared" si="31"/>
        <v>10540.905600968888</v>
      </c>
      <c r="BG55" s="393">
        <f t="shared" si="5"/>
        <v>70.654596928562071</v>
      </c>
      <c r="BH55" s="394">
        <f t="shared" si="6"/>
        <v>258.50316116661804</v>
      </c>
      <c r="BI55" s="395">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5" t="s">
        <v>180</v>
      </c>
      <c r="AN56" s="396">
        <v>53.436400000000006</v>
      </c>
      <c r="AO56" s="397">
        <v>269.92872777999997</v>
      </c>
      <c r="AP56" s="398">
        <v>11337.006566759999</v>
      </c>
      <c r="AQ56" s="375" t="s">
        <v>180</v>
      </c>
      <c r="AR56" s="396">
        <f t="shared" si="10"/>
        <v>55.03949200000001</v>
      </c>
      <c r="AS56" s="397">
        <f t="shared" si="11"/>
        <v>278.02658961340001</v>
      </c>
      <c r="AT56" s="398">
        <f t="shared" si="12"/>
        <v>11677.116763762799</v>
      </c>
      <c r="AU56" s="396">
        <f t="shared" si="13"/>
        <v>56.690676760000009</v>
      </c>
      <c r="AV56" s="397">
        <f t="shared" si="14"/>
        <v>286.36738730180201</v>
      </c>
      <c r="AW56" s="398">
        <f t="shared" si="15"/>
        <v>12027.430266675683</v>
      </c>
      <c r="AX56" s="396">
        <f t="shared" si="16"/>
        <v>58.39139706280001</v>
      </c>
      <c r="AY56" s="397">
        <f t="shared" si="17"/>
        <v>294.95840892085607</v>
      </c>
      <c r="AZ56" s="398">
        <f t="shared" si="18"/>
        <v>12388.253174675954</v>
      </c>
      <c r="BA56" s="396">
        <f t="shared" si="26"/>
        <v>60.143138974684014</v>
      </c>
      <c r="BB56" s="397">
        <f t="shared" si="27"/>
        <v>303.80716118848176</v>
      </c>
      <c r="BC56" s="398">
        <f t="shared" si="28"/>
        <v>12759.900769916234</v>
      </c>
      <c r="BD56" s="396">
        <f t="shared" si="29"/>
        <v>61.947433143924535</v>
      </c>
      <c r="BE56" s="397">
        <f t="shared" si="30"/>
        <v>312.92137602413624</v>
      </c>
      <c r="BF56" s="398">
        <f t="shared" si="31"/>
        <v>13142.697793013722</v>
      </c>
      <c r="BG56" s="396">
        <f t="shared" si="5"/>
        <v>63.80585613824227</v>
      </c>
      <c r="BH56" s="397">
        <f t="shared" si="6"/>
        <v>322.30901730486033</v>
      </c>
      <c r="BI56" s="398">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78" t="s">
        <v>97</v>
      </c>
      <c r="AN57" s="390">
        <v>81.211470640000002</v>
      </c>
      <c r="AO57" s="391">
        <v>81.211470640000002</v>
      </c>
      <c r="AP57" s="392">
        <v>3410.8817668800002</v>
      </c>
      <c r="AQ57" s="378" t="s">
        <v>97</v>
      </c>
      <c r="AR57" s="390">
        <f t="shared" si="10"/>
        <v>83.647814759200003</v>
      </c>
      <c r="AS57" s="391">
        <f t="shared" si="11"/>
        <v>83.647814759200003</v>
      </c>
      <c r="AT57" s="392">
        <f t="shared" si="12"/>
        <v>3513.2082198864005</v>
      </c>
      <c r="AU57" s="390">
        <f t="shared" si="13"/>
        <v>86.157249201976001</v>
      </c>
      <c r="AV57" s="391">
        <f t="shared" si="14"/>
        <v>86.157249201976001</v>
      </c>
      <c r="AW57" s="392">
        <f t="shared" si="15"/>
        <v>3618.6044664829924</v>
      </c>
      <c r="AX57" s="390">
        <f t="shared" si="16"/>
        <v>88.741966678035283</v>
      </c>
      <c r="AY57" s="391">
        <f t="shared" si="17"/>
        <v>88.741966678035283</v>
      </c>
      <c r="AZ57" s="392">
        <f t="shared" si="18"/>
        <v>3727.1626004774821</v>
      </c>
      <c r="BA57" s="390">
        <f t="shared" si="26"/>
        <v>91.404225678376349</v>
      </c>
      <c r="BB57" s="391">
        <f t="shared" si="27"/>
        <v>91.404225678376349</v>
      </c>
      <c r="BC57" s="392">
        <f t="shared" si="28"/>
        <v>3838.9774784918068</v>
      </c>
      <c r="BD57" s="390">
        <f t="shared" si="29"/>
        <v>94.14635244872764</v>
      </c>
      <c r="BE57" s="391">
        <f t="shared" si="30"/>
        <v>94.14635244872764</v>
      </c>
      <c r="BF57" s="392">
        <f t="shared" si="31"/>
        <v>3954.1468028465611</v>
      </c>
      <c r="BG57" s="390">
        <f t="shared" si="5"/>
        <v>96.970743022189467</v>
      </c>
      <c r="BH57" s="391">
        <f t="shared" si="6"/>
        <v>96.970743022189467</v>
      </c>
      <c r="BI57" s="392">
        <f t="shared" si="7"/>
        <v>4072.7712069319582</v>
      </c>
    </row>
    <row r="58" spans="1:61" ht="14.25">
      <c r="A58" s="228"/>
      <c r="B58" s="215" t="s">
        <v>195</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5" t="s">
        <v>100</v>
      </c>
      <c r="AN58" s="393">
        <v>157.31990619000001</v>
      </c>
      <c r="AO58" s="394">
        <v>157.31990619000001</v>
      </c>
      <c r="AP58" s="395">
        <v>6607.4360599800002</v>
      </c>
      <c r="AQ58" s="375" t="s">
        <v>100</v>
      </c>
      <c r="AR58" s="393">
        <f t="shared" si="10"/>
        <v>162.03950337570001</v>
      </c>
      <c r="AS58" s="394">
        <f t="shared" si="11"/>
        <v>162.03950337570001</v>
      </c>
      <c r="AT58" s="395">
        <f t="shared" si="12"/>
        <v>6805.6591417794007</v>
      </c>
      <c r="AU58" s="393">
        <f t="shared" si="13"/>
        <v>166.900688476971</v>
      </c>
      <c r="AV58" s="394">
        <f t="shared" si="14"/>
        <v>166.900688476971</v>
      </c>
      <c r="AW58" s="395">
        <f t="shared" si="15"/>
        <v>7009.8289160327831</v>
      </c>
      <c r="AX58" s="393">
        <f t="shared" si="16"/>
        <v>171.90770913128014</v>
      </c>
      <c r="AY58" s="394">
        <f t="shared" si="17"/>
        <v>171.90770913128014</v>
      </c>
      <c r="AZ58" s="395">
        <f t="shared" si="18"/>
        <v>7220.1237835137672</v>
      </c>
      <c r="BA58" s="393">
        <f t="shared" si="26"/>
        <v>177.06494040521855</v>
      </c>
      <c r="BB58" s="394">
        <f t="shared" si="27"/>
        <v>177.06494040521855</v>
      </c>
      <c r="BC58" s="395">
        <f t="shared" si="28"/>
        <v>7436.7274970191802</v>
      </c>
      <c r="BD58" s="393">
        <f t="shared" si="29"/>
        <v>182.3768886173751</v>
      </c>
      <c r="BE58" s="394">
        <f t="shared" si="30"/>
        <v>182.3768886173751</v>
      </c>
      <c r="BF58" s="395">
        <f t="shared" si="31"/>
        <v>7659.8293219297557</v>
      </c>
      <c r="BG58" s="393">
        <f t="shared" si="5"/>
        <v>187.84819527589636</v>
      </c>
      <c r="BH58" s="394">
        <f t="shared" si="6"/>
        <v>187.84819527589636</v>
      </c>
      <c r="BI58" s="395">
        <f t="shared" si="7"/>
        <v>7889.6242015876487</v>
      </c>
    </row>
    <row r="59" spans="1:61" ht="15" thickBot="1">
      <c r="A59" s="207"/>
      <c r="B59" s="227" t="s">
        <v>196</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5" t="s">
        <v>195</v>
      </c>
      <c r="AN59" s="393">
        <v>127.0617238937528</v>
      </c>
      <c r="AO59" s="394">
        <v>284.38163008375284</v>
      </c>
      <c r="AP59" s="395">
        <v>11944.028463517619</v>
      </c>
      <c r="AQ59" s="375" t="s">
        <v>195</v>
      </c>
      <c r="AR59" s="393">
        <f t="shared" si="10"/>
        <v>130.87357561056538</v>
      </c>
      <c r="AS59" s="394">
        <f t="shared" si="11"/>
        <v>292.91307898626542</v>
      </c>
      <c r="AT59" s="395">
        <f t="shared" si="12"/>
        <v>12302.349317423148</v>
      </c>
      <c r="AU59" s="393">
        <f t="shared" si="13"/>
        <v>134.79978287888235</v>
      </c>
      <c r="AV59" s="394">
        <f t="shared" si="14"/>
        <v>301.70047135585338</v>
      </c>
      <c r="AW59" s="395">
        <f t="shared" si="15"/>
        <v>12671.419796945844</v>
      </c>
      <c r="AX59" s="393">
        <f t="shared" si="16"/>
        <v>138.84377636524883</v>
      </c>
      <c r="AY59" s="394">
        <f t="shared" si="17"/>
        <v>310.75148549652897</v>
      </c>
      <c r="AZ59" s="395">
        <f t="shared" si="18"/>
        <v>13051.56239085422</v>
      </c>
      <c r="BA59" s="393">
        <f t="shared" si="26"/>
        <v>143.0090896562063</v>
      </c>
      <c r="BB59" s="394">
        <f t="shared" si="27"/>
        <v>320.07403006142482</v>
      </c>
      <c r="BC59" s="395">
        <f t="shared" si="28"/>
        <v>13443.109262579846</v>
      </c>
      <c r="BD59" s="393">
        <f t="shared" si="29"/>
        <v>147.29936234589249</v>
      </c>
      <c r="BE59" s="394">
        <f t="shared" si="30"/>
        <v>329.67625096326759</v>
      </c>
      <c r="BF59" s="395">
        <f t="shared" si="31"/>
        <v>13846.402540457242</v>
      </c>
      <c r="BG59" s="393">
        <f t="shared" si="5"/>
        <v>151.71834321626926</v>
      </c>
      <c r="BH59" s="394">
        <f t="shared" si="6"/>
        <v>339.56653849216565</v>
      </c>
      <c r="BI59" s="395">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4" t="s">
        <v>196</v>
      </c>
      <c r="AN60" s="396">
        <v>218.163476</v>
      </c>
      <c r="AO60" s="397">
        <v>502.54510608375284</v>
      </c>
      <c r="AP60" s="398">
        <v>21106.89445551762</v>
      </c>
      <c r="AQ60" s="374" t="s">
        <v>196</v>
      </c>
      <c r="AR60" s="396">
        <f t="shared" si="10"/>
        <v>224.70838028</v>
      </c>
      <c r="AS60" s="397">
        <f t="shared" si="11"/>
        <v>517.62145926626545</v>
      </c>
      <c r="AT60" s="398">
        <f t="shared" si="12"/>
        <v>21740.101289183149</v>
      </c>
      <c r="AU60" s="396">
        <f t="shared" si="13"/>
        <v>231.44963168840002</v>
      </c>
      <c r="AV60" s="397">
        <f t="shared" si="14"/>
        <v>533.15010304425346</v>
      </c>
      <c r="AW60" s="398">
        <f t="shared" si="15"/>
        <v>22392.304327858645</v>
      </c>
      <c r="AX60" s="396">
        <f t="shared" si="16"/>
        <v>238.39312063905203</v>
      </c>
      <c r="AY60" s="397">
        <f t="shared" si="17"/>
        <v>549.14460613558106</v>
      </c>
      <c r="AZ60" s="398">
        <f t="shared" si="18"/>
        <v>23064.073457694405</v>
      </c>
      <c r="BA60" s="396">
        <f t="shared" si="26"/>
        <v>245.5449142582236</v>
      </c>
      <c r="BB60" s="397">
        <f t="shared" si="27"/>
        <v>565.61894431964845</v>
      </c>
      <c r="BC60" s="398">
        <f t="shared" si="28"/>
        <v>23755.995661425237</v>
      </c>
      <c r="BD60" s="396">
        <f t="shared" si="29"/>
        <v>252.91126168597032</v>
      </c>
      <c r="BE60" s="397">
        <f t="shared" si="30"/>
        <v>582.58751264923796</v>
      </c>
      <c r="BF60" s="398">
        <f t="shared" si="31"/>
        <v>24468.675531267996</v>
      </c>
      <c r="BG60" s="396">
        <f t="shared" si="5"/>
        <v>260.49859953654942</v>
      </c>
      <c r="BH60" s="397">
        <f t="shared" si="6"/>
        <v>600.06513802871507</v>
      </c>
      <c r="BI60" s="398">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79" t="s">
        <v>274</v>
      </c>
      <c r="AN61" s="400">
        <v>43.568999999999996</v>
      </c>
      <c r="AO61" s="401">
        <v>43.568999999999996</v>
      </c>
      <c r="AP61" s="398">
        <v>1829.8979999999999</v>
      </c>
      <c r="AQ61" s="379" t="s">
        <v>274</v>
      </c>
      <c r="AR61" s="400">
        <f t="shared" si="10"/>
        <v>44.876069999999999</v>
      </c>
      <c r="AS61" s="401">
        <f t="shared" si="11"/>
        <v>44.876069999999999</v>
      </c>
      <c r="AT61" s="398">
        <f t="shared" si="12"/>
        <v>1884.79494</v>
      </c>
      <c r="AU61" s="400">
        <f t="shared" si="13"/>
        <v>46.222352100000002</v>
      </c>
      <c r="AV61" s="401">
        <f t="shared" si="14"/>
        <v>46.222352100000002</v>
      </c>
      <c r="AW61" s="398">
        <f t="shared" si="15"/>
        <v>1941.3387882</v>
      </c>
      <c r="AX61" s="400">
        <f t="shared" si="16"/>
        <v>47.609022663000005</v>
      </c>
      <c r="AY61" s="401">
        <f t="shared" si="17"/>
        <v>47.609022663000005</v>
      </c>
      <c r="AZ61" s="398">
        <f t="shared" si="18"/>
        <v>1999.5789518460001</v>
      </c>
      <c r="BA61" s="400">
        <f t="shared" si="26"/>
        <v>49.037293342890003</v>
      </c>
      <c r="BB61" s="401">
        <f t="shared" si="27"/>
        <v>49.037293342890003</v>
      </c>
      <c r="BC61" s="398">
        <f t="shared" si="28"/>
        <v>2059.5663204013804</v>
      </c>
      <c r="BD61" s="400">
        <f t="shared" si="29"/>
        <v>50.508412143176706</v>
      </c>
      <c r="BE61" s="401">
        <f t="shared" si="30"/>
        <v>50.508412143176706</v>
      </c>
      <c r="BF61" s="398">
        <f t="shared" si="31"/>
        <v>2121.3533100134218</v>
      </c>
      <c r="BG61" s="400">
        <f t="shared" si="5"/>
        <v>52.023664507472006</v>
      </c>
      <c r="BH61" s="401">
        <f t="shared" si="6"/>
        <v>52.023664507472006</v>
      </c>
      <c r="BI61" s="398">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181</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197</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198</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199</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199</v>
      </c>
      <c r="AK69" s="260"/>
      <c r="AL69" s="259"/>
      <c r="AM69" s="380"/>
      <c r="AQ69" s="380"/>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1" t="s">
        <v>275</v>
      </c>
      <c r="AN71" s="402" t="s">
        <v>278</v>
      </c>
      <c r="AO71" s="403"/>
      <c r="AP71" s="404">
        <v>2.4400000000000002E-2</v>
      </c>
      <c r="AQ71" s="381" t="s">
        <v>275</v>
      </c>
      <c r="AR71" s="402" t="s">
        <v>344</v>
      </c>
      <c r="AS71" s="403"/>
      <c r="AT71" s="404">
        <v>1.9400000000000001E-2</v>
      </c>
      <c r="AU71" s="402" t="s">
        <v>345</v>
      </c>
      <c r="AV71" s="403"/>
      <c r="AW71" s="404">
        <v>3.6600000000000001E-2</v>
      </c>
      <c r="AX71" s="402" t="s">
        <v>358</v>
      </c>
      <c r="AY71" s="403"/>
      <c r="AZ71" s="404">
        <v>6.7699999999999996E-2</v>
      </c>
      <c r="BA71" s="402" t="s">
        <v>376</v>
      </c>
      <c r="BB71" s="403"/>
      <c r="BC71" s="404">
        <v>5.7500000000000002E-2</v>
      </c>
      <c r="BD71" s="402" t="s">
        <v>376</v>
      </c>
      <c r="BE71" s="403"/>
      <c r="BF71" s="404">
        <v>5.7500000000000002E-2</v>
      </c>
      <c r="BG71" s="402" t="s">
        <v>376</v>
      </c>
      <c r="BH71" s="403"/>
      <c r="BI71" s="404">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2" t="s">
        <v>130</v>
      </c>
      <c r="AN72" s="678" t="s">
        <v>279</v>
      </c>
      <c r="AO72" s="678"/>
      <c r="AP72" s="679"/>
      <c r="AQ72" s="382" t="s">
        <v>130</v>
      </c>
      <c r="AR72" s="678" t="s">
        <v>279</v>
      </c>
      <c r="AS72" s="678"/>
      <c r="AT72" s="679"/>
      <c r="AU72" s="678" t="s">
        <v>279</v>
      </c>
      <c r="AV72" s="678"/>
      <c r="AW72" s="679"/>
      <c r="AX72" s="678" t="s">
        <v>279</v>
      </c>
      <c r="AY72" s="678"/>
      <c r="AZ72" s="679"/>
      <c r="BA72" s="678" t="s">
        <v>279</v>
      </c>
      <c r="BB72" s="678"/>
      <c r="BC72" s="679"/>
      <c r="BD72" s="678" t="s">
        <v>279</v>
      </c>
      <c r="BE72" s="678"/>
      <c r="BF72" s="679"/>
      <c r="BG72" s="678" t="s">
        <v>279</v>
      </c>
      <c r="BH72" s="678"/>
      <c r="BI72" s="679"/>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3" t="s">
        <v>140</v>
      </c>
      <c r="AN73" s="405">
        <v>513.24140203400077</v>
      </c>
      <c r="AO73" s="405">
        <v>513.24140203400077</v>
      </c>
      <c r="AP73" s="406">
        <v>21556.13888542803</v>
      </c>
      <c r="AQ73" s="383" t="s">
        <v>140</v>
      </c>
      <c r="AR73" s="405">
        <f>AN73*(1+$AT$71)</f>
        <v>523.19828523346041</v>
      </c>
      <c r="AS73" s="405">
        <f>AO73*(1+$AT$71)</f>
        <v>523.19828523346041</v>
      </c>
      <c r="AT73" s="405">
        <f>AP73*(1+$AT$71)</f>
        <v>21974.327979805337</v>
      </c>
      <c r="AU73" s="405">
        <f>AR73*(1+$AW$71)</f>
        <v>542.34734247300503</v>
      </c>
      <c r="AV73" s="405">
        <f>AS73*(1+$AW$71)</f>
        <v>542.34734247300503</v>
      </c>
      <c r="AW73" s="405">
        <f>AT73*(1+$AW$71)</f>
        <v>22778.588383866212</v>
      </c>
      <c r="AX73" s="405">
        <f>AU73*(1+$AZ$71)</f>
        <v>579.06425755842747</v>
      </c>
      <c r="AY73" s="405">
        <f>AV73*(1+$AZ$71)</f>
        <v>579.06425755842747</v>
      </c>
      <c r="AZ73" s="405">
        <f>AW73*(1+$AZ$71)</f>
        <v>24320.698817453958</v>
      </c>
      <c r="BA73" s="405">
        <f t="shared" ref="BA73:BF73" si="35">AX73*(1+$BC$71)</f>
        <v>612.36045236803716</v>
      </c>
      <c r="BB73" s="405">
        <f t="shared" si="35"/>
        <v>612.36045236803716</v>
      </c>
      <c r="BC73" s="405">
        <f t="shared" si="35"/>
        <v>25719.138999457562</v>
      </c>
      <c r="BD73" s="405">
        <f t="shared" si="35"/>
        <v>647.57117837919941</v>
      </c>
      <c r="BE73" s="405">
        <f t="shared" si="35"/>
        <v>647.57117837919941</v>
      </c>
      <c r="BF73" s="405">
        <f t="shared" si="35"/>
        <v>27197.989491926375</v>
      </c>
      <c r="BG73" s="405">
        <f>BD73*(1+$BC$71)</f>
        <v>684.80652113600343</v>
      </c>
      <c r="BH73" s="405">
        <f>BE73*(1+$BC$71)</f>
        <v>684.80652113600343</v>
      </c>
      <c r="BI73" s="405">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199</v>
      </c>
      <c r="AK74" s="278"/>
      <c r="AL74" s="279"/>
      <c r="AM74" s="383" t="s">
        <v>141</v>
      </c>
      <c r="AN74" s="665" t="s">
        <v>280</v>
      </c>
      <c r="AO74" s="665"/>
      <c r="AP74" s="666"/>
      <c r="AQ74" s="383" t="s">
        <v>141</v>
      </c>
      <c r="AR74" s="665"/>
      <c r="AS74" s="665"/>
      <c r="AT74" s="666"/>
      <c r="AU74" s="665"/>
      <c r="AV74" s="665"/>
      <c r="AW74" s="666"/>
      <c r="AX74" s="665"/>
      <c r="AY74" s="665"/>
      <c r="AZ74" s="666"/>
      <c r="BA74" s="665"/>
      <c r="BB74" s="665"/>
      <c r="BC74" s="666"/>
      <c r="BD74" s="665"/>
      <c r="BE74" s="665"/>
      <c r="BF74" s="666"/>
      <c r="BG74" s="665"/>
      <c r="BH74" s="665"/>
      <c r="BI74" s="666"/>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3" t="s">
        <v>143</v>
      </c>
      <c r="AN75" s="405">
        <v>505.85237467218178</v>
      </c>
      <c r="AO75" s="405">
        <v>505.85237467218178</v>
      </c>
      <c r="AP75" s="406">
        <v>21245.799736231635</v>
      </c>
      <c r="AQ75" s="383" t="s">
        <v>143</v>
      </c>
      <c r="AR75" s="405">
        <f>AN75*(1+$AT$71)</f>
        <v>515.66591074082214</v>
      </c>
      <c r="AS75" s="405">
        <f>AO75*(1+$AT$71)</f>
        <v>515.66591074082214</v>
      </c>
      <c r="AT75" s="405">
        <f>AP75*(1+$AT$71)</f>
        <v>21657.968251114529</v>
      </c>
      <c r="AU75" s="405">
        <f>AR75*(1+$AW$71)</f>
        <v>534.53928307393619</v>
      </c>
      <c r="AV75" s="405">
        <f>AS75*(1+$AW$71)</f>
        <v>534.53928307393619</v>
      </c>
      <c r="AW75" s="405">
        <f>AT75*(1+$AW$71)</f>
        <v>22450.64988910532</v>
      </c>
      <c r="AX75" s="405">
        <f>AU75*(1+$AZ$71)</f>
        <v>570.72759253804168</v>
      </c>
      <c r="AY75" s="405">
        <f>AV75*(1+$AZ$71)</f>
        <v>570.72759253804168</v>
      </c>
      <c r="AZ75" s="405">
        <f>AW75*(1+$AZ$71)</f>
        <v>23970.558886597752</v>
      </c>
      <c r="BA75" s="405">
        <f t="shared" ref="BA75:BF75" si="36">AX75*(1+$BC$71)</f>
        <v>603.5444291089791</v>
      </c>
      <c r="BB75" s="405">
        <f t="shared" si="36"/>
        <v>603.5444291089791</v>
      </c>
      <c r="BC75" s="405">
        <f t="shared" si="36"/>
        <v>25348.866022577124</v>
      </c>
      <c r="BD75" s="405">
        <f t="shared" si="36"/>
        <v>638.2482337827455</v>
      </c>
      <c r="BE75" s="405">
        <f t="shared" si="36"/>
        <v>638.2482337827455</v>
      </c>
      <c r="BF75" s="405">
        <f t="shared" si="36"/>
        <v>26806.425818875312</v>
      </c>
      <c r="BG75" s="405">
        <f>BD75*(1+$BC$71)</f>
        <v>674.94750722525339</v>
      </c>
      <c r="BH75" s="405">
        <f>BE75*(1+$BC$71)</f>
        <v>674.94750722525339</v>
      </c>
      <c r="BI75" s="405">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08">
        <f>AG76*(1+AL66)</f>
        <v>59.191789097100013</v>
      </c>
      <c r="AM76" s="383" t="s">
        <v>141</v>
      </c>
      <c r="AN76" s="656"/>
      <c r="AO76" s="657"/>
      <c r="AP76" s="658"/>
      <c r="AQ76" s="383" t="s">
        <v>141</v>
      </c>
      <c r="AR76" s="656"/>
      <c r="AS76" s="657"/>
      <c r="AT76" s="658"/>
      <c r="AU76" s="656"/>
      <c r="AV76" s="657"/>
      <c r="AW76" s="658"/>
      <c r="AX76" s="656"/>
      <c r="AY76" s="657"/>
      <c r="AZ76" s="658"/>
      <c r="BA76" s="656"/>
      <c r="BB76" s="657"/>
      <c r="BC76" s="658"/>
      <c r="BD76" s="656"/>
      <c r="BE76" s="657"/>
      <c r="BF76" s="658"/>
      <c r="BG76" s="656"/>
      <c r="BH76" s="657"/>
      <c r="BI76" s="658"/>
    </row>
    <row r="77" spans="1:61">
      <c r="A77" s="290" t="s">
        <v>151</v>
      </c>
      <c r="B77" s="191"/>
      <c r="C77" s="191"/>
      <c r="D77" s="191"/>
      <c r="E77" s="191"/>
      <c r="F77" s="262"/>
      <c r="G77" s="191"/>
      <c r="H77" s="191"/>
      <c r="I77" s="191"/>
      <c r="J77" s="191"/>
      <c r="K77" s="191"/>
      <c r="L77" s="191"/>
      <c r="M77" s="191"/>
      <c r="N77" s="191"/>
      <c r="O77" s="191"/>
      <c r="P77" s="191"/>
      <c r="Q77" s="191"/>
      <c r="AM77" s="384" t="s">
        <v>144</v>
      </c>
      <c r="AN77" s="659"/>
      <c r="AO77" s="660"/>
      <c r="AP77" s="661"/>
      <c r="AQ77" s="384" t="s">
        <v>144</v>
      </c>
      <c r="AR77" s="659"/>
      <c r="AS77" s="660"/>
      <c r="AT77" s="661"/>
      <c r="AU77" s="659"/>
      <c r="AV77" s="660"/>
      <c r="AW77" s="661"/>
      <c r="AX77" s="659"/>
      <c r="AY77" s="660"/>
      <c r="AZ77" s="661"/>
      <c r="BA77" s="659"/>
      <c r="BB77" s="660"/>
      <c r="BC77" s="661"/>
      <c r="BD77" s="659"/>
      <c r="BE77" s="660"/>
      <c r="BF77" s="661"/>
      <c r="BG77" s="659"/>
      <c r="BH77" s="660"/>
      <c r="BI77" s="661"/>
    </row>
    <row r="78" spans="1:61">
      <c r="A78" s="290" t="s">
        <v>152</v>
      </c>
      <c r="B78" s="191"/>
      <c r="C78" s="191"/>
      <c r="D78" s="191"/>
      <c r="E78" s="191"/>
      <c r="F78" s="262"/>
      <c r="G78" s="191"/>
      <c r="H78" s="191"/>
      <c r="I78" s="191"/>
      <c r="J78" s="191"/>
      <c r="K78" s="191"/>
      <c r="L78" s="291"/>
      <c r="M78" s="191"/>
      <c r="N78" s="191"/>
      <c r="O78" s="292"/>
      <c r="P78" s="191"/>
      <c r="Q78" s="191"/>
      <c r="AC78" s="293"/>
      <c r="AM78" s="383" t="s">
        <v>147</v>
      </c>
      <c r="AN78" s="662"/>
      <c r="AO78" s="663"/>
      <c r="AP78" s="664"/>
      <c r="AQ78" s="383" t="s">
        <v>147</v>
      </c>
      <c r="AR78" s="662"/>
      <c r="AS78" s="663"/>
      <c r="AT78" s="664"/>
      <c r="AU78" s="662"/>
      <c r="AV78" s="663"/>
      <c r="AW78" s="664"/>
      <c r="AX78" s="662"/>
      <c r="AY78" s="663"/>
      <c r="AZ78" s="664"/>
      <c r="BA78" s="662"/>
      <c r="BB78" s="663"/>
      <c r="BC78" s="664"/>
      <c r="BD78" s="662"/>
      <c r="BE78" s="663"/>
      <c r="BF78" s="664"/>
      <c r="BG78" s="662"/>
      <c r="BH78" s="663"/>
      <c r="BI78" s="664"/>
    </row>
    <row r="79" spans="1:61">
      <c r="A79" s="287"/>
      <c r="B79" s="191"/>
      <c r="C79" s="191"/>
      <c r="D79" s="191"/>
      <c r="E79" s="191"/>
      <c r="F79" s="191"/>
      <c r="G79" s="191"/>
      <c r="H79" s="191"/>
      <c r="I79" s="191"/>
      <c r="J79" s="191"/>
      <c r="K79" s="191"/>
      <c r="L79" s="191"/>
      <c r="M79" s="191"/>
      <c r="N79" s="191"/>
      <c r="O79" s="191"/>
      <c r="P79" s="191"/>
      <c r="Q79" s="191"/>
      <c r="AC79" s="271"/>
      <c r="AM79" s="383" t="s">
        <v>130</v>
      </c>
      <c r="AN79" s="665" t="s">
        <v>280</v>
      </c>
      <c r="AO79" s="665"/>
      <c r="AP79" s="666"/>
      <c r="AQ79" s="383" t="s">
        <v>130</v>
      </c>
      <c r="AR79" s="665"/>
      <c r="AS79" s="665"/>
      <c r="AT79" s="666"/>
      <c r="AU79" s="665"/>
      <c r="AV79" s="665"/>
      <c r="AW79" s="666"/>
      <c r="AX79" s="665"/>
      <c r="AY79" s="665"/>
      <c r="AZ79" s="666"/>
      <c r="BA79" s="665"/>
      <c r="BB79" s="665"/>
      <c r="BC79" s="666"/>
      <c r="BD79" s="665"/>
      <c r="BE79" s="665"/>
      <c r="BF79" s="666"/>
      <c r="BG79" s="665"/>
      <c r="BH79" s="665"/>
      <c r="BI79" s="666"/>
    </row>
    <row r="80" spans="1:61">
      <c r="A80" s="191"/>
      <c r="B80" s="191"/>
      <c r="C80" s="191"/>
      <c r="D80" s="191"/>
      <c r="E80" s="191"/>
      <c r="F80" s="191"/>
      <c r="G80" s="191"/>
      <c r="H80" s="191"/>
      <c r="I80" s="191"/>
      <c r="J80" s="191"/>
      <c r="K80" s="191"/>
      <c r="L80" s="191"/>
      <c r="M80" s="191"/>
      <c r="N80" s="191"/>
      <c r="O80" s="191"/>
      <c r="P80" s="191"/>
      <c r="Q80" s="191"/>
      <c r="AM80" s="383" t="s">
        <v>141</v>
      </c>
      <c r="AN80" s="405">
        <v>442.85011881106925</v>
      </c>
      <c r="AO80" s="405">
        <v>442.85011881106925</v>
      </c>
      <c r="AP80" s="406">
        <v>18599.704990064907</v>
      </c>
      <c r="AQ80" s="383" t="s">
        <v>141</v>
      </c>
      <c r="AR80" s="405">
        <f>AN80*(1+$AT$71)</f>
        <v>451.44141111600402</v>
      </c>
      <c r="AS80" s="405">
        <f>AO80*(1+$AT$71)</f>
        <v>451.44141111600402</v>
      </c>
      <c r="AT80" s="405">
        <f>AP80*(1+$AT$71)</f>
        <v>18960.539266872169</v>
      </c>
      <c r="AU80" s="405">
        <f>AR80*(1+$AW$71)</f>
        <v>467.96416676284974</v>
      </c>
      <c r="AV80" s="405">
        <f>AS80*(1+$AW$71)</f>
        <v>467.96416676284974</v>
      </c>
      <c r="AW80" s="405">
        <f>AT80*(1+$AW$71)</f>
        <v>19654.495004039691</v>
      </c>
      <c r="AX80" s="405">
        <f>AU80*(1+$AZ$71)</f>
        <v>499.64534085269469</v>
      </c>
      <c r="AY80" s="405">
        <f>AV80*(1+$AZ$71)</f>
        <v>499.64534085269469</v>
      </c>
      <c r="AZ80" s="405">
        <f>AW80*(1+$AZ$71)</f>
        <v>20985.10431581318</v>
      </c>
      <c r="BA80" s="405">
        <f t="shared" ref="BA80:BF80" si="37">AX80*(1+$BC$71)</f>
        <v>528.37494795172472</v>
      </c>
      <c r="BB80" s="405">
        <f t="shared" si="37"/>
        <v>528.37494795172472</v>
      </c>
      <c r="BC80" s="405">
        <f t="shared" si="37"/>
        <v>22191.747813972441</v>
      </c>
      <c r="BD80" s="405">
        <f t="shared" si="37"/>
        <v>558.75650745894893</v>
      </c>
      <c r="BE80" s="405">
        <f t="shared" si="37"/>
        <v>558.75650745894893</v>
      </c>
      <c r="BF80" s="405">
        <f t="shared" si="37"/>
        <v>23467.773313275859</v>
      </c>
      <c r="BG80" s="405">
        <f>BD80*(1+$BC$71)</f>
        <v>590.8850066378385</v>
      </c>
      <c r="BH80" s="405">
        <f>BE80*(1+$BC$71)</f>
        <v>590.8850066378385</v>
      </c>
      <c r="BI80" s="405">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92" t="s">
        <v>153</v>
      </c>
      <c r="AA81" s="692"/>
      <c r="AD81" s="692" t="s">
        <v>154</v>
      </c>
      <c r="AE81" s="692"/>
      <c r="AG81" s="692" t="s">
        <v>200</v>
      </c>
      <c r="AH81" s="692"/>
      <c r="AJ81" s="692" t="s">
        <v>200</v>
      </c>
      <c r="AK81" s="692"/>
      <c r="AM81" s="385" t="s">
        <v>150</v>
      </c>
      <c r="AN81" s="409">
        <v>60.636068751069253</v>
      </c>
      <c r="AO81" s="667"/>
      <c r="AP81" s="668"/>
      <c r="AQ81" s="385" t="s">
        <v>150</v>
      </c>
      <c r="AR81" s="409">
        <f>AN81*(1+$AT$71)</f>
        <v>61.812408484839999</v>
      </c>
      <c r="AS81" s="667"/>
      <c r="AT81" s="668"/>
      <c r="AU81" s="409">
        <f>AR81*(1+$AW$71)</f>
        <v>64.074742635385135</v>
      </c>
      <c r="AV81" s="667"/>
      <c r="AW81" s="668"/>
      <c r="AX81" s="409">
        <f>AU81*(1+$AZ$71)</f>
        <v>68.412602711800716</v>
      </c>
      <c r="AY81" s="667"/>
      <c r="AZ81" s="668"/>
      <c r="BA81" s="409">
        <f>AX81*(1+$BC$71)</f>
        <v>72.346327367729259</v>
      </c>
      <c r="BB81" s="667"/>
      <c r="BC81" s="668"/>
      <c r="BD81" s="409">
        <f>BA81*(1+$BC$71)</f>
        <v>76.506241191373704</v>
      </c>
      <c r="BE81" s="667"/>
      <c r="BF81" s="668"/>
      <c r="BG81" s="409">
        <f>BD81*(1+$BC$71)</f>
        <v>80.905350059877705</v>
      </c>
      <c r="BH81" s="667"/>
      <c r="BI81" s="668"/>
    </row>
    <row r="82" spans="1:61">
      <c r="A82" s="191"/>
      <c r="B82" s="191"/>
      <c r="C82" s="191"/>
      <c r="D82" s="191"/>
      <c r="E82" s="191"/>
      <c r="F82" s="191"/>
      <c r="G82" s="191"/>
      <c r="H82" s="191"/>
      <c r="I82" s="191"/>
      <c r="J82" s="191"/>
      <c r="K82" s="191"/>
      <c r="L82" s="191"/>
      <c r="M82" s="191"/>
      <c r="N82" s="191"/>
      <c r="O82" s="191"/>
      <c r="P82" s="191"/>
      <c r="Q82" s="191"/>
      <c r="Z82" s="692"/>
      <c r="AA82" s="692"/>
      <c r="AD82" s="692"/>
      <c r="AE82" s="692"/>
      <c r="AG82" s="692"/>
      <c r="AH82" s="692"/>
      <c r="AJ82" s="692"/>
      <c r="AK82" s="692"/>
    </row>
    <row r="83" spans="1:61" ht="83.25" customHeight="1">
      <c r="A83" s="191"/>
      <c r="B83" s="191"/>
      <c r="C83" s="191"/>
      <c r="D83" s="191"/>
      <c r="E83" s="191"/>
      <c r="F83" s="191"/>
      <c r="G83" s="191"/>
      <c r="H83" s="191"/>
      <c r="I83" s="191"/>
      <c r="J83" s="191"/>
      <c r="K83" s="191"/>
      <c r="L83" s="191"/>
      <c r="M83" s="191"/>
      <c r="N83" s="191"/>
      <c r="O83" s="191"/>
      <c r="P83" s="191"/>
      <c r="Q83" s="191"/>
      <c r="Z83" s="687" t="s">
        <v>155</v>
      </c>
      <c r="AA83" s="687"/>
      <c r="AD83" s="687" t="s">
        <v>156</v>
      </c>
      <c r="AE83" s="687"/>
      <c r="AG83" s="294" t="s">
        <v>201</v>
      </c>
      <c r="AJ83" s="294" t="s">
        <v>201</v>
      </c>
    </row>
    <row r="84" spans="1:61">
      <c r="A84" s="191"/>
      <c r="B84" s="191"/>
      <c r="C84" s="191"/>
      <c r="D84" s="191"/>
      <c r="E84" s="191"/>
      <c r="F84" s="191"/>
      <c r="G84" s="191"/>
      <c r="H84" s="191"/>
      <c r="I84" s="191"/>
      <c r="J84" s="191"/>
      <c r="K84" s="191"/>
      <c r="L84" s="191"/>
      <c r="M84" s="191"/>
      <c r="N84" s="191"/>
      <c r="O84" s="191"/>
      <c r="P84" s="191"/>
      <c r="Q84" s="191"/>
      <c r="AD84" s="687"/>
      <c r="AE84" s="687"/>
    </row>
    <row r="85" spans="1:61">
      <c r="A85" s="191"/>
      <c r="B85" s="191"/>
      <c r="C85" s="191"/>
      <c r="D85" s="191"/>
      <c r="E85" s="191"/>
      <c r="F85" s="191"/>
      <c r="G85" s="191"/>
      <c r="H85" s="191"/>
      <c r="I85" s="191"/>
      <c r="J85" s="191"/>
      <c r="K85" s="191"/>
      <c r="L85" s="191"/>
      <c r="M85" s="191"/>
      <c r="N85" s="191"/>
      <c r="O85" s="191"/>
      <c r="P85" s="191"/>
      <c r="Q85" s="191"/>
      <c r="AD85" s="687"/>
      <c r="AE85" s="687"/>
    </row>
    <row r="86" spans="1:61">
      <c r="A86" s="191"/>
      <c r="B86" s="191"/>
      <c r="C86" s="191"/>
      <c r="D86" s="191"/>
      <c r="E86" s="191"/>
      <c r="F86" s="191"/>
      <c r="G86" s="191"/>
      <c r="H86" s="191"/>
      <c r="I86" s="191"/>
      <c r="J86" s="191"/>
      <c r="K86" s="191"/>
      <c r="L86" s="191"/>
      <c r="M86" s="191"/>
      <c r="N86" s="191"/>
      <c r="O86" s="191"/>
      <c r="P86" s="191"/>
      <c r="Q86" s="191"/>
      <c r="AD86" s="687"/>
      <c r="AE86" s="687"/>
    </row>
    <row r="87" spans="1:61">
      <c r="A87" s="191"/>
      <c r="B87" s="191"/>
      <c r="C87" s="191"/>
      <c r="D87" s="191"/>
      <c r="E87" s="191"/>
      <c r="F87" s="191"/>
      <c r="G87" s="191"/>
      <c r="H87" s="191"/>
      <c r="I87" s="191"/>
      <c r="J87" s="191"/>
      <c r="K87" s="191"/>
      <c r="L87" s="191"/>
      <c r="M87" s="191"/>
      <c r="N87" s="191"/>
      <c r="O87" s="191"/>
      <c r="P87" s="191"/>
      <c r="Q87" s="191"/>
      <c r="AD87" s="687"/>
      <c r="AE87" s="687"/>
    </row>
    <row r="88" spans="1:61">
      <c r="A88" s="191"/>
      <c r="B88" s="191"/>
      <c r="C88" s="191"/>
      <c r="D88" s="191"/>
      <c r="E88" s="191"/>
      <c r="F88" s="191"/>
      <c r="G88" s="191"/>
      <c r="H88" s="191"/>
      <c r="I88" s="191"/>
      <c r="J88" s="191"/>
      <c r="K88" s="191"/>
      <c r="L88" s="191"/>
      <c r="M88" s="191"/>
      <c r="N88" s="191"/>
      <c r="O88" s="191"/>
      <c r="P88" s="191"/>
      <c r="Q88" s="191"/>
      <c r="AD88" s="687"/>
      <c r="AE88" s="687"/>
    </row>
    <row r="89" spans="1:61">
      <c r="A89" s="191"/>
      <c r="B89" s="191"/>
      <c r="C89" s="191"/>
      <c r="D89" s="191"/>
      <c r="E89" s="191"/>
      <c r="F89" s="191"/>
      <c r="G89" s="191"/>
      <c r="H89" s="191"/>
      <c r="I89" s="191"/>
      <c r="J89" s="191"/>
      <c r="K89" s="191"/>
      <c r="L89" s="191"/>
      <c r="M89" s="191"/>
      <c r="N89" s="191"/>
      <c r="O89" s="191"/>
      <c r="P89" s="191"/>
      <c r="Q89" s="191"/>
      <c r="AD89" s="687"/>
      <c r="AE89" s="687"/>
    </row>
    <row r="90" spans="1:61">
      <c r="A90" s="191"/>
      <c r="B90" s="191"/>
      <c r="C90" s="191"/>
      <c r="D90" s="191"/>
      <c r="E90" s="191"/>
      <c r="F90" s="191"/>
      <c r="G90" s="191"/>
      <c r="H90" s="191"/>
      <c r="I90" s="191"/>
      <c r="J90" s="191"/>
      <c r="K90" s="191"/>
      <c r="L90" s="191"/>
      <c r="M90" s="191"/>
      <c r="N90" s="191"/>
      <c r="O90" s="191"/>
      <c r="P90" s="191"/>
      <c r="Q90" s="191"/>
      <c r="AD90" s="191" t="s">
        <v>157</v>
      </c>
      <c r="AG90" s="192" t="s">
        <v>202</v>
      </c>
      <c r="AJ90" s="192" t="s">
        <v>202</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 ref="BG76:BI78"/>
    <mergeCell ref="BG79:BI79"/>
    <mergeCell ref="BH81:BI81"/>
    <mergeCell ref="BG1:BI1"/>
    <mergeCell ref="BG2:BH3"/>
    <mergeCell ref="BI2:BI3"/>
    <mergeCell ref="BG72:BI72"/>
    <mergeCell ref="BG74:BI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B1" zoomScale="85" zoomScaleNormal="85" workbookViewId="0">
      <selection activeCell="D6" sqref="D6"/>
    </sheetView>
  </sheetViews>
  <sheetFormatPr baseColWidth="10" defaultRowHeight="15" outlineLevelRow="2"/>
  <cols>
    <col min="1" max="1" width="0" style="484" hidden="1" customWidth="1"/>
    <col min="2" max="2" width="30.5703125" style="484" bestFit="1" customWidth="1"/>
    <col min="3" max="3" width="3.85546875" style="484" customWidth="1"/>
    <col min="4" max="4" width="108" style="484" customWidth="1"/>
    <col min="5" max="5" width="23.7109375" style="485" hidden="1" customWidth="1"/>
    <col min="6" max="6" width="21.28515625" style="484" customWidth="1"/>
    <col min="7" max="8" width="11.42578125" style="484"/>
    <col min="9" max="9" width="3.140625" style="484" customWidth="1"/>
    <col min="10" max="10" width="11.42578125" style="484" hidden="1" customWidth="1"/>
    <col min="11" max="11" width="13.85546875" style="484" customWidth="1"/>
    <col min="12" max="15" width="11.42578125" style="484"/>
    <col min="16" max="16" width="16" style="484" customWidth="1"/>
    <col min="17" max="17" width="33.28515625" style="484" bestFit="1" customWidth="1"/>
    <col min="18" max="18" width="11.42578125" style="484"/>
    <col min="19" max="19" width="33.28515625" style="484" bestFit="1" customWidth="1"/>
    <col min="20" max="16384" width="11.42578125" style="484"/>
  </cols>
  <sheetData>
    <row r="3" spans="4:16" ht="21">
      <c r="D3" s="486" t="s">
        <v>403</v>
      </c>
    </row>
    <row r="4" spans="4:16">
      <c r="D4" s="492" t="s">
        <v>404</v>
      </c>
    </row>
    <row r="5" spans="4:16">
      <c r="D5" s="493" t="s">
        <v>405</v>
      </c>
    </row>
    <row r="6" spans="4:16">
      <c r="D6" s="484" t="s">
        <v>406</v>
      </c>
    </row>
    <row r="7" spans="4:16">
      <c r="D7" s="484" t="s">
        <v>407</v>
      </c>
    </row>
    <row r="8" spans="4:16">
      <c r="D8" s="484" t="s">
        <v>408</v>
      </c>
    </row>
    <row r="9" spans="4:16">
      <c r="D9" s="640" t="s">
        <v>699</v>
      </c>
    </row>
    <row r="12" spans="4:16">
      <c r="O12" s="484">
        <v>1</v>
      </c>
      <c r="P12" s="493" t="s">
        <v>410</v>
      </c>
    </row>
    <row r="13" spans="4:16">
      <c r="O13" s="484">
        <v>2</v>
      </c>
      <c r="P13" s="493" t="s">
        <v>411</v>
      </c>
    </row>
    <row r="14" spans="4:16" ht="21">
      <c r="D14" s="697" t="s">
        <v>412</v>
      </c>
      <c r="E14" s="698" t="s">
        <v>386</v>
      </c>
      <c r="F14" s="699" t="s">
        <v>387</v>
      </c>
      <c r="G14" s="700"/>
      <c r="H14" s="700"/>
      <c r="I14" s="700"/>
      <c r="J14" s="701"/>
      <c r="K14" s="718" t="s">
        <v>634</v>
      </c>
      <c r="O14" s="484">
        <v>3</v>
      </c>
      <c r="P14" s="493" t="s">
        <v>413</v>
      </c>
    </row>
    <row r="15" spans="4:16" ht="21">
      <c r="D15" s="697"/>
      <c r="E15" s="698"/>
      <c r="F15" s="702" t="s">
        <v>700</v>
      </c>
      <c r="G15" s="703"/>
      <c r="H15" s="703"/>
      <c r="I15" s="703"/>
      <c r="J15" s="704"/>
      <c r="K15" s="719"/>
      <c r="O15" s="484">
        <v>4</v>
      </c>
      <c r="P15" s="493" t="s">
        <v>415</v>
      </c>
    </row>
    <row r="16" spans="4:16">
      <c r="D16" s="494" t="s">
        <v>416</v>
      </c>
      <c r="E16" s="523"/>
      <c r="F16" s="711" t="s">
        <v>417</v>
      </c>
      <c r="G16" s="711"/>
      <c r="H16" s="711"/>
      <c r="I16" s="711"/>
      <c r="J16" s="711"/>
      <c r="K16" s="500"/>
      <c r="L16" s="637"/>
      <c r="M16" s="615"/>
      <c r="P16" s="493"/>
    </row>
    <row r="17" spans="4:19">
      <c r="D17" s="494" t="s">
        <v>418</v>
      </c>
      <c r="E17" s="530"/>
      <c r="F17" s="706" t="s">
        <v>417</v>
      </c>
      <c r="G17" s="706"/>
      <c r="H17" s="706"/>
      <c r="I17" s="706"/>
      <c r="J17" s="706"/>
      <c r="K17" s="500"/>
      <c r="L17" s="637"/>
      <c r="M17" s="615"/>
      <c r="P17" s="493"/>
      <c r="S17" s="185" t="s">
        <v>395</v>
      </c>
    </row>
    <row r="18" spans="4:19">
      <c r="D18" s="494" t="s">
        <v>419</v>
      </c>
      <c r="E18" s="530"/>
      <c r="F18" s="706" t="s">
        <v>417</v>
      </c>
      <c r="G18" s="706"/>
      <c r="H18" s="706"/>
      <c r="I18" s="706"/>
      <c r="J18" s="706"/>
      <c r="K18" s="500"/>
      <c r="L18" s="637"/>
      <c r="M18" s="615"/>
      <c r="O18" s="484">
        <v>5</v>
      </c>
      <c r="P18" s="493" t="s">
        <v>420</v>
      </c>
      <c r="S18" s="185" t="s">
        <v>397</v>
      </c>
    </row>
    <row r="19" spans="4:19">
      <c r="D19" s="494" t="s">
        <v>421</v>
      </c>
      <c r="E19" s="530" t="s">
        <v>391</v>
      </c>
      <c r="F19" s="706" t="s">
        <v>392</v>
      </c>
      <c r="G19" s="706"/>
      <c r="H19" s="706"/>
      <c r="I19" s="706"/>
      <c r="J19" s="706"/>
      <c r="K19" s="526">
        <f>+'COMBUSTIBLES '!E7</f>
        <v>4736</v>
      </c>
      <c r="L19" s="637" t="s">
        <v>631</v>
      </c>
      <c r="M19" s="615"/>
      <c r="S19" s="185" t="s">
        <v>390</v>
      </c>
    </row>
    <row r="20" spans="4:19">
      <c r="D20" s="494" t="s">
        <v>422</v>
      </c>
      <c r="E20" s="530" t="s">
        <v>423</v>
      </c>
      <c r="F20" s="706" t="s">
        <v>392</v>
      </c>
      <c r="G20" s="706"/>
      <c r="H20" s="706"/>
      <c r="I20" s="706"/>
      <c r="J20" s="706"/>
      <c r="K20" s="540">
        <f>+'COMBUSTIBLES '!E8</f>
        <v>8.1370000000000005</v>
      </c>
      <c r="L20" s="637" t="s">
        <v>631</v>
      </c>
      <c r="M20" s="615"/>
      <c r="S20" s="185" t="s">
        <v>393</v>
      </c>
    </row>
    <row r="21" spans="4:19">
      <c r="D21" s="494" t="s">
        <v>424</v>
      </c>
      <c r="E21" s="530"/>
      <c r="F21" s="707" t="s">
        <v>425</v>
      </c>
      <c r="G21" s="707"/>
      <c r="H21" s="707"/>
      <c r="I21" s="707"/>
      <c r="J21" s="707"/>
      <c r="K21" s="526">
        <f>+Variables!E27</f>
        <v>5024.59</v>
      </c>
      <c r="L21" s="637" t="s">
        <v>631</v>
      </c>
      <c r="M21" s="615"/>
      <c r="S21" s="185" t="s">
        <v>394</v>
      </c>
    </row>
    <row r="22" spans="4:19">
      <c r="D22" s="494" t="s">
        <v>428</v>
      </c>
      <c r="E22" s="530" t="s">
        <v>429</v>
      </c>
      <c r="F22" s="706" t="s">
        <v>392</v>
      </c>
      <c r="G22" s="706"/>
      <c r="H22" s="706"/>
      <c r="I22" s="706"/>
      <c r="J22" s="706"/>
      <c r="K22" s="526">
        <f>+'COMBUSTIBLES '!B8</f>
        <v>8.1370000000000005</v>
      </c>
      <c r="L22" s="637" t="s">
        <v>631</v>
      </c>
      <c r="M22" s="615"/>
      <c r="S22" s="185" t="s">
        <v>398</v>
      </c>
    </row>
    <row r="23" spans="4:19">
      <c r="D23" s="494" t="s">
        <v>430</v>
      </c>
      <c r="E23" s="530" t="s">
        <v>396</v>
      </c>
      <c r="F23" s="706" t="s">
        <v>392</v>
      </c>
      <c r="G23" s="706"/>
      <c r="H23" s="706"/>
      <c r="I23" s="706"/>
      <c r="J23" s="706"/>
      <c r="K23" s="526">
        <f>+'COMBUSTIBLES '!B7</f>
        <v>4000</v>
      </c>
      <c r="L23" s="637" t="s">
        <v>631</v>
      </c>
      <c r="M23" s="615"/>
      <c r="S23" s="185" t="s">
        <v>400</v>
      </c>
    </row>
    <row r="24" spans="4:19">
      <c r="D24" s="494" t="s">
        <v>426</v>
      </c>
      <c r="E24" s="531" t="s">
        <v>427</v>
      </c>
      <c r="F24" s="707" t="s">
        <v>425</v>
      </c>
      <c r="G24" s="707"/>
      <c r="H24" s="707"/>
      <c r="I24" s="707"/>
      <c r="J24" s="707"/>
      <c r="K24" s="526">
        <f>+Variables!E20</f>
        <v>5078.7700000000004</v>
      </c>
      <c r="L24" s="637" t="s">
        <v>631</v>
      </c>
      <c r="M24" s="615"/>
      <c r="S24" s="185" t="s">
        <v>402</v>
      </c>
    </row>
    <row r="25" spans="4:19">
      <c r="D25" s="494" t="s">
        <v>431</v>
      </c>
      <c r="E25" s="530" t="s">
        <v>423</v>
      </c>
      <c r="F25" s="706" t="s">
        <v>432</v>
      </c>
      <c r="G25" s="706"/>
      <c r="H25" s="706"/>
      <c r="I25" s="706"/>
      <c r="J25" s="706"/>
      <c r="K25" s="526">
        <f>+BIODIESEL!E8</f>
        <v>4641.28</v>
      </c>
      <c r="L25" s="637" t="s">
        <v>631</v>
      </c>
      <c r="M25" s="615"/>
    </row>
    <row r="26" spans="4:19">
      <c r="D26" s="494" t="s">
        <v>433</v>
      </c>
      <c r="E26" s="530" t="s">
        <v>399</v>
      </c>
      <c r="F26" s="706" t="s">
        <v>432</v>
      </c>
      <c r="G26" s="706"/>
      <c r="H26" s="706"/>
      <c r="I26" s="706"/>
      <c r="J26" s="706"/>
      <c r="K26" s="526">
        <f>+BIODIESEL!E10</f>
        <v>4871.58</v>
      </c>
      <c r="L26" s="637" t="s">
        <v>631</v>
      </c>
      <c r="M26" s="615"/>
    </row>
    <row r="27" spans="4:19">
      <c r="D27" s="494" t="s">
        <v>434</v>
      </c>
      <c r="E27" s="530" t="s">
        <v>435</v>
      </c>
      <c r="F27" s="706" t="s">
        <v>432</v>
      </c>
      <c r="G27" s="706"/>
      <c r="H27" s="706"/>
      <c r="I27" s="706"/>
      <c r="J27" s="706"/>
      <c r="K27" s="526">
        <f>+BIODIESEL!E14</f>
        <v>8.1370000000000005</v>
      </c>
      <c r="L27" s="637" t="s">
        <v>631</v>
      </c>
      <c r="M27" s="615"/>
    </row>
    <row r="28" spans="4:19">
      <c r="D28" s="494" t="s">
        <v>436</v>
      </c>
      <c r="E28" s="530" t="s">
        <v>437</v>
      </c>
      <c r="F28" s="706" t="s">
        <v>432</v>
      </c>
      <c r="G28" s="706"/>
      <c r="H28" s="706"/>
      <c r="I28" s="706"/>
      <c r="J28" s="706"/>
      <c r="K28" s="526">
        <f>+BIODIESEL!E9</f>
        <v>230.3</v>
      </c>
      <c r="L28" s="637" t="s">
        <v>631</v>
      </c>
      <c r="M28" s="615"/>
    </row>
    <row r="29" spans="4:19">
      <c r="D29" s="494" t="s">
        <v>438</v>
      </c>
      <c r="E29" s="531" t="s">
        <v>427</v>
      </c>
      <c r="F29" s="707" t="s">
        <v>425</v>
      </c>
      <c r="G29" s="707"/>
      <c r="H29" s="707"/>
      <c r="I29" s="707"/>
      <c r="J29" s="707"/>
      <c r="K29" s="526">
        <f>+Variables!E27</f>
        <v>5024.59</v>
      </c>
      <c r="L29" s="637" t="s">
        <v>631</v>
      </c>
      <c r="M29" s="615"/>
    </row>
    <row r="30" spans="4:19">
      <c r="D30" s="494" t="s">
        <v>439</v>
      </c>
      <c r="E30" s="530" t="s">
        <v>423</v>
      </c>
      <c r="F30" s="706" t="s">
        <v>392</v>
      </c>
      <c r="G30" s="706"/>
      <c r="H30" s="706"/>
      <c r="I30" s="706"/>
      <c r="J30" s="706"/>
      <c r="K30" s="526">
        <f>+'COMBUSTIBLES '!E8</f>
        <v>8.1370000000000005</v>
      </c>
      <c r="L30" s="637" t="s">
        <v>631</v>
      </c>
      <c r="M30" s="615"/>
    </row>
    <row r="31" spans="4:19">
      <c r="D31" s="494" t="s">
        <v>440</v>
      </c>
      <c r="E31" s="530" t="s">
        <v>391</v>
      </c>
      <c r="F31" s="706" t="s">
        <v>392</v>
      </c>
      <c r="G31" s="706"/>
      <c r="H31" s="706"/>
      <c r="I31" s="706"/>
      <c r="J31" s="706"/>
      <c r="K31" s="526">
        <f>+'COMBUSTIBLES '!E7</f>
        <v>4736</v>
      </c>
      <c r="L31" s="637" t="s">
        <v>631</v>
      </c>
      <c r="M31" s="615"/>
    </row>
    <row r="32" spans="4:19">
      <c r="D32" s="494" t="s">
        <v>441</v>
      </c>
      <c r="E32" s="531" t="s">
        <v>427</v>
      </c>
      <c r="F32" s="707" t="s">
        <v>425</v>
      </c>
      <c r="G32" s="707"/>
      <c r="H32" s="707"/>
      <c r="I32" s="707"/>
      <c r="J32" s="707"/>
      <c r="K32" s="526">
        <f>+Variables!E27</f>
        <v>5024.59</v>
      </c>
      <c r="L32" s="637" t="s">
        <v>631</v>
      </c>
      <c r="M32" s="615"/>
    </row>
    <row r="33" spans="4:13">
      <c r="D33" s="494" t="s">
        <v>442</v>
      </c>
      <c r="E33" s="530" t="s">
        <v>391</v>
      </c>
      <c r="F33" s="706" t="s">
        <v>392</v>
      </c>
      <c r="G33" s="706"/>
      <c r="H33" s="706"/>
      <c r="I33" s="706"/>
      <c r="J33" s="706"/>
      <c r="K33" s="526">
        <f>+'COMBUSTIBLES '!E7</f>
        <v>4736</v>
      </c>
      <c r="L33" s="637" t="s">
        <v>631</v>
      </c>
      <c r="M33" s="615"/>
    </row>
    <row r="34" spans="4:13">
      <c r="D34" s="494" t="s">
        <v>443</v>
      </c>
      <c r="E34" s="531" t="s">
        <v>427</v>
      </c>
      <c r="F34" s="707" t="s">
        <v>425</v>
      </c>
      <c r="G34" s="707"/>
      <c r="H34" s="707"/>
      <c r="I34" s="707"/>
      <c r="J34" s="707"/>
      <c r="K34" s="526">
        <f>+Variables!E27</f>
        <v>5024.59</v>
      </c>
      <c r="L34" s="637" t="s">
        <v>631</v>
      </c>
      <c r="M34" s="615"/>
    </row>
    <row r="35" spans="4:13" outlineLevel="1">
      <c r="D35" s="494" t="s">
        <v>444</v>
      </c>
      <c r="E35" s="530" t="s">
        <v>401</v>
      </c>
      <c r="F35" s="706" t="s">
        <v>432</v>
      </c>
      <c r="G35" s="706"/>
      <c r="H35" s="706"/>
      <c r="I35" s="706"/>
      <c r="J35" s="706"/>
      <c r="K35" s="526">
        <f>+BIODIESEL!F10</f>
        <v>5007.17</v>
      </c>
      <c r="L35" s="548"/>
      <c r="M35" s="548"/>
    </row>
    <row r="36" spans="4:13" outlineLevel="1">
      <c r="D36" s="494" t="s">
        <v>445</v>
      </c>
      <c r="E36" s="530" t="s">
        <v>423</v>
      </c>
      <c r="F36" s="706" t="s">
        <v>392</v>
      </c>
      <c r="G36" s="706"/>
      <c r="H36" s="706"/>
      <c r="I36" s="706"/>
      <c r="J36" s="706"/>
      <c r="K36" s="526">
        <f>+'COMBUSTIBLES '!E8</f>
        <v>8.1370000000000005</v>
      </c>
      <c r="L36" s="548"/>
      <c r="M36" s="548"/>
    </row>
    <row r="37" spans="4:13" outlineLevel="1">
      <c r="D37" s="494" t="s">
        <v>446</v>
      </c>
      <c r="E37" s="530" t="s">
        <v>447</v>
      </c>
      <c r="F37" s="706" t="s">
        <v>432</v>
      </c>
      <c r="G37" s="706"/>
      <c r="H37" s="706"/>
      <c r="I37" s="706"/>
      <c r="J37" s="706"/>
      <c r="K37" s="526">
        <f>+BIODIESEL!F8</f>
        <v>4546.5600000000004</v>
      </c>
      <c r="L37" s="548"/>
      <c r="M37" s="548"/>
    </row>
    <row r="38" spans="4:13" outlineLevel="1">
      <c r="D38" s="494" t="s">
        <v>448</v>
      </c>
      <c r="E38" s="530" t="s">
        <v>449</v>
      </c>
      <c r="F38" s="706" t="s">
        <v>432</v>
      </c>
      <c r="G38" s="706"/>
      <c r="H38" s="706"/>
      <c r="I38" s="706"/>
      <c r="J38" s="706"/>
      <c r="K38" s="526">
        <f>+BIODIESEL!F9</f>
        <v>460.61</v>
      </c>
      <c r="L38" s="548"/>
      <c r="M38" s="548"/>
    </row>
    <row r="39" spans="4:13" outlineLevel="1">
      <c r="D39" s="494" t="s">
        <v>450</v>
      </c>
      <c r="E39" s="531" t="s">
        <v>427</v>
      </c>
      <c r="F39" s="707" t="s">
        <v>425</v>
      </c>
      <c r="G39" s="707"/>
      <c r="H39" s="707"/>
      <c r="I39" s="707"/>
      <c r="J39" s="707"/>
      <c r="K39" s="526">
        <f>+Variables!E27</f>
        <v>5024.59</v>
      </c>
      <c r="L39" s="548"/>
      <c r="M39" s="548"/>
    </row>
    <row r="40" spans="4:13">
      <c r="D40" s="494" t="s">
        <v>451</v>
      </c>
      <c r="E40" s="530" t="s">
        <v>423</v>
      </c>
      <c r="F40" s="706" t="s">
        <v>392</v>
      </c>
      <c r="G40" s="706"/>
      <c r="H40" s="706"/>
      <c r="I40" s="706"/>
      <c r="J40" s="706"/>
      <c r="K40" s="526">
        <f>+'COMBUSTIBLES '!E8</f>
        <v>8.1370000000000005</v>
      </c>
      <c r="L40" s="637" t="s">
        <v>631</v>
      </c>
      <c r="M40" s="615"/>
    </row>
    <row r="41" spans="4:13">
      <c r="D41" s="494" t="s">
        <v>452</v>
      </c>
      <c r="E41" s="530" t="s">
        <v>391</v>
      </c>
      <c r="F41" s="706" t="s">
        <v>392</v>
      </c>
      <c r="G41" s="706"/>
      <c r="H41" s="706"/>
      <c r="I41" s="706"/>
      <c r="J41" s="706"/>
      <c r="K41" s="526">
        <f>+'COMBUSTIBLES '!E7</f>
        <v>4736</v>
      </c>
      <c r="L41" s="637" t="s">
        <v>631</v>
      </c>
      <c r="M41" s="615"/>
    </row>
    <row r="42" spans="4:13">
      <c r="D42" s="494" t="s">
        <v>453</v>
      </c>
      <c r="E42" s="531" t="s">
        <v>427</v>
      </c>
      <c r="F42" s="707" t="s">
        <v>425</v>
      </c>
      <c r="G42" s="707"/>
      <c r="H42" s="707"/>
      <c r="I42" s="707"/>
      <c r="J42" s="707"/>
      <c r="K42" s="541">
        <f>+Variables!E27</f>
        <v>5024.59</v>
      </c>
      <c r="L42" s="637" t="s">
        <v>631</v>
      </c>
      <c r="M42" s="615"/>
    </row>
    <row r="43" spans="4:13">
      <c r="D43" s="494" t="s">
        <v>454</v>
      </c>
      <c r="E43" s="530" t="s">
        <v>399</v>
      </c>
      <c r="F43" s="706" t="s">
        <v>432</v>
      </c>
      <c r="G43" s="706"/>
      <c r="H43" s="706"/>
      <c r="I43" s="706"/>
      <c r="J43" s="706"/>
      <c r="K43" s="541">
        <f>+BIODIESEL!E10</f>
        <v>4871.58</v>
      </c>
      <c r="L43" s="637" t="s">
        <v>631</v>
      </c>
      <c r="M43" s="615"/>
    </row>
    <row r="44" spans="4:13">
      <c r="D44" s="494" t="s">
        <v>455</v>
      </c>
      <c r="E44" s="530" t="s">
        <v>423</v>
      </c>
      <c r="F44" s="706" t="s">
        <v>432</v>
      </c>
      <c r="G44" s="706"/>
      <c r="H44" s="706"/>
      <c r="I44" s="706"/>
      <c r="J44" s="706"/>
      <c r="K44" s="541">
        <f>+BIODIESEL!E8</f>
        <v>4641.28</v>
      </c>
      <c r="L44" s="637" t="s">
        <v>631</v>
      </c>
      <c r="M44" s="615"/>
    </row>
    <row r="45" spans="4:13">
      <c r="D45" s="494" t="s">
        <v>456</v>
      </c>
      <c r="E45" s="530" t="s">
        <v>437</v>
      </c>
      <c r="F45" s="706" t="s">
        <v>432</v>
      </c>
      <c r="G45" s="706"/>
      <c r="H45" s="706"/>
      <c r="I45" s="706"/>
      <c r="J45" s="706"/>
      <c r="K45" s="541">
        <f>+BIODIESEL!E9</f>
        <v>230.3</v>
      </c>
      <c r="L45" s="637" t="s">
        <v>631</v>
      </c>
      <c r="M45" s="615"/>
    </row>
    <row r="46" spans="4:13">
      <c r="D46" s="494" t="s">
        <v>457</v>
      </c>
      <c r="E46" s="531" t="s">
        <v>427</v>
      </c>
      <c r="F46" s="707" t="s">
        <v>425</v>
      </c>
      <c r="G46" s="707"/>
      <c r="H46" s="707"/>
      <c r="I46" s="707"/>
      <c r="J46" s="707"/>
      <c r="K46" s="541">
        <f>+Variables!E27</f>
        <v>5024.59</v>
      </c>
      <c r="L46" s="637" t="s">
        <v>631</v>
      </c>
      <c r="M46" s="615"/>
    </row>
    <row r="47" spans="4:13">
      <c r="D47" s="494" t="s">
        <v>595</v>
      </c>
      <c r="E47" s="530" t="s">
        <v>391</v>
      </c>
      <c r="F47" s="706" t="s">
        <v>392</v>
      </c>
      <c r="G47" s="706"/>
      <c r="H47" s="706"/>
      <c r="I47" s="706"/>
      <c r="J47" s="706"/>
      <c r="K47" s="541">
        <f>+'COMBUSTIBLES '!E7</f>
        <v>4736</v>
      </c>
      <c r="L47" s="637" t="s">
        <v>631</v>
      </c>
      <c r="M47" s="615"/>
    </row>
    <row r="48" spans="4:13">
      <c r="D48" s="494" t="s">
        <v>596</v>
      </c>
      <c r="E48" s="531" t="s">
        <v>427</v>
      </c>
      <c r="F48" s="707" t="s">
        <v>425</v>
      </c>
      <c r="G48" s="707"/>
      <c r="H48" s="707"/>
      <c r="I48" s="707"/>
      <c r="J48" s="707"/>
      <c r="K48" s="526">
        <f>+Variables!E27</f>
        <v>5024.59</v>
      </c>
      <c r="L48" s="637" t="s">
        <v>631</v>
      </c>
      <c r="M48" s="615"/>
    </row>
    <row r="49" spans="4:13">
      <c r="D49" s="494" t="s">
        <v>597</v>
      </c>
      <c r="E49" s="530" t="s">
        <v>423</v>
      </c>
      <c r="F49" s="706" t="s">
        <v>392</v>
      </c>
      <c r="G49" s="706"/>
      <c r="H49" s="706"/>
      <c r="I49" s="706"/>
      <c r="J49" s="706"/>
      <c r="K49" s="526">
        <f>+'COMBUSTIBLES '!E8</f>
        <v>8.1370000000000005</v>
      </c>
      <c r="L49" s="637" t="s">
        <v>631</v>
      </c>
      <c r="M49" s="615"/>
    </row>
    <row r="50" spans="4:13">
      <c r="D50" s="494" t="s">
        <v>598</v>
      </c>
      <c r="E50" s="530"/>
      <c r="F50" s="706" t="s">
        <v>417</v>
      </c>
      <c r="G50" s="706"/>
      <c r="H50" s="706"/>
      <c r="I50" s="706"/>
      <c r="J50" s="706"/>
      <c r="K50" s="500">
        <v>0</v>
      </c>
      <c r="L50" s="637" t="s">
        <v>631</v>
      </c>
      <c r="M50" s="615"/>
    </row>
    <row r="51" spans="4:13">
      <c r="D51" s="551" t="s">
        <v>636</v>
      </c>
      <c r="E51" s="549"/>
      <c r="F51" s="717" t="s">
        <v>425</v>
      </c>
      <c r="G51" s="717"/>
      <c r="H51" s="717"/>
      <c r="I51" s="717"/>
      <c r="J51" s="717"/>
      <c r="K51" s="550">
        <f>+'COMBUSTIBLES '!E7</f>
        <v>4736</v>
      </c>
      <c r="L51" s="637" t="s">
        <v>631</v>
      </c>
      <c r="M51" s="615"/>
    </row>
    <row r="52" spans="4:13">
      <c r="D52" s="494" t="s">
        <v>637</v>
      </c>
      <c r="E52" s="530"/>
      <c r="F52" s="708"/>
      <c r="G52" s="709"/>
      <c r="H52" s="709"/>
      <c r="I52" s="710"/>
      <c r="J52" s="547"/>
      <c r="K52" s="526">
        <f>+Variables!E27</f>
        <v>5024.59</v>
      </c>
      <c r="L52" s="637" t="s">
        <v>631</v>
      </c>
      <c r="M52" s="615"/>
    </row>
    <row r="53" spans="4:13">
      <c r="D53" s="494" t="s">
        <v>638</v>
      </c>
      <c r="E53" s="530"/>
      <c r="F53" s="707" t="s">
        <v>425</v>
      </c>
      <c r="G53" s="707"/>
      <c r="H53" s="707"/>
      <c r="I53" s="707"/>
      <c r="J53" s="707"/>
      <c r="K53" s="526">
        <f>+'COMBUSTIBLES '!E8</f>
        <v>8.1370000000000005</v>
      </c>
      <c r="L53" s="637" t="s">
        <v>631</v>
      </c>
      <c r="M53" s="615"/>
    </row>
    <row r="54" spans="4:13">
      <c r="D54" s="494" t="s">
        <v>639</v>
      </c>
      <c r="E54" s="530"/>
      <c r="F54" s="707" t="s">
        <v>425</v>
      </c>
      <c r="G54" s="707"/>
      <c r="H54" s="707"/>
      <c r="I54" s="707"/>
      <c r="J54" s="707"/>
      <c r="K54" s="526">
        <f>+'COMBUSTIBLES '!B7</f>
        <v>4000</v>
      </c>
      <c r="L54" s="637" t="s">
        <v>631</v>
      </c>
      <c r="M54" s="615"/>
    </row>
    <row r="55" spans="4:13">
      <c r="D55" s="494" t="s">
        <v>640</v>
      </c>
      <c r="E55" s="530"/>
      <c r="F55" s="708"/>
      <c r="G55" s="709"/>
      <c r="H55" s="709"/>
      <c r="I55" s="710"/>
      <c r="J55" s="547"/>
      <c r="K55" s="526">
        <f>+Variables!E22</f>
        <v>5078.7700000000004</v>
      </c>
      <c r="L55" s="637" t="s">
        <v>631</v>
      </c>
      <c r="M55" s="615"/>
    </row>
    <row r="56" spans="4:13">
      <c r="D56" s="494" t="s">
        <v>641</v>
      </c>
      <c r="E56" s="530"/>
      <c r="F56" s="708"/>
      <c r="G56" s="709"/>
      <c r="H56" s="709"/>
      <c r="I56" s="710"/>
      <c r="J56" s="547"/>
      <c r="K56" s="526">
        <f>+'COMBUSTIBLES '!B8</f>
        <v>8.1370000000000005</v>
      </c>
      <c r="L56" s="637" t="s">
        <v>631</v>
      </c>
      <c r="M56" s="615"/>
    </row>
    <row r="57" spans="4:13">
      <c r="D57" s="494" t="s">
        <v>642</v>
      </c>
      <c r="E57" s="530"/>
      <c r="F57" s="708"/>
      <c r="G57" s="709"/>
      <c r="H57" s="709"/>
      <c r="I57" s="710"/>
      <c r="J57" s="547"/>
      <c r="K57" s="526">
        <f>+'COMBUSTIBLES '!E10</f>
        <v>71.510000000000005</v>
      </c>
      <c r="L57" s="637" t="s">
        <v>631</v>
      </c>
      <c r="M57" s="615"/>
    </row>
    <row r="58" spans="4:13">
      <c r="D58" s="494" t="s">
        <v>643</v>
      </c>
      <c r="E58" s="530"/>
      <c r="F58" s="708"/>
      <c r="G58" s="709"/>
      <c r="H58" s="709"/>
      <c r="I58" s="710"/>
      <c r="J58" s="547"/>
      <c r="K58" s="526">
        <f>+'COMBUSTIBLES '!E10</f>
        <v>71.510000000000005</v>
      </c>
      <c r="L58" s="637" t="s">
        <v>631</v>
      </c>
      <c r="M58" s="615"/>
    </row>
    <row r="59" spans="4:13">
      <c r="D59" s="494" t="s">
        <v>648</v>
      </c>
      <c r="E59" s="530"/>
      <c r="F59" s="708"/>
      <c r="G59" s="709"/>
      <c r="H59" s="709"/>
      <c r="I59" s="710"/>
      <c r="J59" s="557"/>
      <c r="K59" s="526">
        <f>+BIODIESEL!E10</f>
        <v>4871.58</v>
      </c>
      <c r="L59" s="637" t="s">
        <v>631</v>
      </c>
      <c r="M59" s="615"/>
    </row>
    <row r="60" spans="4:13">
      <c r="D60" s="494" t="s">
        <v>649</v>
      </c>
      <c r="E60" s="530"/>
      <c r="F60" s="708"/>
      <c r="G60" s="709"/>
      <c r="H60" s="709"/>
      <c r="I60" s="710"/>
      <c r="J60" s="557"/>
      <c r="K60" s="526">
        <f>+Variables!E27</f>
        <v>5024.59</v>
      </c>
      <c r="L60" s="637" t="s">
        <v>631</v>
      </c>
      <c r="M60" s="615"/>
    </row>
    <row r="61" spans="4:13">
      <c r="D61" s="494" t="s">
        <v>650</v>
      </c>
      <c r="E61" s="530"/>
      <c r="F61" s="708"/>
      <c r="G61" s="709"/>
      <c r="H61" s="709"/>
      <c r="I61" s="710"/>
      <c r="J61" s="557"/>
      <c r="K61" s="526">
        <f>+K58</f>
        <v>71.510000000000005</v>
      </c>
      <c r="L61" s="637" t="s">
        <v>631</v>
      </c>
      <c r="M61" s="615"/>
    </row>
    <row r="62" spans="4:13">
      <c r="D62" s="494" t="s">
        <v>651</v>
      </c>
      <c r="E62" s="530"/>
      <c r="F62" s="708"/>
      <c r="G62" s="709"/>
      <c r="H62" s="709"/>
      <c r="I62" s="710"/>
      <c r="J62" s="557"/>
      <c r="K62" s="526">
        <f>+BIODIESEL!E9</f>
        <v>230.3</v>
      </c>
      <c r="L62" s="637" t="s">
        <v>631</v>
      </c>
      <c r="M62" s="615"/>
    </row>
    <row r="63" spans="4:13">
      <c r="D63" s="494" t="s">
        <v>652</v>
      </c>
      <c r="E63" s="530"/>
      <c r="F63" s="708"/>
      <c r="G63" s="709"/>
      <c r="H63" s="709"/>
      <c r="I63" s="710"/>
      <c r="J63" s="557"/>
      <c r="K63" s="526">
        <f>+BIODIESEL!E8</f>
        <v>4641.28</v>
      </c>
      <c r="L63" s="637" t="s">
        <v>631</v>
      </c>
      <c r="M63" s="615"/>
    </row>
    <row r="64" spans="4:13">
      <c r="D64" s="494" t="s">
        <v>656</v>
      </c>
      <c r="E64" s="530"/>
      <c r="F64" s="708"/>
      <c r="G64" s="709"/>
      <c r="H64" s="709"/>
      <c r="I64" s="710"/>
      <c r="J64" s="620"/>
      <c r="K64" s="526">
        <f>+BIODIESEL!E10</f>
        <v>4871.58</v>
      </c>
      <c r="L64" s="637" t="s">
        <v>631</v>
      </c>
      <c r="M64" s="615"/>
    </row>
    <row r="65" spans="4:13">
      <c r="D65" s="494" t="s">
        <v>657</v>
      </c>
      <c r="E65" s="530"/>
      <c r="F65" s="708"/>
      <c r="G65" s="709"/>
      <c r="H65" s="709"/>
      <c r="I65" s="710"/>
      <c r="J65" s="620"/>
      <c r="K65" s="526">
        <f>+Variables!E27</f>
        <v>5024.59</v>
      </c>
      <c r="L65" s="637" t="s">
        <v>631</v>
      </c>
      <c r="M65" s="615"/>
    </row>
    <row r="66" spans="4:13">
      <c r="D66" s="494" t="s">
        <v>658</v>
      </c>
      <c r="E66" s="530"/>
      <c r="F66" s="708"/>
      <c r="G66" s="709"/>
      <c r="H66" s="709"/>
      <c r="I66" s="710"/>
      <c r="J66" s="620"/>
      <c r="K66" s="526">
        <f>+K61</f>
        <v>71.510000000000005</v>
      </c>
      <c r="L66" s="637" t="s">
        <v>631</v>
      </c>
      <c r="M66" s="615"/>
    </row>
    <row r="67" spans="4:13">
      <c r="D67" s="494" t="s">
        <v>666</v>
      </c>
      <c r="E67" s="530"/>
      <c r="F67" s="708"/>
      <c r="G67" s="709"/>
      <c r="H67" s="709"/>
      <c r="I67" s="710"/>
      <c r="J67" s="620"/>
      <c r="K67" s="526">
        <f>+BIODIESEL!E9</f>
        <v>230.3</v>
      </c>
      <c r="L67" s="637" t="s">
        <v>631</v>
      </c>
      <c r="M67" s="615"/>
    </row>
    <row r="68" spans="4:13">
      <c r="D68" s="494" t="s">
        <v>659</v>
      </c>
      <c r="E68" s="530"/>
      <c r="F68" s="708"/>
      <c r="G68" s="709"/>
      <c r="H68" s="709"/>
      <c r="I68" s="710"/>
      <c r="J68" s="620"/>
      <c r="K68" s="526">
        <f>+BIODIESEL!E8</f>
        <v>4641.28</v>
      </c>
      <c r="L68" s="637" t="s">
        <v>631</v>
      </c>
      <c r="M68" s="615"/>
    </row>
    <row r="69" spans="4:13" s="501" customFormat="1">
      <c r="D69" s="569" t="s">
        <v>671</v>
      </c>
      <c r="E69" s="616"/>
      <c r="F69" s="617"/>
      <c r="G69" s="617"/>
      <c r="H69" s="617"/>
      <c r="I69" s="617" t="s">
        <v>159</v>
      </c>
      <c r="J69" s="618"/>
      <c r="K69" s="619">
        <f>+BIODIESEL!E10</f>
        <v>4871.58</v>
      </c>
      <c r="L69" s="622" t="s">
        <v>631</v>
      </c>
    </row>
    <row r="70" spans="4:13">
      <c r="D70" s="569" t="s">
        <v>673</v>
      </c>
      <c r="E70" s="616"/>
      <c r="F70" s="617"/>
      <c r="G70" s="617"/>
      <c r="H70" s="617"/>
      <c r="I70" s="617"/>
      <c r="J70" s="618"/>
      <c r="K70" s="619">
        <f>+K60</f>
        <v>5024.59</v>
      </c>
      <c r="L70" s="637" t="s">
        <v>631</v>
      </c>
    </row>
    <row r="71" spans="4:13">
      <c r="D71" s="569" t="s">
        <v>674</v>
      </c>
      <c r="E71" s="549"/>
      <c r="F71" s="567"/>
      <c r="G71" s="567"/>
      <c r="H71" s="567"/>
      <c r="I71" s="567"/>
      <c r="J71" s="568"/>
      <c r="K71" s="550">
        <f>+BIODIESEL!E14</f>
        <v>8.1370000000000005</v>
      </c>
      <c r="L71" s="637" t="s">
        <v>631</v>
      </c>
    </row>
    <row r="72" spans="4:13" s="501" customFormat="1">
      <c r="D72" s="569" t="s">
        <v>675</v>
      </c>
      <c r="E72" s="616"/>
      <c r="F72" s="617"/>
      <c r="G72" s="617"/>
      <c r="H72" s="617"/>
      <c r="I72" s="617"/>
      <c r="J72" s="618"/>
      <c r="K72" s="619">
        <v>0</v>
      </c>
      <c r="L72" s="622" t="s">
        <v>631</v>
      </c>
    </row>
    <row r="73" spans="4:13">
      <c r="D73" s="569" t="s">
        <v>676</v>
      </c>
      <c r="E73" s="549"/>
      <c r="F73" s="567"/>
      <c r="G73" s="567"/>
      <c r="H73" s="567"/>
      <c r="I73" s="567"/>
      <c r="J73" s="568"/>
      <c r="K73" s="550">
        <f>+'COMBUSTIBLES '!B7</f>
        <v>4000</v>
      </c>
      <c r="L73" s="637" t="s">
        <v>631</v>
      </c>
    </row>
    <row r="74" spans="4:13">
      <c r="D74" s="569" t="s">
        <v>677</v>
      </c>
      <c r="E74" s="549"/>
      <c r="F74" s="567"/>
      <c r="G74" s="567"/>
      <c r="H74" s="567"/>
      <c r="I74" s="567"/>
      <c r="J74" s="568"/>
      <c r="K74" s="550">
        <f>+'SAN-ANDRES + GENERACION'!C8</f>
        <v>4000</v>
      </c>
      <c r="L74" s="637" t="s">
        <v>631</v>
      </c>
    </row>
    <row r="75" spans="4:13">
      <c r="D75" s="569" t="s">
        <v>678</v>
      </c>
      <c r="E75" s="549"/>
      <c r="F75" s="567"/>
      <c r="G75" s="567"/>
      <c r="H75" s="567"/>
      <c r="I75" s="567"/>
      <c r="J75" s="568"/>
      <c r="K75" s="550">
        <f>+'COMBUSTIBLES '!B10</f>
        <v>71.510000000000005</v>
      </c>
      <c r="L75" s="637" t="s">
        <v>631</v>
      </c>
    </row>
    <row r="76" spans="4:13">
      <c r="D76" s="569" t="s">
        <v>679</v>
      </c>
      <c r="E76" s="549"/>
      <c r="F76" s="567"/>
      <c r="G76" s="567"/>
      <c r="H76" s="567"/>
      <c r="I76" s="567"/>
      <c r="J76" s="568"/>
      <c r="K76" s="550">
        <f>+BIODIESEL!E9</f>
        <v>230.3</v>
      </c>
      <c r="L76" s="637" t="s">
        <v>631</v>
      </c>
    </row>
    <row r="77" spans="4:13">
      <c r="D77" s="569" t="s">
        <v>680</v>
      </c>
      <c r="E77" s="549"/>
      <c r="F77" s="567"/>
      <c r="G77" s="567"/>
      <c r="H77" s="567"/>
      <c r="I77" s="567"/>
      <c r="J77" s="568"/>
      <c r="K77" s="550">
        <f>+'SAN-ANDRES + GENERACION'!F8</f>
        <v>4871.58</v>
      </c>
      <c r="L77" s="637" t="s">
        <v>631</v>
      </c>
    </row>
    <row r="78" spans="4:13">
      <c r="D78" s="569" t="s">
        <v>681</v>
      </c>
      <c r="E78" s="549"/>
      <c r="F78" s="567"/>
      <c r="G78" s="567"/>
      <c r="H78" s="567"/>
      <c r="I78" s="567"/>
      <c r="J78" s="568"/>
      <c r="K78" s="550">
        <f>+'SAN-ANDRES + GENERACION'!H11</f>
        <v>4641.28</v>
      </c>
      <c r="L78" s="637" t="s">
        <v>631</v>
      </c>
    </row>
    <row r="79" spans="4:13">
      <c r="D79" s="569" t="s">
        <v>682</v>
      </c>
      <c r="E79" s="549"/>
      <c r="F79" s="567"/>
      <c r="G79" s="567"/>
      <c r="H79" s="567"/>
      <c r="I79" s="567"/>
      <c r="J79" s="568"/>
      <c r="K79" s="550">
        <f>+BIODIESEL!E8</f>
        <v>4641.28</v>
      </c>
      <c r="L79" s="637" t="s">
        <v>631</v>
      </c>
    </row>
    <row r="80" spans="4:13">
      <c r="D80" s="569" t="s">
        <v>683</v>
      </c>
      <c r="E80" s="549"/>
      <c r="F80" s="567"/>
      <c r="G80" s="567"/>
      <c r="H80" s="567"/>
      <c r="I80" s="567"/>
      <c r="J80" s="568"/>
      <c r="K80" s="550">
        <f>+BIODIESEL!E9</f>
        <v>230.3</v>
      </c>
      <c r="L80" s="637" t="s">
        <v>631</v>
      </c>
    </row>
    <row r="81" spans="2:12">
      <c r="D81" s="569" t="s">
        <v>688</v>
      </c>
      <c r="E81" s="549"/>
      <c r="F81" s="567"/>
      <c r="G81" s="567"/>
      <c r="H81" s="567"/>
      <c r="I81" s="567"/>
      <c r="J81" s="568"/>
      <c r="K81" s="550">
        <f>+'DIESEL MARINO 1 A 14 DE MAYO'!D30</f>
        <v>4736</v>
      </c>
      <c r="L81" s="637" t="s">
        <v>631</v>
      </c>
    </row>
    <row r="82" spans="2:12">
      <c r="D82" s="638" t="s">
        <v>692</v>
      </c>
      <c r="E82" s="549"/>
      <c r="F82" s="567"/>
      <c r="G82" s="567"/>
      <c r="H82" s="567"/>
      <c r="I82" s="567"/>
      <c r="J82" s="568"/>
      <c r="K82" s="550">
        <f>+BIODIESEL!E10</f>
        <v>4871.58</v>
      </c>
      <c r="L82" s="639" t="s">
        <v>631</v>
      </c>
    </row>
    <row r="83" spans="2:12">
      <c r="D83" s="569" t="s">
        <v>693</v>
      </c>
      <c r="E83" s="549"/>
      <c r="F83" s="567"/>
      <c r="G83" s="567"/>
      <c r="H83" s="567"/>
      <c r="I83" s="567"/>
      <c r="J83" s="568"/>
      <c r="K83" s="550">
        <f>+K70</f>
        <v>5024.59</v>
      </c>
      <c r="L83" s="639" t="s">
        <v>631</v>
      </c>
    </row>
    <row r="84" spans="2:12">
      <c r="D84" s="569" t="s">
        <v>694</v>
      </c>
      <c r="E84" s="549"/>
      <c r="F84" s="567"/>
      <c r="G84" s="567"/>
      <c r="H84" s="567"/>
      <c r="I84" s="567"/>
      <c r="J84" s="568"/>
      <c r="K84" s="550">
        <f>+BIODIESEL!E17</f>
        <v>71.510000000000005</v>
      </c>
      <c r="L84" s="639" t="s">
        <v>631</v>
      </c>
    </row>
    <row r="85" spans="2:12">
      <c r="D85" s="569" t="s">
        <v>695</v>
      </c>
      <c r="E85" s="549"/>
      <c r="F85" s="567"/>
      <c r="G85" s="567"/>
      <c r="H85" s="567"/>
      <c r="I85" s="567"/>
      <c r="J85" s="568"/>
      <c r="K85" s="550">
        <f>+BIODIESEL!E9</f>
        <v>230.3</v>
      </c>
      <c r="L85" s="639" t="s">
        <v>631</v>
      </c>
    </row>
    <row r="86" spans="2:12">
      <c r="D86" s="569" t="s">
        <v>696</v>
      </c>
      <c r="E86" s="549"/>
      <c r="F86" s="567"/>
      <c r="G86" s="567"/>
      <c r="H86" s="567"/>
      <c r="I86" s="567"/>
      <c r="J86" s="568"/>
      <c r="K86" s="550">
        <f>+BIODIESEL!E8</f>
        <v>4641.28</v>
      </c>
      <c r="L86" s="639" t="s">
        <v>631</v>
      </c>
    </row>
    <row r="87" spans="2:12" ht="36">
      <c r="B87" s="483">
        <v>2</v>
      </c>
      <c r="D87" s="484" t="s">
        <v>458</v>
      </c>
    </row>
    <row r="89" spans="2:12" ht="21">
      <c r="D89" s="486" t="s">
        <v>385</v>
      </c>
      <c r="E89" s="487" t="s">
        <v>386</v>
      </c>
      <c r="F89" s="488" t="s">
        <v>387</v>
      </c>
    </row>
    <row r="90" spans="2:12" ht="21">
      <c r="D90" s="486"/>
      <c r="E90" s="487"/>
      <c r="F90" s="488" t="s">
        <v>700</v>
      </c>
    </row>
    <row r="91" spans="2:12">
      <c r="D91" s="491" t="s">
        <v>459</v>
      </c>
      <c r="E91" s="521" t="s">
        <v>460</v>
      </c>
      <c r="F91" s="706" t="s">
        <v>392</v>
      </c>
      <c r="G91" s="706"/>
      <c r="H91" s="706"/>
      <c r="I91" s="706"/>
      <c r="J91" s="706"/>
      <c r="K91" s="517">
        <f>+'COMBUSTIBLES '!D7</f>
        <v>5700</v>
      </c>
    </row>
    <row r="92" spans="2:12">
      <c r="D92" s="491" t="s">
        <v>461</v>
      </c>
      <c r="E92" s="521" t="s">
        <v>462</v>
      </c>
      <c r="F92" s="706" t="s">
        <v>392</v>
      </c>
      <c r="G92" s="706"/>
      <c r="H92" s="706"/>
      <c r="I92" s="706"/>
      <c r="J92" s="706"/>
      <c r="K92" s="517">
        <f>+'COMBUSTIBLES '!G7</f>
        <v>6848.89</v>
      </c>
    </row>
    <row r="93" spans="2:12">
      <c r="D93" s="490" t="s">
        <v>463</v>
      </c>
      <c r="E93" s="496"/>
      <c r="F93" s="716" t="s">
        <v>464</v>
      </c>
      <c r="G93" s="716"/>
      <c r="H93" s="716"/>
      <c r="I93" s="716"/>
      <c r="J93" s="716"/>
    </row>
    <row r="94" spans="2:12">
      <c r="D94" s="484" t="s">
        <v>609</v>
      </c>
      <c r="E94" s="485" t="s">
        <v>610</v>
      </c>
      <c r="K94" s="543" t="s">
        <v>635</v>
      </c>
    </row>
    <row r="95" spans="2:12" ht="21">
      <c r="D95" s="488" t="s">
        <v>465</v>
      </c>
      <c r="E95" s="485" t="s">
        <v>611</v>
      </c>
    </row>
    <row r="96" spans="2:12">
      <c r="D96" s="493" t="s">
        <v>466</v>
      </c>
    </row>
    <row r="97" spans="4:10">
      <c r="D97" s="493" t="s">
        <v>467</v>
      </c>
    </row>
    <row r="98" spans="4:10">
      <c r="D98" s="493"/>
    </row>
    <row r="99" spans="4:10">
      <c r="D99" s="493" t="s">
        <v>468</v>
      </c>
    </row>
    <row r="100" spans="4:10">
      <c r="D100" s="493"/>
    </row>
    <row r="101" spans="4:10">
      <c r="D101" s="493"/>
    </row>
    <row r="102" spans="4:10" ht="21">
      <c r="D102" s="486" t="s">
        <v>469</v>
      </c>
    </row>
    <row r="103" spans="4:10">
      <c r="D103" s="493" t="s">
        <v>470</v>
      </c>
    </row>
    <row r="104" spans="4:10">
      <c r="D104" s="493" t="s">
        <v>405</v>
      </c>
    </row>
    <row r="105" spans="4:10">
      <c r="D105" s="484" t="s">
        <v>406</v>
      </c>
    </row>
    <row r="106" spans="4:10">
      <c r="D106" s="484" t="s">
        <v>407</v>
      </c>
    </row>
    <row r="107" spans="4:10">
      <c r="D107" s="505" t="s">
        <v>619</v>
      </c>
    </row>
    <row r="108" spans="4:10">
      <c r="D108" s="484" t="s">
        <v>409</v>
      </c>
    </row>
    <row r="111" spans="4:10" ht="21">
      <c r="D111" s="697" t="s">
        <v>412</v>
      </c>
      <c r="E111" s="698" t="s">
        <v>386</v>
      </c>
      <c r="F111" s="699" t="s">
        <v>387</v>
      </c>
      <c r="G111" s="700"/>
      <c r="H111" s="700"/>
      <c r="I111" s="700"/>
      <c r="J111" s="701"/>
    </row>
    <row r="112" spans="4:10" ht="21">
      <c r="D112" s="697"/>
      <c r="E112" s="698"/>
      <c r="F112" s="702" t="s">
        <v>414</v>
      </c>
      <c r="G112" s="703"/>
      <c r="H112" s="703"/>
      <c r="I112" s="703"/>
      <c r="J112" s="704"/>
    </row>
    <row r="113" spans="2:12" ht="15" customHeight="1">
      <c r="D113" s="497" t="s">
        <v>471</v>
      </c>
      <c r="E113" s="498"/>
      <c r="F113" s="713" t="s">
        <v>472</v>
      </c>
      <c r="G113" s="714"/>
      <c r="H113" s="714"/>
      <c r="I113" s="714"/>
      <c r="J113" s="715"/>
      <c r="K113" s="545">
        <v>6543.55</v>
      </c>
    </row>
    <row r="114" spans="2:12">
      <c r="D114" s="499" t="s">
        <v>473</v>
      </c>
      <c r="E114" s="524">
        <f>+$K$30</f>
        <v>8.1370000000000005</v>
      </c>
      <c r="F114" s="713"/>
      <c r="G114" s="714"/>
      <c r="H114" s="714"/>
      <c r="I114" s="714"/>
      <c r="J114" s="715"/>
      <c r="K114" s="536">
        <v>7.9</v>
      </c>
      <c r="L114" s="536"/>
    </row>
    <row r="115" spans="2:12">
      <c r="D115" s="499" t="s">
        <v>474</v>
      </c>
      <c r="E115" s="524">
        <f>+$K$30</f>
        <v>8.1370000000000005</v>
      </c>
      <c r="F115" s="713"/>
      <c r="G115" s="714"/>
      <c r="H115" s="714"/>
      <c r="I115" s="714"/>
      <c r="J115" s="715"/>
      <c r="K115" s="484">
        <v>7.9</v>
      </c>
      <c r="L115" s="536"/>
    </row>
    <row r="116" spans="2:12">
      <c r="D116" s="499" t="s">
        <v>475</v>
      </c>
      <c r="E116" s="523">
        <v>0</v>
      </c>
      <c r="F116" s="713"/>
      <c r="G116" s="714"/>
      <c r="H116" s="714"/>
      <c r="I116" s="714"/>
      <c r="J116" s="715"/>
      <c r="K116" s="484">
        <v>0</v>
      </c>
      <c r="L116" s="536"/>
    </row>
    <row r="117" spans="2:12">
      <c r="D117" s="497" t="s">
        <v>476</v>
      </c>
      <c r="E117" s="523" t="s">
        <v>477</v>
      </c>
      <c r="F117" s="713" t="s">
        <v>478</v>
      </c>
      <c r="G117" s="714"/>
      <c r="H117" s="714"/>
      <c r="I117" s="714"/>
      <c r="J117" s="715"/>
      <c r="K117" s="503" t="e">
        <f>+#REF!</f>
        <v>#REF!</v>
      </c>
      <c r="L117" s="536"/>
    </row>
    <row r="118" spans="2:12">
      <c r="D118" s="504" t="s">
        <v>599</v>
      </c>
      <c r="E118" s="523"/>
      <c r="F118" s="707" t="s">
        <v>425</v>
      </c>
      <c r="G118" s="707"/>
      <c r="H118" s="707"/>
      <c r="I118" s="707"/>
      <c r="J118" s="707"/>
      <c r="K118" s="542">
        <f>+Variables!E23</f>
        <v>7107.81</v>
      </c>
      <c r="L118" s="536"/>
    </row>
    <row r="119" spans="2:12">
      <c r="D119" s="499"/>
      <c r="E119" s="525"/>
      <c r="F119" s="713"/>
      <c r="G119" s="714"/>
      <c r="H119" s="714"/>
      <c r="I119" s="714"/>
      <c r="J119" s="715"/>
    </row>
    <row r="120" spans="2:12">
      <c r="D120" s="499" t="s">
        <v>479</v>
      </c>
      <c r="E120" s="523" t="s">
        <v>462</v>
      </c>
      <c r="F120" s="713" t="s">
        <v>480</v>
      </c>
      <c r="G120" s="714"/>
      <c r="H120" s="714"/>
      <c r="I120" s="714"/>
      <c r="J120" s="715"/>
      <c r="K120" s="503">
        <f>+'COMBUSTIBLES '!G7</f>
        <v>6848.89</v>
      </c>
      <c r="L120" s="536"/>
    </row>
    <row r="121" spans="2:12">
      <c r="D121" s="499" t="s">
        <v>481</v>
      </c>
      <c r="E121" s="523">
        <v>0</v>
      </c>
      <c r="F121" s="713"/>
      <c r="G121" s="714"/>
      <c r="H121" s="714"/>
      <c r="I121" s="714"/>
      <c r="J121" s="715"/>
      <c r="K121" s="484">
        <v>0</v>
      </c>
    </row>
    <row r="122" spans="2:12">
      <c r="D122" s="497" t="s">
        <v>482</v>
      </c>
      <c r="E122" s="523"/>
      <c r="F122" s="707" t="s">
        <v>425</v>
      </c>
      <c r="G122" s="707"/>
      <c r="H122" s="707"/>
      <c r="I122" s="707"/>
      <c r="J122" s="707"/>
      <c r="K122" s="544">
        <f>+K118</f>
        <v>7107.81</v>
      </c>
      <c r="L122" s="536"/>
    </row>
    <row r="123" spans="2:12">
      <c r="D123" s="499" t="s">
        <v>483</v>
      </c>
      <c r="E123" s="524">
        <f>+$K$30</f>
        <v>8.1370000000000005</v>
      </c>
      <c r="F123" s="713"/>
      <c r="G123" s="714"/>
      <c r="H123" s="714"/>
      <c r="I123" s="714"/>
      <c r="J123" s="715"/>
      <c r="K123" s="484">
        <v>7.9</v>
      </c>
      <c r="L123" s="536"/>
    </row>
    <row r="124" spans="2:12">
      <c r="D124" s="500" t="s">
        <v>484</v>
      </c>
      <c r="E124" s="523" t="s">
        <v>477</v>
      </c>
      <c r="F124" s="713" t="s">
        <v>478</v>
      </c>
      <c r="G124" s="714"/>
      <c r="H124" s="714"/>
      <c r="I124" s="714"/>
      <c r="J124" s="715"/>
      <c r="K124" s="503" t="e">
        <f>+#REF!</f>
        <v>#REF!</v>
      </c>
      <c r="L124" s="536"/>
    </row>
    <row r="128" spans="2:12" ht="36" outlineLevel="2">
      <c r="B128" s="483">
        <v>3</v>
      </c>
      <c r="D128" s="484" t="s">
        <v>485</v>
      </c>
    </row>
    <row r="129" spans="4:10" outlineLevel="2"/>
    <row r="130" spans="4:10" ht="21" outlineLevel="2">
      <c r="D130" s="486" t="s">
        <v>385</v>
      </c>
      <c r="E130" s="487" t="s">
        <v>386</v>
      </c>
      <c r="F130" s="488" t="s">
        <v>387</v>
      </c>
    </row>
    <row r="131" spans="4:10" ht="21" outlineLevel="2">
      <c r="D131" s="486"/>
      <c r="E131" s="487"/>
      <c r="F131" s="488" t="s">
        <v>593</v>
      </c>
    </row>
    <row r="132" spans="4:10" outlineLevel="2">
      <c r="D132" s="491" t="s">
        <v>486</v>
      </c>
      <c r="E132" s="489" t="s">
        <v>487</v>
      </c>
      <c r="F132" s="706" t="s">
        <v>488</v>
      </c>
      <c r="G132" s="706"/>
      <c r="H132" s="706"/>
      <c r="I132" s="706"/>
      <c r="J132" s="706"/>
    </row>
    <row r="133" spans="4:10" outlineLevel="2">
      <c r="D133" s="491" t="s">
        <v>489</v>
      </c>
      <c r="E133" s="489" t="s">
        <v>490</v>
      </c>
      <c r="F133" s="706" t="s">
        <v>488</v>
      </c>
      <c r="G133" s="706"/>
      <c r="H133" s="706"/>
      <c r="I133" s="706"/>
      <c r="J133" s="706"/>
    </row>
    <row r="134" spans="4:10" outlineLevel="2"/>
    <row r="135" spans="4:10" outlineLevel="2"/>
    <row r="136" spans="4:10" ht="21" outlineLevel="2">
      <c r="D136" s="486" t="s">
        <v>491</v>
      </c>
    </row>
    <row r="137" spans="4:10" outlineLevel="2">
      <c r="D137" s="493" t="s">
        <v>492</v>
      </c>
    </row>
    <row r="138" spans="4:10" outlineLevel="2">
      <c r="D138" s="493" t="s">
        <v>405</v>
      </c>
    </row>
    <row r="139" spans="4:10" outlineLevel="2">
      <c r="D139" s="484" t="s">
        <v>406</v>
      </c>
    </row>
    <row r="140" spans="4:10" outlineLevel="2">
      <c r="D140" s="484" t="s">
        <v>407</v>
      </c>
    </row>
    <row r="141" spans="4:10" outlineLevel="2">
      <c r="D141" s="484" t="s">
        <v>493</v>
      </c>
    </row>
    <row r="142" spans="4:10" outlineLevel="2">
      <c r="D142" s="484" t="s">
        <v>409</v>
      </c>
    </row>
    <row r="143" spans="4:10" outlineLevel="2"/>
    <row r="144" spans="4:10" outlineLevel="2"/>
    <row r="145" spans="4:10" ht="21" outlineLevel="2">
      <c r="D145" s="697" t="s">
        <v>412</v>
      </c>
      <c r="E145" s="698" t="s">
        <v>386</v>
      </c>
      <c r="F145" s="699" t="s">
        <v>387</v>
      </c>
      <c r="G145" s="700"/>
      <c r="H145" s="700"/>
      <c r="I145" s="700"/>
      <c r="J145" s="701"/>
    </row>
    <row r="146" spans="4:10" ht="21" outlineLevel="2">
      <c r="D146" s="697"/>
      <c r="E146" s="698"/>
      <c r="F146" s="702" t="s">
        <v>494</v>
      </c>
      <c r="G146" s="703"/>
      <c r="H146" s="703"/>
      <c r="I146" s="703"/>
      <c r="J146" s="704"/>
    </row>
    <row r="147" spans="4:10" outlineLevel="2">
      <c r="D147" s="497" t="s">
        <v>495</v>
      </c>
      <c r="E147" s="495" t="s">
        <v>423</v>
      </c>
      <c r="F147" s="706" t="s">
        <v>496</v>
      </c>
      <c r="G147" s="706"/>
      <c r="H147" s="706"/>
      <c r="I147" s="706"/>
      <c r="J147" s="706"/>
    </row>
    <row r="148" spans="4:10" outlineLevel="2">
      <c r="D148" s="497" t="s">
        <v>497</v>
      </c>
      <c r="E148" s="495" t="s">
        <v>437</v>
      </c>
      <c r="F148" s="706" t="s">
        <v>498</v>
      </c>
      <c r="G148" s="706"/>
      <c r="H148" s="706"/>
      <c r="I148" s="706"/>
      <c r="J148" s="706"/>
    </row>
    <row r="149" spans="4:10" outlineLevel="2">
      <c r="D149" s="497" t="s">
        <v>499</v>
      </c>
      <c r="E149" s="495" t="s">
        <v>396</v>
      </c>
      <c r="F149" s="706" t="s">
        <v>500</v>
      </c>
      <c r="G149" s="706"/>
      <c r="H149" s="706"/>
      <c r="I149" s="706"/>
      <c r="J149" s="706"/>
    </row>
    <row r="150" spans="4:10" outlineLevel="2">
      <c r="D150" s="497" t="s">
        <v>501</v>
      </c>
      <c r="E150" s="495" t="s">
        <v>391</v>
      </c>
      <c r="F150" s="706" t="s">
        <v>500</v>
      </c>
      <c r="G150" s="706"/>
      <c r="H150" s="706"/>
      <c r="I150" s="706"/>
      <c r="J150" s="706"/>
    </row>
    <row r="151" spans="4:10" outlineLevel="2">
      <c r="D151" s="497" t="s">
        <v>502</v>
      </c>
      <c r="E151" s="495" t="s">
        <v>447</v>
      </c>
      <c r="F151" s="706" t="s">
        <v>503</v>
      </c>
      <c r="G151" s="706"/>
      <c r="H151" s="706"/>
      <c r="I151" s="706"/>
      <c r="J151" s="706"/>
    </row>
    <row r="152" spans="4:10" outlineLevel="2">
      <c r="D152" s="497" t="s">
        <v>504</v>
      </c>
      <c r="E152" s="495" t="s">
        <v>505</v>
      </c>
      <c r="F152" s="706" t="s">
        <v>503</v>
      </c>
      <c r="G152" s="706"/>
      <c r="H152" s="706"/>
      <c r="I152" s="706"/>
      <c r="J152" s="706"/>
    </row>
    <row r="153" spans="4:10" ht="15" customHeight="1" outlineLevel="2">
      <c r="D153" s="497" t="s">
        <v>506</v>
      </c>
      <c r="E153" s="495" t="s">
        <v>507</v>
      </c>
      <c r="F153" s="706" t="s">
        <v>503</v>
      </c>
      <c r="G153" s="706"/>
      <c r="H153" s="706"/>
      <c r="I153" s="706"/>
      <c r="J153" s="706"/>
    </row>
    <row r="154" spans="4:10" ht="15" customHeight="1" outlineLevel="2">
      <c r="D154" s="497" t="s">
        <v>508</v>
      </c>
      <c r="E154" s="495" t="s">
        <v>509</v>
      </c>
      <c r="F154" s="706" t="s">
        <v>503</v>
      </c>
      <c r="G154" s="706"/>
      <c r="H154" s="706"/>
      <c r="I154" s="706"/>
      <c r="J154" s="706"/>
    </row>
    <row r="155" spans="4:10" ht="15" customHeight="1" outlineLevel="2">
      <c r="D155" s="497" t="s">
        <v>510</v>
      </c>
      <c r="E155" s="495" t="s">
        <v>511</v>
      </c>
      <c r="F155" s="706" t="s">
        <v>503</v>
      </c>
      <c r="G155" s="706"/>
      <c r="H155" s="706"/>
      <c r="I155" s="706"/>
      <c r="J155" s="706"/>
    </row>
    <row r="156" spans="4:10" outlineLevel="2">
      <c r="D156" s="497" t="s">
        <v>512</v>
      </c>
      <c r="E156" s="495" t="s">
        <v>513</v>
      </c>
      <c r="F156" s="706" t="s">
        <v>503</v>
      </c>
      <c r="G156" s="706"/>
      <c r="H156" s="706"/>
      <c r="I156" s="706"/>
      <c r="J156" s="706"/>
    </row>
    <row r="157" spans="4:10" outlineLevel="2">
      <c r="D157" s="497" t="s">
        <v>514</v>
      </c>
      <c r="E157" s="495" t="s">
        <v>396</v>
      </c>
      <c r="F157" s="706" t="s">
        <v>500</v>
      </c>
      <c r="G157" s="706"/>
      <c r="H157" s="706"/>
      <c r="I157" s="706"/>
      <c r="J157" s="706"/>
    </row>
    <row r="158" spans="4:10" outlineLevel="2">
      <c r="D158" s="497" t="s">
        <v>515</v>
      </c>
      <c r="E158" s="495" t="s">
        <v>511</v>
      </c>
      <c r="F158" s="706" t="s">
        <v>516</v>
      </c>
      <c r="G158" s="706"/>
      <c r="H158" s="706"/>
      <c r="I158" s="706"/>
      <c r="J158" s="706"/>
    </row>
    <row r="159" spans="4:10" outlineLevel="2">
      <c r="D159" s="497" t="s">
        <v>517</v>
      </c>
      <c r="E159" s="495" t="s">
        <v>518</v>
      </c>
      <c r="F159" s="706" t="s">
        <v>503</v>
      </c>
      <c r="G159" s="706"/>
      <c r="H159" s="706"/>
      <c r="I159" s="706"/>
      <c r="J159" s="706"/>
    </row>
    <row r="160" spans="4:10" outlineLevel="2">
      <c r="D160" s="497" t="s">
        <v>519</v>
      </c>
      <c r="E160" s="495">
        <v>0</v>
      </c>
      <c r="F160" s="706"/>
      <c r="G160" s="706"/>
      <c r="H160" s="706"/>
      <c r="I160" s="706"/>
      <c r="J160" s="706"/>
    </row>
    <row r="161" spans="2:10" outlineLevel="2">
      <c r="D161" s="497" t="s">
        <v>520</v>
      </c>
      <c r="E161" s="495" t="s">
        <v>521</v>
      </c>
      <c r="F161" s="706" t="s">
        <v>503</v>
      </c>
      <c r="G161" s="706"/>
      <c r="H161" s="706"/>
      <c r="I161" s="706"/>
      <c r="J161" s="706"/>
    </row>
    <row r="162" spans="2:10" outlineLevel="2">
      <c r="D162" s="497" t="s">
        <v>522</v>
      </c>
      <c r="E162" s="495" t="s">
        <v>523</v>
      </c>
      <c r="F162" s="706" t="s">
        <v>503</v>
      </c>
      <c r="G162" s="706"/>
      <c r="H162" s="706"/>
      <c r="I162" s="706"/>
      <c r="J162" s="706"/>
    </row>
    <row r="163" spans="2:10" outlineLevel="2">
      <c r="D163" s="497" t="s">
        <v>524</v>
      </c>
      <c r="E163" s="495" t="s">
        <v>525</v>
      </c>
      <c r="F163" s="706" t="s">
        <v>526</v>
      </c>
      <c r="G163" s="706"/>
      <c r="H163" s="706"/>
      <c r="I163" s="706"/>
      <c r="J163" s="706"/>
    </row>
    <row r="164" spans="2:10" outlineLevel="2">
      <c r="D164" s="497" t="s">
        <v>527</v>
      </c>
      <c r="E164" s="495" t="s">
        <v>528</v>
      </c>
      <c r="F164" s="706" t="s">
        <v>526</v>
      </c>
      <c r="G164" s="706"/>
      <c r="H164" s="706"/>
      <c r="I164" s="706"/>
      <c r="J164" s="706"/>
    </row>
    <row r="165" spans="2:10" outlineLevel="2">
      <c r="D165" s="497" t="s">
        <v>529</v>
      </c>
      <c r="E165" s="495" t="s">
        <v>530</v>
      </c>
      <c r="F165" s="706" t="s">
        <v>526</v>
      </c>
      <c r="G165" s="706"/>
      <c r="H165" s="706"/>
      <c r="I165" s="706"/>
      <c r="J165" s="706"/>
    </row>
    <row r="166" spans="2:10" outlineLevel="2">
      <c r="D166" s="497" t="s">
        <v>531</v>
      </c>
      <c r="E166" s="495" t="s">
        <v>532</v>
      </c>
      <c r="F166" s="706" t="s">
        <v>533</v>
      </c>
      <c r="G166" s="706"/>
      <c r="H166" s="706"/>
      <c r="I166" s="706"/>
      <c r="J166" s="706"/>
    </row>
    <row r="167" spans="2:10" outlineLevel="2">
      <c r="D167" s="497" t="s">
        <v>534</v>
      </c>
      <c r="E167" s="495" t="s">
        <v>535</v>
      </c>
      <c r="F167" s="706" t="s">
        <v>533</v>
      </c>
      <c r="G167" s="706"/>
      <c r="H167" s="706"/>
      <c r="I167" s="706"/>
      <c r="J167" s="706"/>
    </row>
    <row r="168" spans="2:10" outlineLevel="2">
      <c r="D168" s="497" t="s">
        <v>536</v>
      </c>
      <c r="E168" s="495" t="s">
        <v>537</v>
      </c>
      <c r="F168" s="706" t="s">
        <v>533</v>
      </c>
      <c r="G168" s="706"/>
      <c r="H168" s="706"/>
      <c r="I168" s="706"/>
      <c r="J168" s="706"/>
    </row>
    <row r="169" spans="2:10" outlineLevel="2">
      <c r="D169" s="497" t="s">
        <v>538</v>
      </c>
      <c r="E169" s="495" t="s">
        <v>539</v>
      </c>
      <c r="F169" s="706" t="s">
        <v>540</v>
      </c>
      <c r="G169" s="706"/>
      <c r="H169" s="706"/>
      <c r="I169" s="706"/>
      <c r="J169" s="706"/>
    </row>
    <row r="170" spans="2:10" outlineLevel="2">
      <c r="D170" s="497" t="s">
        <v>541</v>
      </c>
      <c r="E170" s="495" t="s">
        <v>487</v>
      </c>
      <c r="F170" s="706" t="s">
        <v>540</v>
      </c>
      <c r="G170" s="706"/>
      <c r="H170" s="706"/>
      <c r="I170" s="706"/>
      <c r="J170" s="706"/>
    </row>
    <row r="171" spans="2:10" outlineLevel="2">
      <c r="D171" s="497" t="s">
        <v>542</v>
      </c>
      <c r="E171" s="495" t="s">
        <v>543</v>
      </c>
      <c r="F171" s="706" t="s">
        <v>540</v>
      </c>
      <c r="G171" s="706"/>
      <c r="H171" s="706"/>
      <c r="I171" s="706"/>
      <c r="J171" s="706"/>
    </row>
    <row r="172" spans="2:10" outlineLevel="2">
      <c r="D172" s="497" t="s">
        <v>544</v>
      </c>
      <c r="E172" s="495">
        <v>0</v>
      </c>
      <c r="F172" s="706"/>
      <c r="G172" s="706"/>
      <c r="H172" s="706"/>
      <c r="I172" s="706"/>
      <c r="J172" s="706"/>
    </row>
    <row r="173" spans="2:10">
      <c r="D173" s="501"/>
      <c r="E173" s="510"/>
    </row>
    <row r="174" spans="2:10">
      <c r="D174" s="501"/>
      <c r="E174" s="510"/>
    </row>
    <row r="175" spans="2:10" ht="36">
      <c r="B175" s="483">
        <v>4</v>
      </c>
      <c r="D175" s="488" t="s">
        <v>545</v>
      </c>
    </row>
    <row r="176" spans="2:10">
      <c r="D176" s="501"/>
    </row>
    <row r="177" spans="4:12">
      <c r="D177" s="501"/>
    </row>
    <row r="178" spans="4:12" ht="21">
      <c r="D178" s="486" t="s">
        <v>546</v>
      </c>
    </row>
    <row r="179" spans="4:12">
      <c r="D179" s="493" t="s">
        <v>547</v>
      </c>
    </row>
    <row r="180" spans="4:12">
      <c r="D180" s="493" t="s">
        <v>405</v>
      </c>
    </row>
    <row r="181" spans="4:12">
      <c r="D181" s="484" t="s">
        <v>406</v>
      </c>
    </row>
    <row r="182" spans="4:12">
      <c r="D182" s="484" t="s">
        <v>407</v>
      </c>
    </row>
    <row r="183" spans="4:12">
      <c r="D183" s="484" t="s">
        <v>548</v>
      </c>
    </row>
    <row r="184" spans="4:12">
      <c r="D184" s="484" t="s">
        <v>409</v>
      </c>
    </row>
    <row r="186" spans="4:12">
      <c r="D186" s="501"/>
    </row>
    <row r="187" spans="4:12" ht="21">
      <c r="D187" s="697" t="s">
        <v>412</v>
      </c>
      <c r="E187" s="698" t="s">
        <v>386</v>
      </c>
      <c r="F187" s="699" t="s">
        <v>387</v>
      </c>
      <c r="G187" s="700"/>
      <c r="H187" s="700"/>
      <c r="I187" s="700"/>
      <c r="J187" s="701"/>
    </row>
    <row r="188" spans="4:12" ht="21">
      <c r="D188" s="697"/>
      <c r="E188" s="698"/>
      <c r="F188" s="702" t="s">
        <v>594</v>
      </c>
      <c r="G188" s="703"/>
      <c r="H188" s="703"/>
      <c r="I188" s="703"/>
      <c r="J188" s="704"/>
    </row>
    <row r="189" spans="4:12">
      <c r="D189" s="499" t="s">
        <v>549</v>
      </c>
      <c r="E189" s="530" t="s">
        <v>437</v>
      </c>
      <c r="F189" s="706" t="s">
        <v>498</v>
      </c>
      <c r="G189" s="706"/>
      <c r="H189" s="706"/>
      <c r="I189" s="706"/>
      <c r="J189" s="706"/>
      <c r="K189" s="503">
        <f>+BIODIESEL!E9</f>
        <v>230.3</v>
      </c>
      <c r="L189" s="552" t="s">
        <v>631</v>
      </c>
    </row>
    <row r="190" spans="4:12">
      <c r="D190" s="497" t="s">
        <v>550</v>
      </c>
      <c r="E190" s="530" t="s">
        <v>399</v>
      </c>
      <c r="F190" s="706" t="s">
        <v>498</v>
      </c>
      <c r="G190" s="706"/>
      <c r="H190" s="706"/>
      <c r="I190" s="706"/>
      <c r="J190" s="706"/>
      <c r="K190" s="503">
        <f>+BIODIESEL!E10</f>
        <v>4871.58</v>
      </c>
      <c r="L190" s="552" t="s">
        <v>631</v>
      </c>
    </row>
    <row r="191" spans="4:12">
      <c r="D191" s="497" t="s">
        <v>551</v>
      </c>
      <c r="E191" s="530" t="s">
        <v>423</v>
      </c>
      <c r="F191" s="706" t="s">
        <v>498</v>
      </c>
      <c r="G191" s="706"/>
      <c r="H191" s="706"/>
      <c r="I191" s="706"/>
      <c r="J191" s="706"/>
      <c r="K191" s="503">
        <f>+BIODIESEL!E8</f>
        <v>4641.28</v>
      </c>
      <c r="L191" s="552" t="s">
        <v>631</v>
      </c>
    </row>
    <row r="192" spans="4:12">
      <c r="D192" s="494" t="s">
        <v>552</v>
      </c>
      <c r="E192" s="530">
        <v>7.67</v>
      </c>
      <c r="F192" s="712"/>
      <c r="G192" s="712"/>
      <c r="H192" s="712"/>
      <c r="I192" s="712"/>
      <c r="J192" s="712"/>
      <c r="K192" s="529"/>
    </row>
    <row r="193" spans="2:12">
      <c r="D193" s="497" t="s">
        <v>553</v>
      </c>
      <c r="E193" s="530" t="s">
        <v>391</v>
      </c>
      <c r="F193" s="706" t="s">
        <v>500</v>
      </c>
      <c r="G193" s="706"/>
      <c r="H193" s="706"/>
      <c r="I193" s="706"/>
      <c r="J193" s="706"/>
      <c r="K193" s="503">
        <f>+'COMBUSTIBLES '!E7</f>
        <v>4736</v>
      </c>
      <c r="L193" s="552" t="s">
        <v>631</v>
      </c>
    </row>
    <row r="194" spans="2:12">
      <c r="D194" s="497" t="s">
        <v>554</v>
      </c>
      <c r="E194" s="530" t="s">
        <v>401</v>
      </c>
      <c r="F194" s="706" t="s">
        <v>498</v>
      </c>
      <c r="G194" s="706"/>
      <c r="H194" s="706"/>
      <c r="I194" s="706"/>
      <c r="J194" s="706"/>
      <c r="K194" s="503">
        <f>+BIODIESEL!F10</f>
        <v>5007.17</v>
      </c>
      <c r="L194" s="552" t="s">
        <v>631</v>
      </c>
    </row>
    <row r="195" spans="2:12">
      <c r="D195" s="494" t="s">
        <v>555</v>
      </c>
      <c r="E195" s="530">
        <v>7.67</v>
      </c>
      <c r="F195" s="708"/>
      <c r="G195" s="709"/>
      <c r="H195" s="709"/>
      <c r="I195" s="709"/>
      <c r="J195" s="710"/>
      <c r="K195" s="529"/>
    </row>
    <row r="196" spans="2:12">
      <c r="D196" s="497" t="s">
        <v>556</v>
      </c>
      <c r="E196" s="530" t="s">
        <v>447</v>
      </c>
      <c r="F196" s="706" t="s">
        <v>498</v>
      </c>
      <c r="G196" s="706"/>
      <c r="H196" s="706"/>
      <c r="I196" s="706"/>
      <c r="J196" s="706"/>
      <c r="K196" s="503">
        <f>+BIODIESEL!F8</f>
        <v>4546.5600000000004</v>
      </c>
      <c r="L196" s="552" t="s">
        <v>631</v>
      </c>
    </row>
    <row r="197" spans="2:12">
      <c r="D197" s="497" t="s">
        <v>557</v>
      </c>
      <c r="E197" s="530" t="s">
        <v>449</v>
      </c>
      <c r="F197" s="706" t="s">
        <v>498</v>
      </c>
      <c r="G197" s="706"/>
      <c r="H197" s="706"/>
      <c r="I197" s="706"/>
      <c r="J197" s="706"/>
      <c r="K197" s="503">
        <f>+BIODIESEL!F9</f>
        <v>460.61</v>
      </c>
      <c r="L197" s="552" t="s">
        <v>631</v>
      </c>
    </row>
    <row r="198" spans="2:12">
      <c r="E198" s="511"/>
    </row>
    <row r="199" spans="2:12">
      <c r="E199" s="510"/>
    </row>
    <row r="201" spans="2:12" ht="36">
      <c r="B201" s="483">
        <v>5</v>
      </c>
      <c r="D201" s="488" t="s">
        <v>558</v>
      </c>
    </row>
    <row r="203" spans="2:12" ht="21">
      <c r="D203" s="486" t="s">
        <v>559</v>
      </c>
    </row>
    <row r="204" spans="2:12">
      <c r="D204" s="492" t="s">
        <v>613</v>
      </c>
    </row>
    <row r="205" spans="2:12">
      <c r="D205" s="484" t="s">
        <v>606</v>
      </c>
    </row>
    <row r="206" spans="2:12">
      <c r="D206" s="484" t="s">
        <v>614</v>
      </c>
    </row>
    <row r="207" spans="2:12">
      <c r="D207" s="493" t="s">
        <v>560</v>
      </c>
    </row>
    <row r="208" spans="2:12">
      <c r="D208" s="493" t="s">
        <v>405</v>
      </c>
    </row>
    <row r="209" spans="4:20">
      <c r="D209" s="484" t="s">
        <v>406</v>
      </c>
    </row>
    <row r="210" spans="4:20">
      <c r="D210" s="484" t="s">
        <v>407</v>
      </c>
    </row>
    <row r="211" spans="4:20">
      <c r="D211" s="484" t="s">
        <v>548</v>
      </c>
    </row>
    <row r="212" spans="4:20">
      <c r="D212" s="484" t="s">
        <v>409</v>
      </c>
    </row>
    <row r="215" spans="4:20" ht="21">
      <c r="D215" s="705" t="s">
        <v>385</v>
      </c>
      <c r="E215" s="698" t="s">
        <v>386</v>
      </c>
      <c r="F215" s="699" t="s">
        <v>387</v>
      </c>
      <c r="G215" s="700"/>
      <c r="H215" s="700"/>
      <c r="I215" s="700"/>
      <c r="J215" s="700"/>
      <c r="K215" s="701"/>
    </row>
    <row r="216" spans="4:20" ht="21">
      <c r="D216" s="705"/>
      <c r="E216" s="698"/>
      <c r="F216" s="702" t="s">
        <v>388</v>
      </c>
      <c r="G216" s="703"/>
      <c r="H216" s="703"/>
      <c r="I216" s="703"/>
      <c r="J216" s="703"/>
      <c r="K216" s="704"/>
    </row>
    <row r="217" spans="4:20">
      <c r="D217" s="499" t="s">
        <v>561</v>
      </c>
      <c r="E217" s="530" t="s">
        <v>562</v>
      </c>
      <c r="F217" s="711" t="s">
        <v>563</v>
      </c>
      <c r="G217" s="711"/>
      <c r="H217" s="711"/>
      <c r="I217" s="711"/>
      <c r="J217" s="711"/>
      <c r="K217" s="528" t="e">
        <f>+'DIESEL MARINO 1 A 14 DE MAYO'!#REF!</f>
        <v>#REF!</v>
      </c>
    </row>
    <row r="218" spans="4:20">
      <c r="D218" s="497" t="s">
        <v>564</v>
      </c>
      <c r="E218" s="530" t="s">
        <v>565</v>
      </c>
      <c r="F218" s="706" t="s">
        <v>563</v>
      </c>
      <c r="G218" s="706"/>
      <c r="H218" s="706"/>
      <c r="I218" s="706"/>
      <c r="J218" s="706"/>
      <c r="K218" s="527">
        <f>+'DIESEL MARINO 1 A 14 DE MAYO'!F107</f>
        <v>947.19999999999982</v>
      </c>
      <c r="L218" s="552" t="s">
        <v>631</v>
      </c>
    </row>
    <row r="219" spans="4:20">
      <c r="D219" s="497" t="s">
        <v>566</v>
      </c>
      <c r="E219" s="530" t="s">
        <v>565</v>
      </c>
      <c r="F219" s="706" t="s">
        <v>563</v>
      </c>
      <c r="G219" s="706"/>
      <c r="H219" s="706"/>
      <c r="I219" s="706"/>
      <c r="J219" s="706"/>
      <c r="K219" s="527">
        <f>+'DIESEL MARINO 1 A 14 DE MAYO'!F107</f>
        <v>947.19999999999982</v>
      </c>
      <c r="L219" s="552" t="s">
        <v>631</v>
      </c>
    </row>
    <row r="220" spans="4:20">
      <c r="D220" s="494" t="s">
        <v>567</v>
      </c>
      <c r="E220" s="530" t="s">
        <v>568</v>
      </c>
      <c r="F220" s="706" t="s">
        <v>563</v>
      </c>
      <c r="G220" s="706"/>
      <c r="H220" s="706"/>
      <c r="I220" s="706"/>
      <c r="J220" s="706"/>
      <c r="K220" s="527">
        <f>+'DIESEL MARINO 1 A 14 DE MAYO'!F108</f>
        <v>928.25280000000021</v>
      </c>
      <c r="L220" s="552" t="s">
        <v>631</v>
      </c>
      <c r="T220" s="484" t="s">
        <v>612</v>
      </c>
    </row>
    <row r="221" spans="4:20">
      <c r="D221" s="494" t="s">
        <v>569</v>
      </c>
      <c r="E221" s="530" t="s">
        <v>570</v>
      </c>
      <c r="F221" s="706" t="s">
        <v>563</v>
      </c>
      <c r="G221" s="706"/>
      <c r="H221" s="706"/>
      <c r="I221" s="706"/>
      <c r="J221" s="706"/>
      <c r="K221" s="527">
        <f>+'DIESEL MARINO 1 A 14 DE MAYO'!F108</f>
        <v>928.25280000000021</v>
      </c>
      <c r="L221" s="552" t="s">
        <v>631</v>
      </c>
    </row>
    <row r="222" spans="4:20">
      <c r="D222" s="494" t="s">
        <v>644</v>
      </c>
      <c r="E222" s="530"/>
      <c r="F222" s="706" t="s">
        <v>563</v>
      </c>
      <c r="G222" s="706"/>
      <c r="H222" s="706"/>
      <c r="I222" s="706"/>
      <c r="J222" s="706"/>
      <c r="K222" s="527">
        <f>+'DIESEL MARINO 1 A 14 DE MAYO'!F109</f>
        <v>2368</v>
      </c>
      <c r="L222" s="552" t="s">
        <v>631</v>
      </c>
    </row>
    <row r="223" spans="4:20" ht="15.75" customHeight="1">
      <c r="D223" s="494" t="s">
        <v>645</v>
      </c>
      <c r="E223" s="530"/>
      <c r="F223" s="706" t="s">
        <v>563</v>
      </c>
      <c r="G223" s="706"/>
      <c r="H223" s="706"/>
      <c r="I223" s="706"/>
      <c r="J223" s="706"/>
      <c r="K223" s="527">
        <f>+'DIESEL MARINO 1 A 14 DE MAYO'!F110</f>
        <v>2320.6368000000002</v>
      </c>
      <c r="L223" s="552" t="s">
        <v>631</v>
      </c>
    </row>
    <row r="224" spans="4:20" ht="15.75" customHeight="1">
      <c r="D224" s="641"/>
      <c r="E224" s="549"/>
      <c r="F224" s="568"/>
      <c r="G224" s="568"/>
      <c r="H224" s="568"/>
      <c r="I224" s="568"/>
      <c r="J224" s="568"/>
      <c r="K224" s="642"/>
      <c r="L224" s="552"/>
    </row>
    <row r="225" spans="2:10">
      <c r="E225" s="510"/>
    </row>
    <row r="226" spans="2:10" ht="36">
      <c r="B226" s="483">
        <v>6</v>
      </c>
      <c r="D226" s="488" t="s">
        <v>571</v>
      </c>
      <c r="E226" s="510"/>
    </row>
    <row r="228" spans="2:10" ht="21">
      <c r="D228" s="486" t="s">
        <v>572</v>
      </c>
    </row>
    <row r="229" spans="2:10">
      <c r="D229" s="493" t="s">
        <v>573</v>
      </c>
    </row>
    <row r="230" spans="2:10">
      <c r="D230" s="493" t="s">
        <v>405</v>
      </c>
    </row>
    <row r="231" spans="2:10">
      <c r="D231" s="484" t="s">
        <v>406</v>
      </c>
    </row>
    <row r="232" spans="2:10">
      <c r="D232" s="484" t="s">
        <v>407</v>
      </c>
    </row>
    <row r="233" spans="2:10">
      <c r="D233" s="484" t="s">
        <v>548</v>
      </c>
    </row>
    <row r="234" spans="2:10">
      <c r="D234" s="484" t="s">
        <v>409</v>
      </c>
    </row>
    <row r="236" spans="2:10" ht="21">
      <c r="D236" s="697" t="s">
        <v>412</v>
      </c>
      <c r="E236" s="698" t="s">
        <v>386</v>
      </c>
      <c r="F236" s="699" t="s">
        <v>387</v>
      </c>
      <c r="G236" s="700"/>
      <c r="H236" s="700"/>
      <c r="I236" s="700"/>
      <c r="J236" s="701"/>
    </row>
    <row r="237" spans="2:10" ht="21">
      <c r="D237" s="697"/>
      <c r="E237" s="698"/>
      <c r="F237" s="702" t="s">
        <v>494</v>
      </c>
      <c r="G237" s="703"/>
      <c r="H237" s="703"/>
      <c r="I237" s="703"/>
      <c r="J237" s="704"/>
    </row>
    <row r="238" spans="2:10">
      <c r="D238" s="499" t="s">
        <v>574</v>
      </c>
      <c r="E238" s="495" t="s">
        <v>575</v>
      </c>
      <c r="F238" s="706" t="s">
        <v>576</v>
      </c>
      <c r="G238" s="706"/>
      <c r="H238" s="706"/>
      <c r="I238" s="706"/>
      <c r="J238" s="706"/>
    </row>
    <row r="239" spans="2:10">
      <c r="D239" s="497" t="s">
        <v>577</v>
      </c>
      <c r="E239" s="495" t="s">
        <v>525</v>
      </c>
      <c r="F239" s="706" t="s">
        <v>576</v>
      </c>
      <c r="G239" s="706"/>
      <c r="H239" s="706"/>
      <c r="I239" s="706"/>
      <c r="J239" s="706"/>
    </row>
    <row r="240" spans="2:10">
      <c r="D240" s="497" t="s">
        <v>578</v>
      </c>
      <c r="E240" s="495" t="s">
        <v>511</v>
      </c>
      <c r="F240" s="706" t="s">
        <v>576</v>
      </c>
      <c r="G240" s="706"/>
      <c r="H240" s="706"/>
      <c r="I240" s="706"/>
      <c r="J240" s="706"/>
    </row>
    <row r="241" spans="2:5">
      <c r="E241" s="484"/>
    </row>
    <row r="243" spans="2:5" ht="36">
      <c r="B243" s="483">
        <v>7</v>
      </c>
      <c r="D243" s="488" t="s">
        <v>579</v>
      </c>
    </row>
    <row r="245" spans="2:5" ht="21">
      <c r="D245" s="486" t="s">
        <v>580</v>
      </c>
    </row>
    <row r="246" spans="2:5">
      <c r="D246" s="493" t="s">
        <v>581</v>
      </c>
    </row>
    <row r="247" spans="2:5">
      <c r="D247" s="493" t="s">
        <v>405</v>
      </c>
    </row>
    <row r="248" spans="2:5">
      <c r="D248" s="484" t="s">
        <v>406</v>
      </c>
    </row>
    <row r="249" spans="2:5">
      <c r="D249" s="484" t="s">
        <v>407</v>
      </c>
    </row>
    <row r="250" spans="2:5">
      <c r="D250" s="484" t="s">
        <v>548</v>
      </c>
    </row>
    <row r="251" spans="2:5" ht="21">
      <c r="D251" s="512" t="s">
        <v>582</v>
      </c>
    </row>
    <row r="255" spans="2:5" ht="36">
      <c r="B255" s="483">
        <v>8</v>
      </c>
      <c r="D255" s="488" t="s">
        <v>583</v>
      </c>
    </row>
    <row r="257" spans="4:12" ht="21">
      <c r="D257" s="486" t="s">
        <v>584</v>
      </c>
    </row>
    <row r="258" spans="4:12">
      <c r="D258" s="493" t="s">
        <v>585</v>
      </c>
    </row>
    <row r="259" spans="4:12">
      <c r="D259" s="493" t="s">
        <v>405</v>
      </c>
    </row>
    <row r="260" spans="4:12">
      <c r="D260" s="484" t="s">
        <v>406</v>
      </c>
    </row>
    <row r="261" spans="4:12">
      <c r="D261" s="484" t="s">
        <v>407</v>
      </c>
    </row>
    <row r="262" spans="4:12">
      <c r="D262" s="484" t="s">
        <v>548</v>
      </c>
    </row>
    <row r="263" spans="4:12">
      <c r="D263" s="484" t="s">
        <v>409</v>
      </c>
    </row>
    <row r="264" spans="4:12">
      <c r="D264" s="492"/>
    </row>
    <row r="266" spans="4:12" ht="21">
      <c r="D266" s="705" t="s">
        <v>385</v>
      </c>
      <c r="E266" s="698" t="s">
        <v>386</v>
      </c>
      <c r="F266" s="699" t="s">
        <v>387</v>
      </c>
      <c r="G266" s="700"/>
      <c r="H266" s="700"/>
      <c r="I266" s="700"/>
      <c r="J266" s="700"/>
      <c r="K266" s="701"/>
    </row>
    <row r="267" spans="4:12" ht="21">
      <c r="D267" s="705"/>
      <c r="E267" s="698"/>
      <c r="F267" s="702" t="s">
        <v>388</v>
      </c>
      <c r="G267" s="703"/>
      <c r="H267" s="703"/>
      <c r="I267" s="703"/>
      <c r="J267" s="703"/>
      <c r="K267" s="704"/>
    </row>
    <row r="268" spans="4:12">
      <c r="D268" s="499" t="s">
        <v>586</v>
      </c>
      <c r="E268" s="518" t="s">
        <v>429</v>
      </c>
      <c r="F268" s="706" t="s">
        <v>392</v>
      </c>
      <c r="G268" s="706"/>
      <c r="H268" s="706"/>
      <c r="I268" s="706"/>
      <c r="J268" s="706"/>
      <c r="K268" s="513">
        <f>+'COMBUSTIBLES '!B8</f>
        <v>8.1370000000000005</v>
      </c>
      <c r="L268" s="539" t="s">
        <v>633</v>
      </c>
    </row>
    <row r="269" spans="4:12">
      <c r="D269" s="497" t="s">
        <v>587</v>
      </c>
      <c r="E269" s="530" t="s">
        <v>396</v>
      </c>
      <c r="F269" s="706" t="s">
        <v>392</v>
      </c>
      <c r="G269" s="706"/>
      <c r="H269" s="706"/>
      <c r="I269" s="706"/>
      <c r="J269" s="706"/>
      <c r="K269" s="513">
        <f>+'COMBUSTIBLES '!B7</f>
        <v>4000</v>
      </c>
      <c r="L269" s="539" t="s">
        <v>633</v>
      </c>
    </row>
    <row r="270" spans="4:12">
      <c r="D270" s="497" t="s">
        <v>588</v>
      </c>
      <c r="E270" s="530"/>
      <c r="F270" s="707" t="s">
        <v>425</v>
      </c>
      <c r="G270" s="707"/>
      <c r="H270" s="707"/>
      <c r="I270" s="707"/>
      <c r="J270" s="707"/>
      <c r="K270" s="542">
        <f>+Variables!E20</f>
        <v>5078.7700000000004</v>
      </c>
      <c r="L270" s="539" t="s">
        <v>633</v>
      </c>
    </row>
    <row r="271" spans="4:12">
      <c r="E271" s="510"/>
    </row>
    <row r="272" spans="4:12">
      <c r="E272" s="510"/>
    </row>
    <row r="273" spans="2:5">
      <c r="E273" s="510"/>
    </row>
    <row r="274" spans="2:5" ht="36">
      <c r="B274" s="483">
        <v>9</v>
      </c>
      <c r="D274" s="488" t="s">
        <v>589</v>
      </c>
      <c r="E274" s="510"/>
    </row>
    <row r="275" spans="2:5">
      <c r="E275" s="510"/>
    </row>
    <row r="276" spans="2:5" ht="21">
      <c r="D276" s="486" t="s">
        <v>590</v>
      </c>
    </row>
    <row r="277" spans="2:5">
      <c r="D277" s="493" t="s">
        <v>591</v>
      </c>
    </row>
    <row r="278" spans="2:5">
      <c r="D278" s="493" t="s">
        <v>405</v>
      </c>
    </row>
    <row r="279" spans="2:5">
      <c r="D279" s="484" t="s">
        <v>406</v>
      </c>
    </row>
    <row r="280" spans="2:5">
      <c r="D280" s="484" t="s">
        <v>407</v>
      </c>
    </row>
    <row r="281" spans="2:5">
      <c r="D281" s="484" t="s">
        <v>548</v>
      </c>
    </row>
    <row r="282" spans="2:5" ht="21">
      <c r="D282" s="512" t="s">
        <v>600</v>
      </c>
    </row>
    <row r="284" spans="2:5">
      <c r="D284" s="492"/>
    </row>
    <row r="289" spans="2:6" ht="23.25">
      <c r="B289" s="484" t="s">
        <v>624</v>
      </c>
      <c r="D289" s="502" t="s">
        <v>592</v>
      </c>
      <c r="E289" s="533" t="s">
        <v>629</v>
      </c>
      <c r="F289" s="514" t="s">
        <v>618</v>
      </c>
    </row>
    <row r="291" spans="2:6">
      <c r="B291" s="484" t="s">
        <v>601</v>
      </c>
      <c r="C291" s="484">
        <v>1</v>
      </c>
      <c r="D291" s="516" t="str">
        <f>CONCATENATE("PRECIO REGULADOS"," ",$E$289)</f>
        <v>PRECIO REGULADOS FEB 1 A FEB 28  2019</v>
      </c>
      <c r="E291" s="510"/>
    </row>
    <row r="292" spans="2:6">
      <c r="D292" s="515" t="s">
        <v>603</v>
      </c>
      <c r="E292" s="510"/>
    </row>
    <row r="293" spans="2:6">
      <c r="D293" s="515"/>
      <c r="E293" s="510"/>
    </row>
    <row r="294" spans="2:6">
      <c r="B294" s="484" t="s">
        <v>602</v>
      </c>
      <c r="C294" s="484">
        <v>2</v>
      </c>
      <c r="D294" s="522" t="str">
        <f>CONCATENATE("PRECIO NO REGULADOS"," ",$E$289)</f>
        <v>PRECIO NO REGULADOS FEB 1 A FEB 28  2019</v>
      </c>
      <c r="E294" s="537" t="s">
        <v>159</v>
      </c>
    </row>
    <row r="295" spans="2:6">
      <c r="D295" s="515" t="s">
        <v>604</v>
      </c>
      <c r="E295" s="510"/>
    </row>
    <row r="296" spans="2:6">
      <c r="D296" s="515"/>
      <c r="E296" s="510"/>
    </row>
    <row r="297" spans="2:6">
      <c r="B297" s="532" t="s">
        <v>625</v>
      </c>
      <c r="C297" s="484">
        <v>3</v>
      </c>
      <c r="D297" s="516" t="str">
        <f>CONCATENATE("PRECIO ZONAS DE FRONTERA "," ",$E$289)</f>
        <v>PRECIO ZONAS DE FRONTERA  FEB 1 A FEB 28  2019</v>
      </c>
      <c r="E297" s="510"/>
    </row>
    <row r="298" spans="2:6">
      <c r="D298" s="515" t="s">
        <v>603</v>
      </c>
      <c r="E298" s="510"/>
    </row>
    <row r="299" spans="2:6">
      <c r="D299" s="515"/>
      <c r="E299" s="510"/>
    </row>
    <row r="300" spans="2:6">
      <c r="B300" s="484" t="s">
        <v>605</v>
      </c>
      <c r="C300" s="484">
        <v>4</v>
      </c>
      <c r="D300" s="516" t="str">
        <f>CONCATENATE("PRECIO ELECTROCOMBUSTIBLE  ",," ",$E$289)</f>
        <v>PRECIO ELECTROCOMBUSTIBLE   FEB 1 A FEB 28  2019</v>
      </c>
      <c r="E300" s="510"/>
    </row>
    <row r="301" spans="2:6">
      <c r="D301" s="515" t="s">
        <v>603</v>
      </c>
      <c r="E301" s="510"/>
    </row>
    <row r="302" spans="2:6">
      <c r="D302" s="515"/>
      <c r="E302" s="510"/>
    </row>
    <row r="303" spans="2:6">
      <c r="B303" s="484" t="s">
        <v>606</v>
      </c>
      <c r="C303" s="484">
        <v>5</v>
      </c>
      <c r="D303" s="516" t="str">
        <f>CONCATENATE("PRECIO DESCUENTO PESQUEROS "," ",$E$289)</f>
        <v>PRECIO DESCUENTO PESQUEROS  FEB 1 A FEB 28  2019</v>
      </c>
      <c r="E303" s="510"/>
    </row>
    <row r="304" spans="2:6">
      <c r="D304" s="515" t="s">
        <v>603</v>
      </c>
      <c r="E304" s="510"/>
    </row>
    <row r="305" spans="2:5">
      <c r="D305" s="515"/>
      <c r="E305" s="510"/>
    </row>
    <row r="306" spans="2:5">
      <c r="B306" s="185" t="s">
        <v>626</v>
      </c>
      <c r="C306" s="484">
        <v>6</v>
      </c>
      <c r="D306" s="516" t="str">
        <f>CONCATENATE("PRECIO ESPECIAL GUAJIRA "," ",$E$289)</f>
        <v>PRECIO ESPECIAL GUAJIRA  FEB 1 A FEB 28  2019</v>
      </c>
      <c r="E306" s="510"/>
    </row>
    <row r="307" spans="2:5">
      <c r="D307" s="515" t="s">
        <v>603</v>
      </c>
      <c r="E307" s="510"/>
    </row>
    <row r="308" spans="2:5">
      <c r="D308" s="515"/>
      <c r="E308" s="510"/>
    </row>
    <row r="309" spans="2:5">
      <c r="B309" s="484" t="s">
        <v>607</v>
      </c>
      <c r="C309" s="484">
        <v>7</v>
      </c>
      <c r="D309" s="522" t="str">
        <f>CONCATENATE("PRECIO ESTRUCTURA TARIFA BIOS "," ",$E$289)</f>
        <v>PRECIO ESTRUCTURA TARIFA BIOS  FEB 1 A FEB 28  2019</v>
      </c>
      <c r="E309" s="510" t="s">
        <v>623</v>
      </c>
    </row>
    <row r="310" spans="2:5">
      <c r="D310" s="515" t="s">
        <v>603</v>
      </c>
      <c r="E310" s="510"/>
    </row>
    <row r="311" spans="2:5">
      <c r="D311" s="515"/>
      <c r="E311" s="510"/>
    </row>
    <row r="312" spans="2:5">
      <c r="B312" s="484" t="s">
        <v>608</v>
      </c>
      <c r="C312" s="484">
        <v>8</v>
      </c>
      <c r="D312" s="516" t="str">
        <f>CONCATENATE("PRECIO GASOLINA  IMPORTADA "," ",$E$289)</f>
        <v>PRECIO GASOLINA  IMPORTADA  FEB 1 A FEB 28  2019</v>
      </c>
      <c r="E312" s="510"/>
    </row>
    <row r="313" spans="2:5">
      <c r="D313" s="515" t="s">
        <v>603</v>
      </c>
      <c r="E313" s="510"/>
    </row>
    <row r="314" spans="2:5">
      <c r="D314" s="515"/>
      <c r="E314" s="510"/>
    </row>
    <row r="315" spans="2:5">
      <c r="B315" s="532" t="s">
        <v>627</v>
      </c>
      <c r="C315" s="484">
        <v>9</v>
      </c>
      <c r="D315" s="522" t="str">
        <f>CONCATENATE("BALANCE VOLUMETRICO REFICAR A ",," ",$E$289)</f>
        <v>BALANCE VOLUMETRICO REFICAR A  FEB 1 A FEB 28  2019</v>
      </c>
      <c r="E315" s="510" t="s">
        <v>623</v>
      </c>
    </row>
    <row r="316" spans="2:5">
      <c r="D316" s="515" t="s">
        <v>603</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 ref="D14:D15"/>
    <mergeCell ref="E14:E15"/>
    <mergeCell ref="F14:J14"/>
    <mergeCell ref="F15:J15"/>
    <mergeCell ref="F22:J22"/>
    <mergeCell ref="F23:J23"/>
    <mergeCell ref="F24:J24"/>
    <mergeCell ref="F16:J16"/>
    <mergeCell ref="F17:J17"/>
    <mergeCell ref="F18:J18"/>
    <mergeCell ref="F19:J19"/>
    <mergeCell ref="F20:J20"/>
    <mergeCell ref="F21:J21"/>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93:J193"/>
    <mergeCell ref="F194:J194"/>
    <mergeCell ref="F195:J195"/>
    <mergeCell ref="F196:J196"/>
    <mergeCell ref="F197:J197"/>
    <mergeCell ref="F217:J217"/>
    <mergeCell ref="F171:J171"/>
    <mergeCell ref="F172:J172"/>
    <mergeCell ref="F189:J189"/>
    <mergeCell ref="F190:J190"/>
    <mergeCell ref="F191:J191"/>
    <mergeCell ref="F192:J192"/>
    <mergeCell ref="F268:J268"/>
    <mergeCell ref="F269:J269"/>
    <mergeCell ref="F270:J270"/>
    <mergeCell ref="F218:J218"/>
    <mergeCell ref="F219:J219"/>
    <mergeCell ref="F220:J220"/>
    <mergeCell ref="F221:J221"/>
    <mergeCell ref="F238:J238"/>
    <mergeCell ref="F239:J239"/>
    <mergeCell ref="F222:J222"/>
    <mergeCell ref="F223:J223"/>
    <mergeCell ref="D236:D237"/>
    <mergeCell ref="E236:E237"/>
    <mergeCell ref="F236:J236"/>
    <mergeCell ref="F237:J237"/>
    <mergeCell ref="D266:D267"/>
    <mergeCell ref="E266:E267"/>
    <mergeCell ref="F266:K266"/>
    <mergeCell ref="F267:K267"/>
    <mergeCell ref="F240:J240"/>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50"/>
  <sheetViews>
    <sheetView tabSelected="1" zoomScale="80" zoomScaleNormal="80" workbookViewId="0">
      <selection activeCell="V6" sqref="V6"/>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hidden="1" customWidth="1" outlineLevel="1"/>
    <col min="7" max="7" width="19.42578125" style="12" hidden="1" customWidth="1"/>
    <col min="8" max="8" width="19.28515625" style="6" customWidth="1"/>
    <col min="9" max="9" width="13.28515625" style="6" customWidth="1"/>
    <col min="10" max="16384" width="11.42578125" style="6"/>
  </cols>
  <sheetData>
    <row r="1" spans="1:11" ht="15">
      <c r="A1" s="1" t="s">
        <v>710</v>
      </c>
      <c r="B1" s="2"/>
      <c r="C1" s="2">
        <v>7.2405999999999997</v>
      </c>
      <c r="D1" s="4"/>
      <c r="E1" s="5"/>
      <c r="F1" s="5"/>
      <c r="G1" s="3"/>
    </row>
    <row r="2" spans="1:11" s="57" customFormat="1" ht="21.75" customHeight="1">
      <c r="A2" s="724" t="str">
        <f>CONCATENATE("ESTRUCTURAS DE PRECIOS DE COMBUSTIBLES LIQUIDOS VIGENTES A PARTIR DE ",$A$1)</f>
        <v>ESTRUCTURAS DE PRECIOS DE COMBUSTIBLES LIQUIDOS VIGENTES A PARTIR DE 1 DE JUNIO 2020</v>
      </c>
      <c r="B2" s="724"/>
      <c r="C2" s="724"/>
      <c r="D2" s="724"/>
      <c r="E2" s="724"/>
      <c r="F2" s="724"/>
      <c r="G2" s="724"/>
      <c r="H2" s="725"/>
    </row>
    <row r="3" spans="1:11" s="57" customFormat="1" ht="21.75" customHeight="1">
      <c r="A3" s="319" t="s">
        <v>0</v>
      </c>
      <c r="B3" s="181"/>
      <c r="C3" s="181"/>
      <c r="D3" s="181"/>
      <c r="E3" s="181"/>
      <c r="F3" s="181"/>
      <c r="G3" s="181"/>
      <c r="H3" s="320"/>
    </row>
    <row r="4" spans="1:11" s="51" customFormat="1" ht="24" customHeight="1">
      <c r="A4" s="726" t="s">
        <v>1</v>
      </c>
      <c r="B4" s="728" t="s">
        <v>25</v>
      </c>
      <c r="C4" s="730" t="s">
        <v>10</v>
      </c>
      <c r="D4" s="731"/>
      <c r="E4" s="728" t="s">
        <v>210</v>
      </c>
      <c r="F4" s="321" t="s">
        <v>361</v>
      </c>
      <c r="G4" s="321" t="s">
        <v>655</v>
      </c>
      <c r="H4" s="321" t="s">
        <v>703</v>
      </c>
    </row>
    <row r="5" spans="1:11" s="51" customFormat="1" ht="30" customHeight="1">
      <c r="A5" s="726"/>
      <c r="B5" s="729"/>
      <c r="C5" s="64" t="s">
        <v>51</v>
      </c>
      <c r="D5" s="64" t="s">
        <v>52</v>
      </c>
      <c r="E5" s="729"/>
      <c r="F5" s="322" t="s">
        <v>701</v>
      </c>
      <c r="G5" s="322" t="s">
        <v>701</v>
      </c>
      <c r="H5" s="322" t="s">
        <v>704</v>
      </c>
    </row>
    <row r="6" spans="1:11" s="51" customFormat="1" ht="24" customHeight="1" thickBot="1">
      <c r="A6" s="727"/>
      <c r="B6" s="182" t="str">
        <f>+A1</f>
        <v>1 DE JUNIO 2020</v>
      </c>
      <c r="C6" s="182" t="str">
        <f>+B6</f>
        <v>1 DE JUNIO 2020</v>
      </c>
      <c r="D6" s="183" t="str">
        <f>+A1</f>
        <v>1 DE JUNIO 2020</v>
      </c>
      <c r="E6" s="182" t="str">
        <f>+D6</f>
        <v>1 DE JUNIO 2020</v>
      </c>
      <c r="F6" s="323" t="str">
        <f>+B6</f>
        <v>1 DE JUNIO 2020</v>
      </c>
      <c r="G6" s="323" t="str">
        <f>+A1</f>
        <v>1 DE JUNIO 2020</v>
      </c>
      <c r="H6" s="323" t="str">
        <f>+A1</f>
        <v>1 DE JUNIO 2020</v>
      </c>
    </row>
    <row r="7" spans="1:11" ht="22.5" customHeight="1" thickTop="1">
      <c r="A7" s="73" t="s">
        <v>3</v>
      </c>
      <c r="B7" s="535">
        <v>4000</v>
      </c>
      <c r="C7" s="535">
        <v>5700</v>
      </c>
      <c r="D7" s="178">
        <f>+C7</f>
        <v>5700</v>
      </c>
      <c r="E7" s="535">
        <v>4736</v>
      </c>
      <c r="F7" s="574">
        <v>6660</v>
      </c>
      <c r="G7" s="574">
        <v>6848.89</v>
      </c>
      <c r="H7" s="647">
        <v>7991.62</v>
      </c>
    </row>
    <row r="8" spans="1:11" ht="22.5" customHeight="1">
      <c r="A8" s="65" t="s">
        <v>56</v>
      </c>
      <c r="B8" s="474">
        <f>7.9*(1+3%)</f>
        <v>8.1370000000000005</v>
      </c>
      <c r="C8" s="460">
        <f>+B8</f>
        <v>8.1370000000000005</v>
      </c>
      <c r="D8" s="460">
        <f>+C8</f>
        <v>8.1370000000000005</v>
      </c>
      <c r="E8" s="460">
        <f>D8</f>
        <v>8.1370000000000005</v>
      </c>
      <c r="F8" s="575"/>
      <c r="G8" s="575"/>
      <c r="H8" s="580"/>
    </row>
    <row r="9" spans="1:11" ht="22.5" customHeight="1">
      <c r="A9" s="65" t="s">
        <v>233</v>
      </c>
      <c r="B9" s="66" t="s">
        <v>11</v>
      </c>
      <c r="C9" s="66" t="s">
        <v>11</v>
      </c>
      <c r="D9" s="66" t="s">
        <v>11</v>
      </c>
      <c r="E9" s="66" t="s">
        <v>11</v>
      </c>
      <c r="F9" s="571" t="s">
        <v>11</v>
      </c>
      <c r="G9" s="571" t="s">
        <v>11</v>
      </c>
      <c r="H9" s="581" t="s">
        <v>11</v>
      </c>
    </row>
    <row r="10" spans="1:11" ht="22.5" customHeight="1">
      <c r="A10" s="65" t="s">
        <v>223</v>
      </c>
      <c r="B10" s="67">
        <v>71.510000000000005</v>
      </c>
      <c r="C10" s="67">
        <f>B10</f>
        <v>71.510000000000005</v>
      </c>
      <c r="D10" s="67">
        <f>B10</f>
        <v>71.510000000000005</v>
      </c>
      <c r="E10" s="67">
        <f>B10</f>
        <v>71.510000000000005</v>
      </c>
      <c r="F10" s="576"/>
      <c r="G10" s="576"/>
      <c r="H10" s="582"/>
      <c r="I10" s="56"/>
      <c r="J10" s="56"/>
      <c r="K10" s="56"/>
    </row>
    <row r="11" spans="1:11" ht="22.5" customHeight="1">
      <c r="A11" s="65" t="s">
        <v>263</v>
      </c>
      <c r="B11" s="461">
        <f>+Variables!C20</f>
        <v>546.26</v>
      </c>
      <c r="C11" s="67">
        <f>+Variables!C23</f>
        <v>1036.78</v>
      </c>
      <c r="D11" s="67">
        <f>+ROUND(C11,2)</f>
        <v>1036.78</v>
      </c>
      <c r="E11" s="67">
        <f>+Variables!C27</f>
        <v>522.85</v>
      </c>
      <c r="F11" s="572"/>
      <c r="G11" s="572"/>
      <c r="H11" s="582"/>
      <c r="I11" s="627"/>
      <c r="J11" s="56"/>
      <c r="K11" s="56"/>
    </row>
    <row r="12" spans="1:11" ht="22.5" customHeight="1">
      <c r="A12" s="65" t="s">
        <v>272</v>
      </c>
      <c r="B12" s="479" t="s">
        <v>384</v>
      </c>
      <c r="C12" s="479" t="s">
        <v>384</v>
      </c>
      <c r="D12" s="479" t="s">
        <v>384</v>
      </c>
      <c r="E12" s="479" t="s">
        <v>384</v>
      </c>
      <c r="F12" s="570" t="s">
        <v>384</v>
      </c>
      <c r="G12" s="570" t="s">
        <v>384</v>
      </c>
      <c r="H12" s="582" t="s">
        <v>707</v>
      </c>
      <c r="I12" s="56"/>
      <c r="J12" s="56"/>
      <c r="K12" s="56"/>
    </row>
    <row r="13" spans="1:11" ht="22.5" customHeight="1">
      <c r="A13" s="65" t="s">
        <v>363</v>
      </c>
      <c r="B13" s="461">
        <v>155</v>
      </c>
      <c r="C13" s="67">
        <v>155</v>
      </c>
      <c r="D13" s="67">
        <v>155</v>
      </c>
      <c r="E13" s="67">
        <v>174</v>
      </c>
      <c r="F13" s="572"/>
      <c r="G13" s="572"/>
      <c r="H13" s="582"/>
      <c r="I13" s="56"/>
      <c r="J13" s="56"/>
      <c r="K13" s="56"/>
    </row>
    <row r="14" spans="1:11" ht="22.5" customHeight="1">
      <c r="A14" s="65" t="s">
        <v>23</v>
      </c>
      <c r="B14" s="66" t="s">
        <v>12</v>
      </c>
      <c r="C14" s="66" t="s">
        <v>12</v>
      </c>
      <c r="D14" s="66" t="s">
        <v>12</v>
      </c>
      <c r="E14" s="66" t="s">
        <v>12</v>
      </c>
      <c r="F14" s="571"/>
      <c r="G14" s="571"/>
      <c r="H14" s="581"/>
      <c r="I14" s="56"/>
      <c r="J14" s="56"/>
      <c r="K14" s="56"/>
    </row>
    <row r="15" spans="1:11" ht="22.5" customHeight="1">
      <c r="A15" s="65" t="s">
        <v>224</v>
      </c>
      <c r="B15" s="66" t="s">
        <v>22</v>
      </c>
      <c r="C15" s="66"/>
      <c r="D15" s="66"/>
      <c r="E15" s="66" t="str">
        <f>+B15</f>
        <v>(***)</v>
      </c>
      <c r="F15" s="577"/>
      <c r="G15" s="577"/>
      <c r="H15" s="583"/>
      <c r="I15" s="628"/>
      <c r="J15" s="56"/>
      <c r="K15" s="56"/>
    </row>
    <row r="16" spans="1:11" ht="22.5" customHeight="1">
      <c r="A16" s="65" t="s">
        <v>8</v>
      </c>
      <c r="B16" s="67">
        <f>+ROUND(0.25*Variables!E20,2)</f>
        <v>1269.69</v>
      </c>
      <c r="C16" s="67">
        <f>+ROUND(Variables!E23*0.25,2)</f>
        <v>1776.95</v>
      </c>
      <c r="D16" s="67">
        <f>+ROUND(C16,2)</f>
        <v>1776.95</v>
      </c>
      <c r="E16" s="67">
        <f>+ROUND(Variables!E27*0.06,2)</f>
        <v>301.48</v>
      </c>
      <c r="F16" s="578" t="s">
        <v>2</v>
      </c>
      <c r="G16" s="578" t="s">
        <v>2</v>
      </c>
      <c r="H16" s="584"/>
      <c r="I16" s="628"/>
      <c r="J16" s="56"/>
      <c r="K16" s="56"/>
    </row>
    <row r="17" spans="1:11" ht="22.5" customHeight="1">
      <c r="A17" s="65" t="s">
        <v>5</v>
      </c>
      <c r="B17" s="66" t="s">
        <v>12</v>
      </c>
      <c r="C17" s="66" t="s">
        <v>12</v>
      </c>
      <c r="D17" s="66" t="s">
        <v>12</v>
      </c>
      <c r="E17" s="66" t="s">
        <v>12</v>
      </c>
      <c r="F17" s="578" t="s">
        <v>2</v>
      </c>
      <c r="G17" s="578" t="s">
        <v>2</v>
      </c>
      <c r="H17" s="584"/>
      <c r="I17" s="629"/>
      <c r="J17" s="630"/>
      <c r="K17" s="56"/>
    </row>
    <row r="18" spans="1:11" ht="22.5" customHeight="1">
      <c r="A18" s="65" t="s">
        <v>225</v>
      </c>
      <c r="B18" s="66" t="s">
        <v>22</v>
      </c>
      <c r="C18" s="66"/>
      <c r="D18" s="66"/>
      <c r="E18" s="66" t="str">
        <f>+B18</f>
        <v>(***)</v>
      </c>
      <c r="F18" s="578" t="s">
        <v>2</v>
      </c>
      <c r="G18" s="578" t="s">
        <v>2</v>
      </c>
      <c r="H18" s="584"/>
      <c r="I18" s="56"/>
      <c r="J18" s="631"/>
      <c r="K18" s="56"/>
    </row>
    <row r="19" spans="1:11" ht="22.5" customHeight="1">
      <c r="A19" s="65" t="s">
        <v>7</v>
      </c>
      <c r="B19" s="66" t="s">
        <v>226</v>
      </c>
      <c r="C19" s="66"/>
      <c r="D19" s="66"/>
      <c r="E19" s="66"/>
      <c r="F19" s="579" t="s">
        <v>2</v>
      </c>
      <c r="G19" s="579" t="s">
        <v>2</v>
      </c>
      <c r="H19" s="585"/>
      <c r="I19" s="632"/>
      <c r="J19" s="56"/>
      <c r="K19" s="56"/>
    </row>
    <row r="20" spans="1:11" ht="22.5" customHeight="1">
      <c r="A20" s="65" t="s">
        <v>230</v>
      </c>
      <c r="B20" s="66" t="s">
        <v>22</v>
      </c>
      <c r="C20" s="67"/>
      <c r="D20" s="67"/>
      <c r="E20" s="66" t="str">
        <f>+B20</f>
        <v>(***)</v>
      </c>
      <c r="F20" s="578" t="s">
        <v>2</v>
      </c>
      <c r="G20" s="578" t="s">
        <v>2</v>
      </c>
      <c r="H20" s="584"/>
      <c r="I20" s="633"/>
      <c r="J20" s="56"/>
      <c r="K20" s="56"/>
    </row>
    <row r="21" spans="1:11" ht="22.5" customHeight="1" thickBot="1">
      <c r="A21" s="70" t="s">
        <v>9</v>
      </c>
      <c r="B21" s="71" t="s">
        <v>12</v>
      </c>
      <c r="C21" s="71" t="s">
        <v>12</v>
      </c>
      <c r="D21" s="71" t="s">
        <v>12</v>
      </c>
      <c r="E21" s="71" t="s">
        <v>12</v>
      </c>
      <c r="F21" s="573" t="s">
        <v>2</v>
      </c>
      <c r="G21" s="573" t="s">
        <v>2</v>
      </c>
      <c r="H21" s="586"/>
      <c r="I21" s="628"/>
      <c r="J21" s="56"/>
      <c r="K21" s="56"/>
    </row>
    <row r="22" spans="1:11" ht="21.75" customHeight="1" thickTop="1">
      <c r="A22" s="720"/>
      <c r="B22" s="721"/>
      <c r="C22" s="721"/>
      <c r="D22" s="721"/>
      <c r="E22" s="721"/>
      <c r="F22" s="721"/>
      <c r="G22" s="721"/>
      <c r="I22" s="56"/>
      <c r="J22" s="56"/>
      <c r="K22" s="56"/>
    </row>
    <row r="23" spans="1:11" s="63" customFormat="1" ht="30" customHeight="1">
      <c r="A23" s="722" t="s">
        <v>222</v>
      </c>
      <c r="B23" s="722"/>
      <c r="C23" s="722"/>
      <c r="D23" s="722"/>
      <c r="E23" s="722"/>
      <c r="F23" s="722"/>
      <c r="G23" s="722"/>
      <c r="H23" s="722"/>
    </row>
    <row r="24" spans="1:11" s="63" customFormat="1" ht="11.25" customHeight="1">
      <c r="A24" s="735"/>
      <c r="B24" s="735"/>
      <c r="C24" s="735"/>
      <c r="D24" s="735"/>
      <c r="E24" s="735"/>
      <c r="F24" s="735"/>
      <c r="G24" s="735"/>
      <c r="H24" s="735"/>
    </row>
    <row r="25" spans="1:11" s="63" customFormat="1" ht="31.5" customHeight="1">
      <c r="A25" s="722" t="s">
        <v>218</v>
      </c>
      <c r="B25" s="722"/>
      <c r="C25" s="722"/>
      <c r="D25" s="722"/>
      <c r="E25" s="722"/>
      <c r="F25" s="722"/>
      <c r="G25" s="722"/>
      <c r="H25" s="722"/>
    </row>
    <row r="26" spans="1:11" s="63" customFormat="1" ht="7.5" customHeight="1">
      <c r="A26" s="735"/>
      <c r="B26" s="735"/>
      <c r="C26" s="735"/>
      <c r="D26" s="735"/>
      <c r="E26" s="735"/>
      <c r="F26" s="735"/>
      <c r="G26" s="735"/>
      <c r="H26" s="735"/>
    </row>
    <row r="27" spans="1:11" ht="43.5" customHeight="1">
      <c r="A27" s="722" t="s">
        <v>219</v>
      </c>
      <c r="B27" s="722"/>
      <c r="C27" s="722"/>
      <c r="D27" s="722"/>
      <c r="E27" s="722"/>
      <c r="F27" s="722"/>
      <c r="G27" s="722"/>
      <c r="H27" s="722"/>
    </row>
    <row r="28" spans="1:11" s="9" customFormat="1" ht="8.25" customHeight="1">
      <c r="A28" s="735"/>
      <c r="B28" s="735"/>
      <c r="C28" s="735"/>
      <c r="D28" s="735"/>
      <c r="E28" s="735"/>
      <c r="F28" s="735"/>
      <c r="G28" s="735"/>
      <c r="H28" s="735"/>
    </row>
    <row r="29" spans="1:11" ht="18" customHeight="1">
      <c r="A29" s="723" t="s">
        <v>220</v>
      </c>
      <c r="B29" s="723"/>
      <c r="C29" s="723"/>
      <c r="D29" s="723"/>
      <c r="E29" s="723"/>
      <c r="F29" s="723"/>
      <c r="G29" s="723"/>
      <c r="H29" s="723"/>
    </row>
    <row r="30" spans="1:11" ht="7.5" customHeight="1">
      <c r="A30" s="732"/>
      <c r="B30" s="732"/>
      <c r="C30" s="732"/>
      <c r="D30" s="732"/>
      <c r="E30" s="732"/>
      <c r="F30" s="732"/>
      <c r="G30" s="732"/>
      <c r="H30" s="732"/>
    </row>
    <row r="31" spans="1:11" ht="29.25" customHeight="1">
      <c r="A31" s="723" t="s">
        <v>298</v>
      </c>
      <c r="B31" s="723"/>
      <c r="C31" s="723"/>
      <c r="D31" s="723"/>
      <c r="E31" s="723"/>
      <c r="F31" s="723"/>
      <c r="G31" s="723"/>
      <c r="H31" s="723"/>
    </row>
    <row r="32" spans="1:11" s="10" customFormat="1" ht="18" customHeight="1">
      <c r="A32" s="723" t="s">
        <v>305</v>
      </c>
      <c r="B32" s="723"/>
      <c r="C32" s="723"/>
      <c r="D32" s="723"/>
      <c r="E32" s="723"/>
      <c r="F32" s="723"/>
      <c r="G32" s="723"/>
      <c r="H32" s="723"/>
    </row>
    <row r="33" spans="1:8" s="10" customFormat="1" ht="14.25" customHeight="1">
      <c r="A33" s="723" t="s">
        <v>362</v>
      </c>
      <c r="B33" s="723"/>
      <c r="C33" s="723"/>
      <c r="D33" s="723"/>
      <c r="E33" s="723"/>
      <c r="F33" s="723"/>
      <c r="G33" s="723"/>
      <c r="H33" s="723"/>
    </row>
    <row r="34" spans="1:8" s="10" customFormat="1" ht="15">
      <c r="A34" s="732"/>
      <c r="B34" s="732"/>
      <c r="C34" s="732"/>
      <c r="D34" s="732"/>
      <c r="E34" s="732"/>
      <c r="F34" s="732"/>
      <c r="G34" s="732"/>
      <c r="H34" s="732"/>
    </row>
    <row r="35" spans="1:8" s="10" customFormat="1" ht="14.25" customHeight="1">
      <c r="A35" s="723" t="s">
        <v>654</v>
      </c>
      <c r="B35" s="723"/>
      <c r="C35" s="723"/>
      <c r="D35" s="723"/>
      <c r="E35" s="723"/>
      <c r="F35" s="723"/>
      <c r="G35" s="723"/>
      <c r="H35" s="723"/>
    </row>
    <row r="36" spans="1:8" s="10" customFormat="1" ht="15">
      <c r="A36" s="732"/>
      <c r="B36" s="732"/>
      <c r="C36" s="732"/>
      <c r="D36" s="732"/>
      <c r="E36" s="732"/>
      <c r="F36" s="732"/>
      <c r="G36" s="732"/>
      <c r="H36" s="732"/>
    </row>
    <row r="37" spans="1:8" s="10" customFormat="1" ht="14.25" customHeight="1">
      <c r="A37" s="723" t="s">
        <v>702</v>
      </c>
      <c r="B37" s="723"/>
      <c r="C37" s="723"/>
      <c r="D37" s="723"/>
      <c r="E37" s="723"/>
      <c r="F37" s="723"/>
      <c r="G37" s="723"/>
      <c r="H37" s="723"/>
    </row>
    <row r="38" spans="1:8" s="10" customFormat="1" ht="14.25" customHeight="1">
      <c r="A38" s="723"/>
      <c r="B38" s="723"/>
      <c r="C38" s="723"/>
      <c r="D38" s="723"/>
      <c r="E38" s="723"/>
      <c r="F38" s="723"/>
      <c r="G38" s="723"/>
      <c r="H38" s="723"/>
    </row>
    <row r="39" spans="1:8" s="10" customFormat="1" ht="14.25" customHeight="1">
      <c r="A39" s="723"/>
      <c r="B39" s="723"/>
      <c r="C39" s="723"/>
      <c r="D39" s="723"/>
      <c r="E39" s="723"/>
      <c r="F39" s="723"/>
      <c r="G39" s="723"/>
      <c r="H39" s="723"/>
    </row>
    <row r="40" spans="1:8" s="10" customFormat="1" ht="14.25" customHeight="1">
      <c r="A40" s="723"/>
      <c r="B40" s="723"/>
      <c r="C40" s="723"/>
      <c r="D40" s="723"/>
      <c r="E40" s="723"/>
      <c r="F40" s="723"/>
      <c r="G40" s="723"/>
      <c r="H40" s="723"/>
    </row>
    <row r="41" spans="1:8" s="10" customFormat="1" ht="87" customHeight="1">
      <c r="A41" s="723" t="s">
        <v>709</v>
      </c>
      <c r="B41" s="723"/>
      <c r="C41" s="723"/>
      <c r="D41" s="723"/>
      <c r="E41" s="723"/>
      <c r="F41" s="723"/>
      <c r="G41" s="723"/>
      <c r="H41" s="723"/>
    </row>
    <row r="42" spans="1:8" s="10" customFormat="1" ht="51.75" customHeight="1">
      <c r="A42" s="723" t="s">
        <v>708</v>
      </c>
      <c r="B42" s="723"/>
      <c r="C42" s="723"/>
      <c r="D42" s="723"/>
      <c r="E42" s="723"/>
      <c r="F42" s="723"/>
      <c r="G42" s="723"/>
      <c r="H42" s="723"/>
    </row>
    <row r="43" spans="1:8" s="10" customFormat="1">
      <c r="A43" s="734"/>
      <c r="B43" s="734"/>
      <c r="C43" s="734"/>
      <c r="D43" s="734"/>
      <c r="E43" s="734"/>
      <c r="F43" s="734"/>
      <c r="G43" s="734"/>
      <c r="H43" s="734"/>
    </row>
    <row r="44" spans="1:8" s="10" customFormat="1" ht="90" customHeight="1">
      <c r="A44" s="733" t="s">
        <v>338</v>
      </c>
      <c r="B44" s="733"/>
      <c r="C44" s="733"/>
      <c r="D44" s="733"/>
      <c r="E44" s="733"/>
      <c r="F44" s="733"/>
      <c r="G44" s="733"/>
      <c r="H44" s="733"/>
    </row>
    <row r="45" spans="1:8" s="10" customFormat="1">
      <c r="A45" s="11"/>
      <c r="B45" s="11"/>
      <c r="C45" s="11"/>
      <c r="D45" s="11"/>
      <c r="E45" s="11"/>
      <c r="F45" s="11"/>
      <c r="G45" s="11"/>
    </row>
    <row r="46" spans="1:8" s="10" customFormat="1">
      <c r="A46" s="11"/>
      <c r="B46" s="11"/>
      <c r="C46" s="11"/>
      <c r="D46" s="11"/>
      <c r="E46" s="11"/>
      <c r="F46" s="11"/>
      <c r="G46" s="11"/>
    </row>
    <row r="47" spans="1:8" s="10" customFormat="1">
      <c r="A47" s="11"/>
      <c r="B47" s="11"/>
      <c r="C47" s="11"/>
      <c r="D47" s="11"/>
      <c r="E47" s="11"/>
      <c r="F47" s="11"/>
      <c r="G47" s="11"/>
    </row>
    <row r="48" spans="1:8" s="10" customFormat="1">
      <c r="A48" s="11"/>
      <c r="B48" s="11"/>
      <c r="C48" s="11"/>
      <c r="D48" s="11"/>
      <c r="E48" s="11"/>
      <c r="F48" s="11"/>
      <c r="G48" s="11"/>
    </row>
    <row r="49" spans="1:7" s="10" customFormat="1">
      <c r="A49" s="11"/>
      <c r="B49" s="11"/>
      <c r="C49" s="11"/>
      <c r="D49" s="11"/>
      <c r="E49" s="11"/>
      <c r="F49" s="11"/>
      <c r="G49" s="11"/>
    </row>
    <row r="50" spans="1:7" s="10" customFormat="1">
      <c r="A50" s="12"/>
      <c r="B50" s="12"/>
      <c r="C50" s="12"/>
      <c r="D50" s="12"/>
      <c r="E50" s="12"/>
      <c r="F50" s="305"/>
      <c r="G50" s="12"/>
    </row>
  </sheetData>
  <sheetProtection password="C752" sheet="1" objects="1" scenarios="1"/>
  <mergeCells count="25">
    <mergeCell ref="A30:H30"/>
    <mergeCell ref="A28:H28"/>
    <mergeCell ref="A26:H26"/>
    <mergeCell ref="A24:H24"/>
    <mergeCell ref="A34:H34"/>
    <mergeCell ref="A31:H31"/>
    <mergeCell ref="A32:H32"/>
    <mergeCell ref="A33:H33"/>
    <mergeCell ref="A35:H35"/>
    <mergeCell ref="A37:H40"/>
    <mergeCell ref="A36:H36"/>
    <mergeCell ref="A42:H42"/>
    <mergeCell ref="A44:H44"/>
    <mergeCell ref="A41:H41"/>
    <mergeCell ref="A43:H43"/>
    <mergeCell ref="A2:H2"/>
    <mergeCell ref="A4:A6"/>
    <mergeCell ref="B4:B5"/>
    <mergeCell ref="E4:E5"/>
    <mergeCell ref="C4:D4"/>
    <mergeCell ref="A22:G22"/>
    <mergeCell ref="A23:H23"/>
    <mergeCell ref="A25:H25"/>
    <mergeCell ref="A27:H27"/>
    <mergeCell ref="A29:H29"/>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D9" sqref="D9"/>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7" t="str">
        <f>CONCATENATE("ESTRUCTURAS DE PRECIOS PARA GASOLINA MOTOR CORRIENTE OXIGENADA VIGENTES A PARTIR DE ",'COMBUSTIBLES '!$A$1)</f>
        <v>ESTRUCTURAS DE PRECIOS PARA GASOLINA MOTOR CORRIENTE OXIGENADA VIGENTES A PARTIR DE 1 DE JUNIO 2020</v>
      </c>
      <c r="B2" s="738"/>
      <c r="C2" s="738"/>
      <c r="D2" s="73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9" t="s">
        <v>0</v>
      </c>
      <c r="B3" s="740"/>
      <c r="C3" s="740"/>
      <c r="D3" s="740"/>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2" t="s">
        <v>1</v>
      </c>
      <c r="B4" s="741" t="s">
        <v>27</v>
      </c>
      <c r="C4" s="741" t="s">
        <v>632</v>
      </c>
      <c r="D4" s="451"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6"/>
      <c r="B5" s="729"/>
      <c r="C5" s="729"/>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7"/>
      <c r="B6" s="184" t="str">
        <f>+'COMBUSTIBLES '!B6</f>
        <v>1 DE JUNIO 2020</v>
      </c>
      <c r="C6" s="183" t="str">
        <f>'COMBUSTIBLES '!B6</f>
        <v>1 DE JUNIO 2020</v>
      </c>
      <c r="D6" s="183" t="str">
        <f>+C6</f>
        <v>1 DE JUNIO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34">
        <v>8717.01</v>
      </c>
      <c r="C7" s="304">
        <f>+'COMBUSTIBLES '!B7</f>
        <v>4000</v>
      </c>
      <c r="D7" s="43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183</v>
      </c>
      <c r="B8" s="176"/>
      <c r="C8" s="69"/>
      <c r="D8" s="324">
        <f>ROUND($C$7*(1-D5),2)</f>
        <v>3600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182</v>
      </c>
      <c r="B9" s="176"/>
      <c r="C9" s="69"/>
      <c r="D9" s="324">
        <f>+ROUND(B7*D5,2)</f>
        <v>871.7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4">
        <f>D8+D9</f>
        <v>4471.7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4">
        <f>+C11*(1-D5)</f>
        <v>491.63400000000001</v>
      </c>
      <c r="E11" s="7"/>
      <c r="F11" s="7"/>
      <c r="G11" s="7"/>
      <c r="H11" s="7"/>
      <c r="I11" s="7"/>
      <c r="J11" s="7"/>
      <c r="K11" s="7"/>
      <c r="L11" s="7"/>
      <c r="M11" s="7"/>
      <c r="N11" s="7" t="s">
        <v>660</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4" t="str">
        <f>+'COMBUSTIBLES '!C12</f>
        <v>(3)</v>
      </c>
      <c r="D12" s="324"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4">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4">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184</v>
      </c>
      <c r="B15" s="176"/>
      <c r="C15" s="69"/>
      <c r="D15" s="449"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185</v>
      </c>
      <c r="B16" s="176"/>
      <c r="C16" s="78"/>
      <c r="D16" s="449"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223</v>
      </c>
      <c r="B17" s="176"/>
      <c r="C17" s="69">
        <f>'COMBUSTIBLES '!B10</f>
        <v>71.510000000000005</v>
      </c>
      <c r="D17" s="449">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49"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49">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49" t="s">
        <v>226</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49"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49"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49"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230</v>
      </c>
      <c r="B24" s="176"/>
      <c r="C24" s="69" t="s">
        <v>159</v>
      </c>
      <c r="D24" s="449"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0"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28" customFormat="1" ht="35.25" customHeight="1">
      <c r="A27" s="743" t="s">
        <v>256</v>
      </c>
      <c r="B27" s="743"/>
      <c r="C27" s="743"/>
      <c r="D27" s="743"/>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row>
    <row r="28" spans="1:59" s="327" customFormat="1" ht="8.25" customHeight="1">
      <c r="A28" s="329"/>
      <c r="B28" s="329"/>
      <c r="C28" s="329"/>
      <c r="D28" s="329"/>
    </row>
    <row r="29" spans="1:59" s="327" customFormat="1" ht="48" customHeight="1">
      <c r="A29" s="744" t="s">
        <v>257</v>
      </c>
      <c r="B29" s="744"/>
      <c r="C29" s="744"/>
      <c r="D29" s="744"/>
    </row>
    <row r="30" spans="1:59" s="327" customFormat="1" ht="12.75">
      <c r="A30" s="330"/>
      <c r="B30" s="330"/>
      <c r="C30" s="331"/>
      <c r="D30" s="331"/>
    </row>
    <row r="31" spans="1:59" s="327" customFormat="1" ht="35.25" customHeight="1">
      <c r="A31" s="744" t="s">
        <v>227</v>
      </c>
      <c r="B31" s="744"/>
      <c r="C31" s="744"/>
      <c r="D31" s="744"/>
    </row>
    <row r="32" spans="1:59" s="327" customFormat="1" ht="12.75">
      <c r="A32" s="330"/>
      <c r="B32" s="330"/>
      <c r="C32" s="331"/>
      <c r="D32" s="331"/>
    </row>
    <row r="33" spans="1:6" s="367" customFormat="1" ht="36.75" customHeight="1">
      <c r="A33" s="745" t="s">
        <v>228</v>
      </c>
      <c r="B33" s="745"/>
      <c r="C33" s="745"/>
      <c r="D33" s="745"/>
    </row>
    <row r="34" spans="1:6" s="327" customFormat="1" ht="9" customHeight="1">
      <c r="A34" s="330"/>
      <c r="B34" s="330"/>
      <c r="C34" s="331"/>
      <c r="D34" s="331"/>
    </row>
    <row r="35" spans="1:6" s="327" customFormat="1" ht="12.75">
      <c r="A35" s="744" t="s">
        <v>229</v>
      </c>
      <c r="B35" s="744"/>
      <c r="C35" s="744"/>
      <c r="D35" s="744"/>
    </row>
    <row r="36" spans="1:6" s="327" customFormat="1" ht="10.5" customHeight="1">
      <c r="A36" s="332"/>
      <c r="B36" s="332"/>
      <c r="C36" s="332"/>
      <c r="D36" s="332"/>
    </row>
    <row r="37" spans="1:6" s="327" customFormat="1" ht="30.75" customHeight="1">
      <c r="A37" s="723" t="s">
        <v>298</v>
      </c>
      <c r="B37" s="723"/>
      <c r="C37" s="723"/>
      <c r="D37" s="723"/>
    </row>
    <row r="38" spans="1:6" s="327" customFormat="1" ht="6" customHeight="1">
      <c r="A38" s="555"/>
      <c r="B38" s="555"/>
      <c r="C38" s="555"/>
      <c r="D38" s="555"/>
    </row>
    <row r="39" spans="1:6" s="327" customFormat="1" ht="12.75" customHeight="1">
      <c r="A39" s="736" t="s">
        <v>646</v>
      </c>
      <c r="B39" s="736"/>
      <c r="C39" s="736"/>
      <c r="D39" s="736"/>
      <c r="E39" s="326"/>
      <c r="F39" s="326"/>
    </row>
    <row r="40" spans="1:6" s="327" customFormat="1" ht="12.75">
      <c r="A40" s="736"/>
      <c r="B40" s="736"/>
      <c r="C40" s="736"/>
      <c r="D40" s="736"/>
      <c r="E40" s="326"/>
      <c r="F40" s="326"/>
    </row>
    <row r="41" spans="1:6">
      <c r="A41" s="736"/>
      <c r="B41" s="736"/>
      <c r="C41" s="736"/>
      <c r="D41" s="736"/>
      <c r="E41" s="326"/>
      <c r="F41" s="326"/>
    </row>
    <row r="42" spans="1:6">
      <c r="A42" s="736"/>
      <c r="B42" s="736"/>
      <c r="C42" s="736"/>
      <c r="D42" s="736"/>
      <c r="E42" s="326"/>
      <c r="F42" s="326"/>
    </row>
    <row r="43" spans="1:6">
      <c r="A43" s="736"/>
      <c r="B43" s="736"/>
      <c r="C43" s="736"/>
      <c r="D43" s="736"/>
      <c r="E43" s="591"/>
      <c r="F43" s="554"/>
    </row>
    <row r="44" spans="1:6">
      <c r="A44" s="554"/>
      <c r="B44" s="554"/>
      <c r="C44" s="554"/>
      <c r="D44" s="554"/>
      <c r="E44" s="591"/>
      <c r="F44" s="554"/>
    </row>
    <row r="45" spans="1:6" ht="98.25" customHeight="1">
      <c r="A45" s="733" t="s">
        <v>338</v>
      </c>
      <c r="B45" s="733"/>
      <c r="C45" s="733"/>
      <c r="D45" s="733"/>
    </row>
  </sheetData>
  <sheetProtection algorithmName="SHA-512" hashValue="eORKb/LDNcJMywHj4csrMPnAu92O0dYgrFUqtS+WY3tiHN/CT2tGWw/gKcm2u+QsRoI3XFMslkQErDU892eOMA==" saltValue="4ah9qh42qd1NCa22Ox6tng==" spinCount="100000"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3" t="s">
        <v>317</v>
      </c>
    </row>
    <row r="3" spans="1:16" ht="13.5" thickBot="1"/>
    <row r="4" spans="1:16" ht="15.75" customHeight="1" thickTop="1">
      <c r="A4" s="746" t="s">
        <v>306</v>
      </c>
      <c r="B4" s="747"/>
      <c r="C4" s="747"/>
      <c r="D4" s="747"/>
      <c r="E4" s="747"/>
      <c r="F4" s="747"/>
      <c r="G4" s="747"/>
      <c r="H4" s="747"/>
      <c r="I4" s="747"/>
      <c r="J4" s="747"/>
      <c r="K4" s="747"/>
      <c r="L4" s="747"/>
      <c r="M4" s="747"/>
      <c r="N4" s="747"/>
      <c r="O4" s="747"/>
      <c r="P4" s="748"/>
    </row>
    <row r="5" spans="1:16" ht="18" customHeight="1">
      <c r="A5" s="749"/>
      <c r="B5" s="750"/>
      <c r="C5" s="750"/>
      <c r="D5" s="750"/>
      <c r="E5" s="750"/>
      <c r="F5" s="750"/>
      <c r="G5" s="750"/>
      <c r="H5" s="750"/>
      <c r="I5" s="750"/>
      <c r="J5" s="750"/>
      <c r="K5" s="750"/>
      <c r="L5" s="750"/>
      <c r="M5" s="750"/>
      <c r="N5" s="750"/>
      <c r="O5" s="750"/>
      <c r="P5" s="751"/>
    </row>
    <row r="6" spans="1:16" ht="51" customHeight="1">
      <c r="A6" s="412" t="s">
        <v>1</v>
      </c>
      <c r="B6" s="439" t="s">
        <v>308</v>
      </c>
      <c r="C6" s="439" t="s">
        <v>307</v>
      </c>
      <c r="D6" s="411" t="s">
        <v>284</v>
      </c>
      <c r="E6" s="439" t="s">
        <v>309</v>
      </c>
      <c r="F6" s="411" t="s">
        <v>285</v>
      </c>
      <c r="G6" s="411" t="s">
        <v>286</v>
      </c>
      <c r="H6" s="411" t="s">
        <v>287</v>
      </c>
      <c r="I6" s="439" t="s">
        <v>310</v>
      </c>
      <c r="J6" s="411" t="s">
        <v>288</v>
      </c>
      <c r="K6" s="411" t="s">
        <v>289</v>
      </c>
      <c r="L6" s="411" t="s">
        <v>311</v>
      </c>
      <c r="M6" s="411" t="s">
        <v>312</v>
      </c>
      <c r="N6" s="443" t="s">
        <v>290</v>
      </c>
      <c r="O6" s="443" t="s">
        <v>313</v>
      </c>
      <c r="P6" s="414" t="s">
        <v>314</v>
      </c>
    </row>
    <row r="7" spans="1:16" ht="21.75" customHeight="1">
      <c r="A7" s="82" t="s">
        <v>3</v>
      </c>
      <c r="B7" s="415">
        <v>4898.18</v>
      </c>
      <c r="C7" s="415">
        <v>4880.5</v>
      </c>
      <c r="D7" s="415">
        <v>4973.8500000000004</v>
      </c>
      <c r="E7" s="415">
        <v>4979.33</v>
      </c>
      <c r="F7" s="415">
        <v>4938.42</v>
      </c>
      <c r="G7" s="415">
        <v>4897.41</v>
      </c>
      <c r="H7" s="415">
        <v>4864.58</v>
      </c>
      <c r="I7" s="415">
        <v>4880.16</v>
      </c>
      <c r="J7" s="415">
        <v>4881.16</v>
      </c>
      <c r="K7" s="415">
        <v>4882.17</v>
      </c>
      <c r="L7" s="415">
        <v>4888.16</v>
      </c>
      <c r="M7" s="415">
        <v>4908.13</v>
      </c>
      <c r="N7" s="444">
        <v>4896.76</v>
      </c>
      <c r="O7" s="444">
        <v>4888.46</v>
      </c>
      <c r="P7" s="416">
        <v>4888.46</v>
      </c>
    </row>
    <row r="8" spans="1:16" ht="17.25" customHeight="1">
      <c r="A8" s="76" t="str">
        <f>+'COMBUSTIBLES '!A11</f>
        <v>Impuesto Nacional a la Gasolina y al ACPM</v>
      </c>
      <c r="B8" s="419">
        <f>+'COMBUSTIBLES '!B11</f>
        <v>546.26</v>
      </c>
      <c r="C8" s="419">
        <f>+B8</f>
        <v>546.26</v>
      </c>
      <c r="D8" s="419">
        <f>+B8</f>
        <v>546.26</v>
      </c>
      <c r="E8" s="419">
        <f t="shared" ref="E8:O8" si="0">+C8</f>
        <v>546.26</v>
      </c>
      <c r="F8" s="419">
        <f t="shared" si="0"/>
        <v>546.26</v>
      </c>
      <c r="G8" s="419">
        <f t="shared" si="0"/>
        <v>546.26</v>
      </c>
      <c r="H8" s="419">
        <f t="shared" si="0"/>
        <v>546.26</v>
      </c>
      <c r="I8" s="419">
        <f t="shared" si="0"/>
        <v>546.26</v>
      </c>
      <c r="J8" s="419">
        <f t="shared" si="0"/>
        <v>546.26</v>
      </c>
      <c r="K8" s="419">
        <f t="shared" si="0"/>
        <v>546.26</v>
      </c>
      <c r="L8" s="419">
        <f t="shared" si="0"/>
        <v>546.26</v>
      </c>
      <c r="M8" s="419">
        <f t="shared" si="0"/>
        <v>546.26</v>
      </c>
      <c r="N8" s="419">
        <f t="shared" si="0"/>
        <v>546.26</v>
      </c>
      <c r="O8" s="419">
        <f t="shared" si="0"/>
        <v>546.26</v>
      </c>
      <c r="P8" s="420">
        <f>+M8</f>
        <v>546.26</v>
      </c>
    </row>
    <row r="9" spans="1:16" ht="19.5" customHeight="1">
      <c r="A9" s="76" t="s">
        <v>56</v>
      </c>
      <c r="B9" s="419">
        <v>5.56</v>
      </c>
      <c r="C9" s="419">
        <f t="shared" ref="C9:C18" si="1">+B9</f>
        <v>5.56</v>
      </c>
      <c r="D9" s="419">
        <v>5.56</v>
      </c>
      <c r="E9" s="419">
        <v>5.56</v>
      </c>
      <c r="F9" s="419">
        <v>5.56</v>
      </c>
      <c r="G9" s="419">
        <v>5.56</v>
      </c>
      <c r="H9" s="419">
        <v>5.56</v>
      </c>
      <c r="I9" s="419">
        <v>5.56</v>
      </c>
      <c r="J9" s="419">
        <v>5.56</v>
      </c>
      <c r="K9" s="419">
        <v>5.56</v>
      </c>
      <c r="L9" s="419">
        <v>5.56</v>
      </c>
      <c r="M9" s="419">
        <v>5.56</v>
      </c>
      <c r="N9" s="419">
        <v>5.56</v>
      </c>
      <c r="O9" s="419">
        <v>5.56</v>
      </c>
      <c r="P9" s="420">
        <v>5.56</v>
      </c>
    </row>
    <row r="10" spans="1:16" ht="19.5" customHeight="1">
      <c r="A10" s="76" t="s">
        <v>283</v>
      </c>
      <c r="B10" s="419" t="str">
        <f>+'COMBUSTIBLES '!B9</f>
        <v>(*)</v>
      </c>
      <c r="C10" s="419" t="str">
        <f t="shared" si="1"/>
        <v>(*)</v>
      </c>
      <c r="D10" s="419" t="str">
        <f>+C10</f>
        <v>(*)</v>
      </c>
      <c r="E10" s="419" t="str">
        <f t="shared" ref="E10:O10" si="2">+D10</f>
        <v>(*)</v>
      </c>
      <c r="F10" s="419" t="str">
        <f t="shared" si="2"/>
        <v>(*)</v>
      </c>
      <c r="G10" s="419" t="str">
        <f t="shared" si="2"/>
        <v>(*)</v>
      </c>
      <c r="H10" s="419" t="str">
        <f t="shared" si="2"/>
        <v>(*)</v>
      </c>
      <c r="I10" s="419" t="str">
        <f t="shared" si="2"/>
        <v>(*)</v>
      </c>
      <c r="J10" s="419" t="str">
        <f t="shared" si="2"/>
        <v>(*)</v>
      </c>
      <c r="K10" s="419" t="str">
        <f t="shared" si="2"/>
        <v>(*)</v>
      </c>
      <c r="L10" s="419" t="str">
        <f t="shared" si="2"/>
        <v>(*)</v>
      </c>
      <c r="M10" s="419" t="str">
        <f t="shared" si="2"/>
        <v>(*)</v>
      </c>
      <c r="N10" s="419" t="str">
        <f t="shared" si="2"/>
        <v>(*)</v>
      </c>
      <c r="O10" s="419" t="str">
        <f t="shared" si="2"/>
        <v>(*)</v>
      </c>
      <c r="P10" s="420" t="str">
        <f>+O10</f>
        <v>(*)</v>
      </c>
    </row>
    <row r="11" spans="1:16" ht="19.5" customHeight="1">
      <c r="A11" s="76" t="s">
        <v>282</v>
      </c>
      <c r="B11" s="419">
        <f>'COMBUSTIBLES '!B10</f>
        <v>71.510000000000005</v>
      </c>
      <c r="C11" s="419">
        <f t="shared" si="1"/>
        <v>71.510000000000005</v>
      </c>
      <c r="D11" s="419">
        <f>+B11</f>
        <v>71.510000000000005</v>
      </c>
      <c r="E11" s="419">
        <f t="shared" ref="E11:O11" si="3">+C11</f>
        <v>71.510000000000005</v>
      </c>
      <c r="F11" s="419">
        <f t="shared" si="3"/>
        <v>71.510000000000005</v>
      </c>
      <c r="G11" s="419">
        <f t="shared" si="3"/>
        <v>71.510000000000005</v>
      </c>
      <c r="H11" s="419">
        <f t="shared" si="3"/>
        <v>71.510000000000005</v>
      </c>
      <c r="I11" s="419">
        <f t="shared" si="3"/>
        <v>71.510000000000005</v>
      </c>
      <c r="J11" s="419">
        <f t="shared" si="3"/>
        <v>71.510000000000005</v>
      </c>
      <c r="K11" s="419">
        <f t="shared" si="3"/>
        <v>71.510000000000005</v>
      </c>
      <c r="L11" s="419">
        <f t="shared" si="3"/>
        <v>71.510000000000005</v>
      </c>
      <c r="M11" s="419">
        <f t="shared" si="3"/>
        <v>71.510000000000005</v>
      </c>
      <c r="N11" s="419">
        <f t="shared" si="3"/>
        <v>71.510000000000005</v>
      </c>
      <c r="O11" s="419">
        <f t="shared" si="3"/>
        <v>71.510000000000005</v>
      </c>
      <c r="P11" s="420">
        <f>+M11</f>
        <v>71.510000000000005</v>
      </c>
    </row>
    <row r="12" spans="1:16" ht="30">
      <c r="A12" s="76" t="s">
        <v>50</v>
      </c>
      <c r="B12" s="419" t="str">
        <f>+'COMBUSTIBLES '!B14</f>
        <v>(**)</v>
      </c>
      <c r="C12" s="419" t="str">
        <f>+B12</f>
        <v>(**)</v>
      </c>
      <c r="D12" s="419" t="str">
        <f>+C12</f>
        <v>(**)</v>
      </c>
      <c r="E12" s="419" t="str">
        <f t="shared" ref="E12:O12" si="4">+D12</f>
        <v>(**)</v>
      </c>
      <c r="F12" s="419" t="str">
        <f t="shared" si="4"/>
        <v>(**)</v>
      </c>
      <c r="G12" s="419" t="str">
        <f t="shared" si="4"/>
        <v>(**)</v>
      </c>
      <c r="H12" s="419" t="str">
        <f t="shared" si="4"/>
        <v>(**)</v>
      </c>
      <c r="I12" s="419" t="str">
        <f t="shared" si="4"/>
        <v>(**)</v>
      </c>
      <c r="J12" s="419" t="str">
        <f t="shared" si="4"/>
        <v>(**)</v>
      </c>
      <c r="K12" s="419" t="str">
        <f t="shared" si="4"/>
        <v>(**)</v>
      </c>
      <c r="L12" s="419" t="str">
        <f t="shared" si="4"/>
        <v>(**)</v>
      </c>
      <c r="M12" s="419" t="str">
        <f t="shared" si="4"/>
        <v>(**)</v>
      </c>
      <c r="N12" s="419" t="str">
        <f t="shared" si="4"/>
        <v>(**)</v>
      </c>
      <c r="O12" s="419" t="str">
        <f t="shared" si="4"/>
        <v>(**)</v>
      </c>
      <c r="P12" s="420" t="str">
        <f>+O12</f>
        <v>(**)</v>
      </c>
    </row>
    <row r="13" spans="1:16" ht="19.5" customHeight="1">
      <c r="A13" s="76" t="s">
        <v>8</v>
      </c>
      <c r="B13" s="419">
        <f>+ROUND('COMBUSTIBLES '!B16,2)</f>
        <v>1269.69</v>
      </c>
      <c r="C13" s="419">
        <f t="shared" si="1"/>
        <v>1269.69</v>
      </c>
      <c r="D13" s="419">
        <f>+B13</f>
        <v>1269.69</v>
      </c>
      <c r="E13" s="419">
        <f t="shared" ref="E13:O13" si="5">+C13</f>
        <v>1269.69</v>
      </c>
      <c r="F13" s="419">
        <f t="shared" si="5"/>
        <v>1269.69</v>
      </c>
      <c r="G13" s="419">
        <f t="shared" si="5"/>
        <v>1269.69</v>
      </c>
      <c r="H13" s="419">
        <f t="shared" si="5"/>
        <v>1269.69</v>
      </c>
      <c r="I13" s="419">
        <f t="shared" si="5"/>
        <v>1269.69</v>
      </c>
      <c r="J13" s="419">
        <f t="shared" si="5"/>
        <v>1269.69</v>
      </c>
      <c r="K13" s="419">
        <f t="shared" si="5"/>
        <v>1269.69</v>
      </c>
      <c r="L13" s="419">
        <f t="shared" si="5"/>
        <v>1269.69</v>
      </c>
      <c r="M13" s="419">
        <f t="shared" si="5"/>
        <v>1269.69</v>
      </c>
      <c r="N13" s="419">
        <f t="shared" si="5"/>
        <v>1269.69</v>
      </c>
      <c r="O13" s="419">
        <f t="shared" si="5"/>
        <v>1269.69</v>
      </c>
      <c r="P13" s="420">
        <f>+M13</f>
        <v>1269.69</v>
      </c>
    </row>
    <row r="14" spans="1:16" ht="22.5" customHeight="1">
      <c r="A14" s="76" t="s">
        <v>47</v>
      </c>
      <c r="B14" s="419" t="str">
        <f>+'COMBUSTIBLES '!B15</f>
        <v>(***)</v>
      </c>
      <c r="C14" s="419" t="str">
        <f t="shared" si="1"/>
        <v>(***)</v>
      </c>
      <c r="D14" s="419" t="str">
        <f t="shared" ref="D14:D19" si="6">+C14</f>
        <v>(***)</v>
      </c>
      <c r="E14" s="419" t="str">
        <f t="shared" ref="E14:O14" si="7">+D14</f>
        <v>(***)</v>
      </c>
      <c r="F14" s="419" t="str">
        <f t="shared" si="7"/>
        <v>(***)</v>
      </c>
      <c r="G14" s="419" t="str">
        <f t="shared" si="7"/>
        <v>(***)</v>
      </c>
      <c r="H14" s="419" t="str">
        <f t="shared" si="7"/>
        <v>(***)</v>
      </c>
      <c r="I14" s="419" t="str">
        <f t="shared" si="7"/>
        <v>(***)</v>
      </c>
      <c r="J14" s="419" t="str">
        <f t="shared" si="7"/>
        <v>(***)</v>
      </c>
      <c r="K14" s="419" t="str">
        <f t="shared" si="7"/>
        <v>(***)</v>
      </c>
      <c r="L14" s="419" t="str">
        <f t="shared" si="7"/>
        <v>(***)</v>
      </c>
      <c r="M14" s="419" t="str">
        <f t="shared" si="7"/>
        <v>(***)</v>
      </c>
      <c r="N14" s="419" t="str">
        <f t="shared" si="7"/>
        <v>(***)</v>
      </c>
      <c r="O14" s="419" t="str">
        <f t="shared" si="7"/>
        <v>(***)</v>
      </c>
      <c r="P14" s="420" t="str">
        <f t="shared" ref="P14:P19" si="8">+O14</f>
        <v>(***)</v>
      </c>
    </row>
    <row r="15" spans="1:16" ht="30">
      <c r="A15" s="76" t="s">
        <v>62</v>
      </c>
      <c r="B15" s="419" t="str">
        <f>+'COMBUSTIBLES '!B17</f>
        <v>(**)</v>
      </c>
      <c r="C15" s="419" t="str">
        <f>+B15</f>
        <v>(**)</v>
      </c>
      <c r="D15" s="419" t="str">
        <f t="shared" si="6"/>
        <v>(**)</v>
      </c>
      <c r="E15" s="419" t="str">
        <f t="shared" ref="E15:O15" si="9">+D15</f>
        <v>(**)</v>
      </c>
      <c r="F15" s="419" t="str">
        <f t="shared" si="9"/>
        <v>(**)</v>
      </c>
      <c r="G15" s="419" t="str">
        <f t="shared" si="9"/>
        <v>(**)</v>
      </c>
      <c r="H15" s="419" t="str">
        <f t="shared" si="9"/>
        <v>(**)</v>
      </c>
      <c r="I15" s="419" t="str">
        <f t="shared" si="9"/>
        <v>(**)</v>
      </c>
      <c r="J15" s="419" t="str">
        <f t="shared" si="9"/>
        <v>(**)</v>
      </c>
      <c r="K15" s="419" t="str">
        <f t="shared" si="9"/>
        <v>(**)</v>
      </c>
      <c r="L15" s="419" t="str">
        <f t="shared" si="9"/>
        <v>(**)</v>
      </c>
      <c r="M15" s="419" t="str">
        <f t="shared" si="9"/>
        <v>(**)</v>
      </c>
      <c r="N15" s="419" t="str">
        <f t="shared" si="9"/>
        <v>(**)</v>
      </c>
      <c r="O15" s="419" t="str">
        <f t="shared" si="9"/>
        <v>(**)</v>
      </c>
      <c r="P15" s="420" t="str">
        <f t="shared" si="8"/>
        <v>(**)</v>
      </c>
    </row>
    <row r="16" spans="1:16" ht="18.75" customHeight="1">
      <c r="A16" s="76" t="s">
        <v>48</v>
      </c>
      <c r="B16" s="419" t="str">
        <f>+'COMBUSTIBLES '!B18</f>
        <v>(***)</v>
      </c>
      <c r="C16" s="419" t="str">
        <f t="shared" si="1"/>
        <v>(***)</v>
      </c>
      <c r="D16" s="445" t="str">
        <f t="shared" si="6"/>
        <v>(***)</v>
      </c>
      <c r="E16" s="445" t="str">
        <f t="shared" ref="E16:O16" si="10">+D16</f>
        <v>(***)</v>
      </c>
      <c r="F16" s="445" t="str">
        <f t="shared" si="10"/>
        <v>(***)</v>
      </c>
      <c r="G16" s="445" t="str">
        <f t="shared" si="10"/>
        <v>(***)</v>
      </c>
      <c r="H16" s="445" t="str">
        <f t="shared" si="10"/>
        <v>(***)</v>
      </c>
      <c r="I16" s="445" t="str">
        <f t="shared" si="10"/>
        <v>(***)</v>
      </c>
      <c r="J16" s="445" t="str">
        <f t="shared" si="10"/>
        <v>(***)</v>
      </c>
      <c r="K16" s="445" t="str">
        <f t="shared" si="10"/>
        <v>(***)</v>
      </c>
      <c r="L16" s="445" t="str">
        <f t="shared" si="10"/>
        <v>(***)</v>
      </c>
      <c r="M16" s="445" t="str">
        <f t="shared" si="10"/>
        <v>(***)</v>
      </c>
      <c r="N16" s="445" t="str">
        <f t="shared" si="10"/>
        <v>(***)</v>
      </c>
      <c r="O16" s="445" t="str">
        <f t="shared" si="10"/>
        <v>(***)</v>
      </c>
      <c r="P16" s="446" t="str">
        <f t="shared" si="8"/>
        <v>(***)</v>
      </c>
    </row>
    <row r="17" spans="1:16" ht="18.75" customHeight="1">
      <c r="A17" s="76" t="s">
        <v>60</v>
      </c>
      <c r="B17" s="419" t="str">
        <f>+'COMBUSTIBLES '!B19</f>
        <v>(****)</v>
      </c>
      <c r="C17" s="419" t="str">
        <f t="shared" si="1"/>
        <v>(****)</v>
      </c>
      <c r="D17" s="419" t="str">
        <f t="shared" si="6"/>
        <v>(****)</v>
      </c>
      <c r="E17" s="419" t="str">
        <f t="shared" ref="E17:O17" si="11">+D17</f>
        <v>(****)</v>
      </c>
      <c r="F17" s="419" t="str">
        <f t="shared" si="11"/>
        <v>(****)</v>
      </c>
      <c r="G17" s="419" t="str">
        <f t="shared" si="11"/>
        <v>(****)</v>
      </c>
      <c r="H17" s="419" t="str">
        <f t="shared" si="11"/>
        <v>(****)</v>
      </c>
      <c r="I17" s="419" t="str">
        <f t="shared" si="11"/>
        <v>(****)</v>
      </c>
      <c r="J17" s="419" t="str">
        <f t="shared" si="11"/>
        <v>(****)</v>
      </c>
      <c r="K17" s="419" t="str">
        <f t="shared" si="11"/>
        <v>(****)</v>
      </c>
      <c r="L17" s="419" t="str">
        <f t="shared" si="11"/>
        <v>(****)</v>
      </c>
      <c r="M17" s="419" t="str">
        <f t="shared" si="11"/>
        <v>(****)</v>
      </c>
      <c r="N17" s="419" t="str">
        <f t="shared" si="11"/>
        <v>(****)</v>
      </c>
      <c r="O17" s="419" t="str">
        <f t="shared" si="11"/>
        <v>(****)</v>
      </c>
      <c r="P17" s="420" t="str">
        <f t="shared" si="8"/>
        <v>(****)</v>
      </c>
    </row>
    <row r="18" spans="1:16" ht="30">
      <c r="A18" s="76" t="s">
        <v>230</v>
      </c>
      <c r="B18" s="419" t="str">
        <f>+'COMBUSTIBLES '!B20</f>
        <v>(***)</v>
      </c>
      <c r="C18" s="419" t="str">
        <f t="shared" si="1"/>
        <v>(***)</v>
      </c>
      <c r="D18" s="419" t="str">
        <f t="shared" si="6"/>
        <v>(***)</v>
      </c>
      <c r="E18" s="419" t="str">
        <f t="shared" ref="E18:O18" si="12">+D18</f>
        <v>(***)</v>
      </c>
      <c r="F18" s="419" t="str">
        <f t="shared" si="12"/>
        <v>(***)</v>
      </c>
      <c r="G18" s="419" t="str">
        <f t="shared" si="12"/>
        <v>(***)</v>
      </c>
      <c r="H18" s="419" t="str">
        <f t="shared" si="12"/>
        <v>(***)</v>
      </c>
      <c r="I18" s="419" t="str">
        <f t="shared" si="12"/>
        <v>(***)</v>
      </c>
      <c r="J18" s="419" t="str">
        <f t="shared" si="12"/>
        <v>(***)</v>
      </c>
      <c r="K18" s="419" t="str">
        <f t="shared" si="12"/>
        <v>(***)</v>
      </c>
      <c r="L18" s="419" t="str">
        <f t="shared" si="12"/>
        <v>(***)</v>
      </c>
      <c r="M18" s="419" t="str">
        <f t="shared" si="12"/>
        <v>(***)</v>
      </c>
      <c r="N18" s="419" t="str">
        <f t="shared" si="12"/>
        <v>(***)</v>
      </c>
      <c r="O18" s="419" t="str">
        <f t="shared" si="12"/>
        <v>(***)</v>
      </c>
      <c r="P18" s="420" t="str">
        <f t="shared" si="8"/>
        <v>(***)</v>
      </c>
    </row>
    <row r="19" spans="1:16" ht="30.75" thickBot="1">
      <c r="A19" s="79" t="s">
        <v>61</v>
      </c>
      <c r="B19" s="425" t="str">
        <f>+'COMBUSTIBLES '!B21</f>
        <v>(**)</v>
      </c>
      <c r="C19" s="425" t="str">
        <f>+B19</f>
        <v>(**)</v>
      </c>
      <c r="D19" s="425" t="str">
        <f t="shared" si="6"/>
        <v>(**)</v>
      </c>
      <c r="E19" s="425" t="str">
        <f t="shared" ref="E19:O19" si="13">+D19</f>
        <v>(**)</v>
      </c>
      <c r="F19" s="425" t="str">
        <f t="shared" si="13"/>
        <v>(**)</v>
      </c>
      <c r="G19" s="425" t="str">
        <f t="shared" si="13"/>
        <v>(**)</v>
      </c>
      <c r="H19" s="425" t="str">
        <f t="shared" si="13"/>
        <v>(**)</v>
      </c>
      <c r="I19" s="425" t="str">
        <f t="shared" si="13"/>
        <v>(**)</v>
      </c>
      <c r="J19" s="425" t="str">
        <f t="shared" si="13"/>
        <v>(**)</v>
      </c>
      <c r="K19" s="425" t="str">
        <f t="shared" si="13"/>
        <v>(**)</v>
      </c>
      <c r="L19" s="425" t="str">
        <f t="shared" si="13"/>
        <v>(**)</v>
      </c>
      <c r="M19" s="425" t="str">
        <f t="shared" si="13"/>
        <v>(**)</v>
      </c>
      <c r="N19" s="425" t="str">
        <f t="shared" si="13"/>
        <v>(**)</v>
      </c>
      <c r="O19" s="425" t="str">
        <f t="shared" si="13"/>
        <v>(**)</v>
      </c>
      <c r="P19" s="426" t="str">
        <f t="shared" si="8"/>
        <v>(**)</v>
      </c>
    </row>
    <row r="20" spans="1:16" ht="13.5" thickTop="1"/>
    <row r="21" spans="1:16" ht="15">
      <c r="A21" s="752" t="s">
        <v>337</v>
      </c>
      <c r="B21" s="753"/>
      <c r="C21" s="753"/>
      <c r="D21" s="753"/>
      <c r="E21" s="753"/>
      <c r="F21" s="753"/>
      <c r="G21" s="753"/>
      <c r="H21" s="753"/>
      <c r="I21" s="753"/>
      <c r="J21" s="753"/>
      <c r="K21" s="753"/>
      <c r="L21" s="753"/>
      <c r="M21" s="753"/>
      <c r="N21" s="753"/>
      <c r="O21" s="753"/>
      <c r="P21" s="753"/>
    </row>
    <row r="22" spans="1:16" ht="15">
      <c r="A22" s="441"/>
      <c r="B22" s="442"/>
      <c r="C22" s="442"/>
      <c r="D22" s="442"/>
      <c r="E22" s="442"/>
      <c r="F22" s="442"/>
      <c r="G22" s="442"/>
      <c r="H22" s="442"/>
      <c r="I22" s="442"/>
      <c r="J22" s="442"/>
      <c r="K22" s="442"/>
      <c r="L22" s="442"/>
      <c r="M22" s="442"/>
      <c r="N22" s="442"/>
      <c r="O22" s="442"/>
      <c r="P22" s="442"/>
    </row>
    <row r="23" spans="1:16">
      <c r="A23" s="736" t="s">
        <v>222</v>
      </c>
      <c r="B23" s="736"/>
      <c r="C23" s="736"/>
      <c r="D23" s="736"/>
      <c r="E23" s="736"/>
      <c r="F23" s="736"/>
    </row>
    <row r="24" spans="1:16">
      <c r="A24" s="437"/>
      <c r="B24" s="437"/>
      <c r="C24" s="437"/>
      <c r="D24" s="437"/>
      <c r="E24" s="437"/>
      <c r="F24" s="437"/>
    </row>
    <row r="25" spans="1:16">
      <c r="A25" s="736" t="s">
        <v>218</v>
      </c>
      <c r="B25" s="736"/>
      <c r="C25" s="736"/>
      <c r="D25" s="736"/>
      <c r="E25" s="736"/>
      <c r="F25" s="736"/>
    </row>
    <row r="26" spans="1:16" ht="15">
      <c r="A26" s="13"/>
      <c r="B26" s="318"/>
      <c r="C26" s="318"/>
      <c r="D26" s="318"/>
      <c r="E26" s="318"/>
      <c r="F26" s="318"/>
    </row>
    <row r="27" spans="1:16">
      <c r="A27" s="723" t="s">
        <v>219</v>
      </c>
      <c r="B27" s="723"/>
      <c r="C27" s="723"/>
      <c r="D27" s="723"/>
      <c r="E27" s="723"/>
      <c r="F27" s="723"/>
    </row>
    <row r="28" spans="1:16">
      <c r="A28" s="438"/>
      <c r="B28" s="438"/>
      <c r="C28" s="438"/>
      <c r="D28" s="438"/>
      <c r="E28" s="438"/>
      <c r="F28" s="438"/>
    </row>
    <row r="29" spans="1:16">
      <c r="A29" s="736" t="s">
        <v>220</v>
      </c>
      <c r="B29" s="736"/>
      <c r="C29" s="736"/>
      <c r="D29" s="736"/>
      <c r="E29" s="736"/>
      <c r="F29" s="736"/>
    </row>
    <row r="30" spans="1:16" ht="15">
      <c r="A30" s="720"/>
      <c r="B30" s="721"/>
      <c r="C30" s="721"/>
      <c r="D30" s="721"/>
      <c r="E30" s="721"/>
      <c r="F30" s="721"/>
    </row>
    <row r="31" spans="1:16">
      <c r="A31" s="736" t="s">
        <v>298</v>
      </c>
      <c r="B31" s="736"/>
      <c r="C31" s="736"/>
      <c r="D31" s="736"/>
      <c r="E31" s="736"/>
      <c r="F31" s="736"/>
    </row>
    <row r="32" spans="1:16">
      <c r="A32" s="736" t="s">
        <v>305</v>
      </c>
      <c r="B32" s="736"/>
      <c r="C32" s="736"/>
      <c r="D32" s="736"/>
      <c r="E32" s="736"/>
      <c r="F32" s="736"/>
    </row>
    <row r="35" spans="1:5" ht="114.75" customHeight="1">
      <c r="A35" s="733" t="s">
        <v>338</v>
      </c>
      <c r="B35" s="733"/>
      <c r="C35" s="733"/>
      <c r="D35" s="733"/>
      <c r="E35" s="73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4" sqref="H4"/>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54" t="str">
        <f>CONCATENATE("ESTRUCTURAS DE PRECIOS PARA GASOLINA EXTRA OXIGENADA VIGENTES A PARTIR DE ",'COMBUSTIBLES '!$A$1)</f>
        <v>ESTRUCTURAS DE PRECIOS PARA GASOLINA EXTRA OXIGENADA VIGENTES A PARTIR DE 1 DE JUNIO 2020</v>
      </c>
      <c r="B2" s="755"/>
      <c r="C2" s="755"/>
      <c r="D2" s="755"/>
      <c r="E2" s="755"/>
      <c r="F2" s="755"/>
    </row>
    <row r="3" spans="1:6" ht="16.5">
      <c r="A3" s="756" t="s">
        <v>0</v>
      </c>
      <c r="B3" s="757"/>
      <c r="C3" s="757"/>
      <c r="D3" s="757"/>
      <c r="E3" s="757"/>
      <c r="F3" s="757"/>
    </row>
    <row r="4" spans="1:6" ht="30">
      <c r="A4" s="742" t="s">
        <v>1</v>
      </c>
      <c r="B4" s="741" t="s">
        <v>27</v>
      </c>
      <c r="C4" s="741" t="s">
        <v>662</v>
      </c>
      <c r="D4" s="592" t="s">
        <v>29</v>
      </c>
      <c r="E4" s="758" t="s">
        <v>663</v>
      </c>
      <c r="F4" s="599" t="s">
        <v>29</v>
      </c>
    </row>
    <row r="5" spans="1:6" ht="15">
      <c r="A5" s="726"/>
      <c r="B5" s="729"/>
      <c r="C5" s="729"/>
      <c r="D5" s="593">
        <v>0.1</v>
      </c>
      <c r="E5" s="759"/>
      <c r="F5" s="600">
        <v>0.1</v>
      </c>
    </row>
    <row r="6" spans="1:6" ht="30" customHeight="1" thickBot="1">
      <c r="A6" s="727"/>
      <c r="B6" s="74" t="str">
        <f>+'GASOLINA CORRIENTE OXIGENADA'!B6</f>
        <v>1 DE JUNIO 2020</v>
      </c>
      <c r="C6" s="74" t="str">
        <f>+B6</f>
        <v>1 DE JUNIO 2020</v>
      </c>
      <c r="D6" s="74" t="str">
        <f>+C6</f>
        <v>1 DE JUNIO 2020</v>
      </c>
      <c r="E6" s="74" t="str">
        <f>+B6</f>
        <v>1 DE JUNIO 2020</v>
      </c>
      <c r="F6" s="75" t="str">
        <f>+B6</f>
        <v>1 DE JUNIO 2020</v>
      </c>
    </row>
    <row r="7" spans="1:6" ht="23.25" customHeight="1" thickTop="1">
      <c r="A7" s="73" t="s">
        <v>3</v>
      </c>
      <c r="B7" s="96">
        <f>+'GASOLINA CORRIENTE OXIGENADA'!B7</f>
        <v>8717.01</v>
      </c>
      <c r="C7" s="96">
        <f>+'COMBUSTIBLES '!C7</f>
        <v>5700</v>
      </c>
      <c r="D7" s="594">
        <f>+ROUND((C7*(1-D5))+($B$7*D5),2)</f>
        <v>6001.7</v>
      </c>
      <c r="E7" s="608">
        <f>+'COMBUSTIBLES '!D7</f>
        <v>5700</v>
      </c>
      <c r="F7" s="607">
        <f>+ROUND((E7*(1-F5))+($B$7*F5),2)</f>
        <v>6001.7</v>
      </c>
    </row>
    <row r="8" spans="1:6" ht="23.25" customHeight="1">
      <c r="A8" s="65" t="s">
        <v>26</v>
      </c>
      <c r="B8" s="67"/>
      <c r="C8" s="67">
        <f>+'COMBUSTIBLES '!C8</f>
        <v>8.1370000000000005</v>
      </c>
      <c r="D8" s="572">
        <f>+C8</f>
        <v>8.1370000000000005</v>
      </c>
      <c r="E8" s="572">
        <f>+'COMBUSTIBLES '!E8</f>
        <v>8.1370000000000005</v>
      </c>
      <c r="F8" s="72">
        <f>+E8</f>
        <v>8.1370000000000005</v>
      </c>
    </row>
    <row r="9" spans="1:6" ht="23.25" customHeight="1">
      <c r="A9" s="65" t="s">
        <v>233</v>
      </c>
      <c r="B9" s="69"/>
      <c r="C9" s="69" t="s">
        <v>11</v>
      </c>
      <c r="D9" s="595" t="s">
        <v>11</v>
      </c>
      <c r="E9" s="595" t="s">
        <v>11</v>
      </c>
      <c r="F9" s="77" t="s">
        <v>11</v>
      </c>
    </row>
    <row r="10" spans="1:6" ht="23.25" customHeight="1">
      <c r="A10" s="65" t="s">
        <v>231</v>
      </c>
      <c r="B10" s="69"/>
      <c r="C10" s="69">
        <f>+'COMBUSTIBLES '!C10</f>
        <v>71.510000000000005</v>
      </c>
      <c r="D10" s="595">
        <f>+C10</f>
        <v>71.510000000000005</v>
      </c>
      <c r="E10" s="595">
        <f>+'COMBUSTIBLES '!D10</f>
        <v>71.510000000000005</v>
      </c>
      <c r="F10" s="77">
        <f>+E10</f>
        <v>71.510000000000005</v>
      </c>
    </row>
    <row r="11" spans="1:6" ht="23.25" customHeight="1">
      <c r="A11" s="65" t="s">
        <v>263</v>
      </c>
      <c r="B11" s="67"/>
      <c r="C11" s="67">
        <f>+'COMBUSTIBLES '!C11</f>
        <v>1036.78</v>
      </c>
      <c r="D11" s="572">
        <f>+ROUND(+C11*(1-D5),2)</f>
        <v>933.1</v>
      </c>
      <c r="E11" s="67">
        <f>+'COMBUSTIBLES '!D11</f>
        <v>1036.78</v>
      </c>
      <c r="F11" s="602">
        <f>+ROUND(+E11*(1-F5),2)</f>
        <v>933.1</v>
      </c>
    </row>
    <row r="12" spans="1:6" ht="23.25" customHeight="1">
      <c r="A12" s="65" t="s">
        <v>272</v>
      </c>
      <c r="B12" s="67"/>
      <c r="C12" s="460" t="s">
        <v>384</v>
      </c>
      <c r="D12" s="570" t="s">
        <v>384</v>
      </c>
      <c r="E12" s="460" t="s">
        <v>384</v>
      </c>
      <c r="F12" s="603" t="s">
        <v>384</v>
      </c>
    </row>
    <row r="13" spans="1:6" ht="23.25" customHeight="1">
      <c r="A13" s="65" t="s">
        <v>363</v>
      </c>
      <c r="B13" s="67"/>
      <c r="C13" s="67">
        <f>+'COMBUSTIBLES '!C13</f>
        <v>155</v>
      </c>
      <c r="D13" s="572">
        <f>+ROUND(+C13*(1-D5),2)</f>
        <v>139.5</v>
      </c>
      <c r="E13" s="67">
        <f>+'COMBUSTIBLES '!D13</f>
        <v>155</v>
      </c>
      <c r="F13" s="602">
        <f>+ROUND(+E13*(1-F5),2)</f>
        <v>139.5</v>
      </c>
    </row>
    <row r="14" spans="1:6" ht="23.25" customHeight="1">
      <c r="A14" s="65" t="s">
        <v>258</v>
      </c>
      <c r="B14" s="69"/>
      <c r="C14" s="69" t="s">
        <v>12</v>
      </c>
      <c r="D14" s="595" t="s">
        <v>12</v>
      </c>
      <c r="E14" s="69" t="s">
        <v>12</v>
      </c>
      <c r="F14" s="604" t="s">
        <v>12</v>
      </c>
    </row>
    <row r="15" spans="1:6" ht="23.25" customHeight="1">
      <c r="A15" s="65" t="s">
        <v>4</v>
      </c>
      <c r="B15" s="67"/>
      <c r="C15" s="95"/>
      <c r="D15" s="596"/>
      <c r="E15" s="95"/>
      <c r="F15" s="605"/>
    </row>
    <row r="16" spans="1:6" ht="23.25" customHeight="1">
      <c r="A16" s="65" t="s">
        <v>8</v>
      </c>
      <c r="B16" s="67"/>
      <c r="C16" s="67">
        <f>+'COMBUSTIBLES '!C16</f>
        <v>1776.95</v>
      </c>
      <c r="D16" s="572">
        <f>+ROUND(+C16*(1-D5),2)</f>
        <v>1599.26</v>
      </c>
      <c r="E16" s="67">
        <f>+'COMBUSTIBLES '!D16</f>
        <v>1776.95</v>
      </c>
      <c r="F16" s="602">
        <f>+ROUND(+E16*(1-F5),2)</f>
        <v>1599.26</v>
      </c>
    </row>
    <row r="17" spans="1:6" ht="23.25" customHeight="1">
      <c r="A17" s="65" t="s">
        <v>5</v>
      </c>
      <c r="B17" s="68"/>
      <c r="C17" s="68"/>
      <c r="D17" s="597"/>
      <c r="E17" s="68"/>
      <c r="F17" s="606"/>
    </row>
    <row r="18" spans="1:6" ht="23.25" customHeight="1">
      <c r="A18" s="65" t="s">
        <v>6</v>
      </c>
      <c r="B18" s="67"/>
      <c r="C18" s="95"/>
      <c r="D18" s="596"/>
      <c r="E18" s="95"/>
      <c r="F18" s="325"/>
    </row>
    <row r="19" spans="1:6" ht="23.25" customHeight="1">
      <c r="A19" s="65" t="s">
        <v>7</v>
      </c>
      <c r="B19" s="67"/>
      <c r="C19" s="67"/>
      <c r="D19" s="572"/>
      <c r="E19" s="67"/>
      <c r="F19" s="72"/>
    </row>
    <row r="20" spans="1:6" ht="23.25" customHeight="1">
      <c r="A20" s="65" t="s">
        <v>230</v>
      </c>
      <c r="B20" s="67"/>
      <c r="C20" s="67"/>
      <c r="D20" s="572"/>
      <c r="E20" s="67"/>
      <c r="F20" s="72"/>
    </row>
    <row r="21" spans="1:6" ht="23.25" customHeight="1" thickBot="1">
      <c r="A21" s="70" t="s">
        <v>9</v>
      </c>
      <c r="B21" s="80"/>
      <c r="C21" s="80" t="s">
        <v>12</v>
      </c>
      <c r="D21" s="598" t="s">
        <v>12</v>
      </c>
      <c r="E21" s="80" t="s">
        <v>12</v>
      </c>
      <c r="F21" s="81" t="s">
        <v>12</v>
      </c>
    </row>
    <row r="22" spans="1:6" ht="15.75" thickTop="1">
      <c r="A22" s="13"/>
      <c r="B22" s="14"/>
      <c r="C22" s="14"/>
      <c r="D22" s="14"/>
      <c r="E22" s="14"/>
      <c r="F22" s="14"/>
    </row>
    <row r="23" spans="1:6" ht="14.25">
      <c r="A23" s="736" t="s">
        <v>217</v>
      </c>
      <c r="B23" s="736"/>
      <c r="C23" s="736"/>
      <c r="D23" s="736"/>
      <c r="E23" s="7"/>
      <c r="F23" s="7"/>
    </row>
    <row r="24" spans="1:6">
      <c r="A24" s="601"/>
      <c r="B24" s="601"/>
      <c r="C24" s="601"/>
      <c r="D24" s="601"/>
      <c r="E24" s="601"/>
      <c r="F24" s="601"/>
    </row>
    <row r="25" spans="1:6" ht="14.25">
      <c r="A25" s="736" t="s">
        <v>232</v>
      </c>
      <c r="B25" s="736"/>
      <c r="C25" s="736"/>
      <c r="D25" s="736"/>
      <c r="E25" s="7"/>
      <c r="F25" s="7"/>
    </row>
    <row r="26" spans="1:6">
      <c r="A26" s="601"/>
      <c r="B26" s="601"/>
      <c r="C26" s="601"/>
      <c r="D26" s="601"/>
      <c r="E26" s="601"/>
      <c r="F26" s="601"/>
    </row>
    <row r="27" spans="1:6" ht="14.25">
      <c r="A27" s="736" t="s">
        <v>298</v>
      </c>
      <c r="B27" s="736"/>
      <c r="C27" s="736"/>
      <c r="D27" s="736"/>
      <c r="E27" s="7"/>
      <c r="F27" s="7"/>
    </row>
    <row r="28" spans="1:6" ht="14.25">
      <c r="A28" s="736" t="s">
        <v>646</v>
      </c>
      <c r="B28" s="736"/>
      <c r="C28" s="736"/>
      <c r="D28" s="736"/>
      <c r="E28" s="7"/>
      <c r="F28" s="7"/>
    </row>
    <row r="29" spans="1:6" ht="14.25">
      <c r="A29" s="736"/>
      <c r="B29" s="736"/>
      <c r="C29" s="736"/>
      <c r="D29" s="736"/>
      <c r="E29" s="7"/>
      <c r="F29" s="7"/>
    </row>
    <row r="30" spans="1:6" ht="14.25">
      <c r="A30" s="736"/>
      <c r="B30" s="736"/>
      <c r="C30" s="736"/>
      <c r="D30" s="736"/>
      <c r="E30" s="7"/>
      <c r="F30" s="7"/>
    </row>
    <row r="31" spans="1:6" ht="14.25">
      <c r="A31" s="736"/>
      <c r="B31" s="736"/>
      <c r="C31" s="736"/>
      <c r="D31" s="736"/>
      <c r="E31" s="7"/>
      <c r="F31" s="7"/>
    </row>
    <row r="32" spans="1:6" ht="14.25">
      <c r="A32" s="736"/>
      <c r="B32" s="736"/>
      <c r="C32" s="736"/>
      <c r="D32" s="736"/>
      <c r="E32" s="7"/>
      <c r="F32" s="7"/>
    </row>
    <row r="33" spans="1:6">
      <c r="A33" s="601"/>
      <c r="B33" s="601"/>
      <c r="C33" s="601"/>
      <c r="D33" s="601"/>
      <c r="E33" s="601"/>
      <c r="F33" s="601"/>
    </row>
    <row r="34" spans="1:6" ht="138" customHeight="1">
      <c r="A34" s="733" t="s">
        <v>338</v>
      </c>
      <c r="B34" s="733"/>
      <c r="C34" s="733"/>
      <c r="D34" s="733"/>
      <c r="E34" s="7"/>
      <c r="F34" s="7"/>
    </row>
  </sheetData>
  <sheetProtection algorithmName="SHA-512" hashValue="cmWCSn7BcxWuy68wIrtg91PS5LXo36q2M7p0ao5wxT+c3RNe7zPNGbXNnm+6Yl/sK6Akx4tLKkComEw/oGVWsQ==" saltValue="KqpTPRf6kruW5OUTGh0RMg==" spinCount="100000" sheet="1" objects="1" scenarios="1"/>
  <mergeCells count="11">
    <mergeCell ref="A2:F2"/>
    <mergeCell ref="A3:F3"/>
    <mergeCell ref="A4:A6"/>
    <mergeCell ref="B4:B5"/>
    <mergeCell ref="C4:C5"/>
    <mergeCell ref="E4:E5"/>
    <mergeCell ref="A23:D23"/>
    <mergeCell ref="A25:D25"/>
    <mergeCell ref="A27:D27"/>
    <mergeCell ref="A28:D32"/>
    <mergeCell ref="A34:D34"/>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E10" sqref="E10"/>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61" t="str">
        <f>CONCATENATE("ESTRUCTURAS DE PRECIOS PARA LA MEZCLA DE BIOCOMBUSTIBLE PARA USO EN MOTORES DIESEL CON EL ACPM VIGENTES A PARTIR DE ",'COMBUSTIBLES '!$A$1)</f>
        <v>ESTRUCTURAS DE PRECIOS PARA LA MEZCLA DE BIOCOMBUSTIBLE PARA USO EN MOTORES DIESEL CON EL ACPM VIGENTES A PARTIR DE 1 DE JUNIO 2020</v>
      </c>
      <c r="B2" s="762"/>
      <c r="C2" s="762"/>
      <c r="D2" s="762"/>
      <c r="E2" s="762"/>
      <c r="F2" s="762"/>
      <c r="G2" s="76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3" t="s">
        <v>0</v>
      </c>
      <c r="B3" s="764"/>
      <c r="C3" s="764"/>
      <c r="D3" s="764"/>
      <c r="E3" s="764"/>
      <c r="F3" s="764"/>
      <c r="G3" s="764"/>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5" t="s">
        <v>1</v>
      </c>
      <c r="B4" s="85" t="s">
        <v>164</v>
      </c>
      <c r="C4" s="768" t="s">
        <v>686</v>
      </c>
      <c r="D4" s="768" t="s">
        <v>64</v>
      </c>
      <c r="E4" s="86" t="s">
        <v>647</v>
      </c>
      <c r="F4" s="86" t="s">
        <v>270</v>
      </c>
      <c r="G4" s="86" t="s">
        <v>687</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6"/>
      <c r="B5" s="87">
        <v>1</v>
      </c>
      <c r="C5" s="769"/>
      <c r="D5" s="769"/>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7"/>
      <c r="B6" s="179" t="str">
        <f>+'COMBUSTIBLES '!A1</f>
        <v>1 DE JUNIO 2020</v>
      </c>
      <c r="C6" s="179" t="str">
        <f>+B6</f>
        <v>1 DE JUNIO 2020</v>
      </c>
      <c r="D6" s="179" t="str">
        <f>+C6</f>
        <v>1 DE JUNIO 2020</v>
      </c>
      <c r="E6" s="180" t="str">
        <f>+B6</f>
        <v>1 DE JUNIO 2020</v>
      </c>
      <c r="F6" s="180" t="str">
        <f>+B6</f>
        <v>1 DE JUNIO 2020</v>
      </c>
      <c r="G6" s="180" t="str">
        <f>+B6</f>
        <v>1 DE JUNIO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2">
        <v>11515.16</v>
      </c>
      <c r="C7" s="432">
        <f>+'COMBUSTIBLES '!E7</f>
        <v>4736</v>
      </c>
      <c r="D7" s="432">
        <f>+C7</f>
        <v>4736</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4641.28</v>
      </c>
      <c r="F8" s="89">
        <f>+ROUND(C7*(1-F5), 2)</f>
        <v>4546.5600000000004</v>
      </c>
      <c r="G8" s="89">
        <f>+ROUND(+C7*(1-G5),2)</f>
        <v>4262.3999999999996</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191</v>
      </c>
      <c r="B9" s="91"/>
      <c r="C9" s="91"/>
      <c r="D9" s="91"/>
      <c r="E9" s="89">
        <f>+ROUND($B$7*E5,2)</f>
        <v>230.3</v>
      </c>
      <c r="F9" s="89">
        <f>+ROUND($B$7*F5,2)</f>
        <v>460.61</v>
      </c>
      <c r="G9" s="89">
        <f>+ROUND($B$7*G5,2)</f>
        <v>1151.52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664</v>
      </c>
      <c r="B10" s="91"/>
      <c r="C10" s="91"/>
      <c r="D10" s="91"/>
      <c r="E10" s="89">
        <f>+E9+E8</f>
        <v>4871.58</v>
      </c>
      <c r="F10" s="89">
        <f>+F9+F8</f>
        <v>5007.17</v>
      </c>
      <c r="G10" s="89">
        <f>+G9+G8</f>
        <v>5413.92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38"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5">
        <f>+'COMBUSTIBLES '!E8</f>
        <v>8.1370000000000005</v>
      </c>
      <c r="D14" s="435">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234</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235</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223</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7" t="s">
        <v>226</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226</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237</v>
      </c>
      <c r="B22" s="130"/>
      <c r="C22" s="130"/>
      <c r="D22" s="130"/>
      <c r="E22" s="124" t="s">
        <v>159</v>
      </c>
      <c r="F22" s="124"/>
      <c r="G22" s="89" t="s">
        <v>226</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58" t="s">
        <v>163</v>
      </c>
      <c r="B26" s="558"/>
      <c r="C26" s="558"/>
      <c r="D26" s="558"/>
      <c r="E26" s="559"/>
      <c r="F26" s="559"/>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60"/>
      <c r="B27" s="559"/>
      <c r="C27" s="559"/>
      <c r="D27" s="559"/>
      <c r="E27" s="559"/>
      <c r="F27" s="559"/>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58" t="s">
        <v>271</v>
      </c>
      <c r="B28" s="558"/>
      <c r="C28" s="558"/>
      <c r="D28" s="558"/>
      <c r="E28" s="559"/>
      <c r="F28" s="559"/>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60"/>
      <c r="B29" s="559"/>
      <c r="C29" s="559"/>
      <c r="D29" s="559"/>
      <c r="E29" s="559"/>
      <c r="F29" s="559"/>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70" t="s">
        <v>217</v>
      </c>
      <c r="B30" s="770"/>
      <c r="C30" s="770"/>
      <c r="D30" s="770"/>
      <c r="E30" s="770"/>
      <c r="F30" s="770"/>
      <c r="G30" s="77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61"/>
      <c r="B31" s="561"/>
      <c r="C31" s="561"/>
      <c r="D31" s="561"/>
      <c r="E31" s="562"/>
      <c r="F31" s="562"/>
      <c r="G31" s="5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4" customFormat="1" ht="24.75" customHeight="1">
      <c r="A32" s="770" t="s">
        <v>254</v>
      </c>
      <c r="B32" s="770"/>
      <c r="C32" s="770"/>
      <c r="D32" s="770"/>
      <c r="E32" s="770"/>
      <c r="F32" s="770"/>
      <c r="G32" s="770"/>
    </row>
    <row r="33" spans="1:7" s="564" customFormat="1" ht="11.25" customHeight="1">
      <c r="A33" s="565" t="s">
        <v>159</v>
      </c>
      <c r="B33" s="566"/>
      <c r="C33" s="566"/>
      <c r="D33" s="566"/>
      <c r="E33" s="563"/>
      <c r="F33" s="563"/>
      <c r="G33" s="563"/>
    </row>
    <row r="34" spans="1:7" s="564" customFormat="1" ht="32.25" customHeight="1">
      <c r="A34" s="770" t="s">
        <v>236</v>
      </c>
      <c r="B34" s="770"/>
      <c r="C34" s="770"/>
      <c r="D34" s="770"/>
      <c r="E34" s="770"/>
      <c r="F34" s="770"/>
      <c r="G34" s="770"/>
    </row>
    <row r="35" spans="1:7" s="564" customFormat="1" ht="10.5" customHeight="1">
      <c r="A35" s="561"/>
      <c r="B35" s="561"/>
      <c r="C35" s="561"/>
      <c r="D35" s="561"/>
      <c r="E35" s="563"/>
      <c r="F35" s="563"/>
      <c r="G35" s="563"/>
    </row>
    <row r="36" spans="1:7" s="564" customFormat="1" ht="42.75" customHeight="1">
      <c r="A36" s="770" t="s">
        <v>228</v>
      </c>
      <c r="B36" s="770"/>
      <c r="C36" s="770"/>
      <c r="D36" s="770"/>
      <c r="E36" s="770"/>
      <c r="F36" s="770"/>
      <c r="G36" s="770"/>
    </row>
    <row r="37" spans="1:7" s="564" customFormat="1" ht="7.5" customHeight="1">
      <c r="A37" s="565"/>
      <c r="B37" s="566"/>
      <c r="C37" s="566"/>
      <c r="D37" s="566"/>
      <c r="E37" s="563"/>
      <c r="F37" s="563"/>
      <c r="G37" s="563"/>
    </row>
    <row r="38" spans="1:7" s="564" customFormat="1" ht="31.5" customHeight="1">
      <c r="A38" s="770" t="s">
        <v>298</v>
      </c>
      <c r="B38" s="770"/>
      <c r="C38" s="770"/>
      <c r="D38" s="770"/>
      <c r="E38" s="770"/>
      <c r="F38" s="770"/>
      <c r="G38" s="770"/>
    </row>
    <row r="39" spans="1:7" s="56" customFormat="1" ht="14.25" customHeight="1">
      <c r="A39" s="736" t="s">
        <v>646</v>
      </c>
      <c r="B39" s="736"/>
      <c r="C39" s="736"/>
      <c r="D39" s="736"/>
      <c r="E39" s="736"/>
      <c r="F39" s="736"/>
      <c r="G39" s="736"/>
    </row>
    <row r="40" spans="1:7" s="56" customFormat="1">
      <c r="A40" s="736"/>
      <c r="B40" s="736"/>
      <c r="C40" s="736"/>
      <c r="D40" s="736"/>
      <c r="E40" s="736"/>
      <c r="F40" s="736"/>
      <c r="G40" s="736"/>
    </row>
    <row r="41" spans="1:7" s="56" customFormat="1">
      <c r="A41" s="736"/>
      <c r="B41" s="736"/>
      <c r="C41" s="736"/>
      <c r="D41" s="736"/>
      <c r="E41" s="736"/>
      <c r="F41" s="736"/>
      <c r="G41" s="736"/>
    </row>
    <row r="42" spans="1:7" s="56" customFormat="1">
      <c r="A42" s="736"/>
      <c r="B42" s="736"/>
      <c r="C42" s="736"/>
      <c r="D42" s="736"/>
      <c r="E42" s="736"/>
      <c r="F42" s="736"/>
      <c r="G42" s="736"/>
    </row>
    <row r="43" spans="1:7" s="56" customFormat="1">
      <c r="A43" s="556"/>
      <c r="B43" s="556"/>
      <c r="C43" s="556"/>
      <c r="D43" s="556"/>
      <c r="E43" s="556"/>
      <c r="F43" s="556"/>
      <c r="G43" s="84"/>
    </row>
    <row r="44" spans="1:7" s="56" customFormat="1">
      <c r="A44" s="736"/>
      <c r="B44" s="736"/>
      <c r="C44" s="736"/>
      <c r="D44" s="736"/>
      <c r="E44" s="736"/>
      <c r="F44" s="736"/>
      <c r="G44" s="84"/>
    </row>
    <row r="45" spans="1:7" s="56" customFormat="1" ht="93.75" customHeight="1">
      <c r="A45" s="760" t="s">
        <v>338</v>
      </c>
      <c r="B45" s="760"/>
      <c r="C45" s="760"/>
      <c r="D45" s="760"/>
      <c r="E45" s="760"/>
      <c r="F45" s="760"/>
      <c r="G45" s="760"/>
    </row>
  </sheetData>
  <sheetProtection algorithmName="SHA-512" hashValue="YBEIujk1flXLF2XkZ9Ti9JCicbhhZW0myn6CqwQb2n5lzsN6UvtuCaPdqFefRWDXg4FDa1mv4oLJrrUW/piKjw==" saltValue="EMimSphaiVwKHIPsfrIM3g==" spinCount="100000"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3" t="s">
        <v>315</v>
      </c>
    </row>
    <row r="3" spans="1:17" ht="13.5" thickBot="1">
      <c r="B3" s="448">
        <v>0.98</v>
      </c>
      <c r="C3" s="448">
        <v>0.96</v>
      </c>
    </row>
    <row r="4" spans="1:17" ht="15.75" customHeight="1" thickTop="1">
      <c r="A4" s="771" t="s">
        <v>316</v>
      </c>
      <c r="B4" s="772"/>
      <c r="C4" s="772"/>
      <c r="D4" s="772"/>
      <c r="E4" s="772"/>
      <c r="F4" s="772"/>
      <c r="G4" s="772"/>
      <c r="H4" s="772"/>
      <c r="I4" s="772"/>
      <c r="J4" s="772"/>
      <c r="K4" s="772"/>
      <c r="L4" s="772"/>
      <c r="M4" s="772"/>
      <c r="N4" s="772"/>
      <c r="O4" s="772"/>
      <c r="P4" s="773"/>
    </row>
    <row r="5" spans="1:17" ht="18" customHeight="1">
      <c r="A5" s="774"/>
      <c r="B5" s="775"/>
      <c r="C5" s="775"/>
      <c r="D5" s="775"/>
      <c r="E5" s="775"/>
      <c r="F5" s="775"/>
      <c r="G5" s="775"/>
      <c r="H5" s="775"/>
      <c r="I5" s="775"/>
      <c r="J5" s="775"/>
      <c r="K5" s="775"/>
      <c r="L5" s="775"/>
      <c r="M5" s="775"/>
      <c r="N5" s="775"/>
      <c r="O5" s="775"/>
      <c r="P5" s="776"/>
    </row>
    <row r="6" spans="1:17" ht="66" customHeight="1">
      <c r="A6" s="412" t="s">
        <v>1</v>
      </c>
      <c r="B6" s="440" t="s">
        <v>320</v>
      </c>
      <c r="C6" s="440" t="s">
        <v>321</v>
      </c>
      <c r="D6" s="440" t="s">
        <v>322</v>
      </c>
      <c r="E6" s="440" t="s">
        <v>323</v>
      </c>
      <c r="F6" s="440" t="s">
        <v>324</v>
      </c>
      <c r="G6" s="440" t="s">
        <v>325</v>
      </c>
      <c r="H6" s="440" t="s">
        <v>326</v>
      </c>
      <c r="I6" s="440" t="s">
        <v>327</v>
      </c>
      <c r="J6" s="440" t="s">
        <v>328</v>
      </c>
      <c r="K6" s="440" t="s">
        <v>329</v>
      </c>
      <c r="L6" s="440" t="s">
        <v>330</v>
      </c>
      <c r="M6" s="440" t="s">
        <v>331</v>
      </c>
      <c r="N6" s="443" t="s">
        <v>332</v>
      </c>
      <c r="O6" s="443" t="s">
        <v>333</v>
      </c>
      <c r="P6" s="414" t="s">
        <v>334</v>
      </c>
    </row>
    <row r="7" spans="1:17" ht="21" customHeight="1">
      <c r="A7" s="82" t="s">
        <v>335</v>
      </c>
      <c r="B7" s="415">
        <v>5490.5</v>
      </c>
      <c r="C7" s="415">
        <v>5492.35</v>
      </c>
      <c r="D7" s="415">
        <v>5509.95</v>
      </c>
      <c r="E7" s="415">
        <v>5505.06</v>
      </c>
      <c r="F7" s="415">
        <v>5549.42</v>
      </c>
      <c r="G7" s="415">
        <v>5561.15</v>
      </c>
      <c r="H7" s="415">
        <v>5558.95</v>
      </c>
      <c r="I7" s="415">
        <v>5550.75</v>
      </c>
      <c r="J7" s="415">
        <v>5560.41</v>
      </c>
      <c r="K7" s="415">
        <v>5554.3</v>
      </c>
      <c r="L7" s="415">
        <v>5541.47</v>
      </c>
      <c r="M7" s="415">
        <v>5541.5</v>
      </c>
      <c r="N7" s="415">
        <v>5542.49</v>
      </c>
      <c r="O7" s="415">
        <v>5552.05</v>
      </c>
      <c r="P7" s="416">
        <v>5546.91</v>
      </c>
      <c r="Q7" s="428"/>
    </row>
    <row r="8" spans="1:17" ht="21" customHeight="1">
      <c r="A8" s="82" t="s">
        <v>318</v>
      </c>
      <c r="B8" s="415">
        <f>B7*$B$3</f>
        <v>5380.69</v>
      </c>
      <c r="C8" s="415">
        <f>C7*$B$3</f>
        <v>5382.5030000000006</v>
      </c>
      <c r="D8" s="415">
        <f>D7*$C$3</f>
        <v>5289.5519999999997</v>
      </c>
      <c r="E8" s="415">
        <f>E7*$C$3</f>
        <v>5284.8576000000003</v>
      </c>
      <c r="F8" s="415">
        <f t="shared" ref="F8:O8" si="0">F7*$B$3</f>
        <v>5438.4315999999999</v>
      </c>
      <c r="G8" s="415">
        <f t="shared" si="0"/>
        <v>5449.9269999999997</v>
      </c>
      <c r="H8" s="415">
        <f t="shared" si="0"/>
        <v>5447.7709999999997</v>
      </c>
      <c r="I8" s="415">
        <f t="shared" si="0"/>
        <v>5439.7349999999997</v>
      </c>
      <c r="J8" s="415">
        <f t="shared" si="0"/>
        <v>5449.2017999999998</v>
      </c>
      <c r="K8" s="415">
        <f t="shared" si="0"/>
        <v>5443.2139999999999</v>
      </c>
      <c r="L8" s="415">
        <f t="shared" si="0"/>
        <v>5430.6405999999997</v>
      </c>
      <c r="M8" s="415">
        <f t="shared" si="0"/>
        <v>5430.67</v>
      </c>
      <c r="N8" s="415">
        <f t="shared" si="0"/>
        <v>5431.6401999999998</v>
      </c>
      <c r="O8" s="415">
        <f t="shared" si="0"/>
        <v>5441.009</v>
      </c>
      <c r="P8" s="416">
        <f>P7*$B$3</f>
        <v>5435.9717999999993</v>
      </c>
      <c r="Q8" s="447"/>
    </row>
    <row r="9" spans="1:17" ht="21" customHeight="1">
      <c r="A9" s="82" t="s">
        <v>319</v>
      </c>
      <c r="B9" s="415">
        <f>+BIODIESEL!E9</f>
        <v>230.3</v>
      </c>
      <c r="C9" s="415">
        <f>+B9</f>
        <v>230.3</v>
      </c>
      <c r="D9" s="415">
        <f>+BIODIESEL!F9</f>
        <v>460.61</v>
      </c>
      <c r="E9" s="415">
        <f>+D9</f>
        <v>460.61</v>
      </c>
      <c r="F9" s="415">
        <f>+B9</f>
        <v>230.3</v>
      </c>
      <c r="G9" s="415">
        <f>+B9</f>
        <v>230.3</v>
      </c>
      <c r="H9" s="415">
        <f>+B9</f>
        <v>230.3</v>
      </c>
      <c r="I9" s="415">
        <f>+C9</f>
        <v>230.3</v>
      </c>
      <c r="J9" s="415">
        <f>+B9</f>
        <v>230.3</v>
      </c>
      <c r="K9" s="415">
        <f>+B9</f>
        <v>230.3</v>
      </c>
      <c r="L9" s="415">
        <f>+B9</f>
        <v>230.3</v>
      </c>
      <c r="M9" s="415">
        <f>+C9</f>
        <v>230.3</v>
      </c>
      <c r="N9" s="415">
        <f>+M9</f>
        <v>230.3</v>
      </c>
      <c r="O9" s="415">
        <f>+N9</f>
        <v>230.3</v>
      </c>
      <c r="P9" s="416">
        <f>+B9</f>
        <v>230.3</v>
      </c>
      <c r="Q9" s="429"/>
    </row>
    <row r="10" spans="1:17" ht="21" customHeight="1">
      <c r="A10" s="76" t="s">
        <v>291</v>
      </c>
      <c r="B10" s="417">
        <f>+B8+B9</f>
        <v>5610.99</v>
      </c>
      <c r="C10" s="417">
        <f t="shared" ref="C10:P10" si="1">+C8+C9</f>
        <v>5612.8030000000008</v>
      </c>
      <c r="D10" s="417">
        <f t="shared" si="1"/>
        <v>5750.1619999999994</v>
      </c>
      <c r="E10" s="417">
        <f t="shared" si="1"/>
        <v>5745.4675999999999</v>
      </c>
      <c r="F10" s="417">
        <f t="shared" si="1"/>
        <v>5668.7316000000001</v>
      </c>
      <c r="G10" s="417">
        <f t="shared" si="1"/>
        <v>5680.2269999999999</v>
      </c>
      <c r="H10" s="417">
        <f t="shared" si="1"/>
        <v>5678.0709999999999</v>
      </c>
      <c r="I10" s="417">
        <f t="shared" si="1"/>
        <v>5670.0349999999999</v>
      </c>
      <c r="J10" s="417">
        <f t="shared" si="1"/>
        <v>5679.5018</v>
      </c>
      <c r="K10" s="417">
        <f t="shared" si="1"/>
        <v>5673.5140000000001</v>
      </c>
      <c r="L10" s="417">
        <f t="shared" si="1"/>
        <v>5660.9405999999999</v>
      </c>
      <c r="M10" s="417">
        <f t="shared" si="1"/>
        <v>5660.97</v>
      </c>
      <c r="N10" s="417">
        <f t="shared" si="1"/>
        <v>5661.9402</v>
      </c>
      <c r="O10" s="417">
        <f t="shared" si="1"/>
        <v>5671.3090000000002</v>
      </c>
      <c r="P10" s="417">
        <f t="shared" si="1"/>
        <v>5666.2717999999995</v>
      </c>
    </row>
    <row r="11" spans="1:17" ht="21" customHeight="1">
      <c r="A11" s="76" t="s">
        <v>292</v>
      </c>
      <c r="B11" s="417">
        <f>+BIODIESEL!E11</f>
        <v>512.39</v>
      </c>
      <c r="C11" s="417">
        <f>+BIODIESEL!F11</f>
        <v>501.94</v>
      </c>
      <c r="D11" s="417">
        <f>+BIODIESEL!F11</f>
        <v>501.94</v>
      </c>
      <c r="E11" s="417">
        <f>+D11</f>
        <v>501.94</v>
      </c>
      <c r="F11" s="417">
        <f>+B11</f>
        <v>512.39</v>
      </c>
      <c r="G11" s="417">
        <f>+B11</f>
        <v>512.39</v>
      </c>
      <c r="H11" s="417">
        <f>+B11</f>
        <v>512.39</v>
      </c>
      <c r="I11" s="417">
        <f>+C11</f>
        <v>501.94</v>
      </c>
      <c r="J11" s="417">
        <f>+B11</f>
        <v>512.39</v>
      </c>
      <c r="K11" s="417">
        <f>+B11</f>
        <v>512.39</v>
      </c>
      <c r="L11" s="417">
        <f>+B11</f>
        <v>512.39</v>
      </c>
      <c r="M11" s="417">
        <f t="shared" ref="M11:O12" si="2">+C11</f>
        <v>501.94</v>
      </c>
      <c r="N11" s="417">
        <f t="shared" si="2"/>
        <v>501.94</v>
      </c>
      <c r="O11" s="417">
        <f t="shared" si="2"/>
        <v>501.94</v>
      </c>
      <c r="P11" s="418">
        <f>+B11</f>
        <v>512.39</v>
      </c>
    </row>
    <row r="12" spans="1:17" ht="21" customHeight="1">
      <c r="A12" s="76" t="s">
        <v>56</v>
      </c>
      <c r="B12" s="419">
        <f>+BIODIESEL!E14</f>
        <v>8.1370000000000005</v>
      </c>
      <c r="C12" s="419">
        <f>+B12</f>
        <v>8.1370000000000005</v>
      </c>
      <c r="D12" s="430">
        <v>5.17</v>
      </c>
      <c r="E12" s="430">
        <f>+D12</f>
        <v>5.17</v>
      </c>
      <c r="F12" s="419">
        <f>+B12</f>
        <v>8.1370000000000005</v>
      </c>
      <c r="G12" s="419">
        <f>+B12</f>
        <v>8.1370000000000005</v>
      </c>
      <c r="H12" s="419">
        <f>+B12</f>
        <v>8.1370000000000005</v>
      </c>
      <c r="I12" s="419">
        <f>+C12</f>
        <v>8.1370000000000005</v>
      </c>
      <c r="J12" s="419">
        <f>+B12</f>
        <v>8.1370000000000005</v>
      </c>
      <c r="K12" s="419">
        <f>+B12</f>
        <v>8.1370000000000005</v>
      </c>
      <c r="L12" s="419">
        <f>+B12</f>
        <v>8.1370000000000005</v>
      </c>
      <c r="M12" s="419">
        <f t="shared" si="2"/>
        <v>8.1370000000000005</v>
      </c>
      <c r="N12" s="419">
        <f>+M12</f>
        <v>8.1370000000000005</v>
      </c>
      <c r="O12" s="419">
        <f>+N12</f>
        <v>8.1370000000000005</v>
      </c>
      <c r="P12" s="420">
        <f>+B12</f>
        <v>8.1370000000000005</v>
      </c>
    </row>
    <row r="13" spans="1:17" ht="21" customHeight="1">
      <c r="A13" s="76" t="s">
        <v>294</v>
      </c>
      <c r="B13" s="419" t="str">
        <f>+BIODIESEL!C15</f>
        <v>(*)</v>
      </c>
      <c r="C13" s="419" t="str">
        <f>+B13</f>
        <v>(*)</v>
      </c>
      <c r="D13" s="419" t="str">
        <f t="shared" ref="D13:O13" si="3">+C13</f>
        <v>(*)</v>
      </c>
      <c r="E13" s="419" t="str">
        <f t="shared" si="3"/>
        <v>(*)</v>
      </c>
      <c r="F13" s="419" t="str">
        <f t="shared" si="3"/>
        <v>(*)</v>
      </c>
      <c r="G13" s="419" t="str">
        <f t="shared" si="3"/>
        <v>(*)</v>
      </c>
      <c r="H13" s="419" t="str">
        <f t="shared" si="3"/>
        <v>(*)</v>
      </c>
      <c r="I13" s="419" t="str">
        <f t="shared" si="3"/>
        <v>(*)</v>
      </c>
      <c r="J13" s="419" t="str">
        <f t="shared" si="3"/>
        <v>(*)</v>
      </c>
      <c r="K13" s="419" t="str">
        <f t="shared" si="3"/>
        <v>(*)</v>
      </c>
      <c r="L13" s="419" t="str">
        <f t="shared" si="3"/>
        <v>(*)</v>
      </c>
      <c r="M13" s="419" t="str">
        <f t="shared" si="3"/>
        <v>(*)</v>
      </c>
      <c r="N13" s="419" t="str">
        <f t="shared" si="3"/>
        <v>(*)</v>
      </c>
      <c r="O13" s="419" t="str">
        <f t="shared" si="3"/>
        <v>(*)</v>
      </c>
      <c r="P13" s="420" t="str">
        <f>+O13</f>
        <v>(*)</v>
      </c>
    </row>
    <row r="14" spans="1:17" ht="21" customHeight="1">
      <c r="A14" s="76" t="s">
        <v>295</v>
      </c>
      <c r="B14" s="419" t="str">
        <f>+BIODIESEL!E16</f>
        <v>(**)</v>
      </c>
      <c r="C14" s="419" t="str">
        <f>+B14</f>
        <v>(**)</v>
      </c>
      <c r="D14" s="419" t="str">
        <f t="shared" ref="D14:O14" si="4">+C14</f>
        <v>(**)</v>
      </c>
      <c r="E14" s="419" t="str">
        <f t="shared" si="4"/>
        <v>(**)</v>
      </c>
      <c r="F14" s="419" t="str">
        <f t="shared" si="4"/>
        <v>(**)</v>
      </c>
      <c r="G14" s="419" t="str">
        <f t="shared" si="4"/>
        <v>(**)</v>
      </c>
      <c r="H14" s="419" t="str">
        <f t="shared" si="4"/>
        <v>(**)</v>
      </c>
      <c r="I14" s="419" t="str">
        <f t="shared" si="4"/>
        <v>(**)</v>
      </c>
      <c r="J14" s="419" t="str">
        <f t="shared" si="4"/>
        <v>(**)</v>
      </c>
      <c r="K14" s="419" t="str">
        <f t="shared" si="4"/>
        <v>(**)</v>
      </c>
      <c r="L14" s="419" t="str">
        <f t="shared" si="4"/>
        <v>(**)</v>
      </c>
      <c r="M14" s="419" t="str">
        <f t="shared" si="4"/>
        <v>(**)</v>
      </c>
      <c r="N14" s="419" t="str">
        <f t="shared" si="4"/>
        <v>(**)</v>
      </c>
      <c r="O14" s="419" t="str">
        <f t="shared" si="4"/>
        <v>(**)</v>
      </c>
      <c r="P14" s="420" t="str">
        <f>+O14</f>
        <v>(**)</v>
      </c>
    </row>
    <row r="15" spans="1:17" ht="21" customHeight="1">
      <c r="A15" s="76" t="s">
        <v>293</v>
      </c>
      <c r="B15" s="419">
        <f>+BIODIESEL!E17</f>
        <v>71.510000000000005</v>
      </c>
      <c r="C15" s="419">
        <f>+BIODIESEL!F17</f>
        <v>71.510000000000005</v>
      </c>
      <c r="D15" s="419">
        <f>+B15</f>
        <v>71.510000000000005</v>
      </c>
      <c r="E15" s="419">
        <f>+D15</f>
        <v>71.510000000000005</v>
      </c>
      <c r="F15" s="419">
        <f>+BIODIESEL!G17</f>
        <v>71.510000000000005</v>
      </c>
      <c r="G15" s="419" t="e">
        <f>+BIODIESEL!#REF!</f>
        <v>#REF!</v>
      </c>
      <c r="H15" s="419">
        <f t="shared" ref="H15:O15" si="5">+B15</f>
        <v>71.510000000000005</v>
      </c>
      <c r="I15" s="419">
        <f t="shared" si="5"/>
        <v>71.510000000000005</v>
      </c>
      <c r="J15" s="419">
        <f t="shared" si="5"/>
        <v>71.510000000000005</v>
      </c>
      <c r="K15" s="419">
        <f t="shared" si="5"/>
        <v>71.510000000000005</v>
      </c>
      <c r="L15" s="419">
        <f t="shared" si="5"/>
        <v>71.510000000000005</v>
      </c>
      <c r="M15" s="419" t="e">
        <f t="shared" si="5"/>
        <v>#REF!</v>
      </c>
      <c r="N15" s="419">
        <f t="shared" si="5"/>
        <v>71.510000000000005</v>
      </c>
      <c r="O15" s="419">
        <f t="shared" si="5"/>
        <v>71.510000000000005</v>
      </c>
      <c r="P15" s="420" t="e">
        <f>+G15</f>
        <v>#REF!</v>
      </c>
    </row>
    <row r="16" spans="1:17" ht="21" customHeight="1">
      <c r="A16" s="76" t="s">
        <v>50</v>
      </c>
      <c r="B16" s="419"/>
      <c r="C16" s="419"/>
      <c r="D16" s="419"/>
      <c r="E16" s="419"/>
      <c r="F16" s="419"/>
      <c r="G16" s="419"/>
      <c r="H16" s="419"/>
      <c r="I16" s="419"/>
      <c r="J16" s="419"/>
      <c r="K16" s="419"/>
      <c r="L16" s="419"/>
      <c r="M16" s="419"/>
      <c r="N16" s="419"/>
      <c r="O16" s="419"/>
      <c r="P16" s="420"/>
    </row>
    <row r="17" spans="1:16" ht="21" customHeight="1">
      <c r="A17" s="76" t="s">
        <v>47</v>
      </c>
      <c r="B17" s="417" t="str">
        <f>+BIODIESEL!G19</f>
        <v>(****)</v>
      </c>
      <c r="C17" s="417" t="str">
        <f>+B17</f>
        <v>(****)</v>
      </c>
      <c r="D17" s="417" t="str">
        <f t="shared" ref="D17:O17" si="6">+C17</f>
        <v>(****)</v>
      </c>
      <c r="E17" s="417" t="str">
        <f t="shared" si="6"/>
        <v>(****)</v>
      </c>
      <c r="F17" s="417" t="str">
        <f t="shared" si="6"/>
        <v>(****)</v>
      </c>
      <c r="G17" s="417" t="str">
        <f t="shared" si="6"/>
        <v>(****)</v>
      </c>
      <c r="H17" s="417" t="str">
        <f t="shared" si="6"/>
        <v>(****)</v>
      </c>
      <c r="I17" s="417" t="str">
        <f t="shared" si="6"/>
        <v>(****)</v>
      </c>
      <c r="J17" s="417" t="str">
        <f t="shared" si="6"/>
        <v>(****)</v>
      </c>
      <c r="K17" s="417" t="str">
        <f t="shared" si="6"/>
        <v>(****)</v>
      </c>
      <c r="L17" s="417" t="str">
        <f t="shared" si="6"/>
        <v>(****)</v>
      </c>
      <c r="M17" s="417" t="str">
        <f t="shared" si="6"/>
        <v>(****)</v>
      </c>
      <c r="N17" s="417" t="str">
        <f t="shared" si="6"/>
        <v>(****)</v>
      </c>
      <c r="O17" s="417" t="str">
        <f t="shared" si="6"/>
        <v>(****)</v>
      </c>
      <c r="P17" s="418" t="str">
        <f>+O17</f>
        <v>(****)</v>
      </c>
    </row>
    <row r="18" spans="1:16" ht="21" customHeight="1">
      <c r="A18" s="76" t="s">
        <v>62</v>
      </c>
      <c r="B18" s="421" t="str">
        <f>+BIODIESEL!G20</f>
        <v>(***)</v>
      </c>
      <c r="C18" s="421" t="str">
        <f>+B18</f>
        <v>(***)</v>
      </c>
      <c r="D18" s="421" t="str">
        <f t="shared" ref="D18:O18" si="7">+C18</f>
        <v>(***)</v>
      </c>
      <c r="E18" s="421" t="str">
        <f t="shared" si="7"/>
        <v>(***)</v>
      </c>
      <c r="F18" s="421" t="str">
        <f t="shared" si="7"/>
        <v>(***)</v>
      </c>
      <c r="G18" s="421" t="str">
        <f t="shared" si="7"/>
        <v>(***)</v>
      </c>
      <c r="H18" s="421" t="str">
        <f t="shared" si="7"/>
        <v>(***)</v>
      </c>
      <c r="I18" s="421" t="str">
        <f t="shared" si="7"/>
        <v>(***)</v>
      </c>
      <c r="J18" s="421" t="str">
        <f t="shared" si="7"/>
        <v>(***)</v>
      </c>
      <c r="K18" s="421" t="str">
        <f t="shared" si="7"/>
        <v>(***)</v>
      </c>
      <c r="L18" s="421" t="str">
        <f t="shared" si="7"/>
        <v>(***)</v>
      </c>
      <c r="M18" s="421" t="str">
        <f t="shared" si="7"/>
        <v>(***)</v>
      </c>
      <c r="N18" s="421" t="str">
        <f t="shared" si="7"/>
        <v>(***)</v>
      </c>
      <c r="O18" s="421" t="str">
        <f t="shared" si="7"/>
        <v>(***)</v>
      </c>
      <c r="P18" s="422" t="str">
        <f>+O18</f>
        <v>(***)</v>
      </c>
    </row>
    <row r="19" spans="1:16" ht="21" customHeight="1">
      <c r="A19" s="76" t="s">
        <v>48</v>
      </c>
      <c r="B19" s="419" t="str">
        <f>+BIODIESEL!G21</f>
        <v>(****)</v>
      </c>
      <c r="C19" s="419" t="str">
        <f>+B19</f>
        <v>(****)</v>
      </c>
      <c r="D19" s="419" t="str">
        <f t="shared" ref="D19:O19" si="8">+C19</f>
        <v>(****)</v>
      </c>
      <c r="E19" s="419" t="str">
        <f t="shared" si="8"/>
        <v>(****)</v>
      </c>
      <c r="F19" s="419" t="str">
        <f t="shared" si="8"/>
        <v>(****)</v>
      </c>
      <c r="G19" s="419" t="str">
        <f t="shared" si="8"/>
        <v>(****)</v>
      </c>
      <c r="H19" s="419" t="str">
        <f t="shared" si="8"/>
        <v>(****)</v>
      </c>
      <c r="I19" s="419" t="str">
        <f t="shared" si="8"/>
        <v>(****)</v>
      </c>
      <c r="J19" s="419" t="str">
        <f t="shared" si="8"/>
        <v>(****)</v>
      </c>
      <c r="K19" s="419" t="str">
        <f t="shared" si="8"/>
        <v>(****)</v>
      </c>
      <c r="L19" s="419" t="str">
        <f t="shared" si="8"/>
        <v>(****)</v>
      </c>
      <c r="M19" s="419" t="str">
        <f t="shared" si="8"/>
        <v>(****)</v>
      </c>
      <c r="N19" s="419" t="str">
        <f t="shared" si="8"/>
        <v>(****)</v>
      </c>
      <c r="O19" s="419" t="str">
        <f t="shared" si="8"/>
        <v>(****)</v>
      </c>
      <c r="P19" s="420" t="str">
        <f>+O19</f>
        <v>(****)</v>
      </c>
    </row>
    <row r="20" spans="1:16" ht="21" customHeight="1">
      <c r="A20" s="76" t="s">
        <v>230</v>
      </c>
      <c r="B20" s="419" t="str">
        <f>+BIODIESEL!G22</f>
        <v>(****)</v>
      </c>
      <c r="C20" s="419" t="str">
        <f>+B20</f>
        <v>(****)</v>
      </c>
      <c r="D20" s="419" t="str">
        <f t="shared" ref="D20:O20" si="9">+C20</f>
        <v>(****)</v>
      </c>
      <c r="E20" s="419" t="str">
        <f t="shared" si="9"/>
        <v>(****)</v>
      </c>
      <c r="F20" s="419" t="str">
        <f t="shared" si="9"/>
        <v>(****)</v>
      </c>
      <c r="G20" s="419" t="str">
        <f t="shared" si="9"/>
        <v>(****)</v>
      </c>
      <c r="H20" s="419" t="str">
        <f t="shared" si="9"/>
        <v>(****)</v>
      </c>
      <c r="I20" s="419" t="str">
        <f t="shared" si="9"/>
        <v>(****)</v>
      </c>
      <c r="J20" s="419" t="str">
        <f t="shared" si="9"/>
        <v>(****)</v>
      </c>
      <c r="K20" s="419" t="str">
        <f t="shared" si="9"/>
        <v>(****)</v>
      </c>
      <c r="L20" s="419" t="str">
        <f t="shared" si="9"/>
        <v>(****)</v>
      </c>
      <c r="M20" s="419" t="str">
        <f t="shared" si="9"/>
        <v>(****)</v>
      </c>
      <c r="N20" s="419" t="str">
        <f t="shared" si="9"/>
        <v>(****)</v>
      </c>
      <c r="O20" s="419" t="str">
        <f t="shared" si="9"/>
        <v>(****)</v>
      </c>
      <c r="P20" s="420" t="str">
        <f>+O20</f>
        <v>(****)</v>
      </c>
    </row>
    <row r="21" spans="1:16" ht="21" customHeight="1">
      <c r="A21" s="76" t="s">
        <v>8</v>
      </c>
      <c r="B21" s="419">
        <f>+BIODIESEL!G23</f>
        <v>301.48</v>
      </c>
      <c r="C21" s="419" t="e">
        <f>+BIODIESEL!#REF!</f>
        <v>#REF!</v>
      </c>
      <c r="D21" s="419">
        <f>+B21</f>
        <v>301.48</v>
      </c>
      <c r="E21" s="419">
        <f>+D21</f>
        <v>301.48</v>
      </c>
      <c r="F21" s="419">
        <f>+B21</f>
        <v>301.48</v>
      </c>
      <c r="G21" s="419">
        <f>+D21</f>
        <v>301.48</v>
      </c>
      <c r="H21" s="419">
        <f>+E21</f>
        <v>301.48</v>
      </c>
      <c r="I21" s="419">
        <f>+F21</f>
        <v>301.48</v>
      </c>
      <c r="J21" s="419">
        <f t="shared" ref="J21:O21" si="10">+F21</f>
        <v>301.48</v>
      </c>
      <c r="K21" s="419">
        <f t="shared" si="10"/>
        <v>301.48</v>
      </c>
      <c r="L21" s="419">
        <f t="shared" si="10"/>
        <v>301.48</v>
      </c>
      <c r="M21" s="419">
        <f t="shared" si="10"/>
        <v>301.48</v>
      </c>
      <c r="N21" s="419">
        <f t="shared" si="10"/>
        <v>301.48</v>
      </c>
      <c r="O21" s="419">
        <f t="shared" si="10"/>
        <v>301.48</v>
      </c>
      <c r="P21" s="420">
        <f>+J21</f>
        <v>301.48</v>
      </c>
    </row>
    <row r="22" spans="1:16" ht="21" customHeight="1" thickBot="1">
      <c r="A22" s="79" t="s">
        <v>61</v>
      </c>
      <c r="B22" s="423" t="str">
        <f>+BIODIESEL!G24</f>
        <v>(***)</v>
      </c>
      <c r="C22" s="423" t="str">
        <f>+B22</f>
        <v>(***)</v>
      </c>
      <c r="D22" s="423" t="str">
        <f t="shared" ref="D22:O22" si="11">+C22</f>
        <v>(***)</v>
      </c>
      <c r="E22" s="423" t="str">
        <f t="shared" si="11"/>
        <v>(***)</v>
      </c>
      <c r="F22" s="423" t="str">
        <f t="shared" si="11"/>
        <v>(***)</v>
      </c>
      <c r="G22" s="423" t="str">
        <f t="shared" si="11"/>
        <v>(***)</v>
      </c>
      <c r="H22" s="423" t="str">
        <f t="shared" si="11"/>
        <v>(***)</v>
      </c>
      <c r="I22" s="423" t="str">
        <f t="shared" si="11"/>
        <v>(***)</v>
      </c>
      <c r="J22" s="423" t="str">
        <f t="shared" si="11"/>
        <v>(***)</v>
      </c>
      <c r="K22" s="423" t="str">
        <f t="shared" si="11"/>
        <v>(***)</v>
      </c>
      <c r="L22" s="423" t="str">
        <f t="shared" si="11"/>
        <v>(***)</v>
      </c>
      <c r="M22" s="423" t="str">
        <f t="shared" si="11"/>
        <v>(***)</v>
      </c>
      <c r="N22" s="423" t="str">
        <f t="shared" si="11"/>
        <v>(***)</v>
      </c>
      <c r="O22" s="423" t="str">
        <f t="shared" si="11"/>
        <v>(***)</v>
      </c>
      <c r="P22" s="424" t="str">
        <f>+O22</f>
        <v>(***)</v>
      </c>
    </row>
    <row r="23" spans="1:16" ht="13.5" thickTop="1"/>
    <row r="24" spans="1:16" ht="33" customHeight="1">
      <c r="A24" s="752" t="s">
        <v>336</v>
      </c>
      <c r="B24" s="753"/>
      <c r="C24" s="753"/>
      <c r="D24" s="753"/>
      <c r="E24" s="753"/>
      <c r="F24" s="753"/>
      <c r="G24" s="753"/>
      <c r="H24" s="753"/>
      <c r="I24" s="753"/>
      <c r="J24" s="753"/>
      <c r="K24" s="753"/>
      <c r="L24" s="753"/>
      <c r="M24" s="753"/>
      <c r="N24" s="753"/>
      <c r="O24" s="753"/>
      <c r="P24" s="753"/>
    </row>
    <row r="25" spans="1:16">
      <c r="A25" s="370" t="s">
        <v>217</v>
      </c>
    </row>
    <row r="26" spans="1:16">
      <c r="A26" s="371"/>
    </row>
    <row r="27" spans="1:16">
      <c r="A27" s="370" t="s">
        <v>254</v>
      </c>
    </row>
    <row r="28" spans="1:16" ht="14.25">
      <c r="A28" s="20" t="s">
        <v>159</v>
      </c>
    </row>
    <row r="29" spans="1:16">
      <c r="A29" s="370" t="s">
        <v>236</v>
      </c>
    </row>
    <row r="30" spans="1:16">
      <c r="A30" s="371"/>
    </row>
    <row r="31" spans="1:16">
      <c r="A31" s="370" t="s">
        <v>228</v>
      </c>
    </row>
    <row r="34" spans="1:5" ht="101.25" customHeight="1">
      <c r="A34" s="733" t="s">
        <v>338</v>
      </c>
      <c r="B34" s="733"/>
      <c r="C34" s="733"/>
      <c r="D34" s="733"/>
      <c r="E34" s="73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1 A 14 DE MAYO</vt:lpstr>
      <vt:lpstr>DIESEL MARINO 01 A 21 DE JUNIO</vt:lpstr>
      <vt:lpstr>DIESEL MARINO 22 A 30 DE JUNIO</vt:lpstr>
      <vt:lpstr>GCINI</vt:lpstr>
      <vt:lpstr>Hoja2</vt:lpstr>
      <vt:lpstr>Hoja3</vt:lpstr>
      <vt:lpstr>Hoja4</vt:lpstr>
      <vt:lpstr>BIODIESEL!Área_de_impresión</vt:lpstr>
      <vt:lpstr>'COMBUSTIBLES '!Área_de_impresión</vt:lpstr>
      <vt:lpstr>'DIESEL MARINO 01 A 21 DE JUNIO'!Área_de_impresión</vt:lpstr>
      <vt:lpstr>'DIESEL MARINO 1 A 14 DE MAYO'!Área_de_impresión</vt:lpstr>
      <vt:lpstr>'DIESEL MARINO 22 A 30 DE JUNIO'!Área_de_impresión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2020-06-08T21:10:40Z</dcterms:modified>
</cp:coreProperties>
</file>